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Benjamin PRIEUR/Hauterives/2. Dossier_LBC_déposé/"/>
    </mc:Choice>
  </mc:AlternateContent>
  <xr:revisionPtr revIDLastSave="139" documentId="11_785EBEBB6478A93751353AF968EBF6B69F868F6A" xr6:coauthVersionLast="47" xr6:coauthVersionMax="47" xr10:uidLastSave="{5D3E0EB7-07C2-4DA2-A337-9836735E2198}"/>
  <bookViews>
    <workbookView xWindow="-110" yWindow="-110" windowWidth="19420" windowHeight="115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8" i="2" l="1" a="1"/>
  <c r="BC18" i="2" s="1"/>
  <c r="BC55" i="2" a="1"/>
  <c r="BC55" i="2" s="1"/>
  <c r="BC117" i="2" a="1"/>
  <c r="BC117" i="2" s="1"/>
  <c r="BC38" i="2" a="1"/>
  <c r="BC38" i="2" s="1"/>
  <c r="BC130" i="2" a="1"/>
  <c r="BC130" i="2" s="1"/>
  <c r="BC181" i="2" a="1"/>
  <c r="BC181" i="2" s="1"/>
  <c r="BC192" i="2" a="1"/>
  <c r="BC192" i="2" s="1"/>
  <c r="BC83" i="2" a="1"/>
  <c r="BC83" i="2" s="1"/>
  <c r="BC65" i="2" a="1"/>
  <c r="BC65" i="2" s="1"/>
  <c r="BC164" i="2" a="1"/>
  <c r="BC164" i="2" s="1"/>
  <c r="BC151" i="2" a="1"/>
  <c r="BC151" i="2" s="1"/>
  <c r="BC47" i="2" a="1"/>
  <c r="BC47" i="2" s="1"/>
  <c r="CS24" i="2" a="1"/>
  <c r="CS24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CD60" i="2" l="1"/>
  <c r="CD35" i="2"/>
  <c r="CD187" i="2"/>
  <c r="CD116" i="2"/>
  <c r="CD96" i="2"/>
  <c r="CD192" i="2"/>
  <c r="CD57" i="2"/>
  <c r="CD42" i="2"/>
  <c r="CD180" i="2"/>
  <c r="CD93" i="2"/>
  <c r="CD64" i="2"/>
  <c r="CD114" i="2"/>
  <c r="CD162" i="2"/>
  <c r="CD195" i="2"/>
  <c r="CD115" i="2"/>
  <c r="CD12" i="2"/>
  <c r="CD74" i="2"/>
  <c r="CD191" i="2"/>
  <c r="CD136" i="2"/>
  <c r="CD188" i="2"/>
  <c r="CD4" i="2"/>
  <c r="CD45" i="2"/>
  <c r="CD123" i="2"/>
  <c r="CD126" i="2"/>
  <c r="CD62" i="2"/>
  <c r="CD131" i="2"/>
  <c r="CD119" i="2"/>
  <c r="CD128" i="2"/>
  <c r="CD83" i="2"/>
  <c r="CD196" i="2"/>
  <c r="CD167" i="2"/>
  <c r="CD121" i="2"/>
  <c r="CD174" i="2"/>
  <c r="CD106" i="2"/>
  <c r="CD165" i="2"/>
  <c r="CD22" i="2"/>
  <c r="CD166" i="2"/>
  <c r="CD113" i="2"/>
  <c r="CD129" i="2"/>
  <c r="CD47" i="2"/>
  <c r="CD178" i="2"/>
  <c r="CD11" i="2"/>
  <c r="CD10" i="2"/>
  <c r="CD159" i="2"/>
  <c r="CD152" i="2"/>
  <c r="CD72" i="2"/>
  <c r="CD85" i="2"/>
  <c r="CD160" i="2"/>
  <c r="CD43" i="2"/>
  <c r="CD198" i="2"/>
  <c r="CD173" i="2"/>
  <c r="CD34" i="2"/>
  <c r="CD84" i="2"/>
  <c r="CD81" i="2"/>
  <c r="CD108" i="2"/>
  <c r="CD88" i="2"/>
  <c r="CD148" i="2"/>
  <c r="CD58" i="2"/>
  <c r="CD149" i="2"/>
  <c r="CD127" i="2"/>
  <c r="CD194" i="2"/>
  <c r="CD146" i="2"/>
  <c r="CD41" i="2"/>
  <c r="CD164" i="2"/>
  <c r="CD151" i="2"/>
  <c r="CD63" i="2"/>
  <c r="CD26" i="2"/>
  <c r="CD56" i="2"/>
  <c r="CD175" i="2"/>
  <c r="CD203" i="2"/>
  <c r="CD18" i="2"/>
  <c r="CD150" i="2"/>
  <c r="CD55" i="2"/>
  <c r="CD110" i="2"/>
  <c r="CD52" i="2"/>
  <c r="CD71" i="2"/>
  <c r="CD24" i="2"/>
  <c r="CD29" i="2"/>
  <c r="CD190" i="2"/>
  <c r="CD53" i="2"/>
  <c r="CD98" i="2"/>
  <c r="CD86" i="2"/>
  <c r="CD7" i="2"/>
  <c r="CD90" i="2"/>
  <c r="CD133" i="2"/>
  <c r="CD154" i="2"/>
  <c r="CD143" i="2"/>
  <c r="CD28" i="2"/>
  <c r="CD39" i="2"/>
  <c r="CD163" i="2"/>
  <c r="CD70" i="2"/>
  <c r="CD176" i="2"/>
  <c r="CD155" i="2"/>
  <c r="CD3" i="2"/>
  <c r="C9" i="4" s="1"/>
  <c r="E9" i="4" s="1"/>
  <c r="F9" i="4" s="1"/>
  <c r="G9" i="4" s="1"/>
  <c r="L9" i="4" s="1"/>
  <c r="CD87" i="2"/>
  <c r="CD51" i="2"/>
  <c r="CD17" i="2"/>
  <c r="CD177" i="2"/>
  <c r="CD130" i="2"/>
  <c r="CD92" i="2"/>
  <c r="CD37" i="2"/>
  <c r="CD147" i="2"/>
  <c r="CD44" i="2"/>
  <c r="CD122" i="2"/>
  <c r="CD33" i="2"/>
  <c r="CD171" i="2"/>
  <c r="CD189" i="2"/>
  <c r="CD9" i="2"/>
  <c r="CD134" i="2"/>
  <c r="CD61" i="2"/>
  <c r="CD100" i="2"/>
  <c r="CD30" i="2"/>
  <c r="CD31" i="2"/>
  <c r="CD67" i="2"/>
  <c r="CD54" i="2"/>
  <c r="CD48" i="2"/>
  <c r="CD118" i="2"/>
  <c r="CD144" i="2"/>
  <c r="CD117" i="2"/>
  <c r="CD200" i="2"/>
  <c r="CD141" i="2"/>
  <c r="CD202" i="2"/>
  <c r="CD107" i="2"/>
  <c r="CD132" i="2"/>
  <c r="CD27" i="2"/>
  <c r="CD172" i="2"/>
  <c r="CD102" i="2"/>
  <c r="CD158" i="2"/>
  <c r="CD101" i="2"/>
  <c r="CD94" i="2"/>
  <c r="CD184" i="2"/>
  <c r="CD140" i="2"/>
  <c r="CD46" i="2"/>
  <c r="CD65" i="2"/>
  <c r="CD185" i="2"/>
  <c r="CD25" i="2"/>
  <c r="CD69" i="2"/>
  <c r="CD137" i="2"/>
  <c r="CD6" i="2"/>
  <c r="CD124" i="2"/>
  <c r="CD23" i="2"/>
  <c r="CD36" i="2"/>
  <c r="CD59" i="2"/>
  <c r="CD103" i="2"/>
  <c r="CD199" i="2"/>
  <c r="CD109" i="2"/>
  <c r="CD89" i="2"/>
  <c r="CD75" i="2"/>
  <c r="CD76" i="2"/>
  <c r="CD112" i="2"/>
  <c r="CD78" i="2"/>
  <c r="CD168" i="2"/>
  <c r="CD49" i="2"/>
  <c r="CD157" i="2"/>
  <c r="CD95" i="2"/>
  <c r="CD97" i="2"/>
  <c r="CD20" i="2"/>
  <c r="CD179" i="2"/>
  <c r="CD99" i="2"/>
  <c r="CD153" i="2"/>
  <c r="CD82" i="2"/>
  <c r="CD170" i="2"/>
  <c r="CD66" i="2"/>
  <c r="CD183" i="2"/>
  <c r="CD186" i="2"/>
  <c r="CD80" i="2"/>
  <c r="CD8" i="2"/>
  <c r="CD135" i="2"/>
  <c r="CD77" i="2"/>
  <c r="CD145" i="2"/>
  <c r="CD156" i="2"/>
  <c r="CD19" i="2"/>
  <c r="CD120" i="2"/>
  <c r="CD73" i="2"/>
  <c r="CD182" i="2"/>
  <c r="CD13" i="2"/>
  <c r="CD79" i="2"/>
  <c r="CD201" i="2"/>
  <c r="CD111" i="2"/>
  <c r="CD16" i="2"/>
  <c r="CD32" i="2"/>
  <c r="CD40" i="2"/>
  <c r="CD142" i="2"/>
  <c r="CD14" i="2"/>
  <c r="CD169" i="2"/>
  <c r="CD50" i="2"/>
  <c r="CD181" i="2"/>
  <c r="CD68" i="2"/>
  <c r="CD193" i="2"/>
  <c r="CD161" i="2"/>
  <c r="CD105" i="2"/>
  <c r="CD104" i="2"/>
  <c r="CD21" i="2"/>
  <c r="CD138" i="2"/>
  <c r="CD91" i="2"/>
  <c r="CD197" i="2"/>
  <c r="CD125" i="2"/>
  <c r="CD38" i="2"/>
  <c r="CD15" i="2"/>
  <c r="CD5" i="2"/>
  <c r="CD139" i="2"/>
  <c r="FE106" i="2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Y24" i="2" l="1"/>
  <c r="CY62" i="2"/>
  <c r="CY167" i="2"/>
  <c r="CY155" i="2"/>
  <c r="CY90" i="2"/>
  <c r="CY147" i="2"/>
  <c r="CY14" i="2"/>
  <c r="CY32" i="2"/>
  <c r="CY148" i="2"/>
  <c r="CY43" i="2"/>
  <c r="CY55" i="2"/>
  <c r="CY198" i="2"/>
  <c r="CY22" i="2"/>
  <c r="CY136" i="2"/>
  <c r="CY7" i="2"/>
  <c r="CY96" i="2"/>
  <c r="CY28" i="2"/>
  <c r="CY186" i="2"/>
  <c r="CY144" i="2"/>
  <c r="CY38" i="2"/>
  <c r="CY82" i="2"/>
  <c r="CY182" i="2"/>
  <c r="CY126" i="2"/>
  <c r="CY127" i="2"/>
  <c r="CY181" i="2"/>
  <c r="CY101" i="2"/>
  <c r="CY135" i="2"/>
  <c r="CY94" i="2"/>
  <c r="CY157" i="2"/>
  <c r="CY179" i="2"/>
  <c r="CY98" i="2"/>
  <c r="CY31" i="2"/>
  <c r="CY3" i="2"/>
  <c r="C10" i="4" s="1"/>
  <c r="E10" i="4" s="1"/>
  <c r="F10" i="4" s="1"/>
  <c r="G10" i="4" s="1"/>
  <c r="L10" i="4" s="1"/>
  <c r="CY106" i="2"/>
  <c r="CY77" i="2"/>
  <c r="CY80" i="2"/>
  <c r="CY99" i="2"/>
  <c r="CY191" i="2"/>
  <c r="CY180" i="2"/>
  <c r="CY59" i="2"/>
  <c r="CY52" i="2"/>
  <c r="CY86" i="2"/>
  <c r="CY60" i="2"/>
  <c r="CY145" i="2"/>
  <c r="CY10" i="2"/>
  <c r="CY161" i="2"/>
  <c r="CY48" i="2"/>
  <c r="CY93" i="2"/>
  <c r="CY114" i="2"/>
  <c r="CY29" i="2"/>
  <c r="CY163" i="2"/>
  <c r="CY203" i="2"/>
  <c r="CY122" i="2"/>
  <c r="CY91" i="2"/>
  <c r="CY56" i="2"/>
  <c r="CY131" i="2"/>
  <c r="CY124" i="2"/>
  <c r="CY16" i="2"/>
  <c r="CY88" i="2"/>
  <c r="CY85" i="2"/>
  <c r="CY12" i="2"/>
  <c r="CY129" i="2"/>
  <c r="CY74" i="2"/>
  <c r="CY119" i="2"/>
  <c r="CY4" i="2"/>
  <c r="CY172" i="2"/>
  <c r="CY149" i="2"/>
  <c r="CY132" i="2"/>
  <c r="CY188" i="2"/>
  <c r="CY46" i="2"/>
  <c r="CY142" i="2"/>
  <c r="CY187" i="2"/>
  <c r="CY128" i="2"/>
  <c r="CY111" i="2"/>
  <c r="CY112" i="2"/>
  <c r="CY50" i="2"/>
  <c r="CY199" i="2"/>
  <c r="CY159" i="2"/>
  <c r="CY105" i="2"/>
  <c r="CY64" i="2"/>
  <c r="CY25" i="2"/>
  <c r="CY47" i="2"/>
  <c r="CY134" i="2"/>
  <c r="CY51" i="2"/>
  <c r="CY158" i="2"/>
  <c r="CY42" i="2"/>
  <c r="CY194" i="2"/>
  <c r="CY61" i="2"/>
  <c r="CY83" i="2"/>
  <c r="CY164" i="2"/>
  <c r="CY133" i="2"/>
  <c r="CY72" i="2"/>
  <c r="CY15" i="2"/>
  <c r="CY30" i="2"/>
  <c r="CY190" i="2"/>
  <c r="CY23" i="2"/>
  <c r="CY63" i="2"/>
  <c r="CY196" i="2"/>
  <c r="CY54" i="2"/>
  <c r="CY173" i="2"/>
  <c r="CY68" i="2"/>
  <c r="CY8" i="2"/>
  <c r="CY45" i="2"/>
  <c r="CY18" i="2"/>
  <c r="CY169" i="2"/>
  <c r="CY76" i="2"/>
  <c r="CY183" i="2"/>
  <c r="CY27" i="2"/>
  <c r="CY5" i="2"/>
  <c r="CY121" i="2"/>
  <c r="CY189" i="2"/>
  <c r="CY97" i="2"/>
  <c r="CY150" i="2"/>
  <c r="CY176" i="2"/>
  <c r="CY81" i="2"/>
  <c r="CY19" i="2"/>
  <c r="CY71" i="2"/>
  <c r="CY200" i="2"/>
  <c r="CY195" i="2"/>
  <c r="CY171" i="2"/>
  <c r="CY78" i="2"/>
  <c r="CY84" i="2"/>
  <c r="CY36" i="2"/>
  <c r="CY152" i="2"/>
  <c r="CY168" i="2"/>
  <c r="CY139" i="2"/>
  <c r="CY34" i="2"/>
  <c r="CY165" i="2"/>
  <c r="CY154" i="2"/>
  <c r="CY41" i="2"/>
  <c r="CY21" i="2"/>
  <c r="CY11" i="2"/>
  <c r="CY160" i="2"/>
  <c r="CY197" i="2"/>
  <c r="CY166" i="2"/>
  <c r="CY66" i="2"/>
  <c r="CY123" i="2"/>
  <c r="CY130" i="2"/>
  <c r="CY87" i="2"/>
  <c r="CY192" i="2"/>
  <c r="CY108" i="2"/>
  <c r="CY20" i="2"/>
  <c r="CY6" i="2"/>
  <c r="CY202" i="2"/>
  <c r="CY109" i="2"/>
  <c r="CY178" i="2"/>
  <c r="CY138" i="2"/>
  <c r="CY49" i="2"/>
  <c r="CY40" i="2"/>
  <c r="CY79" i="2"/>
  <c r="CY95" i="2"/>
  <c r="CY26" i="2"/>
  <c r="CY17" i="2"/>
  <c r="CY174" i="2"/>
  <c r="CY69" i="2"/>
  <c r="CY13" i="2"/>
  <c r="CY185" i="2"/>
  <c r="CY201" i="2"/>
  <c r="CY103" i="2"/>
  <c r="CY193" i="2"/>
  <c r="CY175" i="2"/>
  <c r="CY102" i="2"/>
  <c r="CY116" i="2"/>
  <c r="CY110" i="2"/>
  <c r="CY104" i="2"/>
  <c r="CY151" i="2"/>
  <c r="CY53" i="2"/>
  <c r="CY153" i="2"/>
  <c r="CY170" i="2"/>
  <c r="CY35" i="2"/>
  <c r="CY58" i="2"/>
  <c r="CY115" i="2"/>
  <c r="CY39" i="2"/>
  <c r="CY9" i="2"/>
  <c r="CY125" i="2"/>
  <c r="CY73" i="2"/>
  <c r="CY107" i="2"/>
  <c r="CY92" i="2"/>
  <c r="CY33" i="2"/>
  <c r="CY89" i="2"/>
  <c r="CY156" i="2"/>
  <c r="CY137" i="2"/>
  <c r="CY44" i="2"/>
  <c r="CY117" i="2"/>
  <c r="CY140" i="2"/>
  <c r="CY177" i="2"/>
  <c r="CY184" i="2"/>
  <c r="CY65" i="2"/>
  <c r="CY70" i="2"/>
  <c r="CY118" i="2"/>
  <c r="CY100" i="2"/>
  <c r="CY143" i="2"/>
  <c r="CY146" i="2"/>
  <c r="CY75" i="2"/>
  <c r="CY57" i="2"/>
  <c r="CY37" i="2"/>
  <c r="CY67" i="2"/>
  <c r="CY113" i="2"/>
  <c r="CY120" i="2"/>
  <c r="CY162" i="2"/>
  <c r="CY141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<sst xmlns="http://schemas.openxmlformats.org/spreadsheetml/2006/main" count="1193" uniqueCount="340">
  <si>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</si>
  <si>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</si>
  <si>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</si>
  <si>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</si>
  <si>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</si>
  <si>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</si>
  <si>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</si>
  <si>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</si>
  <si>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</si>
  <si>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</si>
  <si>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</si>
  <si>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</si>
  <si>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</si>
  <si>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</si>
  <si>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</si>
  <si>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</si>
  <si>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</si>
  <si>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</si>
  <si>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</si>
  <si>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</si>
  <si>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</si>
  <si>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</si>
  <si>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</si>
  <si>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</si>
  <si>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</si>
  <si>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</si>
  <si>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</si>
  <si>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</si>
  <si>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</si>
  <si>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</si>
  <si>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</si>
  <si>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</si>
  <si>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</si>
  <si>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</si>
  <si>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</si>
  <si>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</si>
  <si>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</si>
  <si>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</si>
  <si>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</si>
  <si>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</si>
  <si>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</si>
  <si>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</si>
  <si>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</si>
  <si>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</si>
  <si>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</si>
  <si>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</si>
  <si>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</si>
  <si>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</si>
  <si>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</si>
  <si>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</si>
  <si>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</si>
  <si>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</si>
  <si>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</si>
  <si>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</si>
  <si>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</si>
  <si>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</si>
  <si>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</si>
  <si>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</si>
  <si>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</si>
  <si>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</si>
  <si>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</si>
  <si>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</si>
  <si>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</si>
  <si>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</si>
  <si>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</si>
  <si>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</si>
  <si>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</si>
  <si>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</si>
  <si>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</si>
  <si>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</si>
  <si>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</si>
  <si>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</si>
  <si>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</si>
  <si>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</si>
  <si>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</si>
  <si>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</si>
  <si>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</si>
  <si>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</si>
  <si>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</si>
  <si>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</si>
  <si>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</si>
  <si>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</si>
  <si>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</si>
  <si>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</si>
  <si>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</si>
  <si>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</si>
  <si>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</si>
  <si>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</si>
  <si>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</si>
  <si>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</si>
  <si>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</si>
  <si>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</si>
  <si>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</si>
  <si>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</si>
  <si>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</si>
  <si>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</si>
  <si>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</si>
  <si>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</si>
  <si>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</si>
  <si>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</si>
  <si>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</si>
  <si>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</si>
  <si>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</si>
  <si>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</si>
  <si>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</si>
  <si>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</si>
  <si>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</si>
  <si>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</si>
  <si>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</si>
  <si>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</si>
  <si>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</si>
  <si>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</si>
  <si>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</si>
  <si>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</si>
  <si>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</si>
  <si>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</si>
  <si>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</si>
  <si>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</si>
  <si>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</si>
  <si>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</si>
  <si>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</si>
  <si>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</si>
  <si>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</si>
  <si>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</si>
  <si>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</si>
  <si>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</si>
  <si>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</si>
  <si>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</si>
  <si>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</si>
  <si>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</si>
  <si>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</si>
  <si>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</si>
  <si>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</si>
  <si>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</si>
  <si>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</si>
  <si>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</si>
  <si>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</si>
  <si>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</si>
  <si>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</si>
  <si>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</si>
  <si>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</si>
  <si>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</si>
  <si>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</si>
  <si>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</si>
  <si>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</si>
  <si>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</si>
  <si>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</si>
  <si>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</si>
  <si>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</si>
  <si>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</si>
  <si>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</si>
  <si>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</si>
  <si>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</si>
  <si>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</si>
  <si>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</si>
  <si>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</si>
  <si>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</si>
  <si>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</si>
  <si>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</si>
  <si>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</si>
  <si>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</si>
  <si>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</si>
  <si>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</si>
  <si>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</si>
  <si>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</si>
  <si>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</si>
  <si>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</si>
  <si>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</si>
  <si>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</si>
  <si>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</si>
  <si>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</si>
  <si>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</si>
  <si>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</si>
  <si>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</si>
  <si>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</si>
  <si>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</si>
  <si>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</si>
  <si>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</si>
  <si>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</si>
  <si>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</si>
  <si>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</si>
  <si>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</si>
  <si>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</si>
  <si>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</si>
  <si>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</si>
  <si>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</si>
  <si>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</si>
  <si>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</si>
  <si>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</si>
  <si>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</si>
  <si>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</si>
  <si>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</si>
  <si>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</si>
  <si>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</si>
  <si>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</si>
  <si>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</si>
  <si>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</si>
  <si>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</si>
  <si>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</si>
  <si>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</si>
  <si>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</si>
  <si>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</si>
  <si>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</si>
  <si>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</si>
  <si>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</si>
  <si>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</si>
  <si>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</si>
  <si>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</si>
  <si>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</si>
  <si>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</si>
  <si>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</si>
  <si>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</si>
  <si>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</si>
  <si>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</si>
  <si>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</si>
  <si>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</si>
  <si>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</si>
  <si>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</si>
  <si>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</si>
  <si>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</si>
  <si>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</si>
  <si>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</si>
  <si>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</si>
  <si>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</si>
  <si>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</si>
  <si>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</si>
  <si>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</si>
  <si>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</si>
  <si>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</si>
  <si>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</si>
  <si>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</si>
  <si>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</si>
  <si>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</si>
  <si>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</si>
  <si>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</si>
  <si>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</si>
  <si>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</si>
  <si>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</si>
  <si>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</si>
  <si>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</si>
  <si>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</si>
  <si>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</si>
  <si>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</si>
  <si>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</si>
  <si>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</si>
  <si>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</si>
  <si>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</si>
  <si>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</si>
  <si>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</si>
  <si>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</si>
  <si>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</si>
  <si>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</si>
  <si>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</si>
  <si>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</si>
  <si>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</si>
  <si>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</si>
  <si>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</si>
  <si>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</si>
  <si>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</si>
  <si>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</si>
  <si>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</si>
  <si>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</si>
  <si>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</si>
  <si>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</si>
  <si>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</si>
  <si>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</si>
  <si>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</si>
  <si>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</si>
  <si>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</si>
  <si>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</si>
  <si>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</si>
  <si>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</si>
  <si>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</si>
  <si>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</si>
  <si>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</si>
  <si>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</si>
  <si>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</si>
  <si>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</si>
  <si>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</si>
  <si>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</si>
  <si>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</si>
  <si>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</si>
  <si>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</si>
  <si>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</si>
  <si>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</si>
  <si>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</si>
  <si>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</si>
  <si>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</si>
  <si>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</si>
  <si>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</si>
  <si>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</si>
  <si>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</si>
  <si>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</si>
  <si>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</si>
  <si>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</si>
  <si>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</si>
  <si>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</si>
  <si>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</si>
  <si>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</si>
  <si>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</si>
  <si>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</si>
  <si>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</si>
  <si>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</si>
  <si>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</si>
  <si>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</si>
  <si>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</si>
  <si>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</si>
  <si>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</si>
  <si>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</si>
  <si>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</si>
  <si>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</si>
  <si>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</si>
  <si>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</si>
  <si>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</si>
  <si>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</si>
  <si>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</si>
  <si>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</si>
  <si>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</si>
  <si>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</si>
  <si>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</si>
  <si>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</si>
  <si>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</si>
  <si>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</si>
  <si>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</si>
  <si>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</si>
  <si>
    <t>CR</t>
  </si>
  <si>
    <t>30</t>
  </si>
  <si>
    <t>29</t>
  </si>
  <si>
    <t>31</t>
  </si>
  <si>
    <t>32</t>
  </si>
  <si>
    <t>28</t>
  </si>
  <si>
    <t>26</t>
  </si>
  <si>
    <t>24</t>
  </si>
  <si>
    <t>22</t>
  </si>
  <si>
    <t>21</t>
  </si>
  <si>
    <t>19</t>
  </si>
  <si>
    <t>17</t>
  </si>
  <si>
    <t>16</t>
  </si>
  <si>
    <t>14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</si>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</sst>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1.4414793496856533</c:v>
                </c:pt>
                <c:pt idx="2">
                  <c:v>1.6957472082081553</c:v>
                </c:pt>
                <c:pt idx="3">
                  <c:v>1.9950357923280386</c:v>
                </c:pt>
                <c:pt idx="4">
                  <c:v>2.347344939891443</c:v>
                </c:pt>
                <c:pt idx="5">
                  <c:v>2.7621007590314162</c:v>
                </c:pt>
                <c:pt idx="6">
                  <c:v>3.2504107076792792</c:v>
                </c:pt>
                <c:pt idx="7">
                  <c:v>3.825364424271148</c:v>
                </c:pt>
                <c:pt idx="8">
                  <c:v>4.5023885374392192</c:v>
                </c:pt>
                <c:pt idx="9">
                  <c:v>5.2996651657492606</c:v>
                </c:pt>
                <c:pt idx="10">
                  <c:v>6.2386255698093906</c:v>
                </c:pt>
                <c:pt idx="11">
                  <c:v>7.3445324868481237</c:v>
                </c:pt>
                <c:pt idx="12">
                  <c:v>8.6471671194582758</c:v>
                </c:pt>
                <c:pt idx="13">
                  <c:v>10.181639633343407</c:v>
                </c:pt>
                <c:pt idx="14">
                  <c:v>11.989345423586537</c:v>
                </c:pt>
                <c:pt idx="15">
                  <c:v>14.119093429711674</c:v>
                </c:pt>
                <c:pt idx="16">
                  <c:v>16.628437528309927</c:v>
                </c:pt>
                <c:pt idx="17">
                  <c:v>19.585247640219709</c:v>
                </c:pt>
                <c:pt idx="18">
                  <c:v>23.06956381311781</c:v>
                </c:pt>
                <c:pt idx="19">
                  <c:v>27.175784364159011</c:v>
                </c:pt>
                <c:pt idx="20">
                  <c:v>32.01524840874319</c:v>
                </c:pt>
                <c:pt idx="21">
                  <c:v>37.719284017914553</c:v>
                </c:pt>
                <c:pt idx="22">
                  <c:v>44.442806142411648</c:v>
                </c:pt>
                <c:pt idx="23">
                  <c:v>52.36856367539125</c:v>
                </c:pt>
                <c:pt idx="24">
                  <c:v>61.712153023110119</c:v>
                </c:pt>
                <c:pt idx="25">
                  <c:v>72.727936815402572</c:v>
                </c:pt>
                <c:pt idx="26">
                  <c:v>85.716031509021889</c:v>
                </c:pt>
                <c:pt idx="27">
                  <c:v>101.03055731818506</c:v>
                </c:pt>
                <c:pt idx="28">
                  <c:v>119.08937897700982</c:v>
                </c:pt>
                <c:pt idx="29">
                  <c:v>140.38560727791869</c:v>
                </c:pt>
                <c:pt idx="30">
                  <c:v>165.50118029691697</c:v>
                </c:pt>
                <c:pt idx="31">
                  <c:v>180.41301367579672</c:v>
                </c:pt>
                <c:pt idx="32">
                  <c:v>195.29598805327001</c:v>
                </c:pt>
                <c:pt idx="33">
                  <c:v>210.1526132781556</c:v>
                </c:pt>
                <c:pt idx="34">
                  <c:v>224.98501498915437</c:v>
                </c:pt>
                <c:pt idx="35">
                  <c:v>239.79501543626409</c:v>
                </c:pt>
                <c:pt idx="36">
                  <c:v>254.5841932521862</c:v>
                </c:pt>
                <c:pt idx="37">
                  <c:v>269.35392858613005</c:v>
                </c:pt>
                <c:pt idx="38">
                  <c:v>284.10543780737447</c:v>
                </c:pt>
                <c:pt idx="39">
                  <c:v>298.83980061653057</c:v>
                </c:pt>
                <c:pt idx="40">
                  <c:v>313.55798152562414</c:v>
                </c:pt>
                <c:pt idx="41">
                  <c:v>328.26084709143441</c:v>
                </c:pt>
                <c:pt idx="42">
                  <c:v>342.94917989816844</c:v>
                </c:pt>
                <c:pt idx="43">
                  <c:v>252.71994626026705</c:v>
                </c:pt>
                <c:pt idx="44">
                  <c:v>267.79257121881375</c:v>
                </c:pt>
                <c:pt idx="45">
                  <c:v>282.84609321014727</c:v>
                </c:pt>
                <c:pt idx="46">
                  <c:v>297.88167215147729</c:v>
                </c:pt>
                <c:pt idx="47">
                  <c:v>312.90034127889936</c:v>
                </c:pt>
                <c:pt idx="48">
                  <c:v>327.90302652784436</c:v>
                </c:pt>
                <c:pt idx="49">
                  <c:v>342.8905621791684</c:v>
                </c:pt>
                <c:pt idx="50">
                  <c:v>357.86370362552151</c:v>
                </c:pt>
                <c:pt idx="51">
                  <c:v>271.33141993969394</c:v>
                </c:pt>
                <c:pt idx="52">
                  <c:v>285.64350217632511</c:v>
                </c:pt>
                <c:pt idx="53">
                  <c:v>299.93953975338138</c:v>
                </c:pt>
                <c:pt idx="54">
                  <c:v>314.22040519191495</c:v>
                </c:pt>
                <c:pt idx="55">
                  <c:v>328.48688521232657</c:v>
                </c:pt>
                <c:pt idx="56">
                  <c:v>342.73969261037996</c:v>
                </c:pt>
                <c:pt idx="57">
                  <c:v>356.9794760536858</c:v>
                </c:pt>
                <c:pt idx="58">
                  <c:v>371.2068282328928</c:v>
                </c:pt>
                <c:pt idx="59">
                  <c:v>304.63146188182708</c:v>
                </c:pt>
                <c:pt idx="60">
                  <c:v>318.37525477311118</c:v>
                </c:pt>
                <c:pt idx="61">
                  <c:v>332.1059147923591</c:v>
                </c:pt>
                <c:pt idx="62">
                  <c:v>345.82406144357356</c:v>
                </c:pt>
                <c:pt idx="63">
                  <c:v>359.53026106340167</c:v>
                </c:pt>
                <c:pt idx="64">
                  <c:v>373.22503327978126</c:v>
                </c:pt>
                <c:pt idx="65">
                  <c:v>386.90885647290816</c:v>
                </c:pt>
                <c:pt idx="66">
                  <c:v>400.58217242318597</c:v>
                </c:pt>
                <c:pt idx="67">
                  <c:v>334.57943775385905</c:v>
                </c:pt>
                <c:pt idx="68">
                  <c:v>347.60031495364598</c:v>
                </c:pt>
                <c:pt idx="69">
                  <c:v>360.61048905039701</c:v>
                </c:pt>
                <c:pt idx="70">
                  <c:v>373.61040064115809</c:v>
                </c:pt>
                <c:pt idx="71">
                  <c:v>386.60045715553883</c:v>
                </c:pt>
                <c:pt idx="72">
                  <c:v>399.58103640661653</c:v>
                </c:pt>
                <c:pt idx="73">
                  <c:v>412.5524896562884</c:v>
                </c:pt>
                <c:pt idx="74">
                  <c:v>425.51514427495431</c:v>
                </c:pt>
                <c:pt idx="75">
                  <c:v>438.46930606018981</c:v>
                </c:pt>
                <c:pt idx="76">
                  <c:v>372.70132047572787</c:v>
                </c:pt>
                <c:pt idx="77">
                  <c:v>384.92674377589583</c:v>
                </c:pt>
                <c:pt idx="78">
                  <c:v>397.14373241198672</c:v>
                </c:pt>
                <c:pt idx="79">
                  <c:v>409.35258244760695</c:v>
                </c:pt>
                <c:pt idx="80">
                  <c:v>421.55357084347224</c:v>
                </c:pt>
                <c:pt idx="81">
                  <c:v>433.746957218918</c:v>
                </c:pt>
                <c:pt idx="82">
                  <c:v>445.93298540499927</c:v>
                </c:pt>
                <c:pt idx="83">
                  <c:v>458.11188481896812</c:v>
                </c:pt>
                <c:pt idx="84">
                  <c:v>390.08859442874746</c:v>
                </c:pt>
                <c:pt idx="85">
                  <c:v>401.37512564200051</c:v>
                </c:pt>
                <c:pt idx="86">
                  <c:v>412.65479104239301</c:v>
                </c:pt>
                <c:pt idx="87">
                  <c:v>423.92780479021536</c:v>
                </c:pt>
                <c:pt idx="88">
                  <c:v>435.19436872474421</c:v>
                </c:pt>
                <c:pt idx="89">
                  <c:v>446.45467338051259</c:v>
                </c:pt>
                <c:pt idx="90">
                  <c:v>457.70889889569997</c:v>
                </c:pt>
                <c:pt idx="91">
                  <c:v>468.95721582652214</c:v>
                </c:pt>
                <c:pt idx="92">
                  <c:v>247.05717652444915</c:v>
                </c:pt>
                <c:pt idx="93">
                  <c:v>254.68402378773919</c:v>
                </c:pt>
                <c:pt idx="94">
                  <c:v>262.30570177112975</c:v>
                </c:pt>
                <c:pt idx="95">
                  <c:v>269.92238203666665</c:v>
                </c:pt>
                <c:pt idx="96">
                  <c:v>277.53422566245791</c:v>
                </c:pt>
                <c:pt idx="97">
                  <c:v>285.14138415968461</c:v>
                </c:pt>
                <c:pt idx="98">
                  <c:v>292.74400028654537</c:v>
                </c:pt>
                <c:pt idx="99">
                  <c:v>300.34220877315158</c:v>
                </c:pt>
                <c:pt idx="100">
                  <c:v>307.93613696916861</c:v>
                </c:pt>
                <c:pt idx="101">
                  <c:v>315.52590542418221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2.6358219284503748</c:v>
                </c:pt>
                <c:pt idx="2">
                  <c:v>3.3407802804799442</c:v>
                </c:pt>
                <c:pt idx="3">
                  <c:v>4.2350219291255007</c:v>
                </c:pt>
                <c:pt idx="4">
                  <c:v>5.3695572305815107</c:v>
                </c:pt>
                <c:pt idx="5">
                  <c:v>6.8091906246186555</c:v>
                </c:pt>
                <c:pt idx="6">
                  <c:v>8.6362626443738666</c:v>
                </c:pt>
                <c:pt idx="7">
                  <c:v>10.955410010785373</c:v>
                </c:pt>
                <c:pt idx="8">
                  <c:v>13.899621540652397</c:v>
                </c:pt>
                <c:pt idx="9">
                  <c:v>17.637943544532806</c:v>
                </c:pt>
                <c:pt idx="10">
                  <c:v>22.385285151953138</c:v>
                </c:pt>
                <c:pt idx="11">
                  <c:v>28.414897292262125</c:v>
                </c:pt>
                <c:pt idx="12">
                  <c:v>36.074256167773257</c:v>
                </c:pt>
                <c:pt idx="13">
                  <c:v>45.805282274976577</c:v>
                </c:pt>
                <c:pt idx="14">
                  <c:v>58.170081211163478</c:v>
                </c:pt>
                <c:pt idx="15">
                  <c:v>73.883717762935518</c:v>
                </c:pt>
                <c:pt idx="16">
                  <c:v>85.717976445344206</c:v>
                </c:pt>
                <c:pt idx="17">
                  <c:v>102.8595313521908</c:v>
                </c:pt>
                <c:pt idx="18">
                  <c:v>119.9302774112839</c:v>
                </c:pt>
                <c:pt idx="19">
                  <c:v>136.94173921341994</c:v>
                </c:pt>
                <c:pt idx="20">
                  <c:v>153.90233005028915</c:v>
                </c:pt>
                <c:pt idx="21">
                  <c:v>128.44283600598467</c:v>
                </c:pt>
                <c:pt idx="22">
                  <c:v>147.19440041072556</c:v>
                </c:pt>
                <c:pt idx="23">
                  <c:v>165.88885903505457</c:v>
                </c:pt>
                <c:pt idx="24">
                  <c:v>184.5335587844996</c:v>
                </c:pt>
                <c:pt idx="25">
                  <c:v>203.13423715529458</c:v>
                </c:pt>
                <c:pt idx="26">
                  <c:v>175.92057051227536</c:v>
                </c:pt>
                <c:pt idx="27">
                  <c:v>196.11997175537036</c:v>
                </c:pt>
                <c:pt idx="28">
                  <c:v>216.27104494240783</c:v>
                </c:pt>
                <c:pt idx="29">
                  <c:v>236.37892704001885</c:v>
                </c:pt>
                <c:pt idx="30">
                  <c:v>256.44780875667226</c:v>
                </c:pt>
                <c:pt idx="31">
                  <c:v>276.4811708949199</c:v>
                </c:pt>
                <c:pt idx="32">
                  <c:v>235.21435428998385</c:v>
                </c:pt>
                <c:pt idx="33">
                  <c:v>254.99477397913537</c:v>
                </c:pt>
                <c:pt idx="34">
                  <c:v>274.74047191396772</c:v>
                </c:pt>
                <c:pt idx="35">
                  <c:v>294.45429395414675</c:v>
                </c:pt>
                <c:pt idx="36">
                  <c:v>314.13867371561679</c:v>
                </c:pt>
                <c:pt idx="37">
                  <c:v>333.79571492319093</c:v>
                </c:pt>
                <c:pt idx="38">
                  <c:v>290.64642518676175</c:v>
                </c:pt>
                <c:pt idx="39">
                  <c:v>310.00563425237812</c:v>
                </c:pt>
                <c:pt idx="40">
                  <c:v>329.33801275966874</c:v>
                </c:pt>
                <c:pt idx="41">
                  <c:v>348.64535664092631</c:v>
                </c:pt>
                <c:pt idx="42">
                  <c:v>367.92924671972099</c:v>
                </c:pt>
                <c:pt idx="43">
                  <c:v>387.1910846335881</c:v>
                </c:pt>
                <c:pt idx="44">
                  <c:v>406.43212123270087</c:v>
                </c:pt>
                <c:pt idx="45">
                  <c:v>350.03678877744466</c:v>
                </c:pt>
                <c:pt idx="46">
                  <c:v>367.99101790074377</c:v>
                </c:pt>
                <c:pt idx="47">
                  <c:v>385.92613449835784</c:v>
                </c:pt>
                <c:pt idx="48">
                  <c:v>403.84315144097854</c:v>
                </c:pt>
                <c:pt idx="49">
                  <c:v>421.74298442163996</c:v>
                </c:pt>
                <c:pt idx="50">
                  <c:v>439.62646509306978</c:v>
                </c:pt>
                <c:pt idx="51">
                  <c:v>457.49435195604133</c:v>
                </c:pt>
                <c:pt idx="52">
                  <c:v>475.34733945827878</c:v>
                </c:pt>
                <c:pt idx="53">
                  <c:v>407.29503182673903</c:v>
                </c:pt>
                <c:pt idx="54">
                  <c:v>423.68293333202695</c:v>
                </c:pt>
                <c:pt idx="55">
                  <c:v>440.05719702613652</c:v>
                </c:pt>
                <c:pt idx="56">
                  <c:v>456.41840163001302</c:v>
                </c:pt>
                <c:pt idx="57">
                  <c:v>472.76708100439265</c:v>
                </c:pt>
                <c:pt idx="58">
                  <c:v>489.10372909031236</c:v>
                </c:pt>
                <c:pt idx="59">
                  <c:v>505.42880415532341</c:v>
                </c:pt>
                <c:pt idx="60">
                  <c:v>521.74273246270207</c:v>
                </c:pt>
                <c:pt idx="61">
                  <c:v>455.84453930443124</c:v>
                </c:pt>
                <c:pt idx="62">
                  <c:v>470.76000609173275</c:v>
                </c:pt>
                <c:pt idx="63">
                  <c:v>485.66541136738397</c:v>
                </c:pt>
                <c:pt idx="64">
                  <c:v>500.56110732175648</c:v>
                </c:pt>
                <c:pt idx="65">
                  <c:v>515.44742348183297</c:v>
                </c:pt>
                <c:pt idx="66">
                  <c:v>530.32466879559718</c:v>
                </c:pt>
                <c:pt idx="67">
                  <c:v>545.19313347042998</c:v>
                </c:pt>
                <c:pt idx="68">
                  <c:v>560.05309060059778</c:v>
                </c:pt>
                <c:pt idx="69">
                  <c:v>574.90479761309132</c:v>
                </c:pt>
                <c:pt idx="70">
                  <c:v>3.7262491852788889E-12</c:v>
                </c:pt>
                <c:pt idx="71">
                  <c:v>3.7262491852788889E-12</c:v>
                </c:pt>
                <c:pt idx="72">
                  <c:v>3.7262491852788889E-12</c:v>
                </c:pt>
                <c:pt idx="73">
                  <c:v>3.7262491852788889E-12</c:v>
                </c:pt>
                <c:pt idx="74">
                  <c:v>3.7262491852788889E-12</c:v>
                </c:pt>
                <c:pt idx="75">
                  <c:v>3.7262491852788889E-12</c:v>
                </c:pt>
                <c:pt idx="76">
                  <c:v>3.7262491852788889E-12</c:v>
                </c:pt>
                <c:pt idx="77">
                  <c:v>3.7262491852788889E-12</c:v>
                </c:pt>
                <c:pt idx="78">
                  <c:v>3.7262491852788889E-12</c:v>
                </c:pt>
                <c:pt idx="79">
                  <c:v>3.7262491852788889E-12</c:v>
                </c:pt>
                <c:pt idx="80">
                  <c:v>3.7262491852788889E-12</c:v>
                </c:pt>
                <c:pt idx="81">
                  <c:v>3.7262491852788889E-12</c:v>
                </c:pt>
                <c:pt idx="82">
                  <c:v>3.7262491852788889E-12</c:v>
                </c:pt>
                <c:pt idx="83">
                  <c:v>3.7262491852788889E-12</c:v>
                </c:pt>
                <c:pt idx="84">
                  <c:v>3.7262491852788889E-12</c:v>
                </c:pt>
                <c:pt idx="85">
                  <c:v>3.7262491852788889E-12</c:v>
                </c:pt>
                <c:pt idx="86">
                  <c:v>3.7262491852788889E-12</c:v>
                </c:pt>
                <c:pt idx="87">
                  <c:v>3.7262491852788889E-12</c:v>
                </c:pt>
                <c:pt idx="88">
                  <c:v>3.7262491852788889E-12</c:v>
                </c:pt>
                <c:pt idx="89">
                  <c:v>3.7262491852788889E-12</c:v>
                </c:pt>
                <c:pt idx="90">
                  <c:v>3.7262491852788889E-12</c:v>
                </c:pt>
                <c:pt idx="91">
                  <c:v>3.7262491852788889E-12</c:v>
                </c:pt>
                <c:pt idx="92">
                  <c:v>3.7262491852788889E-12</c:v>
                </c:pt>
                <c:pt idx="93">
                  <c:v>3.7262491852788889E-12</c:v>
                </c:pt>
                <c:pt idx="94">
                  <c:v>3.7262491852788889E-12</c:v>
                </c:pt>
                <c:pt idx="95">
                  <c:v>3.7262491852788889E-12</c:v>
                </c:pt>
                <c:pt idx="96">
                  <c:v>3.7262491852788889E-12</c:v>
                </c:pt>
                <c:pt idx="97">
                  <c:v>3.7262491852788889E-12</c:v>
                </c:pt>
                <c:pt idx="98">
                  <c:v>3.7262491852788889E-12</c:v>
                </c:pt>
                <c:pt idx="99">
                  <c:v>3.7262491852788889E-12</c:v>
                </c:pt>
                <c:pt idx="100">
                  <c:v>3.7262491852788889E-12</c:v>
                </c:pt>
                <c:pt idx="101">
                  <c:v>3.7262491852788889E-12</c:v>
                </c:pt>
                <c:pt idx="102">
                  <c:v>3.7262491852788889E-12</c:v>
                </c:pt>
                <c:pt idx="103">
                  <c:v>3.7262491852788889E-12</c:v>
                </c:pt>
                <c:pt idx="104">
                  <c:v>3.7262491852788889E-12</c:v>
                </c:pt>
                <c:pt idx="105">
                  <c:v>3.7262491852788889E-12</c:v>
                </c:pt>
                <c:pt idx="106">
                  <c:v>3.7262491852788889E-12</c:v>
                </c:pt>
                <c:pt idx="107">
                  <c:v>3.7262491852788889E-12</c:v>
                </c:pt>
                <c:pt idx="108">
                  <c:v>3.7262491852788889E-12</c:v>
                </c:pt>
                <c:pt idx="109">
                  <c:v>3.7262491852788889E-12</c:v>
                </c:pt>
                <c:pt idx="110">
                  <c:v>3.7262491852788889E-12</c:v>
                </c:pt>
                <c:pt idx="111">
                  <c:v>3.7262491852788889E-12</c:v>
                </c:pt>
                <c:pt idx="112">
                  <c:v>3.7262491852788889E-12</c:v>
                </c:pt>
                <c:pt idx="113">
                  <c:v>3.7262491852788889E-12</c:v>
                </c:pt>
                <c:pt idx="114">
                  <c:v>3.7262491852788889E-12</c:v>
                </c:pt>
                <c:pt idx="115">
                  <c:v>3.7262491852788889E-12</c:v>
                </c:pt>
                <c:pt idx="116">
                  <c:v>3.7262491852788889E-12</c:v>
                </c:pt>
                <c:pt idx="117">
                  <c:v>3.7262491852788889E-12</c:v>
                </c:pt>
                <c:pt idx="118">
                  <c:v>3.7262491852788889E-12</c:v>
                </c:pt>
                <c:pt idx="119">
                  <c:v>3.7262491852788889E-12</c:v>
                </c:pt>
                <c:pt idx="120">
                  <c:v>3.7262491852788889E-12</c:v>
                </c:pt>
                <c:pt idx="121">
                  <c:v>3.7262491852788889E-12</c:v>
                </c:pt>
                <c:pt idx="122">
                  <c:v>3.7262491852788889E-12</c:v>
                </c:pt>
                <c:pt idx="123">
                  <c:v>3.7262491852788889E-12</c:v>
                </c:pt>
                <c:pt idx="124">
                  <c:v>3.7262491852788889E-12</c:v>
                </c:pt>
                <c:pt idx="125">
                  <c:v>3.7262491852788889E-12</c:v>
                </c:pt>
                <c:pt idx="126">
                  <c:v>3.7262491852788889E-12</c:v>
                </c:pt>
                <c:pt idx="127">
                  <c:v>3.7262491852788889E-12</c:v>
                </c:pt>
                <c:pt idx="128">
                  <c:v>3.7262491852788889E-12</c:v>
                </c:pt>
                <c:pt idx="129">
                  <c:v>3.7262491852788889E-12</c:v>
                </c:pt>
                <c:pt idx="130">
                  <c:v>3.7262491852788889E-12</c:v>
                </c:pt>
                <c:pt idx="131">
                  <c:v>3.7262491852788889E-12</c:v>
                </c:pt>
                <c:pt idx="132">
                  <c:v>3.7262491852788889E-12</c:v>
                </c:pt>
                <c:pt idx="133">
                  <c:v>3.7262491852788889E-12</c:v>
                </c:pt>
                <c:pt idx="134">
                  <c:v>3.7262491852788889E-12</c:v>
                </c:pt>
                <c:pt idx="135">
                  <c:v>3.7262491852788889E-12</c:v>
                </c:pt>
                <c:pt idx="136">
                  <c:v>3.7262491852788889E-12</c:v>
                </c:pt>
                <c:pt idx="137">
                  <c:v>3.7262491852788889E-12</c:v>
                </c:pt>
                <c:pt idx="138">
                  <c:v>3.7262491852788889E-12</c:v>
                </c:pt>
                <c:pt idx="139">
                  <c:v>3.7262491852788889E-12</c:v>
                </c:pt>
                <c:pt idx="140">
                  <c:v>3.7262491852788889E-12</c:v>
                </c:pt>
                <c:pt idx="141">
                  <c:v>3.7262491852788889E-12</c:v>
                </c:pt>
                <c:pt idx="142">
                  <c:v>3.7262491852788889E-12</c:v>
                </c:pt>
                <c:pt idx="143">
                  <c:v>3.7262491852788889E-12</c:v>
                </c:pt>
                <c:pt idx="144">
                  <c:v>3.7262491852788889E-12</c:v>
                </c:pt>
                <c:pt idx="145">
                  <c:v>3.7262491852788889E-12</c:v>
                </c:pt>
                <c:pt idx="146">
                  <c:v>3.7262491852788889E-12</c:v>
                </c:pt>
                <c:pt idx="147">
                  <c:v>3.7262491852788889E-12</c:v>
                </c:pt>
                <c:pt idx="148">
                  <c:v>3.7262491852788889E-12</c:v>
                </c:pt>
                <c:pt idx="149">
                  <c:v>3.7262491852788889E-12</c:v>
                </c:pt>
                <c:pt idx="150">
                  <c:v>3.7262491852788889E-12</c:v>
                </c:pt>
                <c:pt idx="151">
                  <c:v>3.7262491852788889E-12</c:v>
                </c:pt>
                <c:pt idx="152">
                  <c:v>3.7262491852788889E-12</c:v>
                </c:pt>
                <c:pt idx="153">
                  <c:v>3.7262491852788889E-12</c:v>
                </c:pt>
                <c:pt idx="154">
                  <c:v>3.7262491852788889E-12</c:v>
                </c:pt>
                <c:pt idx="155">
                  <c:v>3.7262491852788889E-12</c:v>
                </c:pt>
                <c:pt idx="156">
                  <c:v>3.7262491852788889E-12</c:v>
                </c:pt>
                <c:pt idx="157">
                  <c:v>3.7262491852788889E-12</c:v>
                </c:pt>
                <c:pt idx="158">
                  <c:v>3.7262491852788889E-12</c:v>
                </c:pt>
                <c:pt idx="159">
                  <c:v>3.7262491852788889E-12</c:v>
                </c:pt>
                <c:pt idx="160">
                  <c:v>3.7262491852788889E-12</c:v>
                </c:pt>
                <c:pt idx="161">
                  <c:v>3.7262491852788889E-12</c:v>
                </c:pt>
                <c:pt idx="162">
                  <c:v>3.7262491852788889E-12</c:v>
                </c:pt>
                <c:pt idx="163">
                  <c:v>3.7262491852788889E-12</c:v>
                </c:pt>
                <c:pt idx="164">
                  <c:v>3.7262491852788889E-12</c:v>
                </c:pt>
                <c:pt idx="165">
                  <c:v>3.7262491852788889E-12</c:v>
                </c:pt>
                <c:pt idx="166">
                  <c:v>3.7262491852788889E-12</c:v>
                </c:pt>
                <c:pt idx="167">
                  <c:v>3.7262491852788889E-12</c:v>
                </c:pt>
                <c:pt idx="168">
                  <c:v>3.7262491852788889E-12</c:v>
                </c:pt>
                <c:pt idx="169">
                  <c:v>3.7262491852788889E-12</c:v>
                </c:pt>
                <c:pt idx="170">
                  <c:v>3.7262491852788889E-12</c:v>
                </c:pt>
                <c:pt idx="171">
                  <c:v>3.7262491852788889E-12</c:v>
                </c:pt>
                <c:pt idx="172">
                  <c:v>3.7262491852788889E-12</c:v>
                </c:pt>
                <c:pt idx="173">
                  <c:v>3.7262491852788889E-12</c:v>
                </c:pt>
                <c:pt idx="174">
                  <c:v>3.7262491852788889E-12</c:v>
                </c:pt>
                <c:pt idx="175">
                  <c:v>3.7262491852788889E-12</c:v>
                </c:pt>
                <c:pt idx="176">
                  <c:v>3.7262491852788889E-12</c:v>
                </c:pt>
                <c:pt idx="177">
                  <c:v>3.7262491852788889E-12</c:v>
                </c:pt>
                <c:pt idx="178">
                  <c:v>3.7262491852788889E-12</c:v>
                </c:pt>
                <c:pt idx="179">
                  <c:v>3.7262491852788889E-12</c:v>
                </c:pt>
                <c:pt idx="180">
                  <c:v>3.7262491852788889E-12</c:v>
                </c:pt>
                <c:pt idx="181">
                  <c:v>3.7262491852788889E-12</c:v>
                </c:pt>
                <c:pt idx="182">
                  <c:v>3.7262491852788889E-12</c:v>
                </c:pt>
                <c:pt idx="183">
                  <c:v>3.7262491852788889E-12</c:v>
                </c:pt>
                <c:pt idx="184">
                  <c:v>3.7262491852788889E-12</c:v>
                </c:pt>
                <c:pt idx="185">
                  <c:v>3.7262491852788889E-12</c:v>
                </c:pt>
                <c:pt idx="186">
                  <c:v>3.7262491852788889E-12</c:v>
                </c:pt>
                <c:pt idx="187">
                  <c:v>3.7262491852788889E-12</c:v>
                </c:pt>
                <c:pt idx="188">
                  <c:v>3.7262491852788889E-12</c:v>
                </c:pt>
                <c:pt idx="189">
                  <c:v>3.7262491852788889E-12</c:v>
                </c:pt>
                <c:pt idx="190">
                  <c:v>3.7262491852788889E-12</c:v>
                </c:pt>
                <c:pt idx="191">
                  <c:v>3.7262491852788889E-12</c:v>
                </c:pt>
                <c:pt idx="192">
                  <c:v>3.7262491852788889E-12</c:v>
                </c:pt>
                <c:pt idx="193">
                  <c:v>3.7262491852788889E-12</c:v>
                </c:pt>
                <c:pt idx="194">
                  <c:v>3.7262491852788889E-12</c:v>
                </c:pt>
                <c:pt idx="195">
                  <c:v>3.7262491852788889E-12</c:v>
                </c:pt>
                <c:pt idx="196">
                  <c:v>3.7262491852788889E-12</c:v>
                </c:pt>
                <c:pt idx="197">
                  <c:v>3.7262491852788889E-12</c:v>
                </c:pt>
                <c:pt idx="198">
                  <c:v>3.7262491852788889E-12</c:v>
                </c:pt>
                <c:pt idx="199">
                  <c:v>3.7262491852788889E-12</c:v>
                </c:pt>
                <c:pt idx="200">
                  <c:v>3.7262491852788889E-12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492.5415339943097</c:v>
                </c:pt>
                <c:pt idx="102">
                  <c:v>492.5415339943097</c:v>
                </c:pt>
                <c:pt idx="103">
                  <c:v>492.5415339943097</c:v>
                </c:pt>
                <c:pt idx="104">
                  <c:v>492.5415339943097</c:v>
                </c:pt>
                <c:pt idx="105">
                  <c:v>492.5415339943097</c:v>
                </c:pt>
                <c:pt idx="106">
                  <c:v>492.5415339943097</c:v>
                </c:pt>
                <c:pt idx="107">
                  <c:v>492.5415339943097</c:v>
                </c:pt>
                <c:pt idx="108">
                  <c:v>492.5415339943097</c:v>
                </c:pt>
                <c:pt idx="109">
                  <c:v>492.5415339943097</c:v>
                </c:pt>
                <c:pt idx="110">
                  <c:v>492.5415339943097</c:v>
                </c:pt>
                <c:pt idx="111">
                  <c:v>492.5415339943097</c:v>
                </c:pt>
                <c:pt idx="112">
                  <c:v>492.5415339943097</c:v>
                </c:pt>
                <c:pt idx="113">
                  <c:v>492.5415339943097</c:v>
                </c:pt>
                <c:pt idx="114">
                  <c:v>492.5415339943097</c:v>
                </c:pt>
                <c:pt idx="115">
                  <c:v>492.5415339943097</c:v>
                </c:pt>
                <c:pt idx="116">
                  <c:v>492.5415339943097</c:v>
                </c:pt>
                <c:pt idx="117">
                  <c:v>492.5415339943097</c:v>
                </c:pt>
                <c:pt idx="118">
                  <c:v>492.5415339943097</c:v>
                </c:pt>
                <c:pt idx="119">
                  <c:v>492.5415339943097</c:v>
                </c:pt>
                <c:pt idx="120">
                  <c:v>492.5415339943097</c:v>
                </c:pt>
                <c:pt idx="121">
                  <c:v>492.5415339943097</c:v>
                </c:pt>
                <c:pt idx="122">
                  <c:v>492.5415339943097</c:v>
                </c:pt>
                <c:pt idx="123">
                  <c:v>492.5415339943097</c:v>
                </c:pt>
                <c:pt idx="124">
                  <c:v>492.5415339943097</c:v>
                </c:pt>
                <c:pt idx="125">
                  <c:v>492.5415339943097</c:v>
                </c:pt>
                <c:pt idx="126">
                  <c:v>492.5415339943097</c:v>
                </c:pt>
                <c:pt idx="127">
                  <c:v>492.5415339943097</c:v>
                </c:pt>
                <c:pt idx="128">
                  <c:v>492.5415339943097</c:v>
                </c:pt>
                <c:pt idx="129">
                  <c:v>492.5415339943097</c:v>
                </c:pt>
                <c:pt idx="130">
                  <c:v>492.5415339943097</c:v>
                </c:pt>
                <c:pt idx="131">
                  <c:v>492.5415339943097</c:v>
                </c:pt>
                <c:pt idx="132">
                  <c:v>492.5415339943097</c:v>
                </c:pt>
                <c:pt idx="133">
                  <c:v>492.5415339943097</c:v>
                </c:pt>
                <c:pt idx="134">
                  <c:v>492.5415339943097</c:v>
                </c:pt>
                <c:pt idx="135">
                  <c:v>492.5415339943097</c:v>
                </c:pt>
                <c:pt idx="136">
                  <c:v>492.5415339943097</c:v>
                </c:pt>
                <c:pt idx="137">
                  <c:v>492.5415339943097</c:v>
                </c:pt>
                <c:pt idx="138">
                  <c:v>492.5415339943097</c:v>
                </c:pt>
                <c:pt idx="139">
                  <c:v>492.5415339943097</c:v>
                </c:pt>
                <c:pt idx="140">
                  <c:v>492.5415339943097</c:v>
                </c:pt>
                <c:pt idx="141">
                  <c:v>492.5415339943097</c:v>
                </c:pt>
                <c:pt idx="142">
                  <c:v>492.5415339943097</c:v>
                </c:pt>
                <c:pt idx="143">
                  <c:v>492.5415339943097</c:v>
                </c:pt>
                <c:pt idx="144">
                  <c:v>492.5415339943097</c:v>
                </c:pt>
                <c:pt idx="145">
                  <c:v>492.5415339943097</c:v>
                </c:pt>
                <c:pt idx="146">
                  <c:v>492.5415339943097</c:v>
                </c:pt>
                <c:pt idx="147">
                  <c:v>492.5415339943097</c:v>
                </c:pt>
                <c:pt idx="148">
                  <c:v>492.5415339943097</c:v>
                </c:pt>
                <c:pt idx="149">
                  <c:v>492.5415339943097</c:v>
                </c:pt>
                <c:pt idx="150">
                  <c:v>492.5415339943097</c:v>
                </c:pt>
                <c:pt idx="151">
                  <c:v>492.5415339943097</c:v>
                </c:pt>
                <c:pt idx="152">
                  <c:v>492.5415339943097</c:v>
                </c:pt>
                <c:pt idx="153">
                  <c:v>492.5415339943097</c:v>
                </c:pt>
                <c:pt idx="154">
                  <c:v>492.5415339943097</c:v>
                </c:pt>
                <c:pt idx="155">
                  <c:v>492.5415339943097</c:v>
                </c:pt>
                <c:pt idx="156">
                  <c:v>492.5415339943097</c:v>
                </c:pt>
                <c:pt idx="157">
                  <c:v>492.5415339943097</c:v>
                </c:pt>
                <c:pt idx="158">
                  <c:v>492.5415339943097</c:v>
                </c:pt>
                <c:pt idx="159">
                  <c:v>492.5415339943097</c:v>
                </c:pt>
                <c:pt idx="160">
                  <c:v>492.5415339943097</c:v>
                </c:pt>
                <c:pt idx="161">
                  <c:v>492.5415339943097</c:v>
                </c:pt>
                <c:pt idx="162">
                  <c:v>492.5415339943097</c:v>
                </c:pt>
                <c:pt idx="163">
                  <c:v>492.5415339943097</c:v>
                </c:pt>
                <c:pt idx="164">
                  <c:v>492.5415339943097</c:v>
                </c:pt>
                <c:pt idx="165">
                  <c:v>492.5415339943097</c:v>
                </c:pt>
                <c:pt idx="166">
                  <c:v>492.5415339943097</c:v>
                </c:pt>
                <c:pt idx="167">
                  <c:v>492.5415339943097</c:v>
                </c:pt>
                <c:pt idx="168">
                  <c:v>492.5415339943097</c:v>
                </c:pt>
                <c:pt idx="169">
                  <c:v>492.5415339943097</c:v>
                </c:pt>
                <c:pt idx="170">
                  <c:v>492.5415339943097</c:v>
                </c:pt>
                <c:pt idx="171">
                  <c:v>492.5415339943097</c:v>
                </c:pt>
                <c:pt idx="172">
                  <c:v>492.5415339943097</c:v>
                </c:pt>
                <c:pt idx="173">
                  <c:v>492.5415339943097</c:v>
                </c:pt>
                <c:pt idx="174">
                  <c:v>492.5415339943097</c:v>
                </c:pt>
                <c:pt idx="175">
                  <c:v>492.5415339943097</c:v>
                </c:pt>
                <c:pt idx="176">
                  <c:v>492.5415339943097</c:v>
                </c:pt>
                <c:pt idx="177">
                  <c:v>492.5415339943097</c:v>
                </c:pt>
                <c:pt idx="178">
                  <c:v>492.5415339943097</c:v>
                </c:pt>
                <c:pt idx="179">
                  <c:v>492.5415339943097</c:v>
                </c:pt>
                <c:pt idx="180">
                  <c:v>492.5415339943097</c:v>
                </c:pt>
                <c:pt idx="181">
                  <c:v>492.5415339943097</c:v>
                </c:pt>
                <c:pt idx="182">
                  <c:v>492.5415339943097</c:v>
                </c:pt>
                <c:pt idx="183">
                  <c:v>492.5415339943097</c:v>
                </c:pt>
                <c:pt idx="184">
                  <c:v>492.5415339943097</c:v>
                </c:pt>
                <c:pt idx="185">
                  <c:v>492.5415339943097</c:v>
                </c:pt>
                <c:pt idx="186">
                  <c:v>492.5415339943097</c:v>
                </c:pt>
                <c:pt idx="187">
                  <c:v>492.5415339943097</c:v>
                </c:pt>
                <c:pt idx="188">
                  <c:v>492.5415339943097</c:v>
                </c:pt>
                <c:pt idx="189">
                  <c:v>492.5415339943097</c:v>
                </c:pt>
                <c:pt idx="190">
                  <c:v>492.5415339943097</c:v>
                </c:pt>
                <c:pt idx="191">
                  <c:v>492.5415339943097</c:v>
                </c:pt>
                <c:pt idx="192">
                  <c:v>492.5415339943097</c:v>
                </c:pt>
                <c:pt idx="193">
                  <c:v>492.5415339943097</c:v>
                </c:pt>
                <c:pt idx="194">
                  <c:v>492.5415339943097</c:v>
                </c:pt>
                <c:pt idx="195">
                  <c:v>492.5415339943097</c:v>
                </c:pt>
                <c:pt idx="196">
                  <c:v>492.5415339943097</c:v>
                </c:pt>
                <c:pt idx="197">
                  <c:v>492.5415339943097</c:v>
                </c:pt>
                <c:pt idx="198">
                  <c:v>492.5415339943097</c:v>
                </c:pt>
                <c:pt idx="199">
                  <c:v>492.5415339943097</c:v>
                </c:pt>
                <c:pt idx="200">
                  <c:v>492.5415339943097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70" zoomScaleNormal="70" workbookViewId="0">
      <selection activeCell="I18" sqref="I18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231</v>
      </c>
      <c r="B5" s="276"/>
      <c r="C5" s="24">
        <v>1.7</v>
      </c>
      <c r="D5" s="277" t="s">
        <v>229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164</v>
      </c>
      <c r="C9" s="32">
        <v>0.21</v>
      </c>
      <c r="D9" s="33">
        <f t="shared" ref="D9:D18" si="0">C9*$C$5</f>
        <v>0.35699999999999998</v>
      </c>
      <c r="E9" s="34">
        <v>101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35</v>
      </c>
      <c r="C10" s="32">
        <v>0.19</v>
      </c>
      <c r="D10" s="33">
        <f t="shared" si="0"/>
        <v>0.32300000000000001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30</v>
      </c>
      <c r="C11" s="32">
        <v>7.4999999999999997E-2</v>
      </c>
      <c r="D11" s="33">
        <f t="shared" si="0"/>
        <v>0.1275</v>
      </c>
      <c r="E11" s="34">
        <v>69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13</v>
      </c>
      <c r="C12" s="32">
        <v>0.42</v>
      </c>
      <c r="D12" s="33">
        <f t="shared" si="0"/>
        <v>0.71399999999999997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0.89500000000000002</v>
      </c>
      <c r="D19" s="38">
        <f>SUM(D9:D18)</f>
        <v>1.5214999999999999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158.73846153846154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5.2912820512820513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42</v>
      </c>
      <c r="B37" s="60">
        <v>335.02307692307687</v>
      </c>
      <c r="C37" s="60">
        <v>1</v>
      </c>
      <c r="D37" s="60">
        <v>104.98461538461537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14.690384615384611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50</v>
      </c>
      <c r="B38" s="60">
        <v>349.95384615384614</v>
      </c>
      <c r="C38" s="60">
        <v>2</v>
      </c>
      <c r="D38" s="60">
        <v>100.66923076923077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14.989423076923082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58</v>
      </c>
      <c r="B39" s="60">
        <v>363.32307692307694</v>
      </c>
      <c r="C39" s="60">
        <v>3</v>
      </c>
      <c r="D39" s="60">
        <v>80.315384615384616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14.254807692307693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66</v>
      </c>
      <c r="B40" s="60">
        <v>392.7923076923077</v>
      </c>
      <c r="C40" s="60">
        <v>4</v>
      </c>
      <c r="D40" s="60">
        <v>79.169230769230765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13.723076923076924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75</v>
      </c>
      <c r="B41" s="60">
        <v>430.86923076923074</v>
      </c>
      <c r="C41" s="60">
        <v>5</v>
      </c>
      <c r="D41" s="60">
        <v>78.307692307692307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13.02735042735042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83</v>
      </c>
      <c r="B42" s="60">
        <v>450.63846153846146</v>
      </c>
      <c r="C42" s="60">
        <v>6</v>
      </c>
      <c r="D42" s="60">
        <v>79.707692307692312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12.25961538461538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91</v>
      </c>
      <c r="B43" s="60">
        <v>461.56153846153842</v>
      </c>
      <c r="C43" s="60">
        <v>7</v>
      </c>
      <c r="D43" s="60">
        <v>229.73846153846154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11.328846153846158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101</v>
      </c>
      <c r="B44" s="60">
        <v>307.60769230769228</v>
      </c>
      <c r="C44" s="60">
        <v>8</v>
      </c>
      <c r="D44" s="60">
        <v>307.60769230769228</v>
      </c>
      <c r="E44" s="51">
        <v>0.7</v>
      </c>
      <c r="F44" s="51">
        <v>0.16800000000000001</v>
      </c>
      <c r="G44" s="51">
        <v>0.13200000000000001</v>
      </c>
      <c r="H44" s="51">
        <v>0</v>
      </c>
      <c r="I44" s="49">
        <f t="shared" si="1"/>
        <v>7.5784615384615392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19</v>
      </c>
      <c r="B62" s="258">
        <v>127.98461538461538</v>
      </c>
      <c r="C62" s="258">
        <v>1</v>
      </c>
      <c r="D62" s="258">
        <v>46.53846153846154</v>
      </c>
      <c r="E62" s="259">
        <v>0</v>
      </c>
      <c r="F62" s="259">
        <v>0.56000000000000005</v>
      </c>
      <c r="G62" s="259">
        <v>0.44</v>
      </c>
      <c r="H62" s="259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24</v>
      </c>
      <c r="B63" s="258">
        <v>159.94615384615383</v>
      </c>
      <c r="C63" s="258">
        <v>2</v>
      </c>
      <c r="D63" s="258">
        <v>40.41538461538461</v>
      </c>
      <c r="E63" s="259">
        <v>0.7</v>
      </c>
      <c r="F63" s="259">
        <v>0.16800000000000001</v>
      </c>
      <c r="G63" s="259">
        <v>0.13200000000000001</v>
      </c>
      <c r="H63" s="259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30</v>
      </c>
      <c r="B64" s="258">
        <v>215.65384615384616</v>
      </c>
      <c r="C64" s="258">
        <v>3</v>
      </c>
      <c r="D64" s="258">
        <v>55.869230769230761</v>
      </c>
      <c r="E64" s="259">
        <v>0.7</v>
      </c>
      <c r="F64" s="259">
        <v>0.16800000000000001</v>
      </c>
      <c r="G64" s="259">
        <v>0.13200000000000001</v>
      </c>
      <c r="H64" s="259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37</v>
      </c>
      <c r="B65" s="258">
        <v>268.16923076923075</v>
      </c>
      <c r="C65" s="258">
        <v>4</v>
      </c>
      <c r="D65" s="258">
        <v>43.623076923076923</v>
      </c>
      <c r="E65" s="259">
        <v>0.7</v>
      </c>
      <c r="F65" s="259">
        <v>0.16800000000000001</v>
      </c>
      <c r="G65" s="259">
        <v>0.13200000000000001</v>
      </c>
      <c r="H65" s="259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46</v>
      </c>
      <c r="B66" s="258">
        <v>362.82307692307688</v>
      </c>
      <c r="C66" s="258">
        <v>5</v>
      </c>
      <c r="D66" s="258">
        <v>72.561538461538461</v>
      </c>
      <c r="E66" s="259">
        <v>0.7</v>
      </c>
      <c r="F66" s="259">
        <v>0.16800000000000001</v>
      </c>
      <c r="G66" s="259">
        <v>0.13200000000000001</v>
      </c>
      <c r="H66" s="259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56</v>
      </c>
      <c r="B67" s="258">
        <v>428.20000000000005</v>
      </c>
      <c r="C67" s="258">
        <v>6</v>
      </c>
      <c r="D67" s="258">
        <v>60.092307692307692</v>
      </c>
      <c r="E67" s="260">
        <v>0.7</v>
      </c>
      <c r="F67" s="260">
        <v>0.16800000000000001</v>
      </c>
      <c r="G67" s="260">
        <v>0.13200000000000001</v>
      </c>
      <c r="H67" s="260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66</v>
      </c>
      <c r="B68" s="258">
        <v>488.65384615384613</v>
      </c>
      <c r="C68" s="258">
        <v>7</v>
      </c>
      <c r="D68" s="258">
        <v>68.146153846153851</v>
      </c>
      <c r="E68" s="260">
        <v>0.7</v>
      </c>
      <c r="F68" s="260">
        <v>0.16800000000000001</v>
      </c>
      <c r="G68" s="260">
        <v>0.13200000000000001</v>
      </c>
      <c r="H68" s="260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76</v>
      </c>
      <c r="B69" s="261">
        <v>520.22307692307686</v>
      </c>
      <c r="C69" s="261">
        <v>8</v>
      </c>
      <c r="D69" s="261">
        <v>520.22307692307686</v>
      </c>
      <c r="E69" s="260">
        <v>0.7</v>
      </c>
      <c r="F69" s="260">
        <v>0.16800000000000001</v>
      </c>
      <c r="G69" s="260">
        <v>0.13200000000000001</v>
      </c>
      <c r="H69" s="260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Noyer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15</v>
      </c>
      <c r="B88" s="258">
        <v>40</v>
      </c>
      <c r="C88" s="258">
        <v>1</v>
      </c>
      <c r="D88" s="258">
        <v>3</v>
      </c>
      <c r="E88" s="259">
        <v>0</v>
      </c>
      <c r="F88" s="259">
        <v>0</v>
      </c>
      <c r="G88" s="259">
        <v>0</v>
      </c>
      <c r="H88" s="262">
        <v>1</v>
      </c>
      <c r="I88" s="53">
        <f>IFERROR(B88/A88,"")</f>
        <v>2.6666666666666665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20</v>
      </c>
      <c r="B89" s="258">
        <v>85</v>
      </c>
      <c r="C89" s="258">
        <v>2</v>
      </c>
      <c r="D89" s="258">
        <v>25</v>
      </c>
      <c r="E89" s="259">
        <v>0</v>
      </c>
      <c r="F89" s="259">
        <v>0.5</v>
      </c>
      <c r="G89" s="259">
        <v>0</v>
      </c>
      <c r="H89" s="262">
        <v>0.5</v>
      </c>
      <c r="I89" s="53">
        <f t="shared" ref="I89:I107" si="3">IF(A89&lt;&gt;0,(B89-(B88-D88))/(A89-A88),"")</f>
        <v>9.6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25</v>
      </c>
      <c r="B90" s="258">
        <v>113</v>
      </c>
      <c r="C90" s="258">
        <v>3</v>
      </c>
      <c r="D90" s="258">
        <v>27</v>
      </c>
      <c r="E90" s="262">
        <v>0</v>
      </c>
      <c r="F90" s="262">
        <v>0.5</v>
      </c>
      <c r="G90" s="262">
        <v>0</v>
      </c>
      <c r="H90" s="262">
        <v>0.5</v>
      </c>
      <c r="I90" s="53">
        <f t="shared" si="3"/>
        <v>10.6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31</v>
      </c>
      <c r="B91" s="258">
        <v>155</v>
      </c>
      <c r="C91" s="258">
        <v>4</v>
      </c>
      <c r="D91" s="258">
        <v>35</v>
      </c>
      <c r="E91" s="262">
        <v>0.3</v>
      </c>
      <c r="F91" s="262">
        <v>0.4</v>
      </c>
      <c r="G91" s="262">
        <v>0</v>
      </c>
      <c r="H91" s="262">
        <v>0.3</v>
      </c>
      <c r="I91" s="53">
        <f t="shared" si="3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37</v>
      </c>
      <c r="B92" s="258">
        <v>188</v>
      </c>
      <c r="C92" s="258">
        <v>5</v>
      </c>
      <c r="D92" s="258">
        <v>36</v>
      </c>
      <c r="E92" s="262">
        <v>0.3</v>
      </c>
      <c r="F92" s="262">
        <v>0.4</v>
      </c>
      <c r="G92" s="262">
        <v>0</v>
      </c>
      <c r="H92" s="262">
        <v>0.3</v>
      </c>
      <c r="I92" s="53">
        <f t="shared" si="3"/>
        <v>11.333333333333334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44</v>
      </c>
      <c r="B93" s="258">
        <v>230</v>
      </c>
      <c r="C93" s="258">
        <v>6</v>
      </c>
      <c r="D93" s="258">
        <v>43</v>
      </c>
      <c r="E93" s="263">
        <v>0.4</v>
      </c>
      <c r="F93" s="263">
        <v>0.4</v>
      </c>
      <c r="G93" s="263">
        <v>0</v>
      </c>
      <c r="H93" s="263">
        <v>0.2</v>
      </c>
      <c r="I93" s="53">
        <f t="shared" si="3"/>
        <v>11.142857142857142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52</v>
      </c>
      <c r="B94" s="258">
        <v>270</v>
      </c>
      <c r="C94" s="258">
        <v>7</v>
      </c>
      <c r="D94" s="258">
        <v>49</v>
      </c>
      <c r="E94" s="263">
        <v>0.4</v>
      </c>
      <c r="F94" s="263">
        <v>0.4</v>
      </c>
      <c r="G94" s="263">
        <v>0</v>
      </c>
      <c r="H94" s="263">
        <v>0.2</v>
      </c>
      <c r="I94" s="53">
        <f t="shared" si="3"/>
        <v>10.375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60</v>
      </c>
      <c r="B95" s="60">
        <v>297</v>
      </c>
      <c r="C95" s="60">
        <v>8</v>
      </c>
      <c r="D95" s="60">
        <v>47</v>
      </c>
      <c r="E95" s="87">
        <v>0.5</v>
      </c>
      <c r="F95" s="87">
        <v>0.4</v>
      </c>
      <c r="G95" s="87">
        <v>0</v>
      </c>
      <c r="H95" s="87">
        <v>0.1</v>
      </c>
      <c r="I95" s="53">
        <f t="shared" si="3"/>
        <v>9.5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69</v>
      </c>
      <c r="B96" s="60">
        <v>328</v>
      </c>
      <c r="C96" s="60" t="s">
        <v>325</v>
      </c>
      <c r="D96" s="60">
        <v>328</v>
      </c>
      <c r="E96" s="87">
        <v>0.5</v>
      </c>
      <c r="F96" s="87">
        <v>0.4</v>
      </c>
      <c r="G96" s="87">
        <v>0</v>
      </c>
      <c r="H96" s="87">
        <v>0.1</v>
      </c>
      <c r="I96" s="53">
        <f t="shared" si="3"/>
        <v>8.6666666666666661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rouge d'Amérique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>
        <v>10</v>
      </c>
      <c r="B114" s="258">
        <v>35</v>
      </c>
      <c r="C114" s="257">
        <v>0</v>
      </c>
      <c r="D114" s="258">
        <v>0</v>
      </c>
      <c r="E114" s="259">
        <v>0</v>
      </c>
      <c r="F114" s="259">
        <v>0</v>
      </c>
      <c r="G114" s="259">
        <v>0</v>
      </c>
      <c r="H114" s="259">
        <v>1</v>
      </c>
      <c r="I114" s="53">
        <f>IFERROR(B114/A114,"")</f>
        <v>3.5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>
        <v>15</v>
      </c>
      <c r="B115" s="258">
        <v>88</v>
      </c>
      <c r="C115" s="257">
        <v>0</v>
      </c>
      <c r="D115" s="258" t="s">
        <v>326</v>
      </c>
      <c r="E115" s="259">
        <v>0</v>
      </c>
      <c r="F115" s="259">
        <v>0</v>
      </c>
      <c r="G115" s="259">
        <v>0</v>
      </c>
      <c r="H115" s="259">
        <v>1</v>
      </c>
      <c r="I115" s="53">
        <f t="shared" ref="I115:I133" si="4">IF(A115&lt;&gt;0,(B115-(B114-D114))/(A115-A114),"")</f>
        <v>10.6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>
        <v>20</v>
      </c>
      <c r="B116" s="258">
        <v>117</v>
      </c>
      <c r="C116" s="257">
        <v>1</v>
      </c>
      <c r="D116" s="258" t="s">
        <v>327</v>
      </c>
      <c r="E116" s="259">
        <v>0</v>
      </c>
      <c r="F116" s="259">
        <v>0</v>
      </c>
      <c r="G116" s="259">
        <v>0</v>
      </c>
      <c r="H116" s="259">
        <v>1</v>
      </c>
      <c r="I116" s="53">
        <f t="shared" si="4"/>
        <v>11.8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>
        <v>25</v>
      </c>
      <c r="B117" s="258">
        <v>145</v>
      </c>
      <c r="C117" s="257">
        <v>2</v>
      </c>
      <c r="D117" s="258" t="s">
        <v>328</v>
      </c>
      <c r="E117" s="259">
        <v>0</v>
      </c>
      <c r="F117" s="259">
        <v>0</v>
      </c>
      <c r="G117" s="259">
        <v>0</v>
      </c>
      <c r="H117" s="259">
        <v>1</v>
      </c>
      <c r="I117" s="53">
        <f t="shared" si="4"/>
        <v>11.4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>
        <v>30</v>
      </c>
      <c r="B118" s="258">
        <v>169</v>
      </c>
      <c r="C118" s="257">
        <v>3</v>
      </c>
      <c r="D118" s="258" t="s">
        <v>329</v>
      </c>
      <c r="E118" s="259">
        <v>0</v>
      </c>
      <c r="F118" s="259">
        <v>0.5</v>
      </c>
      <c r="G118" s="259">
        <v>0</v>
      </c>
      <c r="H118" s="259">
        <v>0.5</v>
      </c>
      <c r="I118" s="53">
        <f t="shared" si="4"/>
        <v>11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>
        <v>35</v>
      </c>
      <c r="B119" s="258">
        <v>189</v>
      </c>
      <c r="C119" s="257">
        <v>4</v>
      </c>
      <c r="D119" s="258" t="s">
        <v>329</v>
      </c>
      <c r="E119" s="260">
        <v>0</v>
      </c>
      <c r="F119" s="260">
        <v>0.5</v>
      </c>
      <c r="G119" s="260">
        <v>0</v>
      </c>
      <c r="H119" s="260">
        <v>0.5</v>
      </c>
      <c r="I119" s="53">
        <f t="shared" si="4"/>
        <v>10.4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>
        <v>40</v>
      </c>
      <c r="B120" s="258">
        <v>206</v>
      </c>
      <c r="C120" s="258">
        <v>5</v>
      </c>
      <c r="D120" s="258" t="s">
        <v>328</v>
      </c>
      <c r="E120" s="263">
        <v>0.4</v>
      </c>
      <c r="F120" s="263">
        <v>0.4</v>
      </c>
      <c r="G120" s="263">
        <v>0</v>
      </c>
      <c r="H120" s="263">
        <v>0.2</v>
      </c>
      <c r="I120" s="53">
        <f t="shared" si="4"/>
        <v>9.8000000000000007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>
        <v>45</v>
      </c>
      <c r="B121" s="264">
        <v>219</v>
      </c>
      <c r="C121" s="264">
        <v>6</v>
      </c>
      <c r="D121" s="264" t="s">
        <v>326</v>
      </c>
      <c r="E121" s="263">
        <v>0.4</v>
      </c>
      <c r="F121" s="263">
        <v>0.4</v>
      </c>
      <c r="G121" s="263">
        <v>0</v>
      </c>
      <c r="H121" s="263">
        <v>0.2</v>
      </c>
      <c r="I121" s="53">
        <f t="shared" si="4"/>
        <v>8.8000000000000007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>
        <v>50</v>
      </c>
      <c r="B122" s="264">
        <v>230</v>
      </c>
      <c r="C122" s="264">
        <v>7</v>
      </c>
      <c r="D122" s="264" t="s">
        <v>330</v>
      </c>
      <c r="E122" s="263">
        <v>0.4</v>
      </c>
      <c r="F122" s="263">
        <v>0.4</v>
      </c>
      <c r="G122" s="263">
        <v>0</v>
      </c>
      <c r="H122" s="263">
        <v>0.2</v>
      </c>
      <c r="I122" s="53">
        <f t="shared" si="4"/>
        <v>8.1999999999999993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55</v>
      </c>
      <c r="B123" s="60">
        <v>239</v>
      </c>
      <c r="C123" s="60">
        <v>8</v>
      </c>
      <c r="D123" s="60" t="s">
        <v>331</v>
      </c>
      <c r="E123" s="87">
        <v>0.5</v>
      </c>
      <c r="F123" s="87">
        <v>0.4</v>
      </c>
      <c r="G123" s="87">
        <v>0</v>
      </c>
      <c r="H123" s="87">
        <v>0.1</v>
      </c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60</v>
      </c>
      <c r="B124" s="60">
        <v>246</v>
      </c>
      <c r="C124" s="60">
        <v>9</v>
      </c>
      <c r="D124" s="60" t="s">
        <v>332</v>
      </c>
      <c r="E124" s="87">
        <v>0.5</v>
      </c>
      <c r="F124" s="87">
        <v>0.4</v>
      </c>
      <c r="G124" s="87">
        <v>0</v>
      </c>
      <c r="H124" s="87">
        <v>0.1</v>
      </c>
      <c r="I124" s="53">
        <f t="shared" si="4"/>
        <v>6.6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65</v>
      </c>
      <c r="B125" s="60">
        <v>252</v>
      </c>
      <c r="C125" s="60">
        <v>10</v>
      </c>
      <c r="D125" s="60" t="s">
        <v>333</v>
      </c>
      <c r="E125" s="87">
        <v>0.6</v>
      </c>
      <c r="F125" s="87">
        <v>0.3</v>
      </c>
      <c r="G125" s="87">
        <v>0</v>
      </c>
      <c r="H125" s="87">
        <v>0.1</v>
      </c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70</v>
      </c>
      <c r="B126" s="60">
        <v>257</v>
      </c>
      <c r="C126" s="60">
        <v>11</v>
      </c>
      <c r="D126" s="60" t="s">
        <v>334</v>
      </c>
      <c r="E126" s="65">
        <v>0.6</v>
      </c>
      <c r="F126" s="65">
        <v>0.3</v>
      </c>
      <c r="G126" s="65">
        <v>0</v>
      </c>
      <c r="H126" s="65">
        <v>0.1</v>
      </c>
      <c r="I126" s="53">
        <f t="shared" si="4"/>
        <v>5.4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75</v>
      </c>
      <c r="B127" s="60">
        <v>261</v>
      </c>
      <c r="C127" s="60">
        <v>12</v>
      </c>
      <c r="D127" s="60" t="s">
        <v>335</v>
      </c>
      <c r="E127" s="65">
        <v>0.7</v>
      </c>
      <c r="F127" s="65">
        <v>0.2</v>
      </c>
      <c r="G127" s="65">
        <v>0</v>
      </c>
      <c r="H127" s="65">
        <v>0.1</v>
      </c>
      <c r="I127" s="53">
        <f t="shared" si="4"/>
        <v>5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264</v>
      </c>
      <c r="C128" s="50">
        <v>13</v>
      </c>
      <c r="D128" s="50" t="s">
        <v>336</v>
      </c>
      <c r="E128" s="54">
        <v>0.7</v>
      </c>
      <c r="F128" s="54">
        <v>0.2</v>
      </c>
      <c r="G128" s="54">
        <v>0</v>
      </c>
      <c r="H128" s="54">
        <v>0.1</v>
      </c>
      <c r="I128" s="53">
        <f t="shared" si="4"/>
        <v>4.4000000000000004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85</v>
      </c>
      <c r="B129" s="50">
        <v>267</v>
      </c>
      <c r="C129" s="50">
        <v>14</v>
      </c>
      <c r="D129" s="50" t="s">
        <v>337</v>
      </c>
      <c r="E129" s="54">
        <v>0.8</v>
      </c>
      <c r="F129" s="54">
        <v>0.1</v>
      </c>
      <c r="G129" s="54">
        <v>0</v>
      </c>
      <c r="H129" s="54">
        <v>0.1</v>
      </c>
      <c r="I129" s="53">
        <f t="shared" si="4"/>
        <v>4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90</v>
      </c>
      <c r="B130" s="50">
        <v>268</v>
      </c>
      <c r="C130" s="50">
        <v>15</v>
      </c>
      <c r="D130" s="50" t="s">
        <v>338</v>
      </c>
      <c r="E130" s="54">
        <v>0.8</v>
      </c>
      <c r="F130" s="54">
        <v>0.1</v>
      </c>
      <c r="G130" s="54">
        <v>0</v>
      </c>
      <c r="H130" s="54">
        <v>0.1</v>
      </c>
      <c r="I130" s="53">
        <f t="shared" si="4"/>
        <v>3.4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95</v>
      </c>
      <c r="B131" s="50">
        <v>270</v>
      </c>
      <c r="C131" s="50">
        <v>16</v>
      </c>
      <c r="D131" s="50" t="s">
        <v>339</v>
      </c>
      <c r="E131" s="54">
        <v>0.8</v>
      </c>
      <c r="F131" s="54">
        <v>0.1</v>
      </c>
      <c r="G131" s="54">
        <v>0</v>
      </c>
      <c r="H131" s="54">
        <v>0.1</v>
      </c>
      <c r="I131" s="53">
        <f t="shared" si="4"/>
        <v>3.2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>
        <v>100</v>
      </c>
      <c r="B132" s="50">
        <v>273</v>
      </c>
      <c r="C132" s="50">
        <v>17</v>
      </c>
      <c r="D132" s="50" t="s">
        <v>339</v>
      </c>
      <c r="E132" s="54">
        <v>0.8</v>
      </c>
      <c r="F132" s="54">
        <v>0.1</v>
      </c>
      <c r="G132" s="54">
        <v>0</v>
      </c>
      <c r="H132" s="54">
        <v>0.1</v>
      </c>
      <c r="I132" s="53">
        <f t="shared" si="4"/>
        <v>3.2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/>
      <c r="B140" s="258"/>
      <c r="C140" s="257"/>
      <c r="D140" s="258"/>
      <c r="E140" s="259"/>
      <c r="F140" s="259"/>
      <c r="G140" s="259"/>
      <c r="H140" s="259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/>
      <c r="B141" s="258"/>
      <c r="C141" s="257"/>
      <c r="D141" s="258"/>
      <c r="E141" s="259"/>
      <c r="F141" s="259"/>
      <c r="G141" s="259"/>
      <c r="H141" s="259"/>
      <c r="I141" s="57" t="str">
        <f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/>
      <c r="B142" s="258"/>
      <c r="C142" s="257"/>
      <c r="D142" s="258"/>
      <c r="E142" s="259"/>
      <c r="F142" s="259"/>
      <c r="G142" s="259"/>
      <c r="H142" s="259"/>
      <c r="I142" s="57" t="str">
        <f>IF(A142&lt;&gt;0,(B142-(B141-D141))/(A142-A141),"")</f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/>
      <c r="B143" s="258"/>
      <c r="C143" s="257"/>
      <c r="D143" s="258"/>
      <c r="E143" s="259"/>
      <c r="F143" s="259"/>
      <c r="G143" s="259"/>
      <c r="H143" s="259"/>
      <c r="I143" s="57" t="str">
        <f t="shared" ref="I143:I159" si="5">IF(A143&lt;&gt;0,(B143-(B142-D142))/(A143-A142),"")</f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/>
      <c r="B144" s="258"/>
      <c r="C144" s="257"/>
      <c r="D144" s="258"/>
      <c r="E144" s="259"/>
      <c r="F144" s="259"/>
      <c r="G144" s="259"/>
      <c r="H144" s="259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6" sqref="B16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Cèdre de l'Atlas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Pin laricio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Noyer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Chêne rouge d'Amérique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307.52968058891554</v>
      </c>
      <c r="T3" s="59">
        <f>IF('Données projet'!E9&gt;30,$R$33-$H$33,LOOKUP('Données projet'!$E$9,$A$3:$A$203,R3:R203)-LOOKUP('Données projet'!$E$9,$A$3:$A$203,$H$3:$H$203))</f>
        <v>221.27527189662558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377.63545575155672</v>
      </c>
      <c r="AO3" s="59">
        <f>IF('Données projet'!E10&gt;30,$AM$33-$H$33,LOOKUP('Données projet'!$E$10,$A$3:$A$203,AM3:AM203)-LOOKUP('Données projet'!$E$10,$A$3:$A$203,$H$3:$H$203))</f>
        <v>339.1731538522788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318.98630351938459</v>
      </c>
      <c r="BJ3" s="59">
        <f>IF('Données projet'!E11&gt;30,$BH$33-$H$33,LOOKUP('Données projet'!$E$11,$A$3:$A$203,BH3:BH203)-LOOKUP('Données projet'!$E$11,$A$3:$A$203,$H$3:$H$203))</f>
        <v>312.22190035638084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411.67183422518411</v>
      </c>
      <c r="CE3" s="59">
        <f>IF('Données projet'!E12&gt;30,$CC$33-$H$33,LOOKUP('Données projet'!$E$12,$A$3:$A$203,CC3:CC203)-LOOKUP('Données projet'!$E$12,$A$3:$A$203,$H$3:$H$203))</f>
        <v>379.16642539721556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5.2912820512820513</v>
      </c>
      <c r="N4" s="13">
        <f>IF('Données projet'!$A$36&gt;35,N3+M4-V3,IF(A4&lt;'Données projet'!$A$36,$K$205^A4,IF(A4='Données projet'!$A$36,'Données projet'!$B$36,N3+M4-V3)))</f>
        <v>1.1840119133911551</v>
      </c>
      <c r="O4" s="13">
        <f>N4*VLOOKUP('Données projet'!$B$9,Paramètres!$A$1:$I$89,3,0)*VLOOKUP('Données projet'!$B$9,Paramètres!$A$1:$I$89,5,0)</f>
        <v>0.55411757546706064</v>
      </c>
      <c r="P4" s="13">
        <f>EXP(-1.0587+0.8836*LN(O4)+0.284)</f>
        <v>0.27352607028546766</v>
      </c>
      <c r="Q4" s="20">
        <f t="shared" ref="Q4:Q34" si="2">(O4+P4)*0.475*44/12</f>
        <v>1.4414793496856533</v>
      </c>
      <c r="R4" s="59">
        <f t="shared" si="0"/>
        <v>169.2539133026095</v>
      </c>
      <c r="S4" s="59">
        <f ca="1">AVERAGE(OFFSET($R$3,0,0,'Données projet'!$E$9+1,1))-AVERAGE(OFFSET($H$3,0,0,'Données projet'!$E$9+1,1))</f>
        <v>307.52968058891554</v>
      </c>
      <c r="T4" s="59">
        <f>$T$3</f>
        <v>221.27527189662558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169.79552379433417</v>
      </c>
      <c r="AN4" s="59">
        <f ca="1">AVERAGE(OFFSET($AM$3,0,0,'Données projet'!$E$10+1,1))-AVERAGE(OFFSET($H$3,0,0,'Données projet'!$E$10+1,1))</f>
        <v>377.63545575155672</v>
      </c>
      <c r="AO4" s="59">
        <f>$AO$3</f>
        <v>339.1731538522788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2.6666666666666665</v>
      </c>
      <c r="BD4" s="12">
        <f>IF('Données projet'!$A$88&gt;35,BD3+BC4-BL3,IF(A4&lt;'Données projet'!$A$88,$BA$205^A4,IF(A4='Données projet'!$A$88,'Données projet'!$B$88,BD3+BC4-BL3)))</f>
        <v>1.2788040393997409</v>
      </c>
      <c r="BE4" s="13">
        <f>BD4*VLOOKUP('Données projet'!$B$11,Paramètres!$A$1:$I$89,3,0)*VLOOKUP('Données projet'!$B$11,Paramètres!$A$1:$I$89,5,0)</f>
        <v>1.0373658367610699</v>
      </c>
      <c r="BF4" s="13">
        <f>EXP(-1.0587+0.8836*LN(BE4)+0.284)</f>
        <v>0.47602474416737472</v>
      </c>
      <c r="BG4" s="20">
        <f t="shared" ref="BG4:BG67" si="7">(BE4+BF4)*0.475*44/12</f>
        <v>2.6358219284503748</v>
      </c>
      <c r="BH4" s="59">
        <f t="shared" ref="BH4:BH67" si="8">BG4+(AY4+AZ4)*44/12</f>
        <v>170.44825588137422</v>
      </c>
      <c r="BI4" s="59">
        <f ca="1">AVERAGE(OFFSET($BH$3,0,0,'Données projet'!$E$11+1,1))-AVERAGE(OFFSET($H$3,0,0,'Données projet'!$E$11+1,1))</f>
        <v>318.98630351938459</v>
      </c>
      <c r="BJ4" s="59">
        <f>$BJ$3</f>
        <v>312.22190035638084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3.5</v>
      </c>
      <c r="BY4" s="12">
        <f>IF('Données projet'!$A$114&gt;35,BY3+BX4-CG3,IF(A4&lt;'Données projet'!$A$114,$BV$205^A4,IF(A4='Données projet'!$A$114,'Données projet'!$B$114,BY3+BX4-CG3)))</f>
        <v>1.4269435884576509</v>
      </c>
      <c r="BZ4" s="13">
        <f>BY4*VLOOKUP('Données projet'!$B$12,Paramètres!$A$1:$I$89,3,0)*VLOOKUP('Données projet'!$B$12,Paramètres!$A$1:$I$89,5,0)</f>
        <v>1.246577918876604</v>
      </c>
      <c r="CA4" s="13">
        <f>EXP(-1.0587+0.8836*LN(BZ4)+0.284)</f>
        <v>0.55992486380829476</v>
      </c>
      <c r="CB4" s="20">
        <f t="shared" ref="CB4:CB67" si="10">(BZ4+CA4)*0.475*44/12</f>
        <v>3.1463256798428652</v>
      </c>
      <c r="CC4" s="59">
        <f t="shared" ref="CC4:CC67" si="11">CB4+(BT4+BU4)*44/12</f>
        <v>170.95875963276671</v>
      </c>
      <c r="CD4" s="59">
        <f ca="1">AVERAGE(OFFSET($CC$3,0,0,'Données projet'!$E$12+1,1))-AVERAGE(OFFSET($H$3,0,0,'Données projet'!$E$12+1,1))</f>
        <v>411.67183422518411</v>
      </c>
      <c r="CE4" s="59">
        <f>$CE$3</f>
        <v>379.16642539721556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5.2912820512820513</v>
      </c>
      <c r="N5" s="13">
        <f>IF('Données projet'!$A$36&gt;35,N4+M5-V4,IF(A5&lt;'Données projet'!$A$36,$K$205^A5,IF(A5='Données projet'!$A$36,'Données projet'!$B$36,N4+M5-V4)))</f>
        <v>1.4018842110521841</v>
      </c>
      <c r="O5" s="13">
        <f>N5*VLOOKUP('Données projet'!$B$9,Paramètres!$A$1:$I$89,3,0)*VLOOKUP('Données projet'!$B$9,Paramètres!$A$1:$I$89,5,0)</f>
        <v>0.65608181077242211</v>
      </c>
      <c r="P5" s="13">
        <f t="shared" ref="P5:P68" si="33">EXP(-1.0587+0.8836*LN(O5)+0.284)</f>
        <v>0.31755294992125549</v>
      </c>
      <c r="Q5" s="20">
        <f t="shared" si="2"/>
        <v>1.6957472082081553</v>
      </c>
      <c r="R5" s="59">
        <f t="shared" si="0"/>
        <v>172.293028495709</v>
      </c>
      <c r="S5" s="59">
        <f ca="1">AVERAGE(OFFSET($R$3,0,0,'Données projet'!$E$9+1,1))-AVERAGE(OFFSET($H$3,0,0,'Données projet'!$E$9+1,1))</f>
        <v>307.52968058891554</v>
      </c>
      <c r="T5" s="59">
        <f t="shared" ref="T5:T68" si="34">$T$3</f>
        <v>221.27527189662558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173.13317108184779</v>
      </c>
      <c r="AN5" s="59">
        <f ca="1">AVERAGE(OFFSET($AM$3,0,0,'Données projet'!$E$10+1,1))-AVERAGE(OFFSET($H$3,0,0,'Données projet'!$E$10+1,1))</f>
        <v>377.63545575155672</v>
      </c>
      <c r="AO5" s="59">
        <f t="shared" ref="AO5:AO68" si="36">$AO$3</f>
        <v>339.1731538522788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2.6666666666666665</v>
      </c>
      <c r="BD5" s="12">
        <f>IF('Données projet'!$A$88&gt;35,BD4+BC5-BL4,IF(A5&lt;'Données projet'!$A$88,$BA$205^A5,IF(A5='Données projet'!$A$88,'Données projet'!$B$88,BD4+BC5-BL4)))</f>
        <v>1.6353397711850939</v>
      </c>
      <c r="BE5" s="13">
        <f>BD5*VLOOKUP('Données projet'!$B$11,Paramètres!$A$1:$I$89,3,0)*VLOOKUP('Données projet'!$B$11,Paramètres!$A$1:$I$89,5,0)</f>
        <v>1.3265876223853483</v>
      </c>
      <c r="BF5" s="13">
        <f t="shared" ref="BF5:BF68" si="37">EXP(-1.0587+0.8836*LN(BE5)+0.284)</f>
        <v>0.59156373482801727</v>
      </c>
      <c r="BG5" s="20">
        <f t="shared" si="7"/>
        <v>3.3407802804799442</v>
      </c>
      <c r="BH5" s="59">
        <f t="shared" si="8"/>
        <v>173.93806156798078</v>
      </c>
      <c r="BI5" s="59">
        <f ca="1">AVERAGE(OFFSET($BH$3,0,0,'Données projet'!$E$11+1,1))-AVERAGE(OFFSET($H$3,0,0,'Données projet'!$E$11+1,1))</f>
        <v>318.98630351938459</v>
      </c>
      <c r="BJ5" s="59">
        <f t="shared" ref="BJ5:BJ68" si="38">$BJ$3</f>
        <v>312.22190035638084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3.5</v>
      </c>
      <c r="BY5" s="12">
        <f>IF('Données projet'!$A$114&gt;35,BY4+BX5-CG4,IF(A5&lt;'Données projet'!$A$114,$BV$205^A5,IF(A5='Données projet'!$A$114,'Données projet'!$B$114,BY4+BX5-CG4)))</f>
        <v>2.0361680046403978</v>
      </c>
      <c r="BZ5" s="13">
        <f>BY5*VLOOKUP('Données projet'!$B$12,Paramètres!$A$1:$I$89,3,0)*VLOOKUP('Données projet'!$B$12,Paramètres!$A$1:$I$89,5,0)</f>
        <v>1.7787963688538517</v>
      </c>
      <c r="CA5" s="13">
        <f t="shared" ref="CA5:CA68" si="39">EXP(-1.0587+0.8836*LN(BZ5)+0.284)</f>
        <v>0.76659080447596062</v>
      </c>
      <c r="CB5" s="20">
        <f t="shared" si="10"/>
        <v>4.4332159935494238</v>
      </c>
      <c r="CC5" s="59">
        <f t="shared" si="11"/>
        <v>175.03049728105026</v>
      </c>
      <c r="CD5" s="59">
        <f ca="1">AVERAGE(OFFSET($CC$3,0,0,'Données projet'!$E$12+1,1))-AVERAGE(OFFSET($H$3,0,0,'Données projet'!$E$12+1,1))</f>
        <v>411.67183422518411</v>
      </c>
      <c r="CE5" s="59">
        <f t="shared" ref="CE5:CE68" si="40">$CE$3</f>
        <v>379.16642539721556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5.2912820512820513</v>
      </c>
      <c r="N6" s="13">
        <f>IF('Données projet'!$A$36&gt;35,N5+M6-V5,IF(A6&lt;'Données projet'!$A$36,$K$205^A6,IF(A6='Données projet'!$A$36,'Données projet'!$B$36,N5+M6-V5)))</f>
        <v>1.6598476070807464</v>
      </c>
      <c r="O6" s="13">
        <f>N6*VLOOKUP('Données projet'!$B$9,Paramètres!$A$1:$I$89,3,0)*VLOOKUP('Données projet'!$B$9,Paramètres!$A$1:$I$89,5,0)</f>
        <v>0.77680868011378923</v>
      </c>
      <c r="P6" s="13">
        <f t="shared" si="33"/>
        <v>0.36866641595972582</v>
      </c>
      <c r="Q6" s="20">
        <f t="shared" si="2"/>
        <v>1.9950357923280386</v>
      </c>
      <c r="R6" s="59">
        <f t="shared" si="0"/>
        <v>175.35005636221291</v>
      </c>
      <c r="S6" s="59">
        <f ca="1">AVERAGE(OFFSET($R$3,0,0,'Données projet'!$E$9+1,1))-AVERAGE(OFFSET($H$3,0,0,'Données projet'!$E$9+1,1))</f>
        <v>307.52968058891554</v>
      </c>
      <c r="T6" s="59">
        <f t="shared" si="34"/>
        <v>221.27527189662558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176.59842596014892</v>
      </c>
      <c r="AN6" s="59">
        <f ca="1">AVERAGE(OFFSET($AM$3,0,0,'Données projet'!$E$10+1,1))-AVERAGE(OFFSET($H$3,0,0,'Données projet'!$E$10+1,1))</f>
        <v>377.63545575155672</v>
      </c>
      <c r="AO6" s="59">
        <f t="shared" si="36"/>
        <v>339.1731538522788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2.6666666666666665</v>
      </c>
      <c r="BD6" s="12">
        <f>IF('Données projet'!$A$88&gt;35,BD5+BC6-BL5,IF(A6&lt;'Données projet'!$A$88,$BA$205^A6,IF(A6='Données projet'!$A$88,'Données projet'!$B$88,BD5+BC6-BL5)))</f>
        <v>2.0912791051825459</v>
      </c>
      <c r="BE6" s="13">
        <f>BD6*VLOOKUP('Données projet'!$B$11,Paramètres!$A$1:$I$89,3,0)*VLOOKUP('Données projet'!$B$11,Paramètres!$A$1:$I$89,5,0)</f>
        <v>1.6964456101240815</v>
      </c>
      <c r="BF6" s="13">
        <f t="shared" si="37"/>
        <v>0.73514592812979451</v>
      </c>
      <c r="BG6" s="20">
        <f t="shared" si="7"/>
        <v>4.2350219291255007</v>
      </c>
      <c r="BH6" s="59">
        <f t="shared" si="8"/>
        <v>177.59004249901039</v>
      </c>
      <c r="BI6" s="59">
        <f ca="1">AVERAGE(OFFSET($BH$3,0,0,'Données projet'!$E$11+1,1))-AVERAGE(OFFSET($H$3,0,0,'Données projet'!$E$11+1,1))</f>
        <v>318.98630351938459</v>
      </c>
      <c r="BJ6" s="59">
        <f t="shared" si="38"/>
        <v>312.22190035638084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3.5</v>
      </c>
      <c r="BY6" s="12">
        <f>IF('Données projet'!$A$114&gt;35,BY5+BX6-CG5,IF(A6&lt;'Données projet'!$A$114,$BV$205^A6,IF(A6='Données projet'!$A$114,'Données projet'!$B$114,BY5+BX6-CG5)))</f>
        <v>2.905496879244224</v>
      </c>
      <c r="BZ6" s="13">
        <f>BY6*VLOOKUP('Données projet'!$B$12,Paramètres!$A$1:$I$89,3,0)*VLOOKUP('Données projet'!$B$12,Paramètres!$A$1:$I$89,5,0)</f>
        <v>2.5382420737077545</v>
      </c>
      <c r="CA6" s="13">
        <f t="shared" si="39"/>
        <v>1.049536285118966</v>
      </c>
      <c r="CB6" s="20">
        <f t="shared" si="10"/>
        <v>6.2487139749565381</v>
      </c>
      <c r="CC6" s="59">
        <f t="shared" si="11"/>
        <v>179.60373454484142</v>
      </c>
      <c r="CD6" s="59">
        <f ca="1">AVERAGE(OFFSET($CC$3,0,0,'Données projet'!$E$12+1,1))-AVERAGE(OFFSET($H$3,0,0,'Données projet'!$E$12+1,1))</f>
        <v>411.67183422518411</v>
      </c>
      <c r="CE6" s="59">
        <f t="shared" si="40"/>
        <v>379.16642539721556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5.2912820512820513</v>
      </c>
      <c r="N7" s="13">
        <f>IF('Données projet'!$A$36&gt;35,N6+M7-V6,IF(A7&lt;'Données projet'!$A$36,$K$205^A7,IF(A7='Données projet'!$A$36,'Données projet'!$B$36,N6+M7-V6)))</f>
        <v>1.9652793411974046</v>
      </c>
      <c r="O7" s="13">
        <f>N7*VLOOKUP('Données projet'!$B$9,Paramètres!$A$1:$I$89,3,0)*VLOOKUP('Données projet'!$B$9,Paramètres!$A$1:$I$89,5,0)</f>
        <v>0.91975073168038535</v>
      </c>
      <c r="P7" s="13">
        <f t="shared" si="33"/>
        <v>0.42800712854436657</v>
      </c>
      <c r="Q7" s="20">
        <f t="shared" si="2"/>
        <v>2.347344939891443</v>
      </c>
      <c r="R7" s="59">
        <f t="shared" si="0"/>
        <v>178.4334670040684</v>
      </c>
      <c r="S7" s="59">
        <f ca="1">AVERAGE(OFFSET($R$3,0,0,'Données projet'!$E$9+1,1))-AVERAGE(OFFSET($H$3,0,0,'Données projet'!$E$9+1,1))</f>
        <v>307.52968058891554</v>
      </c>
      <c r="T7" s="59">
        <f t="shared" si="34"/>
        <v>221.27527189662558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180.23522343186795</v>
      </c>
      <c r="AN7" s="59">
        <f ca="1">AVERAGE(OFFSET($AM$3,0,0,'Données projet'!$E$10+1,1))-AVERAGE(OFFSET($H$3,0,0,'Données projet'!$E$10+1,1))</f>
        <v>377.63545575155672</v>
      </c>
      <c r="AO7" s="59">
        <f t="shared" si="36"/>
        <v>339.1731538522788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2.6666666666666665</v>
      </c>
      <c r="BD7" s="12">
        <f>IF('Données projet'!$A$88&gt;35,BD6+BC7-BL6,IF(A7&lt;'Données projet'!$A$88,$BA$205^A7,IF(A7='Données projet'!$A$88,'Données projet'!$B$88,BD6+BC7-BL6)))</f>
        <v>2.6743361672197152</v>
      </c>
      <c r="BE7" s="13">
        <f>BD7*VLOOKUP('Données projet'!$B$11,Paramètres!$A$1:$I$89,3,0)*VLOOKUP('Données projet'!$B$11,Paramètres!$A$1:$I$89,5,0)</f>
        <v>2.1694214988486329</v>
      </c>
      <c r="BF7" s="13">
        <f t="shared" si="37"/>
        <v>0.91357786799242624</v>
      </c>
      <c r="BG7" s="20">
        <f t="shared" si="7"/>
        <v>5.3695572305815107</v>
      </c>
      <c r="BH7" s="59">
        <f t="shared" si="8"/>
        <v>181.45567929475845</v>
      </c>
      <c r="BI7" s="59">
        <f ca="1">AVERAGE(OFFSET($BH$3,0,0,'Données projet'!$E$11+1,1))-AVERAGE(OFFSET($H$3,0,0,'Données projet'!$E$11+1,1))</f>
        <v>318.98630351938459</v>
      </c>
      <c r="BJ7" s="59">
        <f t="shared" si="38"/>
        <v>312.22190035638084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3.5</v>
      </c>
      <c r="BY7" s="12">
        <f>IF('Données projet'!$A$114&gt;35,BY6+BX7-CG6,IF(A7&lt;'Données projet'!$A$114,$BV$205^A7,IF(A7='Données projet'!$A$114,'Données projet'!$B$114,BY6+BX7-CG6)))</f>
        <v>4.1459801431212595</v>
      </c>
      <c r="BZ7" s="13">
        <f>BY7*VLOOKUP('Données projet'!$B$12,Paramètres!$A$1:$I$89,3,0)*VLOOKUP('Données projet'!$B$12,Paramètres!$A$1:$I$89,5,0)</f>
        <v>3.6219282530307328</v>
      </c>
      <c r="CA7" s="13">
        <f t="shared" si="39"/>
        <v>1.4369157669903438</v>
      </c>
      <c r="CB7" s="20">
        <f t="shared" si="10"/>
        <v>8.8108200015367082</v>
      </c>
      <c r="CC7" s="59">
        <f t="shared" si="11"/>
        <v>184.89694206571366</v>
      </c>
      <c r="CD7" s="59">
        <f ca="1">AVERAGE(OFFSET($CC$3,0,0,'Données projet'!$E$12+1,1))-AVERAGE(OFFSET($H$3,0,0,'Données projet'!$E$12+1,1))</f>
        <v>411.67183422518411</v>
      </c>
      <c r="CE7" s="59">
        <f t="shared" si="40"/>
        <v>379.16642539721556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5.2912820512820513</v>
      </c>
      <c r="N8" s="13">
        <f>IF('Données projet'!$A$36&gt;35,N7+M8-V7,IF(A8&lt;'Données projet'!$A$36,$K$205^A8,IF(A8='Données projet'!$A$36,'Données projet'!$B$36,N7+M8-V7)))</f>
        <v>2.3269141531192479</v>
      </c>
      <c r="O8" s="13">
        <f>N8*VLOOKUP('Données projet'!$B$9,Paramètres!$A$1:$I$89,3,0)*VLOOKUP('Données projet'!$B$9,Paramètres!$A$1:$I$89,5,0)</f>
        <v>1.0889958236598081</v>
      </c>
      <c r="P8" s="13">
        <f t="shared" si="33"/>
        <v>0.49689934898980909</v>
      </c>
      <c r="Q8" s="20">
        <f t="shared" si="2"/>
        <v>2.7621007590314162</v>
      </c>
      <c r="R8" s="59">
        <f t="shared" si="0"/>
        <v>181.55314863547878</v>
      </c>
      <c r="S8" s="59">
        <f ca="1">AVERAGE(OFFSET($R$3,0,0,'Données projet'!$E$9+1,1))-AVERAGE(OFFSET($H$3,0,0,'Données projet'!$E$9+1,1))</f>
        <v>307.52968058891554</v>
      </c>
      <c r="T8" s="59">
        <f t="shared" si="34"/>
        <v>221.27527189662558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184.09974404025274</v>
      </c>
      <c r="AN8" s="59">
        <f ca="1">AVERAGE(OFFSET($AM$3,0,0,'Données projet'!$E$10+1,1))-AVERAGE(OFFSET($H$3,0,0,'Données projet'!$E$10+1,1))</f>
        <v>377.63545575155672</v>
      </c>
      <c r="AO8" s="59">
        <f t="shared" si="36"/>
        <v>339.1731538522788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2.6666666666666665</v>
      </c>
      <c r="BD8" s="12">
        <f>IF('Données projet'!$A$88&gt;35,BD7+BC8-BL7,IF(A8&lt;'Données projet'!$A$88,$BA$205^A8,IF(A8='Données projet'!$A$88,'Données projet'!$B$88,BD7+BC8-BL7)))</f>
        <v>3.4199518933533928</v>
      </c>
      <c r="BE8" s="13">
        <f>BD8*VLOOKUP('Données projet'!$B$11,Paramètres!$A$1:$I$89,3,0)*VLOOKUP('Données projet'!$B$11,Paramètres!$A$1:$I$89,5,0)</f>
        <v>2.7742649758882725</v>
      </c>
      <c r="BF8" s="13">
        <f t="shared" si="37"/>
        <v>1.1353181578640659</v>
      </c>
      <c r="BG8" s="20">
        <f t="shared" si="7"/>
        <v>6.8091906246186555</v>
      </c>
      <c r="BH8" s="59">
        <f t="shared" si="8"/>
        <v>185.600238501066</v>
      </c>
      <c r="BI8" s="59">
        <f ca="1">AVERAGE(OFFSET($BH$3,0,0,'Données projet'!$E$11+1,1))-AVERAGE(OFFSET($H$3,0,0,'Données projet'!$E$11+1,1))</f>
        <v>318.98630351938459</v>
      </c>
      <c r="BJ8" s="59">
        <f t="shared" si="38"/>
        <v>312.22190035638084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3.5</v>
      </c>
      <c r="BY8" s="12">
        <f>IF('Données projet'!$A$114&gt;35,BY7+BX8-CG7,IF(A8&lt;'Données projet'!$A$114,$BV$205^A8,IF(A8='Données projet'!$A$114,'Données projet'!$B$114,BY7+BX8-CG7)))</f>
        <v>5.9160797830996152</v>
      </c>
      <c r="BZ8" s="13">
        <f>BY8*VLOOKUP('Données projet'!$B$12,Paramètres!$A$1:$I$89,3,0)*VLOOKUP('Données projet'!$B$12,Paramètres!$A$1:$I$89,5,0)</f>
        <v>5.1682872985158239</v>
      </c>
      <c r="CA8" s="13">
        <f t="shared" si="39"/>
        <v>1.967275406006004</v>
      </c>
      <c r="CB8" s="20">
        <f t="shared" si="10"/>
        <v>12.427771710375517</v>
      </c>
      <c r="CC8" s="59">
        <f t="shared" si="11"/>
        <v>191.21881958682286</v>
      </c>
      <c r="CD8" s="59">
        <f ca="1">AVERAGE(OFFSET($CC$3,0,0,'Données projet'!$E$12+1,1))-AVERAGE(OFFSET($H$3,0,0,'Données projet'!$E$12+1,1))</f>
        <v>411.67183422518411</v>
      </c>
      <c r="CE8" s="59">
        <f t="shared" si="40"/>
        <v>379.16642539721556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5.2912820512820513</v>
      </c>
      <c r="N9" s="13">
        <f>IF('Données projet'!$A$36&gt;35,N8+M9-V8,IF(A9&lt;'Données projet'!$A$36,$K$205^A9,IF(A9='Données projet'!$A$36,'Données projet'!$B$36,N8+M9-V8)))</f>
        <v>2.7550940787316796</v>
      </c>
      <c r="O9" s="13">
        <f>N9*VLOOKUP('Données projet'!$B$9,Paramètres!$A$1:$I$89,3,0)*VLOOKUP('Données projet'!$B$9,Paramètres!$A$1:$I$89,5,0)</f>
        <v>1.289384028846426</v>
      </c>
      <c r="P9" s="13">
        <f t="shared" si="33"/>
        <v>0.57688049230914107</v>
      </c>
      <c r="Q9" s="20">
        <f t="shared" si="2"/>
        <v>3.2504107076792792</v>
      </c>
      <c r="R9" s="59">
        <f t="shared" si="0"/>
        <v>184.72066280393824</v>
      </c>
      <c r="S9" s="59">
        <f ca="1">AVERAGE(OFFSET($R$3,0,0,'Données projet'!$E$9+1,1))-AVERAGE(OFFSET($H$3,0,0,'Données projet'!$E$9+1,1))</f>
        <v>307.52968058891554</v>
      </c>
      <c r="T9" s="59">
        <f t="shared" si="34"/>
        <v>221.27527189662558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188.26387988319485</v>
      </c>
      <c r="AN9" s="59">
        <f ca="1">AVERAGE(OFFSET($AM$3,0,0,'Données projet'!$E$10+1,1))-AVERAGE(OFFSET($H$3,0,0,'Données projet'!$E$10+1,1))</f>
        <v>377.63545575155672</v>
      </c>
      <c r="AO9" s="59">
        <f t="shared" si="36"/>
        <v>339.1731538522788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2.6666666666666665</v>
      </c>
      <c r="BD9" s="12">
        <f>IF('Données projet'!$A$88&gt;35,BD8+BC9-BL8,IF(A9&lt;'Données projet'!$A$88,$BA$205^A9,IF(A9='Données projet'!$A$88,'Données projet'!$B$88,BD8+BC9-BL8)))</f>
        <v>4.3734482957731098</v>
      </c>
      <c r="BE9" s="13">
        <f>BD9*VLOOKUP('Données projet'!$B$11,Paramètres!$A$1:$I$89,3,0)*VLOOKUP('Données projet'!$B$11,Paramètres!$A$1:$I$89,5,0)</f>
        <v>3.5477412575311469</v>
      </c>
      <c r="BF9" s="13">
        <f t="shared" si="37"/>
        <v>1.4108784425878202</v>
      </c>
      <c r="BG9" s="20">
        <f t="shared" si="7"/>
        <v>8.6362626443738666</v>
      </c>
      <c r="BH9" s="59">
        <f t="shared" si="8"/>
        <v>190.10651474063283</v>
      </c>
      <c r="BI9" s="59">
        <f ca="1">AVERAGE(OFFSET($BH$3,0,0,'Données projet'!$E$11+1,1))-AVERAGE(OFFSET($H$3,0,0,'Données projet'!$E$11+1,1))</f>
        <v>318.98630351938459</v>
      </c>
      <c r="BJ9" s="59">
        <f t="shared" si="38"/>
        <v>312.22190035638084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3.5</v>
      </c>
      <c r="BY9" s="12">
        <f>IF('Données projet'!$A$114&gt;35,BY8+BX9-CG8,IF(A9&lt;'Données projet'!$A$114,$BV$205^A9,IF(A9='Données projet'!$A$114,'Données projet'!$B$114,BY8+BX9-CG8)))</f>
        <v>8.4419121152979262</v>
      </c>
      <c r="BZ9" s="13">
        <f>BY9*VLOOKUP('Données projet'!$B$12,Paramètres!$A$1:$I$89,3,0)*VLOOKUP('Données projet'!$B$12,Paramètres!$A$1:$I$89,5,0)</f>
        <v>7.3748544239242699</v>
      </c>
      <c r="CA9" s="13">
        <f t="shared" si="39"/>
        <v>2.6933885840659002</v>
      </c>
      <c r="CB9" s="20">
        <f t="shared" si="10"/>
        <v>17.535523238916209</v>
      </c>
      <c r="CC9" s="59">
        <f t="shared" si="11"/>
        <v>199.00577533517517</v>
      </c>
      <c r="CD9" s="59">
        <f ca="1">AVERAGE(OFFSET($CC$3,0,0,'Données projet'!$E$12+1,1))-AVERAGE(OFFSET($H$3,0,0,'Données projet'!$E$12+1,1))</f>
        <v>411.67183422518411</v>
      </c>
      <c r="CE9" s="59">
        <f t="shared" si="40"/>
        <v>379.16642539721556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5.2912820512820513</v>
      </c>
      <c r="N10" s="13">
        <f>IF('Données projet'!$A$36&gt;35,N9+M10-V9,IF(A10&lt;'Données projet'!$A$36,$K$205^A10,IF(A10='Données projet'!$A$36,'Données projet'!$B$36,N9+M10-V9)))</f>
        <v>3.2620642117317376</v>
      </c>
      <c r="O10" s="13">
        <f>N10*VLOOKUP('Données projet'!$B$9,Paramètres!$A$1:$I$89,3,0)*VLOOKUP('Données projet'!$B$9,Paramètres!$A$1:$I$89,5,0)</f>
        <v>1.5266460510904531</v>
      </c>
      <c r="P10" s="13">
        <f t="shared" si="33"/>
        <v>0.66973543652934475</v>
      </c>
      <c r="Q10" s="20">
        <f t="shared" si="2"/>
        <v>3.825364424271148</v>
      </c>
      <c r="R10" s="59">
        <f t="shared" si="0"/>
        <v>187.94954536000739</v>
      </c>
      <c r="S10" s="59">
        <f ca="1">AVERAGE(OFFSET($R$3,0,0,'Données projet'!$E$9+1,1))-AVERAGE(OFFSET($H$3,0,0,'Données projet'!$E$9+1,1))</f>
        <v>307.52968058891554</v>
      </c>
      <c r="T10" s="59">
        <f t="shared" si="34"/>
        <v>221.27527189662558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192.81968386791226</v>
      </c>
      <c r="AN10" s="59">
        <f ca="1">AVERAGE(OFFSET($AM$3,0,0,'Données projet'!$E$10+1,1))-AVERAGE(OFFSET($H$3,0,0,'Données projet'!$E$10+1,1))</f>
        <v>377.63545575155672</v>
      </c>
      <c r="AO10" s="59">
        <f t="shared" si="36"/>
        <v>339.1731538522788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2.6666666666666665</v>
      </c>
      <c r="BD10" s="12">
        <f>IF('Données projet'!$A$88&gt;35,BD9+BC10-BL9,IF(A10&lt;'Données projet'!$A$88,$BA$205^A10,IF(A10='Données projet'!$A$88,'Données projet'!$B$88,BD9+BC10-BL9)))</f>
        <v>5.5927833467405659</v>
      </c>
      <c r="BE10" s="13">
        <f>BD10*VLOOKUP('Données projet'!$B$11,Paramètres!$A$1:$I$89,3,0)*VLOOKUP('Données projet'!$B$11,Paramètres!$A$1:$I$89,5,0)</f>
        <v>4.5368658508759481</v>
      </c>
      <c r="BF10" s="13">
        <f t="shared" si="37"/>
        <v>1.7533217151252238</v>
      </c>
      <c r="BG10" s="20">
        <f t="shared" si="7"/>
        <v>10.955410010785373</v>
      </c>
      <c r="BH10" s="59">
        <f t="shared" si="8"/>
        <v>195.07959094652162</v>
      </c>
      <c r="BI10" s="59">
        <f ca="1">AVERAGE(OFFSET($BH$3,0,0,'Données projet'!$E$11+1,1))-AVERAGE(OFFSET($H$3,0,0,'Données projet'!$E$11+1,1))</f>
        <v>318.98630351938459</v>
      </c>
      <c r="BJ10" s="59">
        <f t="shared" si="38"/>
        <v>312.22190035638084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3.5</v>
      </c>
      <c r="BY10" s="12">
        <f>IF('Données projet'!$A$114&gt;35,BY9+BX10-CG9,IF(A10&lt;'Données projet'!$A$114,$BV$205^A10,IF(A10='Données projet'!$A$114,'Données projet'!$B$114,BY9+BX10-CG9)))</f>
        <v>12.04613236724734</v>
      </c>
      <c r="BZ10" s="13">
        <f>BY10*VLOOKUP('Données projet'!$B$12,Paramètres!$A$1:$I$89,3,0)*VLOOKUP('Données projet'!$B$12,Paramètres!$A$1:$I$89,5,0)</f>
        <v>10.523501236027279</v>
      </c>
      <c r="CA10" s="13">
        <f t="shared" si="39"/>
        <v>3.6875071190486755</v>
      </c>
      <c r="CB10" s="20">
        <f t="shared" si="10"/>
        <v>24.750839551757284</v>
      </c>
      <c r="CC10" s="59">
        <f t="shared" si="11"/>
        <v>208.87502048749352</v>
      </c>
      <c r="CD10" s="59">
        <f ca="1">AVERAGE(OFFSET($CC$3,0,0,'Données projet'!$E$12+1,1))-AVERAGE(OFFSET($H$3,0,0,'Données projet'!$E$12+1,1))</f>
        <v>411.67183422518411</v>
      </c>
      <c r="CE10" s="59">
        <f t="shared" si="40"/>
        <v>379.16642539721556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5.2912820512820513</v>
      </c>
      <c r="N11" s="13">
        <f>IF('Données projet'!$A$36&gt;35,N10+M11-V10,IF(A11&lt;'Données projet'!$A$36,$K$205^A11,IF(A11='Données projet'!$A$36,'Données projet'!$B$36,N10+M11-V10)))</f>
        <v>3.8623228889373045</v>
      </c>
      <c r="O11" s="13">
        <f>N11*VLOOKUP('Données projet'!$B$9,Paramètres!$A$1:$I$89,3,0)*VLOOKUP('Données projet'!$B$9,Paramètres!$A$1:$I$89,5,0)</f>
        <v>1.8075671120226584</v>
      </c>
      <c r="P11" s="13">
        <f t="shared" si="33"/>
        <v>0.77753635444962066</v>
      </c>
      <c r="Q11" s="20">
        <f t="shared" si="2"/>
        <v>4.5023885374392192</v>
      </c>
      <c r="R11" s="59">
        <f t="shared" si="0"/>
        <v>191.25566140365979</v>
      </c>
      <c r="S11" s="59">
        <f ca="1">AVERAGE(OFFSET($R$3,0,0,'Données projet'!$E$9+1,1))-AVERAGE(OFFSET($H$3,0,0,'Données projet'!$E$9+1,1))</f>
        <v>307.52968058891554</v>
      </c>
      <c r="T11" s="59">
        <f t="shared" si="34"/>
        <v>221.27527189662558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197.88508191221098</v>
      </c>
      <c r="AN11" s="59">
        <f ca="1">AVERAGE(OFFSET($AM$3,0,0,'Données projet'!$E$10+1,1))-AVERAGE(OFFSET($H$3,0,0,'Données projet'!$E$10+1,1))</f>
        <v>377.63545575155672</v>
      </c>
      <c r="AO11" s="59">
        <f t="shared" si="36"/>
        <v>339.1731538522788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2.6666666666666665</v>
      </c>
      <c r="BD11" s="12">
        <f>IF('Données projet'!$A$88&gt;35,BD10+BC11-BL10,IF(A11&lt;'Données projet'!$A$88,$BA$205^A11,IF(A11='Données projet'!$A$88,'Données projet'!$B$88,BD10+BC11-BL10)))</f>
        <v>7.1520739352994367</v>
      </c>
      <c r="BE11" s="13">
        <f>BD11*VLOOKUP('Données projet'!$B$11,Paramètres!$A$1:$I$89,3,0)*VLOOKUP('Données projet'!$B$11,Paramètres!$A$1:$I$89,5,0)</f>
        <v>5.8017623763149038</v>
      </c>
      <c r="BF11" s="13">
        <f t="shared" si="37"/>
        <v>2.1788815704711619</v>
      </c>
      <c r="BG11" s="20">
        <f t="shared" si="7"/>
        <v>13.899621540652397</v>
      </c>
      <c r="BH11" s="59">
        <f t="shared" si="8"/>
        <v>200.65289440687295</v>
      </c>
      <c r="BI11" s="59">
        <f ca="1">AVERAGE(OFFSET($BH$3,0,0,'Données projet'!$E$11+1,1))-AVERAGE(OFFSET($H$3,0,0,'Données projet'!$E$11+1,1))</f>
        <v>318.98630351938459</v>
      </c>
      <c r="BJ11" s="59">
        <f t="shared" si="38"/>
        <v>312.22190035638084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3.5</v>
      </c>
      <c r="BY11" s="12">
        <f>IF('Données projet'!$A$114&gt;35,BY10+BX11-CG10,IF(A11&lt;'Données projet'!$A$114,$BV$205^A11,IF(A11='Données projet'!$A$114,'Données projet'!$B$114,BY10+BX11-CG10)))</f>
        <v>17.189151347155779</v>
      </c>
      <c r="BZ11" s="13">
        <f>BY11*VLOOKUP('Données projet'!$B$12,Paramètres!$A$1:$I$89,3,0)*VLOOKUP('Données projet'!$B$12,Paramètres!$A$1:$I$89,5,0)</f>
        <v>15.01644261687529</v>
      </c>
      <c r="CA11" s="13">
        <f t="shared" si="39"/>
        <v>5.0485506745958499</v>
      </c>
      <c r="CB11" s="20">
        <f t="shared" si="10"/>
        <v>34.946529982645565</v>
      </c>
      <c r="CC11" s="59">
        <f t="shared" si="11"/>
        <v>221.69980284886611</v>
      </c>
      <c r="CD11" s="59">
        <f ca="1">AVERAGE(OFFSET($CC$3,0,0,'Données projet'!$E$12+1,1))-AVERAGE(OFFSET($H$3,0,0,'Données projet'!$E$12+1,1))</f>
        <v>411.67183422518411</v>
      </c>
      <c r="CE11" s="59">
        <f t="shared" si="40"/>
        <v>379.16642539721556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5.2912820512820513</v>
      </c>
      <c r="N12" s="13">
        <f>IF('Données projet'!$A$36&gt;35,N11+M12-V11,IF(A12&lt;'Données projet'!$A$36,$K$205^A12,IF(A12='Données projet'!$A$36,'Données projet'!$B$36,N11+M12-V11)))</f>
        <v>4.5730363138651118</v>
      </c>
      <c r="O12" s="13">
        <f>N12*VLOOKUP('Données projet'!$B$9,Paramètres!$A$1:$I$89,3,0)*VLOOKUP('Données projet'!$B$9,Paramètres!$A$1:$I$89,5,0)</f>
        <v>2.1401809948888726</v>
      </c>
      <c r="P12" s="13">
        <f t="shared" si="33"/>
        <v>0.90268895673749705</v>
      </c>
      <c r="Q12" s="20">
        <f t="shared" si="2"/>
        <v>5.2996651657492606</v>
      </c>
      <c r="R12" s="59">
        <f t="shared" si="0"/>
        <v>194.65762391830532</v>
      </c>
      <c r="S12" s="59">
        <f ca="1">AVERAGE(OFFSET($R$3,0,0,'Données projet'!$E$9+1,1))-AVERAGE(OFFSET($H$3,0,0,'Données projet'!$E$9+1,1))</f>
        <v>307.52968058891554</v>
      </c>
      <c r="T12" s="59">
        <f t="shared" si="34"/>
        <v>221.27527189662558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203.61120756602426</v>
      </c>
      <c r="AN12" s="59">
        <f ca="1">AVERAGE(OFFSET($AM$3,0,0,'Données projet'!$E$10+1,1))-AVERAGE(OFFSET($H$3,0,0,'Données projet'!$E$10+1,1))</f>
        <v>377.63545575155672</v>
      </c>
      <c r="AO12" s="59">
        <f t="shared" si="36"/>
        <v>339.1731538522788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2.6666666666666665</v>
      </c>
      <c r="BD12" s="12">
        <f>IF('Données projet'!$A$88&gt;35,BD11+BC12-BL11,IF(A12&lt;'Données projet'!$A$88,$BA$205^A12,IF(A12='Données projet'!$A$88,'Données projet'!$B$88,BD11+BC12-BL11)))</f>
        <v>9.1461010385465205</v>
      </c>
      <c r="BE12" s="13">
        <f>BD12*VLOOKUP('Données projet'!$B$11,Paramètres!$A$1:$I$89,3,0)*VLOOKUP('Données projet'!$B$11,Paramètres!$A$1:$I$89,5,0)</f>
        <v>7.4193171624689374</v>
      </c>
      <c r="BF12" s="13">
        <f t="shared" si="37"/>
        <v>2.7077317626216724</v>
      </c>
      <c r="BG12" s="20">
        <f t="shared" si="7"/>
        <v>17.637943544532806</v>
      </c>
      <c r="BH12" s="59">
        <f t="shared" si="8"/>
        <v>206.99590229708889</v>
      </c>
      <c r="BI12" s="59">
        <f ca="1">AVERAGE(OFFSET($BH$3,0,0,'Données projet'!$E$11+1,1))-AVERAGE(OFFSET($H$3,0,0,'Données projet'!$E$11+1,1))</f>
        <v>318.98630351938459</v>
      </c>
      <c r="BJ12" s="59">
        <f t="shared" si="38"/>
        <v>312.22190035638084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3.5</v>
      </c>
      <c r="BY12" s="12">
        <f>IF('Données projet'!$A$114&gt;35,BY11+BX12-CG11,IF(A12&lt;'Données projet'!$A$114,$BV$205^A12,IF(A12='Données projet'!$A$114,'Données projet'!$B$114,BY11+BX12-CG11)))</f>
        <v>24.527949305852133</v>
      </c>
      <c r="BZ12" s="13">
        <f>BY12*VLOOKUP('Données projet'!$B$12,Paramètres!$A$1:$I$89,3,0)*VLOOKUP('Données projet'!$B$12,Paramètres!$A$1:$I$89,5,0)</f>
        <v>21.427616513592426</v>
      </c>
      <c r="CA12" s="13">
        <f t="shared" si="39"/>
        <v>6.9119497511743733</v>
      </c>
      <c r="CB12" s="20">
        <f t="shared" si="10"/>
        <v>49.358077911135503</v>
      </c>
      <c r="CC12" s="59">
        <f t="shared" si="11"/>
        <v>238.71603666369157</v>
      </c>
      <c r="CD12" s="59">
        <f ca="1">AVERAGE(OFFSET($CC$3,0,0,'Données projet'!$E$12+1,1))-AVERAGE(OFFSET($H$3,0,0,'Données projet'!$E$12+1,1))</f>
        <v>411.67183422518411</v>
      </c>
      <c r="CE12" s="59">
        <f t="shared" si="40"/>
        <v>379.16642539721556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5.2912820512820513</v>
      </c>
      <c r="N13" s="13">
        <f>IF('Données projet'!$A$36&gt;35,N12+M13-V12,IF(A13&lt;'Données projet'!$A$36,$K$205^A13,IF(A13='Données projet'!$A$36,'Données projet'!$B$36,N12+M13-V12)))</f>
        <v>5.4145294759866651</v>
      </c>
      <c r="O13" s="13">
        <f>N13*VLOOKUP('Données projet'!$B$9,Paramètres!$A$1:$I$89,3,0)*VLOOKUP('Données projet'!$B$9,Paramètres!$A$1:$I$89,5,0)</f>
        <v>2.5339997947617592</v>
      </c>
      <c r="P13" s="13">
        <f t="shared" si="33"/>
        <v>1.0479861783345426</v>
      </c>
      <c r="Q13" s="20">
        <f t="shared" si="2"/>
        <v>6.2386255698093906</v>
      </c>
      <c r="R13" s="59">
        <f t="shared" si="0"/>
        <v>198.17728755485427</v>
      </c>
      <c r="S13" s="59">
        <f ca="1">AVERAGE(OFFSET($R$3,0,0,'Données projet'!$E$9+1,1))-AVERAGE(OFFSET($H$3,0,0,'Données projet'!$E$9+1,1))</f>
        <v>307.52968058891554</v>
      </c>
      <c r="T13" s="59">
        <f t="shared" si="34"/>
        <v>221.27527189662558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210.19182109475898</v>
      </c>
      <c r="AN13" s="59">
        <f ca="1">AVERAGE(OFFSET($AM$3,0,0,'Données projet'!$E$10+1,1))-AVERAGE(OFFSET($H$3,0,0,'Données projet'!$E$10+1,1))</f>
        <v>377.63545575155672</v>
      </c>
      <c r="AO13" s="59">
        <f t="shared" si="36"/>
        <v>339.1731538522788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2.6666666666666665</v>
      </c>
      <c r="BD13" s="12">
        <f>IF('Données projet'!$A$88&gt;35,BD12+BC13-BL12,IF(A13&lt;'Données projet'!$A$88,$BA$205^A13,IF(A13='Données projet'!$A$88,'Données projet'!$B$88,BD12+BC13-BL12)))</f>
        <v>11.696070952851455</v>
      </c>
      <c r="BE13" s="13">
        <f>BD13*VLOOKUP('Données projet'!$B$11,Paramètres!$A$1:$I$89,3,0)*VLOOKUP('Données projet'!$B$11,Paramètres!$A$1:$I$89,5,0)</f>
        <v>9.4878527569531013</v>
      </c>
      <c r="BF13" s="13">
        <f t="shared" si="37"/>
        <v>3.3649425456037227</v>
      </c>
      <c r="BG13" s="20">
        <f t="shared" si="7"/>
        <v>22.385285151953138</v>
      </c>
      <c r="BH13" s="59">
        <f t="shared" si="8"/>
        <v>214.32394713699802</v>
      </c>
      <c r="BI13" s="59">
        <f ca="1">AVERAGE(OFFSET($BH$3,0,0,'Données projet'!$E$11+1,1))-AVERAGE(OFFSET($H$3,0,0,'Données projet'!$E$11+1,1))</f>
        <v>318.98630351938459</v>
      </c>
      <c r="BJ13" s="59">
        <f t="shared" si="38"/>
        <v>312.22190035638084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35</v>
      </c>
      <c r="BW13" s="12">
        <f>VLOOKUP(A13,'Données projet'!$A$113:$I$133,9,0)</f>
        <v>3.5</v>
      </c>
      <c r="BX13" s="12">
        <f t="array" ref="BX13">INDEX(BW:BW,MIN(IF(ISNUMBER(BW13:BW209),ROW(BW13:BW209),"")))</f>
        <v>3.5</v>
      </c>
      <c r="BY13" s="12">
        <f>IF('Données projet'!$A$114&gt;35,BY12+BX13-CG12,IF(A13&lt;'Données projet'!$A$114,$BV$205^A13,IF(A13='Données projet'!$A$114,'Données projet'!$B$114,BY12+BX13-CG12)))</f>
        <v>35</v>
      </c>
      <c r="BZ13" s="13">
        <f>BY13*VLOOKUP('Données projet'!$B$12,Paramètres!$A$1:$I$89,3,0)*VLOOKUP('Données projet'!$B$12,Paramètres!$A$1:$I$89,5,0)</f>
        <v>30.576000000000004</v>
      </c>
      <c r="CA13" s="13">
        <f t="shared" si="39"/>
        <v>9.4631216842413863</v>
      </c>
      <c r="CB13" s="20">
        <f t="shared" si="10"/>
        <v>69.734803600053766</v>
      </c>
      <c r="CC13" s="59">
        <f t="shared" si="11"/>
        <v>261.67346558509865</v>
      </c>
      <c r="CD13" s="59">
        <f ca="1">AVERAGE(OFFSET($CC$3,0,0,'Données projet'!$E$12+1,1))-AVERAGE(OFFSET($H$3,0,0,'Données projet'!$E$12+1,1))</f>
        <v>411.67183422518411</v>
      </c>
      <c r="CE13" s="59">
        <f t="shared" si="40"/>
        <v>379.16642539721556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5.2912820512820513</v>
      </c>
      <c r="N14" s="13">
        <f>IF('Données projet'!$A$36&gt;35,N13+M14-V13,IF(A14&lt;'Données projet'!$A$36,$K$205^A14,IF(A14='Données projet'!$A$36,'Données projet'!$B$36,N13+M14-V13)))</f>
        <v>6.4108674049757806</v>
      </c>
      <c r="O14" s="13">
        <f>N14*VLOOKUP('Données projet'!$B$9,Paramètres!$A$1:$I$89,3,0)*VLOOKUP('Données projet'!$B$9,Paramètres!$A$1:$I$89,5,0)</f>
        <v>3.0002859455286655</v>
      </c>
      <c r="P14" s="13">
        <f t="shared" si="33"/>
        <v>1.2166705062501608</v>
      </c>
      <c r="Q14" s="20">
        <f t="shared" si="2"/>
        <v>7.3445324868481237</v>
      </c>
      <c r="R14" s="59">
        <f t="shared" si="0"/>
        <v>201.84033109596226</v>
      </c>
      <c r="S14" s="59">
        <f ca="1">AVERAGE(OFFSET($R$3,0,0,'Données projet'!$E$9+1,1))-AVERAGE(OFFSET($H$3,0,0,'Données projet'!$E$9+1,1))</f>
        <v>307.52968058891554</v>
      </c>
      <c r="T14" s="59">
        <f t="shared" si="34"/>
        <v>221.27527189662558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217.87540696414084</v>
      </c>
      <c r="AN14" s="59">
        <f ca="1">AVERAGE(OFFSET($AM$3,0,0,'Données projet'!$E$10+1,1))-AVERAGE(OFFSET($H$3,0,0,'Données projet'!$E$10+1,1))</f>
        <v>377.63545575155672</v>
      </c>
      <c r="AO14" s="59">
        <f t="shared" si="36"/>
        <v>339.1731538522788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2.6666666666666665</v>
      </c>
      <c r="BD14" s="12">
        <f>IF('Données projet'!$A$88&gt;35,BD13+BC14-BL13,IF(A14&lt;'Données projet'!$A$88,$BA$205^A14,IF(A14='Données projet'!$A$88,'Données projet'!$B$88,BD13+BC14-BL13)))</f>
        <v>14.956982779612416</v>
      </c>
      <c r="BE14" s="13">
        <f>BD14*VLOOKUP('Données projet'!$B$11,Paramètres!$A$1:$I$89,3,0)*VLOOKUP('Données projet'!$B$11,Paramètres!$A$1:$I$89,5,0)</f>
        <v>12.133104430821591</v>
      </c>
      <c r="BF14" s="13">
        <f t="shared" si="37"/>
        <v>4.1816691341135996</v>
      </c>
      <c r="BG14" s="20">
        <f t="shared" si="7"/>
        <v>28.414897292262125</v>
      </c>
      <c r="BH14" s="59">
        <f t="shared" si="8"/>
        <v>222.91069590137624</v>
      </c>
      <c r="BI14" s="59">
        <f ca="1">AVERAGE(OFFSET($BH$3,0,0,'Données projet'!$E$11+1,1))-AVERAGE(OFFSET($H$3,0,0,'Données projet'!$E$11+1,1))</f>
        <v>318.98630351938459</v>
      </c>
      <c r="BJ14" s="59">
        <f t="shared" si="38"/>
        <v>312.22190035638084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10.6</v>
      </c>
      <c r="BY14" s="12">
        <f>IF('Données projet'!$A$114&gt;35,BY13+BX14-CG13,IF(A14&lt;'Données projet'!$A$114,$BV$205^A14,IF(A14='Données projet'!$A$114,'Données projet'!$B$114,BY13+BX14-CG13)))</f>
        <v>45.6</v>
      </c>
      <c r="BZ14" s="13">
        <f>BY14*VLOOKUP('Données projet'!$B$12,Paramètres!$A$1:$I$89,3,0)*VLOOKUP('Données projet'!$B$12,Paramètres!$A$1:$I$89,5,0)</f>
        <v>39.836160000000007</v>
      </c>
      <c r="CA14" s="13">
        <f t="shared" si="39"/>
        <v>11.955210728675533</v>
      </c>
      <c r="CB14" s="20">
        <f t="shared" si="10"/>
        <v>90.203304019109893</v>
      </c>
      <c r="CC14" s="59">
        <f t="shared" si="11"/>
        <v>284.69910262822401</v>
      </c>
      <c r="CD14" s="59">
        <f ca="1">AVERAGE(OFFSET($CC$3,0,0,'Données projet'!$E$12+1,1))-AVERAGE(OFFSET($H$3,0,0,'Données projet'!$E$12+1,1))</f>
        <v>411.67183422518411</v>
      </c>
      <c r="CE14" s="59">
        <f t="shared" si="40"/>
        <v>379.16642539721556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5.2912820512820513</v>
      </c>
      <c r="N15" s="13">
        <f>IF('Données projet'!$A$36&gt;35,N14+M15-V14,IF(A15&lt;'Données projet'!$A$36,$K$205^A15,IF(A15='Données projet'!$A$36,'Données projet'!$B$36,N14+M15-V14)))</f>
        <v>7.5905433826623616</v>
      </c>
      <c r="O15" s="13">
        <f>N15*VLOOKUP('Données projet'!$B$9,Paramètres!$A$1:$I$89,3,0)*VLOOKUP('Données projet'!$B$9,Paramètres!$A$1:$I$89,5,0)</f>
        <v>3.5523743030859851</v>
      </c>
      <c r="P15" s="13">
        <f t="shared" si="33"/>
        <v>1.4125063396651774</v>
      </c>
      <c r="Q15" s="20">
        <f t="shared" si="2"/>
        <v>8.6471671194582758</v>
      </c>
      <c r="R15" s="59">
        <f t="shared" si="0"/>
        <v>205.67694457219116</v>
      </c>
      <c r="S15" s="59">
        <f ca="1">AVERAGE(OFFSET($R$3,0,0,'Données projet'!$E$9+1,1))-AVERAGE(OFFSET($H$3,0,0,'Données projet'!$E$9+1,1))</f>
        <v>307.52968058891554</v>
      </c>
      <c r="T15" s="59">
        <f t="shared" si="34"/>
        <v>221.27527189662558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226.9807132987747</v>
      </c>
      <c r="AN15" s="59">
        <f ca="1">AVERAGE(OFFSET($AM$3,0,0,'Données projet'!$E$10+1,1))-AVERAGE(OFFSET($H$3,0,0,'Données projet'!$E$10+1,1))</f>
        <v>377.63545575155672</v>
      </c>
      <c r="AO15" s="59">
        <f t="shared" si="36"/>
        <v>339.1731538522788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2.6666666666666665</v>
      </c>
      <c r="BD15" s="12">
        <f>IF('Données projet'!$A$88&gt;35,BD14+BC15-BL14,IF(A15&lt;'Données projet'!$A$88,$BA$205^A15,IF(A15='Données projet'!$A$88,'Données projet'!$B$88,BD14+BC15-BL14)))</f>
        <v>19.127049995800721</v>
      </c>
      <c r="BE15" s="13">
        <f>BD15*VLOOKUP('Données projet'!$B$11,Paramètres!$A$1:$I$89,3,0)*VLOOKUP('Données projet'!$B$11,Paramètres!$A$1:$I$89,5,0)</f>
        <v>15.515862956593548</v>
      </c>
      <c r="BF15" s="13">
        <f t="shared" si="37"/>
        <v>5.1966286229891843</v>
      </c>
      <c r="BG15" s="20">
        <f t="shared" si="7"/>
        <v>36.074256167773257</v>
      </c>
      <c r="BH15" s="59">
        <f t="shared" si="8"/>
        <v>233.10403362050613</v>
      </c>
      <c r="BI15" s="59">
        <f ca="1">AVERAGE(OFFSET($BH$3,0,0,'Données projet'!$E$11+1,1))-AVERAGE(OFFSET($H$3,0,0,'Données projet'!$E$11+1,1))</f>
        <v>318.98630351938459</v>
      </c>
      <c r="BJ15" s="59">
        <f t="shared" si="38"/>
        <v>312.22190035638084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10.6</v>
      </c>
      <c r="BY15" s="12">
        <f>IF('Données projet'!$A$114&gt;35,BY14+BX15-CG14,IF(A15&lt;'Données projet'!$A$114,$BV$205^A15,IF(A15='Données projet'!$A$114,'Données projet'!$B$114,BY14+BX15-CG14)))</f>
        <v>56.2</v>
      </c>
      <c r="BZ15" s="13">
        <f>BY15*VLOOKUP('Données projet'!$B$12,Paramètres!$A$1:$I$89,3,0)*VLOOKUP('Données projet'!$B$12,Paramètres!$A$1:$I$89,5,0)</f>
        <v>49.096320000000006</v>
      </c>
      <c r="CA15" s="13">
        <f t="shared" si="39"/>
        <v>14.380133207801931</v>
      </c>
      <c r="CB15" s="20">
        <f t="shared" si="10"/>
        <v>110.55482267025504</v>
      </c>
      <c r="CC15" s="59">
        <f t="shared" si="11"/>
        <v>307.58460012298792</v>
      </c>
      <c r="CD15" s="59">
        <f ca="1">AVERAGE(OFFSET($CC$3,0,0,'Données projet'!$E$12+1,1))-AVERAGE(OFFSET($H$3,0,0,'Données projet'!$E$12+1,1))</f>
        <v>411.67183422518411</v>
      </c>
      <c r="CE15" s="59">
        <f t="shared" si="40"/>
        <v>379.16642539721556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5.2912820512820513</v>
      </c>
      <c r="N16" s="13">
        <f>IF('Données projet'!$A$36&gt;35,N15+M16-V15,IF(A16&lt;'Données projet'!$A$36,$K$205^A16,IF(A16='Données projet'!$A$36,'Données projet'!$B$36,N15+M16-V15)))</f>
        <v>8.9872937941846338</v>
      </c>
      <c r="O16" s="13">
        <f>N16*VLOOKUP('Données projet'!$B$9,Paramètres!$A$1:$I$89,3,0)*VLOOKUP('Données projet'!$B$9,Paramètres!$A$1:$I$89,5,0)</f>
        <v>4.2060534956784092</v>
      </c>
      <c r="P16" s="13">
        <f t="shared" si="33"/>
        <v>1.6398639971503413</v>
      </c>
      <c r="Q16" s="20">
        <f t="shared" si="2"/>
        <v>10.181639633343407</v>
      </c>
      <c r="R16" s="59">
        <f t="shared" si="0"/>
        <v>209.72263988496221</v>
      </c>
      <c r="S16" s="59">
        <f ca="1">AVERAGE(OFFSET($R$3,0,0,'Données projet'!$E$9+1,1))-AVERAGE(OFFSET($H$3,0,0,'Données projet'!$E$9+1,1))</f>
        <v>307.52968058891554</v>
      </c>
      <c r="T16" s="59">
        <f t="shared" si="34"/>
        <v>221.27527189662558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237.91671506991847</v>
      </c>
      <c r="AN16" s="59">
        <f ca="1">AVERAGE(OFFSET($AM$3,0,0,'Données projet'!$E$10+1,1))-AVERAGE(OFFSET($H$3,0,0,'Données projet'!$E$10+1,1))</f>
        <v>377.63545575155672</v>
      </c>
      <c r="AO16" s="59">
        <f t="shared" si="36"/>
        <v>339.1731538522788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2.6666666666666665</v>
      </c>
      <c r="BD16" s="12">
        <f>IF('Données projet'!$A$88&gt;35,BD15+BC16-BL15,IF(A16&lt;'Données projet'!$A$88,$BA$205^A16,IF(A16='Données projet'!$A$88,'Données projet'!$B$88,BD15+BC16-BL15)))</f>
        <v>24.459748796430759</v>
      </c>
      <c r="BE16" s="13">
        <f>BD16*VLOOKUP('Données projet'!$B$11,Paramètres!$A$1:$I$89,3,0)*VLOOKUP('Données projet'!$B$11,Paramètres!$A$1:$I$89,5,0)</f>
        <v>19.841748223664634</v>
      </c>
      <c r="BF16" s="13">
        <f t="shared" si="37"/>
        <v>6.4579353791927296</v>
      </c>
      <c r="BG16" s="20">
        <f t="shared" si="7"/>
        <v>45.805282274976577</v>
      </c>
      <c r="BH16" s="59">
        <f t="shared" si="8"/>
        <v>245.34628252659539</v>
      </c>
      <c r="BI16" s="59">
        <f ca="1">AVERAGE(OFFSET($BH$3,0,0,'Données projet'!$E$11+1,1))-AVERAGE(OFFSET($H$3,0,0,'Données projet'!$E$11+1,1))</f>
        <v>318.98630351938459</v>
      </c>
      <c r="BJ16" s="59">
        <f t="shared" si="38"/>
        <v>312.22190035638084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10.6</v>
      </c>
      <c r="BY16" s="12">
        <f>IF('Données projet'!$A$114&gt;35,BY15+BX16-CG15,IF(A16&lt;'Données projet'!$A$114,$BV$205^A16,IF(A16='Données projet'!$A$114,'Données projet'!$B$114,BY15+BX16-CG15)))</f>
        <v>66.8</v>
      </c>
      <c r="BZ16" s="13">
        <f>BY16*VLOOKUP('Données projet'!$B$12,Paramètres!$A$1:$I$89,3,0)*VLOOKUP('Données projet'!$B$12,Paramètres!$A$1:$I$89,5,0)</f>
        <v>58.356480000000005</v>
      </c>
      <c r="CA16" s="13">
        <f t="shared" si="39"/>
        <v>16.75206628947662</v>
      </c>
      <c r="CB16" s="20">
        <f t="shared" si="10"/>
        <v>130.81405145417179</v>
      </c>
      <c r="CC16" s="59">
        <f t="shared" si="11"/>
        <v>330.35505170579063</v>
      </c>
      <c r="CD16" s="59">
        <f ca="1">AVERAGE(OFFSET($CC$3,0,0,'Données projet'!$E$12+1,1))-AVERAGE(OFFSET($H$3,0,0,'Données projet'!$E$12+1,1))</f>
        <v>411.67183422518411</v>
      </c>
      <c r="CE16" s="59">
        <f t="shared" si="40"/>
        <v>379.16642539721556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5.2912820512820513</v>
      </c>
      <c r="N17" s="13">
        <f>IF('Données projet'!$A$36&gt;35,N16+M17-V16,IF(A17&lt;'Données projet'!$A$36,$K$205^A17,IF(A17='Données projet'!$A$36,'Données projet'!$B$36,N16+M17-V16)))</f>
        <v>10.641062921461002</v>
      </c>
      <c r="O17" s="13">
        <f>N17*VLOOKUP('Données projet'!$B$9,Paramètres!$A$1:$I$89,3,0)*VLOOKUP('Données projet'!$B$9,Paramètres!$A$1:$I$89,5,0)</f>
        <v>4.9800174472437488</v>
      </c>
      <c r="P17" s="13">
        <f t="shared" si="33"/>
        <v>1.9038172457245992</v>
      </c>
      <c r="Q17" s="20">
        <f t="shared" si="2"/>
        <v>11.989345423586537</v>
      </c>
      <c r="R17" s="59">
        <f t="shared" si="0"/>
        <v>214.01920719585974</v>
      </c>
      <c r="S17" s="59">
        <f ca="1">AVERAGE(OFFSET($R$3,0,0,'Données projet'!$E$9+1,1))-AVERAGE(OFFSET($H$3,0,0,'Données projet'!$E$9+1,1))</f>
        <v>307.52968058891554</v>
      </c>
      <c r="T17" s="59">
        <f t="shared" si="34"/>
        <v>221.27527189662558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251.20826342426341</v>
      </c>
      <c r="AN17" s="59">
        <f ca="1">AVERAGE(OFFSET($AM$3,0,0,'Données projet'!$E$10+1,1))-AVERAGE(OFFSET($H$3,0,0,'Données projet'!$E$10+1,1))</f>
        <v>377.63545575155672</v>
      </c>
      <c r="AO17" s="59">
        <f t="shared" si="36"/>
        <v>339.1731538522788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2.6666666666666665</v>
      </c>
      <c r="BD17" s="12">
        <f>IF('Données projet'!$A$88&gt;35,BD16+BC17-BL16,IF(A17&lt;'Données projet'!$A$88,$BA$205^A17,IF(A17='Données projet'!$A$88,'Données projet'!$B$88,BD16+BC17-BL16)))</f>
        <v>31.279225563578599</v>
      </c>
      <c r="BE17" s="13">
        <f>BD17*VLOOKUP('Données projet'!$B$11,Paramètres!$A$1:$I$89,3,0)*VLOOKUP('Données projet'!$B$11,Paramètres!$A$1:$I$89,5,0)</f>
        <v>25.37370777717496</v>
      </c>
      <c r="BF17" s="13">
        <f t="shared" si="37"/>
        <v>8.0253819134452193</v>
      </c>
      <c r="BG17" s="20">
        <f t="shared" si="7"/>
        <v>58.170081211163478</v>
      </c>
      <c r="BH17" s="59">
        <f t="shared" si="8"/>
        <v>260.1999429834367</v>
      </c>
      <c r="BI17" s="59">
        <f ca="1">AVERAGE(OFFSET($BH$3,0,0,'Données projet'!$E$11+1,1))-AVERAGE(OFFSET($H$3,0,0,'Données projet'!$E$11+1,1))</f>
        <v>318.98630351938459</v>
      </c>
      <c r="BJ17" s="59">
        <f t="shared" si="38"/>
        <v>312.22190035638084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10.6</v>
      </c>
      <c r="BY17" s="12">
        <f>IF('Données projet'!$A$114&gt;35,BY16+BX17-CG16,IF(A17&lt;'Données projet'!$A$114,$BV$205^A17,IF(A17='Données projet'!$A$114,'Données projet'!$B$114,BY16+BX17-CG16)))</f>
        <v>77.399999999999991</v>
      </c>
      <c r="BZ17" s="13">
        <f>BY17*VLOOKUP('Données projet'!$B$12,Paramètres!$A$1:$I$89,3,0)*VLOOKUP('Données projet'!$B$12,Paramètres!$A$1:$I$89,5,0)</f>
        <v>67.616640000000004</v>
      </c>
      <c r="CA17" s="13">
        <f t="shared" si="39"/>
        <v>19.080397298873443</v>
      </c>
      <c r="CB17" s="20">
        <f t="shared" si="10"/>
        <v>150.99733996220459</v>
      </c>
      <c r="CC17" s="59">
        <f t="shared" si="11"/>
        <v>353.02720173447779</v>
      </c>
      <c r="CD17" s="59">
        <f ca="1">AVERAGE(OFFSET($CC$3,0,0,'Données projet'!$E$12+1,1))-AVERAGE(OFFSET($H$3,0,0,'Données projet'!$E$12+1,1))</f>
        <v>411.67183422518411</v>
      </c>
      <c r="CE17" s="59">
        <f t="shared" si="40"/>
        <v>379.16642539721556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5.2912820512820513</v>
      </c>
      <c r="N18" s="13">
        <f>IF('Données projet'!$A$36&gt;35,N17+M18-V17,IF(A18&lt;'Données projet'!$A$36,$K$205^A18,IF(A18='Données projet'!$A$36,'Données projet'!$B$36,N17+M18-V17)))</f>
        <v>12.599145270154715</v>
      </c>
      <c r="O18" s="13">
        <f>N18*VLOOKUP('Données projet'!$B$9,Paramètres!$A$1:$I$89,3,0)*VLOOKUP('Données projet'!$B$9,Paramètres!$A$1:$I$89,5,0)</f>
        <v>5.8963999864324066</v>
      </c>
      <c r="P18" s="13">
        <f t="shared" si="33"/>
        <v>2.210256528234583</v>
      </c>
      <c r="Q18" s="20">
        <f t="shared" si="2"/>
        <v>14.119093429711674</v>
      </c>
      <c r="R18" s="59">
        <f t="shared" si="0"/>
        <v>218.61584336259273</v>
      </c>
      <c r="S18" s="59">
        <f ca="1">AVERAGE(OFFSET($R$3,0,0,'Données projet'!$E$9+1,1))-AVERAGE(OFFSET($H$3,0,0,'Données projet'!$E$9+1,1))</f>
        <v>307.52968058891554</v>
      </c>
      <c r="T18" s="59">
        <f t="shared" si="34"/>
        <v>221.27527189662558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267.52904461621017</v>
      </c>
      <c r="AN18" s="59">
        <f ca="1">AVERAGE(OFFSET($AM$3,0,0,'Données projet'!$E$10+1,1))-AVERAGE(OFFSET($H$3,0,0,'Données projet'!$E$10+1,1))</f>
        <v>377.63545575155672</v>
      </c>
      <c r="AO18" s="59">
        <f t="shared" si="36"/>
        <v>339.1731538522788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40</v>
      </c>
      <c r="BB18" s="12">
        <f>VLOOKUP(A18,'Données projet'!$A$87:$I$107,9,0)</f>
        <v>2.6666666666666665</v>
      </c>
      <c r="BC18" s="12">
        <f t="array" ref="BC18">INDEX(BB:BB,MIN(IF(ISNUMBER(BB18:BB214),ROW(BB18:BB214),"")))</f>
        <v>2.6666666666666665</v>
      </c>
      <c r="BD18" s="12">
        <f>IF('Données projet'!$A$88&gt;35,BD17+BC18-BL17,IF(A18&lt;'Données projet'!$A$88,$BA$205^A18,IF(A18='Données projet'!$A$88,'Données projet'!$B$88,BD17+BC18-BL17)))</f>
        <v>40</v>
      </c>
      <c r="BE18" s="13">
        <f>BD18*VLOOKUP('Données projet'!$B$11,Paramètres!$A$1:$I$89,3,0)*VLOOKUP('Données projet'!$B$11,Paramètres!$A$1:$I$89,5,0)</f>
        <v>32.448</v>
      </c>
      <c r="BF18" s="13">
        <f t="shared" si="37"/>
        <v>9.9732733567093899</v>
      </c>
      <c r="BG18" s="20">
        <f t="shared" si="7"/>
        <v>73.883717762935518</v>
      </c>
      <c r="BH18" s="59">
        <f t="shared" si="8"/>
        <v>278.38046769581655</v>
      </c>
      <c r="BI18" s="59">
        <f ca="1">AVERAGE(OFFSET($BH$3,0,0,'Données projet'!$E$11+1,1))-AVERAGE(OFFSET($H$3,0,0,'Données projet'!$E$11+1,1))</f>
        <v>318.98630351938459</v>
      </c>
      <c r="BJ18" s="59">
        <f t="shared" si="38"/>
        <v>312.22190035638084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88</v>
      </c>
      <c r="BW18" s="12">
        <f>VLOOKUP(A18,'Données projet'!$A$113:$I$133,9,0)</f>
        <v>10.6</v>
      </c>
      <c r="BX18" s="12">
        <f t="array" ref="BX18">INDEX(BW:BW,MIN(IF(ISNUMBER(BW18:BW214),ROW(BW18:BW214),"")))</f>
        <v>10.6</v>
      </c>
      <c r="BY18" s="12">
        <f>IF('Données projet'!$A$114&gt;35,BY17+BX18-CG17,IF(A18&lt;'Données projet'!$A$114,$BV$205^A18,IF(A18='Données projet'!$A$114,'Données projet'!$B$114,BY17+BX18-CG17)))</f>
        <v>87.999999999999986</v>
      </c>
      <c r="BZ18" s="13">
        <f>BY18*VLOOKUP('Données projet'!$B$12,Paramètres!$A$1:$I$89,3,0)*VLOOKUP('Données projet'!$B$12,Paramètres!$A$1:$I$89,5,0)</f>
        <v>76.876799999999989</v>
      </c>
      <c r="CA18" s="13">
        <f t="shared" si="39"/>
        <v>21.371784666185118</v>
      </c>
      <c r="CB18" s="20">
        <f t="shared" si="10"/>
        <v>171.1162849602724</v>
      </c>
      <c r="CC18" s="59">
        <f t="shared" si="11"/>
        <v>375.61303489315344</v>
      </c>
      <c r="CD18" s="59">
        <f ca="1">AVERAGE(OFFSET($CC$3,0,0,'Données projet'!$E$12+1,1))-AVERAGE(OFFSET($H$3,0,0,'Données projet'!$E$12+1,1))</f>
        <v>411.67183422518411</v>
      </c>
      <c r="CE18" s="59">
        <f t="shared" si="40"/>
        <v>379.16642539721556</v>
      </c>
      <c r="CF18" s="15">
        <f>IF(ISNA(VLOOKUP(A18,'Données projet'!$A$113:$I$133,3,0)),0,VLOOKUP(A18,'Données projet'!$A$113:$I$133,3,0))</f>
        <v>0</v>
      </c>
      <c r="CG18" s="15" t="str">
        <f>IF(ISNA(VLOOKUP(A18,'Données projet'!$A$113:$I$133,4,0)),0,VLOOKUP(A18,'Données projet'!$A$113:$I$133,4,0))</f>
        <v>30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5.2912820512820513</v>
      </c>
      <c r="N19" s="13">
        <f>IF('Données projet'!$A$36&gt;35,N18+M19-V18,IF(A19&lt;'Données projet'!$A$36,$K$205^A19,IF(A19='Données projet'!$A$36,'Données projet'!$B$36,N18+M19-V18)))</f>
        <v>14.917538098409006</v>
      </c>
      <c r="O19" s="13">
        <f>N19*VLOOKUP('Données projet'!$B$9,Paramètres!$A$1:$I$89,3,0)*VLOOKUP('Données projet'!$B$9,Paramètres!$A$1:$I$89,5,0)</f>
        <v>6.9814078300554154</v>
      </c>
      <c r="P19" s="13">
        <f t="shared" si="33"/>
        <v>2.5660204158641595</v>
      </c>
      <c r="Q19" s="20">
        <f t="shared" si="2"/>
        <v>16.628437528309927</v>
      </c>
      <c r="R19" s="59">
        <f t="shared" si="0"/>
        <v>223.57048345042398</v>
      </c>
      <c r="S19" s="59">
        <f ca="1">AVERAGE(OFFSET($R$3,0,0,'Données projet'!$E$9+1,1))-AVERAGE(OFFSET($H$3,0,0,'Données projet'!$E$9+1,1))</f>
        <v>307.52968058891554</v>
      </c>
      <c r="T19" s="59">
        <f t="shared" si="34"/>
        <v>221.27527189662558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287.74393652222528</v>
      </c>
      <c r="AN19" s="59">
        <f ca="1">AVERAGE(OFFSET($AM$3,0,0,'Données projet'!$E$10+1,1))-AVERAGE(OFFSET($H$3,0,0,'Données projet'!$E$10+1,1))</f>
        <v>377.63545575155672</v>
      </c>
      <c r="AO19" s="59">
        <f t="shared" si="36"/>
        <v>339.1731538522788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9.6</v>
      </c>
      <c r="BD19" s="12">
        <f>IF('Données projet'!$A$88&gt;35,BD18+BC19-BL18,IF(A19&lt;'Données projet'!$A$88,$BA$205^A19,IF(A19='Données projet'!$A$88,'Données projet'!$B$88,BD18+BC19-BL18)))</f>
        <v>46.6</v>
      </c>
      <c r="BE19" s="13">
        <f>BD19*VLOOKUP('Données projet'!$B$11,Paramètres!$A$1:$I$89,3,0)*VLOOKUP('Données projet'!$B$11,Paramètres!$A$1:$I$89,5,0)</f>
        <v>37.801920000000003</v>
      </c>
      <c r="BF19" s="13">
        <f t="shared" si="37"/>
        <v>11.414143030819638</v>
      </c>
      <c r="BG19" s="20">
        <f t="shared" si="7"/>
        <v>85.717976445344206</v>
      </c>
      <c r="BH19" s="59">
        <f t="shared" si="8"/>
        <v>292.66002236745828</v>
      </c>
      <c r="BI19" s="59">
        <f ca="1">AVERAGE(OFFSET($BH$3,0,0,'Données projet'!$E$11+1,1))-AVERAGE(OFFSET($H$3,0,0,'Données projet'!$E$11+1,1))</f>
        <v>318.98630351938459</v>
      </c>
      <c r="BJ19" s="59">
        <f t="shared" si="38"/>
        <v>312.22190035638084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11.8</v>
      </c>
      <c r="BY19" s="12">
        <f>IF('Données projet'!$A$114&gt;35,BY18+BX19-CG18,IF(A19&lt;'Données projet'!$A$114,$BV$205^A19,IF(A19='Données projet'!$A$114,'Données projet'!$B$114,BY18+BX19-CG18)))</f>
        <v>69.799999999999983</v>
      </c>
      <c r="BZ19" s="13">
        <f>BY19*VLOOKUP('Données projet'!$B$12,Paramètres!$A$1:$I$89,3,0)*VLOOKUP('Données projet'!$B$12,Paramètres!$A$1:$I$89,5,0)</f>
        <v>60.977279999999993</v>
      </c>
      <c r="CA19" s="13">
        <f t="shared" si="39"/>
        <v>17.415123237238468</v>
      </c>
      <c r="CB19" s="20">
        <f t="shared" si="10"/>
        <v>136.5334356381903</v>
      </c>
      <c r="CC19" s="59">
        <f t="shared" si="11"/>
        <v>343.47548156030439</v>
      </c>
      <c r="CD19" s="59">
        <f ca="1">AVERAGE(OFFSET($CC$3,0,0,'Données projet'!$E$12+1,1))-AVERAGE(OFFSET($H$3,0,0,'Données projet'!$E$12+1,1))</f>
        <v>411.67183422518411</v>
      </c>
      <c r="CE19" s="59">
        <f t="shared" si="40"/>
        <v>379.16642539721556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5.2912820512820513</v>
      </c>
      <c r="N20" s="13">
        <f>IF('Données projet'!$A$36&gt;35,N19+M20-V19,IF(A20&lt;'Données projet'!$A$36,$K$205^A20,IF(A20='Données projet'!$A$36,'Données projet'!$B$36,N19+M20-V19)))</f>
        <v>17.662542826982701</v>
      </c>
      <c r="O20" s="13">
        <f>N20*VLOOKUP('Données projet'!$B$9,Paramètres!$A$1:$I$89,3,0)*VLOOKUP('Données projet'!$B$9,Paramètres!$A$1:$I$89,5,0)</f>
        <v>8.2660700430279039</v>
      </c>
      <c r="P20" s="13">
        <f t="shared" si="33"/>
        <v>2.9790482192992012</v>
      </c>
      <c r="Q20" s="20">
        <f t="shared" si="2"/>
        <v>19.585247640219709</v>
      </c>
      <c r="R20" s="59">
        <f t="shared" si="0"/>
        <v>228.95137195609243</v>
      </c>
      <c r="S20" s="59">
        <f ca="1">AVERAGE(OFFSET($R$3,0,0,'Données projet'!$E$9+1,1))-AVERAGE(OFFSET($H$3,0,0,'Données projet'!$E$9+1,1))</f>
        <v>307.52968058891554</v>
      </c>
      <c r="T20" s="59">
        <f t="shared" si="34"/>
        <v>221.27527189662558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312.96344839986187</v>
      </c>
      <c r="AN20" s="59">
        <f ca="1">AVERAGE(OFFSET($AM$3,0,0,'Données projet'!$E$10+1,1))-AVERAGE(OFFSET($H$3,0,0,'Données projet'!$E$10+1,1))</f>
        <v>377.63545575155672</v>
      </c>
      <c r="AO20" s="59">
        <f t="shared" si="36"/>
        <v>339.1731538522788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9.6</v>
      </c>
      <c r="BD20" s="12">
        <f>IF('Données projet'!$A$88&gt;35,BD19+BC20-BL19,IF(A20&lt;'Données projet'!$A$88,$BA$205^A20,IF(A20='Données projet'!$A$88,'Données projet'!$B$88,BD19+BC20-BL19)))</f>
        <v>56.2</v>
      </c>
      <c r="BE20" s="13">
        <f>BD20*VLOOKUP('Données projet'!$B$11,Paramètres!$A$1:$I$89,3,0)*VLOOKUP('Données projet'!$B$11,Paramètres!$A$1:$I$89,5,0)</f>
        <v>45.58944000000001</v>
      </c>
      <c r="BF20" s="13">
        <f t="shared" si="37"/>
        <v>13.468664125659778</v>
      </c>
      <c r="BG20" s="20">
        <f t="shared" si="7"/>
        <v>102.8595313521908</v>
      </c>
      <c r="BH20" s="59">
        <f t="shared" si="8"/>
        <v>312.2256556680635</v>
      </c>
      <c r="BI20" s="59">
        <f ca="1">AVERAGE(OFFSET($BH$3,0,0,'Données projet'!$E$11+1,1))-AVERAGE(OFFSET($H$3,0,0,'Données projet'!$E$11+1,1))</f>
        <v>318.98630351938459</v>
      </c>
      <c r="BJ20" s="59">
        <f t="shared" si="38"/>
        <v>312.22190035638084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11.8</v>
      </c>
      <c r="BY20" s="12">
        <f>IF('Données projet'!$A$114&gt;35,BY19+BX20-CG19,IF(A20&lt;'Données projet'!$A$114,$BV$205^A20,IF(A20='Données projet'!$A$114,'Données projet'!$B$114,BY19+BX20-CG19)))</f>
        <v>81.59999999999998</v>
      </c>
      <c r="BZ20" s="13">
        <f>BY20*VLOOKUP('Données projet'!$B$12,Paramètres!$A$1:$I$89,3,0)*VLOOKUP('Données projet'!$B$12,Paramètres!$A$1:$I$89,5,0)</f>
        <v>71.285759999999982</v>
      </c>
      <c r="CA20" s="13">
        <f t="shared" si="39"/>
        <v>19.992418069182566</v>
      </c>
      <c r="CB20" s="20">
        <f t="shared" si="10"/>
        <v>158.97616013715958</v>
      </c>
      <c r="CC20" s="59">
        <f t="shared" si="11"/>
        <v>368.34228445303233</v>
      </c>
      <c r="CD20" s="59">
        <f ca="1">AVERAGE(OFFSET($CC$3,0,0,'Données projet'!$E$12+1,1))-AVERAGE(OFFSET($H$3,0,0,'Données projet'!$E$12+1,1))</f>
        <v>411.67183422518411</v>
      </c>
      <c r="CE20" s="59">
        <f t="shared" si="40"/>
        <v>379.16642539721556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5.2912820512820513</v>
      </c>
      <c r="N21" s="13">
        <f>IF('Données projet'!$A$36&gt;35,N20+M21-V20,IF(A21&lt;'Données projet'!$A$36,$K$205^A21,IF(A21='Données projet'!$A$36,'Données projet'!$B$36,N20+M21-V20)))</f>
        <v>20.912661127929006</v>
      </c>
      <c r="O21" s="13">
        <f>N21*VLOOKUP('Données projet'!$B$9,Paramètres!$A$1:$I$89,3,0)*VLOOKUP('Données projet'!$B$9,Paramètres!$A$1:$I$89,5,0)</f>
        <v>9.787125407870775</v>
      </c>
      <c r="P21" s="13">
        <f t="shared" si="33"/>
        <v>3.4585571642542829</v>
      </c>
      <c r="Q21" s="20">
        <f t="shared" si="2"/>
        <v>23.06956381311781</v>
      </c>
      <c r="R21" s="59">
        <f t="shared" si="0"/>
        <v>234.83891700512092</v>
      </c>
      <c r="S21" s="59">
        <f ca="1">AVERAGE(OFFSET($R$3,0,0,'Données projet'!$E$9+1,1))-AVERAGE(OFFSET($H$3,0,0,'Données projet'!$E$9+1,1))</f>
        <v>307.52968058891554</v>
      </c>
      <c r="T21" s="59">
        <f t="shared" si="34"/>
        <v>221.27527189662558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344.61369864888457</v>
      </c>
      <c r="AN21" s="59">
        <f ca="1">AVERAGE(OFFSET($AM$3,0,0,'Données projet'!$E$10+1,1))-AVERAGE(OFFSET($H$3,0,0,'Données projet'!$E$10+1,1))</f>
        <v>377.63545575155672</v>
      </c>
      <c r="AO21" s="59">
        <f t="shared" si="36"/>
        <v>339.1731538522788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9.6</v>
      </c>
      <c r="BD21" s="12">
        <f>IF('Données projet'!$A$88&gt;35,BD20+BC21-BL20,IF(A21&lt;'Données projet'!$A$88,$BA$205^A21,IF(A21='Données projet'!$A$88,'Données projet'!$B$88,BD20+BC21-BL20)))</f>
        <v>65.8</v>
      </c>
      <c r="BE21" s="13">
        <f>BD21*VLOOKUP('Données projet'!$B$11,Paramètres!$A$1:$I$89,3,0)*VLOOKUP('Données projet'!$B$11,Paramètres!$A$1:$I$89,5,0)</f>
        <v>53.376960000000004</v>
      </c>
      <c r="BF21" s="13">
        <f t="shared" si="37"/>
        <v>15.48252942274674</v>
      </c>
      <c r="BG21" s="20">
        <f t="shared" si="7"/>
        <v>119.9302774112839</v>
      </c>
      <c r="BH21" s="59">
        <f t="shared" si="8"/>
        <v>331.69963060328701</v>
      </c>
      <c r="BI21" s="59">
        <f ca="1">AVERAGE(OFFSET($BH$3,0,0,'Données projet'!$E$11+1,1))-AVERAGE(OFFSET($H$3,0,0,'Données projet'!$E$11+1,1))</f>
        <v>318.98630351938459</v>
      </c>
      <c r="BJ21" s="59">
        <f t="shared" si="38"/>
        <v>312.22190035638084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11.8</v>
      </c>
      <c r="BY21" s="12">
        <f>IF('Données projet'!$A$114&gt;35,BY20+BX21-CG20,IF(A21&lt;'Données projet'!$A$114,$BV$205^A21,IF(A21='Données projet'!$A$114,'Données projet'!$B$114,BY20+BX21-CG20)))</f>
        <v>93.399999999999977</v>
      </c>
      <c r="BZ21" s="13">
        <f>BY21*VLOOKUP('Données projet'!$B$12,Paramètres!$A$1:$I$89,3,0)*VLOOKUP('Données projet'!$B$12,Paramètres!$A$1:$I$89,5,0)</f>
        <v>81.594239999999999</v>
      </c>
      <c r="CA21" s="13">
        <f t="shared" si="39"/>
        <v>22.526535320646335</v>
      </c>
      <c r="CB21" s="20">
        <f t="shared" si="10"/>
        <v>181.34368368345903</v>
      </c>
      <c r="CC21" s="59">
        <f t="shared" si="11"/>
        <v>393.11303687546217</v>
      </c>
      <c r="CD21" s="59">
        <f ca="1">AVERAGE(OFFSET($CC$3,0,0,'Données projet'!$E$12+1,1))-AVERAGE(OFFSET($H$3,0,0,'Données projet'!$E$12+1,1))</f>
        <v>411.67183422518411</v>
      </c>
      <c r="CE21" s="59">
        <f t="shared" si="40"/>
        <v>379.16642539721556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5.2912820512820513</v>
      </c>
      <c r="N22" s="13">
        <f>IF('Données projet'!$A$36&gt;35,N21+M22-V21,IF(A22&lt;'Données projet'!$A$36,$K$205^A22,IF(A22='Données projet'!$A$36,'Données projet'!$B$36,N21+M22-V21)))</f>
        <v>24.760839916180057</v>
      </c>
      <c r="O22" s="13">
        <f>N22*VLOOKUP('Données projet'!$B$9,Paramètres!$A$1:$I$89,3,0)*VLOOKUP('Données projet'!$B$9,Paramètres!$A$1:$I$89,5,0)</f>
        <v>11.588073080772267</v>
      </c>
      <c r="P22" s="13">
        <f t="shared" si="33"/>
        <v>4.0152480852520442</v>
      </c>
      <c r="Q22" s="20">
        <f t="shared" si="2"/>
        <v>27.175784364159011</v>
      </c>
      <c r="R22" s="59">
        <f t="shared" si="0"/>
        <v>241.32787860718253</v>
      </c>
      <c r="S22" s="59">
        <f ca="1">AVERAGE(OFFSET($R$3,0,0,'Données projet'!$E$9+1,1))-AVERAGE(OFFSET($H$3,0,0,'Données projet'!$E$9+1,1))</f>
        <v>307.52968058891554</v>
      </c>
      <c r="T22" s="59">
        <f t="shared" si="34"/>
        <v>221.27527189662558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384.52637508016329</v>
      </c>
      <c r="AN22" s="59">
        <f ca="1">AVERAGE(OFFSET($AM$3,0,0,'Données projet'!$E$10+1,1))-AVERAGE(OFFSET($H$3,0,0,'Données projet'!$E$10+1,1))</f>
        <v>377.63545575155672</v>
      </c>
      <c r="AO22" s="59">
        <f t="shared" si="36"/>
        <v>339.1731538522788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9.6</v>
      </c>
      <c r="BD22" s="12">
        <f>IF('Données projet'!$A$88&gt;35,BD21+BC22-BL21,IF(A22&lt;'Données projet'!$A$88,$BA$205^A22,IF(A22='Données projet'!$A$88,'Données projet'!$B$88,BD21+BC22-BL21)))</f>
        <v>75.399999999999991</v>
      </c>
      <c r="BE22" s="13">
        <f>BD22*VLOOKUP('Données projet'!$B$11,Paramètres!$A$1:$I$89,3,0)*VLOOKUP('Données projet'!$B$11,Paramètres!$A$1:$I$89,5,0)</f>
        <v>61.164479999999998</v>
      </c>
      <c r="BF22" s="13">
        <f t="shared" si="37"/>
        <v>17.462355912011439</v>
      </c>
      <c r="BG22" s="20">
        <f t="shared" si="7"/>
        <v>136.94173921341994</v>
      </c>
      <c r="BH22" s="59">
        <f t="shared" si="8"/>
        <v>351.09383345644346</v>
      </c>
      <c r="BI22" s="59">
        <f ca="1">AVERAGE(OFFSET($BH$3,0,0,'Données projet'!$E$11+1,1))-AVERAGE(OFFSET($H$3,0,0,'Données projet'!$E$11+1,1))</f>
        <v>318.98630351938459</v>
      </c>
      <c r="BJ22" s="59">
        <f t="shared" si="38"/>
        <v>312.22190035638084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11.8</v>
      </c>
      <c r="BY22" s="12">
        <f>IF('Données projet'!$A$114&gt;35,BY21+BX22-CG21,IF(A22&lt;'Données projet'!$A$114,$BV$205^A22,IF(A22='Données projet'!$A$114,'Données projet'!$B$114,BY21+BX22-CG21)))</f>
        <v>105.19999999999997</v>
      </c>
      <c r="BZ22" s="13">
        <f>BY22*VLOOKUP('Données projet'!$B$12,Paramètres!$A$1:$I$89,3,0)*VLOOKUP('Données projet'!$B$12,Paramètres!$A$1:$I$89,5,0)</f>
        <v>91.902719999999988</v>
      </c>
      <c r="CA22" s="13">
        <f t="shared" si="39"/>
        <v>25.023555003327861</v>
      </c>
      <c r="CB22" s="20">
        <f t="shared" si="10"/>
        <v>203.64659563079599</v>
      </c>
      <c r="CC22" s="59">
        <f t="shared" si="11"/>
        <v>417.79868987381951</v>
      </c>
      <c r="CD22" s="59">
        <f ca="1">AVERAGE(OFFSET($CC$3,0,0,'Données projet'!$E$12+1,1))-AVERAGE(OFFSET($H$3,0,0,'Données projet'!$E$12+1,1))</f>
        <v>411.67183422518411</v>
      </c>
      <c r="CE22" s="59">
        <f t="shared" si="40"/>
        <v>379.16642539721556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5.2912820512820513</v>
      </c>
      <c r="N23" s="13">
        <f>IF('Données projet'!$A$36&gt;35,N22+M23-V22,IF(A23&lt;'Données projet'!$A$36,$K$205^A23,IF(A23='Données projet'!$A$36,'Données projet'!$B$36,N22+M23-V22)))</f>
        <v>29.317129446328433</v>
      </c>
      <c r="O23" s="13">
        <f>N23*VLOOKUP('Données projet'!$B$9,Paramètres!$A$1:$I$89,3,0)*VLOOKUP('Données projet'!$B$9,Paramètres!$A$1:$I$89,5,0)</f>
        <v>13.720416580881707</v>
      </c>
      <c r="P23" s="13">
        <f t="shared" si="33"/>
        <v>4.6615442279660568</v>
      </c>
      <c r="Q23" s="20">
        <f t="shared" si="2"/>
        <v>32.01524840874319</v>
      </c>
      <c r="R23" s="59">
        <f t="shared" si="0"/>
        <v>248.52995129563891</v>
      </c>
      <c r="S23" s="59">
        <f ca="1">AVERAGE(OFFSET($R$3,0,0,'Données projet'!$E$9+1,1))-AVERAGE(OFFSET($H$3,0,0,'Données projet'!$E$9+1,1))</f>
        <v>307.52968058891554</v>
      </c>
      <c r="T23" s="59">
        <f t="shared" si="34"/>
        <v>221.27527189662558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346.75430425502185</v>
      </c>
      <c r="AN23" s="59">
        <f ca="1">AVERAGE(OFFSET($AM$3,0,0,'Données projet'!$E$10+1,1))-AVERAGE(OFFSET($H$3,0,0,'Données projet'!$E$10+1,1))</f>
        <v>377.63545575155672</v>
      </c>
      <c r="AO23" s="59">
        <f t="shared" si="36"/>
        <v>339.1731538522788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85</v>
      </c>
      <c r="BB23" s="12">
        <f>VLOOKUP(A23,'Données projet'!$A$87:$I$107,9,0)</f>
        <v>9.6</v>
      </c>
      <c r="BC23" s="12">
        <f t="array" ref="BC23">INDEX(BB:BB,MIN(IF(ISNUMBER(BB23:BB219),ROW(BB23:BB219),"")))</f>
        <v>9.6</v>
      </c>
      <c r="BD23" s="12">
        <f>IF('Données projet'!$A$88&gt;35,BD22+BC23-BL22,IF(A23&lt;'Données projet'!$A$88,$BA$205^A23,IF(A23='Données projet'!$A$88,'Données projet'!$B$88,BD22+BC23-BL22)))</f>
        <v>84.999999999999986</v>
      </c>
      <c r="BE23" s="13">
        <f>BD23*VLOOKUP('Données projet'!$B$11,Paramètres!$A$1:$I$89,3,0)*VLOOKUP('Données projet'!$B$11,Paramètres!$A$1:$I$89,5,0)</f>
        <v>68.951999999999998</v>
      </c>
      <c r="BF23" s="13">
        <f t="shared" si="37"/>
        <v>19.412974191553594</v>
      </c>
      <c r="BG23" s="20">
        <f t="shared" si="7"/>
        <v>153.90233005028915</v>
      </c>
      <c r="BH23" s="59">
        <f t="shared" si="8"/>
        <v>370.4170329371849</v>
      </c>
      <c r="BI23" s="59">
        <f ca="1">AVERAGE(OFFSET($BH$3,0,0,'Données projet'!$E$11+1,1))-AVERAGE(OFFSET($H$3,0,0,'Données projet'!$E$11+1,1))</f>
        <v>318.98630351938459</v>
      </c>
      <c r="BJ23" s="59">
        <f t="shared" si="38"/>
        <v>312.22190035638084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0.26500000000000001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5.9176268585171217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5.9176268585171217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117</v>
      </c>
      <c r="BW23" s="12">
        <f>VLOOKUP(A23,'Données projet'!$A$113:$I$133,9,0)</f>
        <v>11.8</v>
      </c>
      <c r="BX23" s="12">
        <f t="array" ref="BX23">INDEX(BW:BW,MIN(IF(ISNUMBER(BW23:BW219),ROW(BW23:BW219),"")))</f>
        <v>11.8</v>
      </c>
      <c r="BY23" s="12">
        <f>IF('Données projet'!$A$114&gt;35,BY22+BX23-CG22,IF(A23&lt;'Données projet'!$A$114,$BV$205^A23,IF(A23='Données projet'!$A$114,'Données projet'!$B$114,BY22+BX23-CG22)))</f>
        <v>116.99999999999997</v>
      </c>
      <c r="BZ23" s="13">
        <f>BY23*VLOOKUP('Données projet'!$B$12,Paramètres!$A$1:$I$89,3,0)*VLOOKUP('Données projet'!$B$12,Paramètres!$A$1:$I$89,5,0)</f>
        <v>102.21119999999999</v>
      </c>
      <c r="CA23" s="13">
        <f t="shared" si="39"/>
        <v>27.488113037666018</v>
      </c>
      <c r="CB23" s="20">
        <f t="shared" si="10"/>
        <v>225.89297020726829</v>
      </c>
      <c r="CC23" s="59">
        <f t="shared" si="11"/>
        <v>442.40767309416401</v>
      </c>
      <c r="CD23" s="59">
        <f ca="1">AVERAGE(OFFSET($CC$3,0,0,'Données projet'!$E$12+1,1))-AVERAGE(OFFSET($H$3,0,0,'Données projet'!$E$12+1,1))</f>
        <v>411.67183422518411</v>
      </c>
      <c r="CE23" s="59">
        <f t="shared" si="40"/>
        <v>379.16642539721556</v>
      </c>
      <c r="CF23" s="15">
        <f>IF(ISNA(VLOOKUP(A23,'Données projet'!$A$113:$I$133,3,0)),0,VLOOKUP(A23,'Données projet'!$A$113:$I$133,3,0))</f>
        <v>1</v>
      </c>
      <c r="CG23" s="15" t="str">
        <f>IF(ISNA(VLOOKUP(A23,'Données projet'!$A$113:$I$133,4,0)),0,VLOOKUP(A23,'Données projet'!$A$113:$I$133,4,0))</f>
        <v>29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5.2912820512820513</v>
      </c>
      <c r="N24" s="13">
        <f>IF('Données projet'!$A$36&gt;35,N23+M24-V23,IF(A24&lt;'Données projet'!$A$36,$K$205^A24,IF(A24='Données projet'!$A$36,'Données projet'!$B$36,N23+M24-V23)))</f>
        <v>34.71183053088351</v>
      </c>
      <c r="O24" s="13">
        <f>N24*VLOOKUP('Données projet'!$B$9,Paramètres!$A$1:$I$89,3,0)*VLOOKUP('Données projet'!$B$9,Paramètres!$A$1:$I$89,5,0)</f>
        <v>16.245136688453481</v>
      </c>
      <c r="P24" s="13">
        <f t="shared" si="33"/>
        <v>5.411868489296503</v>
      </c>
      <c r="Q24" s="20">
        <f t="shared" si="2"/>
        <v>37.719284017914553</v>
      </c>
      <c r="R24" s="59">
        <f t="shared" si="0"/>
        <v>256.57681239378894</v>
      </c>
      <c r="S24" s="59">
        <f ca="1">AVERAGE(OFFSET($R$3,0,0,'Données projet'!$E$9+1,1))-AVERAGE(OFFSET($H$3,0,0,'Données projet'!$E$9+1,1))</f>
        <v>307.52968058891554</v>
      </c>
      <c r="T24" s="59">
        <f t="shared" si="34"/>
        <v>221.27527189662558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369.5618941516247</v>
      </c>
      <c r="AN24" s="59">
        <f ca="1">AVERAGE(OFFSET($AM$3,0,0,'Données projet'!$E$10+1,1))-AVERAGE(OFFSET($H$3,0,0,'Données projet'!$E$10+1,1))</f>
        <v>377.63545575155672</v>
      </c>
      <c r="AO24" s="59">
        <f t="shared" si="36"/>
        <v>339.1731538522788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10.6</v>
      </c>
      <c r="BD24" s="12">
        <f>IF('Données projet'!$A$88&gt;35,BD23+BC24-BL23,IF(A24&lt;'Données projet'!$A$88,$BA$205^A24,IF(A24='Données projet'!$A$88,'Données projet'!$B$88,BD23+BC24-BL23)))</f>
        <v>70.59999999999998</v>
      </c>
      <c r="BE24" s="13">
        <f>BD24*VLOOKUP('Données projet'!$B$11,Paramètres!$A$1:$I$89,3,0)*VLOOKUP('Données projet'!$B$11,Paramètres!$A$1:$I$89,5,0)</f>
        <v>57.270719999999983</v>
      </c>
      <c r="BF24" s="13">
        <f t="shared" si="37"/>
        <v>16.476362874249581</v>
      </c>
      <c r="BG24" s="20">
        <f t="shared" si="7"/>
        <v>128.44283600598467</v>
      </c>
      <c r="BH24" s="59">
        <f t="shared" si="8"/>
        <v>347.30036438185903</v>
      </c>
      <c r="BI24" s="59">
        <f ca="1">AVERAGE(OFFSET($BH$3,0,0,'Données projet'!$E$11+1,1))-AVERAGE(OFFSET($H$3,0,0,'Données projet'!$E$11+1,1))</f>
        <v>318.98630351938459</v>
      </c>
      <c r="BJ24" s="59">
        <f t="shared" si="38"/>
        <v>312.22190035638084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5.7558090408764997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5.7558090408764997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11.4</v>
      </c>
      <c r="BY24" s="12">
        <f>IF('Données projet'!$A$114&gt;35,BY23+BX24-CG23,IF(A24&lt;'Données projet'!$A$114,$BV$205^A24,IF(A24='Données projet'!$A$114,'Données projet'!$B$114,BY23+BX24-CG23)))</f>
        <v>99.399999999999977</v>
      </c>
      <c r="BZ24" s="13">
        <f>BY24*VLOOKUP('Données projet'!$B$12,Paramètres!$A$1:$I$89,3,0)*VLOOKUP('Données projet'!$B$12,Paramètres!$A$1:$I$89,5,0)</f>
        <v>86.83583999999999</v>
      </c>
      <c r="CA24" s="13">
        <f t="shared" si="39"/>
        <v>23.800523515695954</v>
      </c>
      <c r="CB24" s="20">
        <f t="shared" si="10"/>
        <v>192.69166645650375</v>
      </c>
      <c r="CC24" s="59">
        <f t="shared" si="11"/>
        <v>411.54919483237813</v>
      </c>
      <c r="CD24" s="59">
        <f ca="1">AVERAGE(OFFSET($CC$3,0,0,'Données projet'!$E$12+1,1))-AVERAGE(OFFSET($H$3,0,0,'Données projet'!$E$12+1,1))</f>
        <v>411.67183422518411</v>
      </c>
      <c r="CE24" s="59">
        <f t="shared" si="40"/>
        <v>379.16642539721556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5.2912820512820513</v>
      </c>
      <c r="N25" s="13">
        <f>IF('Données projet'!$A$36&gt;35,N24+M25-V24,IF(A25&lt;'Données projet'!$A$36,$K$205^A25,IF(A25='Données projet'!$A$36,'Données projet'!$B$36,N24+M25-V24)))</f>
        <v>41.099220884180887</v>
      </c>
      <c r="O25" s="13">
        <f>N25*VLOOKUP('Données projet'!$B$9,Paramètres!$A$1:$I$89,3,0)*VLOOKUP('Données projet'!$B$9,Paramètres!$A$1:$I$89,5,0)</f>
        <v>19.234435373796657</v>
      </c>
      <c r="P25" s="13">
        <f t="shared" si="33"/>
        <v>6.2829652821334729</v>
      </c>
      <c r="Q25" s="20">
        <f t="shared" si="2"/>
        <v>44.442806142411648</v>
      </c>
      <c r="R25" s="59">
        <f t="shared" si="0"/>
        <v>265.62372004588002</v>
      </c>
      <c r="S25" s="59">
        <f ca="1">AVERAGE(OFFSET($R$3,0,0,'Données projet'!$E$9+1,1))-AVERAGE(OFFSET($H$3,0,0,'Données projet'!$E$9+1,1))</f>
        <v>307.52968058891554</v>
      </c>
      <c r="T25" s="59">
        <f t="shared" si="34"/>
        <v>221.27527189662558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392.2837480024653</v>
      </c>
      <c r="AN25" s="59">
        <f ca="1">AVERAGE(OFFSET($AM$3,0,0,'Données projet'!$E$10+1,1))-AVERAGE(OFFSET($H$3,0,0,'Données projet'!$E$10+1,1))</f>
        <v>377.63545575155672</v>
      </c>
      <c r="AO25" s="59">
        <f t="shared" si="36"/>
        <v>339.1731538522788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10.6</v>
      </c>
      <c r="BD25" s="12">
        <f>IF('Données projet'!$A$88&gt;35,BD24+BC25-BL24,IF(A25&lt;'Données projet'!$A$88,$BA$205^A25,IF(A25='Données projet'!$A$88,'Données projet'!$B$88,BD24+BC25-BL24)))</f>
        <v>81.199999999999974</v>
      </c>
      <c r="BE25" s="13">
        <f>BD25*VLOOKUP('Données projet'!$B$11,Paramètres!$A$1:$I$89,3,0)*VLOOKUP('Données projet'!$B$11,Paramètres!$A$1:$I$89,5,0)</f>
        <v>65.869439999999983</v>
      </c>
      <c r="BF25" s="13">
        <f t="shared" si="37"/>
        <v>18.644091336301784</v>
      </c>
      <c r="BG25" s="20">
        <f t="shared" si="7"/>
        <v>147.19440041072556</v>
      </c>
      <c r="BH25" s="59">
        <f t="shared" si="8"/>
        <v>368.37531431419393</v>
      </c>
      <c r="BI25" s="59">
        <f ca="1">AVERAGE(OFFSET($BH$3,0,0,'Données projet'!$E$11+1,1))-AVERAGE(OFFSET($H$3,0,0,'Données projet'!$E$11+1,1))</f>
        <v>318.98630351938459</v>
      </c>
      <c r="BJ25" s="59">
        <f t="shared" si="38"/>
        <v>312.22190035638084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5.5984161399688892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5.5984161399688892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11.4</v>
      </c>
      <c r="BY25" s="12">
        <f>IF('Données projet'!$A$114&gt;35,BY24+BX25-CG24,IF(A25&lt;'Données projet'!$A$114,$BV$205^A25,IF(A25='Données projet'!$A$114,'Données projet'!$B$114,BY24+BX25-CG24)))</f>
        <v>110.79999999999998</v>
      </c>
      <c r="BZ25" s="13">
        <f>BY25*VLOOKUP('Données projet'!$B$12,Paramètres!$A$1:$I$89,3,0)*VLOOKUP('Données projet'!$B$12,Paramètres!$A$1:$I$89,5,0)</f>
        <v>96.794879999999992</v>
      </c>
      <c r="CA25" s="13">
        <f t="shared" si="39"/>
        <v>26.196980264498734</v>
      </c>
      <c r="CB25" s="20">
        <f t="shared" si="10"/>
        <v>214.21082329400193</v>
      </c>
      <c r="CC25" s="59">
        <f t="shared" si="11"/>
        <v>435.39173719747032</v>
      </c>
      <c r="CD25" s="59">
        <f ca="1">AVERAGE(OFFSET($CC$3,0,0,'Données projet'!$E$12+1,1))-AVERAGE(OFFSET($H$3,0,0,'Données projet'!$E$12+1,1))</f>
        <v>411.67183422518411</v>
      </c>
      <c r="CE25" s="59">
        <f t="shared" si="40"/>
        <v>379.16642539721556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5.2912820512820513</v>
      </c>
      <c r="N26" s="13">
        <f>IF('Données projet'!$A$36&gt;35,N25+M26-V25,IF(A26&lt;'Données projet'!$A$36,$K$205^A26,IF(A26='Données projet'!$A$36,'Données projet'!$B$36,N25+M26-V25)))</f>
        <v>48.661967157964739</v>
      </c>
      <c r="O26" s="13">
        <f>N26*VLOOKUP('Données projet'!$B$9,Paramètres!$A$1:$I$89,3,0)*VLOOKUP('Données projet'!$B$9,Paramètres!$A$1:$I$89,5,0)</f>
        <v>22.773800629927496</v>
      </c>
      <c r="P26" s="13">
        <f t="shared" si="33"/>
        <v>7.2942742076177201</v>
      </c>
      <c r="Q26" s="20">
        <f t="shared" si="2"/>
        <v>52.36856367539125</v>
      </c>
      <c r="R26" s="59">
        <f t="shared" si="0"/>
        <v>275.85376038493774</v>
      </c>
      <c r="S26" s="59">
        <f ca="1">AVERAGE(OFFSET($R$3,0,0,'Données projet'!$E$9+1,1))-AVERAGE(OFFSET($H$3,0,0,'Données projet'!$E$9+1,1))</f>
        <v>307.52968058891554</v>
      </c>
      <c r="T26" s="59">
        <f t="shared" si="34"/>
        <v>221.27527189662558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414.92922657485536</v>
      </c>
      <c r="AN26" s="59">
        <f ca="1">AVERAGE(OFFSET($AM$3,0,0,'Données projet'!$E$10+1,1))-AVERAGE(OFFSET($H$3,0,0,'Données projet'!$E$10+1,1))</f>
        <v>377.63545575155672</v>
      </c>
      <c r="AO26" s="59">
        <f t="shared" si="36"/>
        <v>339.1731538522788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10.6</v>
      </c>
      <c r="BD26" s="12">
        <f>IF('Données projet'!$A$88&gt;35,BD25+BC26-BL25,IF(A26&lt;'Données projet'!$A$88,$BA$205^A26,IF(A26='Données projet'!$A$88,'Données projet'!$B$88,BD25+BC26-BL25)))</f>
        <v>91.799999999999969</v>
      </c>
      <c r="BE26" s="13">
        <f>BD26*VLOOKUP('Données projet'!$B$11,Paramètres!$A$1:$I$89,3,0)*VLOOKUP('Données projet'!$B$11,Paramètres!$A$1:$I$89,5,0)</f>
        <v>74.468159999999969</v>
      </c>
      <c r="BF26" s="13">
        <f t="shared" si="37"/>
        <v>20.779031790461993</v>
      </c>
      <c r="BG26" s="20">
        <f t="shared" si="7"/>
        <v>165.88885903505457</v>
      </c>
      <c r="BH26" s="59">
        <f t="shared" si="8"/>
        <v>389.37405574460104</v>
      </c>
      <c r="BI26" s="59">
        <f ca="1">AVERAGE(OFFSET($BH$3,0,0,'Données projet'!$E$11+1,1))-AVERAGE(OFFSET($H$3,0,0,'Données projet'!$E$11+1,1))</f>
        <v>318.98630351938459</v>
      </c>
      <c r="BJ26" s="59">
        <f t="shared" si="38"/>
        <v>312.22190035638084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5.4453271562135308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5.4453271562135308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11.4</v>
      </c>
      <c r="BY26" s="12">
        <f>IF('Données projet'!$A$114&gt;35,BY25+BX26-CG25,IF(A26&lt;'Données projet'!$A$114,$BV$205^A26,IF(A26='Données projet'!$A$114,'Données projet'!$B$114,BY25+BX26-CG25)))</f>
        <v>122.19999999999999</v>
      </c>
      <c r="BZ26" s="13">
        <f>BY26*VLOOKUP('Données projet'!$B$12,Paramètres!$A$1:$I$89,3,0)*VLOOKUP('Données projet'!$B$12,Paramètres!$A$1:$I$89,5,0)</f>
        <v>106.75392000000001</v>
      </c>
      <c r="CA26" s="13">
        <f t="shared" si="39"/>
        <v>28.564854626855976</v>
      </c>
      <c r="CB26" s="20">
        <f t="shared" si="10"/>
        <v>235.68019914177421</v>
      </c>
      <c r="CC26" s="59">
        <f t="shared" si="11"/>
        <v>459.16539585132068</v>
      </c>
      <c r="CD26" s="59">
        <f ca="1">AVERAGE(OFFSET($CC$3,0,0,'Données projet'!$E$12+1,1))-AVERAGE(OFFSET($H$3,0,0,'Données projet'!$E$12+1,1))</f>
        <v>411.67183422518411</v>
      </c>
      <c r="CE26" s="59">
        <f t="shared" si="40"/>
        <v>379.16642539721556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5.2912820512820513</v>
      </c>
      <c r="N27" s="13">
        <f>IF('Données projet'!$A$36&gt;35,N26+M27-V26,IF(A27&lt;'Données projet'!$A$36,$K$205^A27,IF(A27='Données projet'!$A$36,'Données projet'!$B$36,N26+M27-V26)))</f>
        <v>57.616348844079376</v>
      </c>
      <c r="O27" s="13">
        <f>N27*VLOOKUP('Données projet'!$B$9,Paramètres!$A$1:$I$89,3,0)*VLOOKUP('Données projet'!$B$9,Paramètres!$A$1:$I$89,5,0)</f>
        <v>26.964451259029147</v>
      </c>
      <c r="P27" s="13">
        <f t="shared" si="33"/>
        <v>8.4683638738570401</v>
      </c>
      <c r="Q27" s="20">
        <f t="shared" si="2"/>
        <v>61.712153023110119</v>
      </c>
      <c r="R27" s="59">
        <f t="shared" si="0"/>
        <v>287.48286120672992</v>
      </c>
      <c r="S27" s="59">
        <f ca="1">AVERAGE(OFFSET($R$3,0,0,'Données projet'!$E$9+1,1))-AVERAGE(OFFSET($H$3,0,0,'Données projet'!$E$9+1,1))</f>
        <v>307.52968058891554</v>
      </c>
      <c r="T27" s="59">
        <f t="shared" si="34"/>
        <v>221.27527189662558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437.50560563048077</v>
      </c>
      <c r="AN27" s="59">
        <f ca="1">AVERAGE(OFFSET($AM$3,0,0,'Données projet'!$E$10+1,1))-AVERAGE(OFFSET($H$3,0,0,'Données projet'!$E$10+1,1))</f>
        <v>377.63545575155672</v>
      </c>
      <c r="AO27" s="59">
        <f t="shared" si="36"/>
        <v>339.1731538522788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10.6</v>
      </c>
      <c r="BD27" s="12">
        <f>IF('Données projet'!$A$88&gt;35,BD26+BC27-BL26,IF(A27&lt;'Données projet'!$A$88,$BA$205^A27,IF(A27='Données projet'!$A$88,'Données projet'!$B$88,BD26+BC27-BL26)))</f>
        <v>102.39999999999996</v>
      </c>
      <c r="BE27" s="13">
        <f>BD27*VLOOKUP('Données projet'!$B$11,Paramètres!$A$1:$I$89,3,0)*VLOOKUP('Données projet'!$B$11,Paramètres!$A$1:$I$89,5,0)</f>
        <v>83.066879999999983</v>
      </c>
      <c r="BF27" s="13">
        <f t="shared" si="37"/>
        <v>22.88540255569357</v>
      </c>
      <c r="BG27" s="20">
        <f t="shared" si="7"/>
        <v>184.5335587844996</v>
      </c>
      <c r="BH27" s="59">
        <f t="shared" si="8"/>
        <v>410.30426696811941</v>
      </c>
      <c r="BI27" s="59">
        <f ca="1">AVERAGE(OFFSET($BH$3,0,0,'Données projet'!$E$11+1,1))-AVERAGE(OFFSET($H$3,0,0,'Données projet'!$E$11+1,1))</f>
        <v>318.98630351938459</v>
      </c>
      <c r="BJ27" s="59">
        <f t="shared" si="38"/>
        <v>312.22190035638084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5.2964243987695623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5.2964243987695623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11.4</v>
      </c>
      <c r="BY27" s="12">
        <f>IF('Données projet'!$A$114&gt;35,BY26+BX27-CG26,IF(A27&lt;'Données projet'!$A$114,$BV$205^A27,IF(A27='Données projet'!$A$114,'Données projet'!$B$114,BY26+BX27-CG26)))</f>
        <v>133.6</v>
      </c>
      <c r="BZ27" s="13">
        <f>BY27*VLOOKUP('Données projet'!$B$12,Paramètres!$A$1:$I$89,3,0)*VLOOKUP('Données projet'!$B$12,Paramètres!$A$1:$I$89,5,0)</f>
        <v>116.71296000000001</v>
      </c>
      <c r="CA27" s="13">
        <f t="shared" si="39"/>
        <v>30.90711634982064</v>
      </c>
      <c r="CB27" s="20">
        <f t="shared" si="10"/>
        <v>257.10496630927094</v>
      </c>
      <c r="CC27" s="59">
        <f t="shared" si="11"/>
        <v>482.87567449289077</v>
      </c>
      <c r="CD27" s="59">
        <f ca="1">AVERAGE(OFFSET($CC$3,0,0,'Données projet'!$E$12+1,1))-AVERAGE(OFFSET($H$3,0,0,'Données projet'!$E$12+1,1))</f>
        <v>411.67183422518411</v>
      </c>
      <c r="CE27" s="59">
        <f t="shared" si="40"/>
        <v>379.16642539721556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5.2912820512820513</v>
      </c>
      <c r="N28" s="13">
        <f>IF('Données projet'!$A$36&gt;35,N27+M28-V27,IF(A28&lt;'Données projet'!$A$36,$K$205^A28,IF(A28='Données projet'!$A$36,'Données projet'!$B$36,N27+M28-V27)))</f>
        <v>68.218443437490691</v>
      </c>
      <c r="O28" s="13">
        <f>N28*VLOOKUP('Données projet'!$B$9,Paramètres!$A$1:$I$89,3,0)*VLOOKUP('Données projet'!$B$9,Paramètres!$A$1:$I$89,5,0)</f>
        <v>31.926231528745642</v>
      </c>
      <c r="P28" s="13">
        <f t="shared" si="33"/>
        <v>9.8314355422988982</v>
      </c>
      <c r="Q28" s="20">
        <f t="shared" si="2"/>
        <v>72.727936815402572</v>
      </c>
      <c r="R28" s="59">
        <f t="shared" si="0"/>
        <v>300.7657107817347</v>
      </c>
      <c r="S28" s="59">
        <f ca="1">AVERAGE(OFFSET($R$3,0,0,'Données projet'!$E$9+1,1))-AVERAGE(OFFSET($H$3,0,0,'Données projet'!$E$9+1,1))</f>
        <v>307.52968058891554</v>
      </c>
      <c r="T28" s="59">
        <f t="shared" si="34"/>
        <v>221.27527189662558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408.22319832701169</v>
      </c>
      <c r="AN28" s="59">
        <f ca="1">AVERAGE(OFFSET($AM$3,0,0,'Données projet'!$E$10+1,1))-AVERAGE(OFFSET($H$3,0,0,'Données projet'!$E$10+1,1))</f>
        <v>377.63545575155672</v>
      </c>
      <c r="AO28" s="59">
        <f t="shared" si="36"/>
        <v>339.1731538522788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113</v>
      </c>
      <c r="BB28" s="12">
        <f>VLOOKUP(A28,'Données projet'!$A$87:$I$107,9,0)</f>
        <v>10.6</v>
      </c>
      <c r="BC28" s="12">
        <f t="array" ref="BC28">INDEX(BB:BB,MIN(IF(ISNUMBER(BB28:BB224),ROW(BB28:BB224),"")))</f>
        <v>10.6</v>
      </c>
      <c r="BD28" s="12">
        <f>IF('Données projet'!$A$88&gt;35,BD27+BC28-BL27,IF(A28&lt;'Données projet'!$A$88,$BA$205^A28,IF(A28='Données projet'!$A$88,'Données projet'!$B$88,BD27+BC28-BL27)))</f>
        <v>112.99999999999996</v>
      </c>
      <c r="BE28" s="13">
        <f>BD28*VLOOKUP('Données projet'!$B$11,Paramètres!$A$1:$I$89,3,0)*VLOOKUP('Données projet'!$B$11,Paramètres!$A$1:$I$89,5,0)</f>
        <v>91.665599999999969</v>
      </c>
      <c r="BF28" s="13">
        <f t="shared" si="37"/>
        <v>24.966497888207439</v>
      </c>
      <c r="BG28" s="20">
        <f t="shared" si="7"/>
        <v>203.13423715529458</v>
      </c>
      <c r="BH28" s="59">
        <f t="shared" si="8"/>
        <v>431.17201112162672</v>
      </c>
      <c r="BI28" s="59">
        <f ca="1">AVERAGE(OFFSET($BH$3,0,0,'Données projet'!$E$11+1,1))-AVERAGE(OFFSET($H$3,0,0,'Données projet'!$E$11+1,1))</f>
        <v>318.98630351938459</v>
      </c>
      <c r="BJ28" s="59">
        <f t="shared" si="38"/>
        <v>312.22190035638084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0.26500000000000001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11.542630402256847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11.542630402256847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145</v>
      </c>
      <c r="BW28" s="12">
        <f>VLOOKUP(A28,'Données projet'!$A$113:$I$133,9,0)</f>
        <v>11.4</v>
      </c>
      <c r="BX28" s="12">
        <f t="array" ref="BX28">INDEX(BW:BW,MIN(IF(ISNUMBER(BW28:BW224),ROW(BW28:BW224),"")))</f>
        <v>11.4</v>
      </c>
      <c r="BY28" s="12">
        <f>IF('Données projet'!$A$114&gt;35,BY27+BX28-CG27,IF(A28&lt;'Données projet'!$A$114,$BV$205^A28,IF(A28='Données projet'!$A$114,'Données projet'!$B$114,BY27+BX28-CG27)))</f>
        <v>145</v>
      </c>
      <c r="BZ28" s="13">
        <f>BY28*VLOOKUP('Données projet'!$B$12,Paramètres!$A$1:$I$89,3,0)*VLOOKUP('Données projet'!$B$12,Paramètres!$A$1:$I$89,5,0)</f>
        <v>126.67200000000001</v>
      </c>
      <c r="CA28" s="13">
        <f t="shared" si="39"/>
        <v>33.226199426361347</v>
      </c>
      <c r="CB28" s="20">
        <f t="shared" si="10"/>
        <v>278.48936400091276</v>
      </c>
      <c r="CC28" s="59">
        <f t="shared" si="11"/>
        <v>506.52713796724487</v>
      </c>
      <c r="CD28" s="59">
        <f ca="1">AVERAGE(OFFSET($CC$3,0,0,'Données projet'!$E$12+1,1))-AVERAGE(OFFSET($H$3,0,0,'Données projet'!$E$12+1,1))</f>
        <v>411.67183422518411</v>
      </c>
      <c r="CE28" s="59">
        <f t="shared" si="40"/>
        <v>379.16642539721556</v>
      </c>
      <c r="CF28" s="15">
        <f>IF(ISNA(VLOOKUP(A28,'Données projet'!$A$113:$I$133,3,0)),0,VLOOKUP(A28,'Données projet'!$A$113:$I$133,3,0))</f>
        <v>2</v>
      </c>
      <c r="CG28" s="15" t="str">
        <f>IF(ISNA(VLOOKUP(A28,'Données projet'!$A$113:$I$133,4,0)),0,VLOOKUP(A28,'Données projet'!$A$113:$I$133,4,0))</f>
        <v>31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5.2912820512820513</v>
      </c>
      <c r="N29" s="13">
        <f>IF('Données projet'!$A$36&gt;35,N28+M29-V28,IF(A29&lt;'Données projet'!$A$36,$K$205^A29,IF(A29='Données projet'!$A$36,'Données projet'!$B$36,N28+M29-V28)))</f>
        <v>80.771449742989631</v>
      </c>
      <c r="O29" s="13">
        <f>N29*VLOOKUP('Données projet'!$B$9,Paramètres!$A$1:$I$89,3,0)*VLOOKUP('Données projet'!$B$9,Paramètres!$A$1:$I$89,5,0)</f>
        <v>37.801038479719146</v>
      </c>
      <c r="P29" s="13">
        <f t="shared" si="33"/>
        <v>11.413907841250353</v>
      </c>
      <c r="Q29" s="20">
        <f t="shared" si="2"/>
        <v>85.716031509021889</v>
      </c>
      <c r="R29" s="59">
        <f t="shared" si="0"/>
        <v>316.00274555821204</v>
      </c>
      <c r="S29" s="59">
        <f ca="1">AVERAGE(OFFSET($R$3,0,0,'Données projet'!$E$9+1,1))-AVERAGE(OFFSET($H$3,0,0,'Données projet'!$E$9+1,1))</f>
        <v>307.52968058891554</v>
      </c>
      <c r="T29" s="59">
        <f t="shared" si="34"/>
        <v>221.27527189662558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431.20438994780352</v>
      </c>
      <c r="AN29" s="59">
        <f ca="1">AVERAGE(OFFSET($AM$3,0,0,'Données projet'!$E$10+1,1))-AVERAGE(OFFSET($H$3,0,0,'Données projet'!$E$10+1,1))</f>
        <v>377.63545575155672</v>
      </c>
      <c r="AO29" s="59">
        <f t="shared" si="36"/>
        <v>339.1731538522788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11.5</v>
      </c>
      <c r="BD29" s="12">
        <f>IF('Données projet'!$A$88&gt;35,BD28+BC29-BL28,IF(A29&lt;'Données projet'!$A$88,$BA$205^A29,IF(A29='Données projet'!$A$88,'Données projet'!$B$88,BD28+BC29-BL28)))</f>
        <v>97.499999999999957</v>
      </c>
      <c r="BE29" s="13">
        <f>BD29*VLOOKUP('Données projet'!$B$11,Paramètres!$A$1:$I$89,3,0)*VLOOKUP('Données projet'!$B$11,Paramètres!$A$1:$I$89,5,0)</f>
        <v>79.09199999999997</v>
      </c>
      <c r="BF29" s="13">
        <f t="shared" si="37"/>
        <v>21.915026131449999</v>
      </c>
      <c r="BG29" s="20">
        <f t="shared" si="7"/>
        <v>175.92057051227536</v>
      </c>
      <c r="BH29" s="59">
        <f t="shared" si="8"/>
        <v>406.20728456146554</v>
      </c>
      <c r="BI29" s="59">
        <f ca="1">AVERAGE(OFFSET($BH$3,0,0,'Données projet'!$E$11+1,1))-AVERAGE(OFFSET($H$3,0,0,'Données projet'!$E$11+1,1))</f>
        <v>318.98630351938459</v>
      </c>
      <c r="BJ29" s="59">
        <f t="shared" si="38"/>
        <v>312.22190035638084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11.226996566906582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11.226996566906582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</v>
      </c>
      <c r="BY29" s="12">
        <f>IF('Données projet'!$A$114&gt;35,BY28+BX29-CG28,IF(A29&lt;'Données projet'!$A$114,$BV$205^A29,IF(A29='Données projet'!$A$114,'Données projet'!$B$114,BY28+BX29-CG28)))</f>
        <v>125</v>
      </c>
      <c r="BZ29" s="13">
        <f>BY29*VLOOKUP('Données projet'!$B$12,Paramètres!$A$1:$I$89,3,0)*VLOOKUP('Données projet'!$B$12,Paramètres!$A$1:$I$89,5,0)</f>
        <v>109.2</v>
      </c>
      <c r="CA29" s="13">
        <f t="shared" si="39"/>
        <v>29.142418334948612</v>
      </c>
      <c r="CB29" s="20">
        <f t="shared" si="10"/>
        <v>240.94637860003544</v>
      </c>
      <c r="CC29" s="59">
        <f t="shared" si="11"/>
        <v>471.23309264922563</v>
      </c>
      <c r="CD29" s="59">
        <f ca="1">AVERAGE(OFFSET($CC$3,0,0,'Données projet'!$E$12+1,1))-AVERAGE(OFFSET($H$3,0,0,'Données projet'!$E$12+1,1))</f>
        <v>411.67183422518411</v>
      </c>
      <c r="CE29" s="59">
        <f t="shared" si="40"/>
        <v>379.16642539721556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5.2912820512820513</v>
      </c>
      <c r="N30" s="13">
        <f>IF('Données projet'!$A$36&gt;35,N29+M30-V29,IF(A30&lt;'Données projet'!$A$36,$K$205^A30,IF(A30='Données projet'!$A$36,'Données projet'!$B$36,N29+M30-V29)))</f>
        <v>95.634358757574688</v>
      </c>
      <c r="O30" s="13">
        <f>N30*VLOOKUP('Données projet'!$B$9,Paramètres!$A$1:$I$89,3,0)*VLOOKUP('Données projet'!$B$9,Paramètres!$A$1:$I$89,5,0)</f>
        <v>44.756879898544952</v>
      </c>
      <c r="P30" s="13">
        <f t="shared" si="33"/>
        <v>13.251095595149819</v>
      </c>
      <c r="Q30" s="20">
        <f t="shared" si="2"/>
        <v>101.03055731818506</v>
      </c>
      <c r="R30" s="59">
        <f t="shared" si="0"/>
        <v>333.54840019074857</v>
      </c>
      <c r="S30" s="59">
        <f ca="1">AVERAGE(OFFSET($R$3,0,0,'Données projet'!$E$9+1,1))-AVERAGE(OFFSET($H$3,0,0,'Données projet'!$E$9+1,1))</f>
        <v>307.52968058891554</v>
      </c>
      <c r="T30" s="59">
        <f t="shared" si="34"/>
        <v>221.27527189662558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454.11819239644649</v>
      </c>
      <c r="AN30" s="59">
        <f ca="1">AVERAGE(OFFSET($AM$3,0,0,'Données projet'!$E$10+1,1))-AVERAGE(OFFSET($H$3,0,0,'Données projet'!$E$10+1,1))</f>
        <v>377.63545575155672</v>
      </c>
      <c r="AO30" s="59">
        <f t="shared" si="36"/>
        <v>339.1731538522788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11.5</v>
      </c>
      <c r="BD30" s="12">
        <f>IF('Données projet'!$A$88&gt;35,BD29+BC30-BL29,IF(A30&lt;'Données projet'!$A$88,$BA$205^A30,IF(A30='Données projet'!$A$88,'Données projet'!$B$88,BD29+BC30-BL29)))</f>
        <v>108.99999999999996</v>
      </c>
      <c r="BE30" s="13">
        <f>BD30*VLOOKUP('Données projet'!$B$11,Paramètres!$A$1:$I$89,3,0)*VLOOKUP('Données projet'!$B$11,Paramètres!$A$1:$I$89,5,0)</f>
        <v>88.420799999999971</v>
      </c>
      <c r="BF30" s="13">
        <f t="shared" si="37"/>
        <v>24.183968471983022</v>
      </c>
      <c r="BG30" s="20">
        <f t="shared" si="7"/>
        <v>196.11997175537036</v>
      </c>
      <c r="BH30" s="59">
        <f t="shared" si="8"/>
        <v>428.63781462793384</v>
      </c>
      <c r="BI30" s="59">
        <f ca="1">AVERAGE(OFFSET($BH$3,0,0,'Données projet'!$E$11+1,1))-AVERAGE(OFFSET($H$3,0,0,'Données projet'!$E$11+1,1))</f>
        <v>318.98630351938459</v>
      </c>
      <c r="BJ30" s="59">
        <f t="shared" si="38"/>
        <v>312.22190035638084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10.919993755382432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10.919993755382432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</v>
      </c>
      <c r="BY30" s="12">
        <f>IF('Données projet'!$A$114&gt;35,BY29+BX30-CG29,IF(A30&lt;'Données projet'!$A$114,$BV$205^A30,IF(A30='Données projet'!$A$114,'Données projet'!$B$114,BY29+BX30-CG29)))</f>
        <v>136</v>
      </c>
      <c r="BZ30" s="13">
        <f>BY30*VLOOKUP('Données projet'!$B$12,Paramètres!$A$1:$I$89,3,0)*VLOOKUP('Données projet'!$B$12,Paramètres!$A$1:$I$89,5,0)</f>
        <v>118.80960000000002</v>
      </c>
      <c r="CA30" s="13">
        <f t="shared" si="39"/>
        <v>31.39719715333722</v>
      </c>
      <c r="CB30" s="20">
        <f t="shared" si="10"/>
        <v>261.61017170872901</v>
      </c>
      <c r="CC30" s="59">
        <f t="shared" si="11"/>
        <v>494.12801458129252</v>
      </c>
      <c r="CD30" s="59">
        <f ca="1">AVERAGE(OFFSET($CC$3,0,0,'Données projet'!$E$12+1,1))-AVERAGE(OFFSET($H$3,0,0,'Données projet'!$E$12+1,1))</f>
        <v>411.67183422518411</v>
      </c>
      <c r="CE30" s="59">
        <f t="shared" si="40"/>
        <v>379.16642539721556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5.2912820512820513</v>
      </c>
      <c r="N31" s="13">
        <f>IF('Données projet'!$A$36&gt;35,N30+M31-V30,IF(A31&lt;'Données projet'!$A$36,$K$205^A31,IF(A31='Données projet'!$A$36,'Données projet'!$B$36,N30+M31-V30)))</f>
        <v>113.23222009849215</v>
      </c>
      <c r="O31" s="13">
        <f>N31*VLOOKUP('Données projet'!$B$9,Paramètres!$A$1:$I$89,3,0)*VLOOKUP('Données projet'!$B$9,Paramètres!$A$1:$I$89,5,0)</f>
        <v>52.992679006094328</v>
      </c>
      <c r="P31" s="13">
        <f t="shared" si="33"/>
        <v>15.383997918504607</v>
      </c>
      <c r="Q31" s="20">
        <f t="shared" si="2"/>
        <v>119.08937897700982</v>
      </c>
      <c r="R31" s="59">
        <f t="shared" si="0"/>
        <v>353.82084839899392</v>
      </c>
      <c r="S31" s="59">
        <f ca="1">AVERAGE(OFFSET($R$3,0,0,'Données projet'!$E$9+1,1))-AVERAGE(OFFSET($H$3,0,0,'Données projet'!$E$9+1,1))</f>
        <v>307.52968058891554</v>
      </c>
      <c r="T31" s="59">
        <f t="shared" si="34"/>
        <v>221.27527189662558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476.97019312698944</v>
      </c>
      <c r="AN31" s="59">
        <f ca="1">AVERAGE(OFFSET($AM$3,0,0,'Données projet'!$E$10+1,1))-AVERAGE(OFFSET($H$3,0,0,'Données projet'!$E$10+1,1))</f>
        <v>377.63545575155672</v>
      </c>
      <c r="AO31" s="59">
        <f t="shared" si="36"/>
        <v>339.1731538522788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11.5</v>
      </c>
      <c r="BD31" s="12">
        <f>IF('Données projet'!$A$88&gt;35,BD30+BC31-BL30,IF(A31&lt;'Données projet'!$A$88,$BA$205^A31,IF(A31='Données projet'!$A$88,'Données projet'!$B$88,BD30+BC31-BL30)))</f>
        <v>120.49999999999996</v>
      </c>
      <c r="BE31" s="13">
        <f>BD31*VLOOKUP('Données projet'!$B$11,Paramètres!$A$1:$I$89,3,0)*VLOOKUP('Données projet'!$B$11,Paramètres!$A$1:$I$89,5,0)</f>
        <v>97.749599999999973</v>
      </c>
      <c r="BF31" s="13">
        <f t="shared" si="37"/>
        <v>26.425162646358601</v>
      </c>
      <c r="BG31" s="20">
        <f t="shared" si="7"/>
        <v>216.27104494240783</v>
      </c>
      <c r="BH31" s="59">
        <f t="shared" si="8"/>
        <v>451.00251436439191</v>
      </c>
      <c r="BI31" s="59">
        <f ca="1">AVERAGE(OFFSET($BH$3,0,0,'Données projet'!$E$11+1,1))-AVERAGE(OFFSET($H$3,0,0,'Données projet'!$E$11+1,1))</f>
        <v>318.98630351938459</v>
      </c>
      <c r="BJ31" s="59">
        <f t="shared" si="38"/>
        <v>312.22190035638084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10.621385951883985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10.621385951883985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</v>
      </c>
      <c r="BY31" s="12">
        <f>IF('Données projet'!$A$114&gt;35,BY30+BX31-CG30,IF(A31&lt;'Données projet'!$A$114,$BV$205^A31,IF(A31='Données projet'!$A$114,'Données projet'!$B$114,BY30+BX31-CG30)))</f>
        <v>147</v>
      </c>
      <c r="BZ31" s="13">
        <f>BY31*VLOOKUP('Données projet'!$B$12,Paramètres!$A$1:$I$89,3,0)*VLOOKUP('Données projet'!$B$12,Paramètres!$A$1:$I$89,5,0)</f>
        <v>128.41920000000002</v>
      </c>
      <c r="CA31" s="13">
        <f t="shared" si="39"/>
        <v>33.630823177860762</v>
      </c>
      <c r="CB31" s="20">
        <f t="shared" si="10"/>
        <v>282.23712370144091</v>
      </c>
      <c r="CC31" s="59">
        <f t="shared" si="11"/>
        <v>516.96859312342497</v>
      </c>
      <c r="CD31" s="59">
        <f ca="1">AVERAGE(OFFSET($CC$3,0,0,'Données projet'!$E$12+1,1))-AVERAGE(OFFSET($H$3,0,0,'Données projet'!$E$12+1,1))</f>
        <v>411.67183422518411</v>
      </c>
      <c r="CE31" s="59">
        <f t="shared" si="40"/>
        <v>379.16642539721556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5.2912820512820513</v>
      </c>
      <c r="N32" s="13">
        <f>IF('Données projet'!$A$36&gt;35,N31+M32-V31,IF(A32&lt;'Données projet'!$A$36,$K$205^A32,IF(A32='Données projet'!$A$36,'Données projet'!$B$36,N31+M32-V31)))</f>
        <v>134.06829757634409</v>
      </c>
      <c r="O32" s="13">
        <f>N32*VLOOKUP('Données projet'!$B$9,Paramètres!$A$1:$I$89,3,0)*VLOOKUP('Données projet'!$B$9,Paramètres!$A$1:$I$89,5,0)</f>
        <v>62.743963265729036</v>
      </c>
      <c r="P32" s="13">
        <f t="shared" si="33"/>
        <v>17.860213161784099</v>
      </c>
      <c r="Q32" s="20">
        <f t="shared" si="2"/>
        <v>140.38560727791869</v>
      </c>
      <c r="R32" s="59">
        <f t="shared" si="0"/>
        <v>377.3135046006945</v>
      </c>
      <c r="S32" s="59">
        <f ca="1">AVERAGE(OFFSET($R$3,0,0,'Données projet'!$E$9+1,1))-AVERAGE(OFFSET($H$3,0,0,'Données projet'!$E$9+1,1))</f>
        <v>307.52968058891554</v>
      </c>
      <c r="T32" s="59">
        <f t="shared" si="34"/>
        <v>221.27527189662558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499.76500044915423</v>
      </c>
      <c r="AN32" s="59">
        <f ca="1">AVERAGE(OFFSET($AM$3,0,0,'Données projet'!$E$10+1,1))-AVERAGE(OFFSET($H$3,0,0,'Données projet'!$E$10+1,1))</f>
        <v>377.63545575155672</v>
      </c>
      <c r="AO32" s="59">
        <f t="shared" si="36"/>
        <v>339.1731538522788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11.5</v>
      </c>
      <c r="BD32" s="12">
        <f>IF('Données projet'!$A$88&gt;35,BD31+BC32-BL31,IF(A32&lt;'Données projet'!$A$88,$BA$205^A32,IF(A32='Données projet'!$A$88,'Données projet'!$B$88,BD31+BC32-BL31)))</f>
        <v>131.99999999999994</v>
      </c>
      <c r="BE32" s="13">
        <f>BD32*VLOOKUP('Données projet'!$B$11,Paramètres!$A$1:$I$89,3,0)*VLOOKUP('Données projet'!$B$11,Paramètres!$A$1:$I$89,5,0)</f>
        <v>107.07839999999996</v>
      </c>
      <c r="BF32" s="13">
        <f t="shared" si="37"/>
        <v>28.64155810910178</v>
      </c>
      <c r="BG32" s="20">
        <f t="shared" si="7"/>
        <v>236.37892704001885</v>
      </c>
      <c r="BH32" s="59">
        <f t="shared" si="8"/>
        <v>473.30682436279471</v>
      </c>
      <c r="BI32" s="59">
        <f ca="1">AVERAGE(OFFSET($BH$3,0,0,'Données projet'!$E$11+1,1))-AVERAGE(OFFSET($H$3,0,0,'Données projet'!$E$11+1,1))</f>
        <v>318.98630351938459</v>
      </c>
      <c r="BJ32" s="59">
        <f t="shared" si="38"/>
        <v>312.22190035638084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10.330943594475306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10.330943594475306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</v>
      </c>
      <c r="BY32" s="12">
        <f>IF('Données projet'!$A$114&gt;35,BY31+BX32-CG31,IF(A32&lt;'Données projet'!$A$114,$BV$205^A32,IF(A32='Données projet'!$A$114,'Données projet'!$B$114,BY31+BX32-CG31)))</f>
        <v>158</v>
      </c>
      <c r="BZ32" s="13">
        <f>BY32*VLOOKUP('Données projet'!$B$12,Paramètres!$A$1:$I$89,3,0)*VLOOKUP('Données projet'!$B$12,Paramètres!$A$1:$I$89,5,0)</f>
        <v>138.02880000000002</v>
      </c>
      <c r="CA32" s="13">
        <f t="shared" si="39"/>
        <v>35.845059256813073</v>
      </c>
      <c r="CB32" s="20">
        <f t="shared" si="10"/>
        <v>302.8303048722828</v>
      </c>
      <c r="CC32" s="59">
        <f t="shared" si="11"/>
        <v>539.75820219505863</v>
      </c>
      <c r="CD32" s="59">
        <f ca="1">AVERAGE(OFFSET($CC$3,0,0,'Données projet'!$E$12+1,1))-AVERAGE(OFFSET($H$3,0,0,'Données projet'!$E$12+1,1))</f>
        <v>411.67183422518411</v>
      </c>
      <c r="CE32" s="59">
        <f t="shared" si="40"/>
        <v>379.16642539721556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158.73846153846154</v>
      </c>
      <c r="L33" s="12">
        <f>VLOOKUP(A33,'Données projet'!$A$35:$I$55,9,0)</f>
        <v>5.2912820512820513</v>
      </c>
      <c r="M33" s="12">
        <f t="array" ref="M33">INDEX(L:L,MIN(IF(ISNUMBER(L33:L229),ROW(L33:L229),"")))</f>
        <v>5.2912820512820513</v>
      </c>
      <c r="N33" s="13">
        <f>IF('Données projet'!$A$36&gt;35,N32+M33-V32,IF(A33&lt;'Données projet'!$A$36,$K$205^A33,IF(A33='Données projet'!$A$36,'Données projet'!$B$36,N32+M33-V32)))</f>
        <v>158.73846153846154</v>
      </c>
      <c r="O33" s="13">
        <f>N33*VLOOKUP('Données projet'!$B$9,Paramètres!$A$1:$I$89,3,0)*VLOOKUP('Données projet'!$B$9,Paramètres!$A$1:$I$89,5,0)</f>
        <v>74.289599999999993</v>
      </c>
      <c r="P33" s="13">
        <f t="shared" si="33"/>
        <v>20.735001127416453</v>
      </c>
      <c r="Q33" s="20">
        <f t="shared" si="2"/>
        <v>165.50118029691697</v>
      </c>
      <c r="R33" s="59">
        <f t="shared" si="0"/>
        <v>404.60860522995893</v>
      </c>
      <c r="S33" s="59">
        <f ca="1">AVERAGE(OFFSET($R$3,0,0,'Données projet'!$E$9+1,1))-AVERAGE(OFFSET($H$3,0,0,'Données projet'!$E$9+1,1))</f>
        <v>307.52968058891554</v>
      </c>
      <c r="T33" s="59">
        <f t="shared" si="34"/>
        <v>221.27527189662558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522.50648718561217</v>
      </c>
      <c r="AN33" s="59">
        <f ca="1">AVERAGE(OFFSET($AM$3,0,0,'Données projet'!$E$10+1,1))-AVERAGE(OFFSET($H$3,0,0,'Données projet'!$E$10+1,1))</f>
        <v>377.63545575155672</v>
      </c>
      <c r="AO33" s="59">
        <f t="shared" si="36"/>
        <v>339.1731538522788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11.5</v>
      </c>
      <c r="BD33" s="12">
        <f>IF('Données projet'!$A$88&gt;35,BD32+BC33-BL32,IF(A33&lt;'Données projet'!$A$88,$BA$205^A33,IF(A33='Données projet'!$A$88,'Données projet'!$B$88,BD32+BC33-BL32)))</f>
        <v>143.49999999999994</v>
      </c>
      <c r="BE33" s="13">
        <f>BD33*VLOOKUP('Données projet'!$B$11,Paramètres!$A$1:$I$89,3,0)*VLOOKUP('Données projet'!$B$11,Paramètres!$A$1:$I$89,5,0)</f>
        <v>116.40719999999996</v>
      </c>
      <c r="BF33" s="13">
        <f t="shared" si="37"/>
        <v>30.835561008615706</v>
      </c>
      <c r="BG33" s="20">
        <f t="shared" si="7"/>
        <v>256.44780875667226</v>
      </c>
      <c r="BH33" s="59">
        <f t="shared" si="8"/>
        <v>495.55523368971421</v>
      </c>
      <c r="BI33" s="59">
        <f ca="1">AVERAGE(OFFSET($BH$3,0,0,'Données projet'!$E$11+1,1))-AVERAGE(OFFSET($H$3,0,0,'Données projet'!$E$11+1,1))</f>
        <v>318.98630351938459</v>
      </c>
      <c r="BJ33" s="59">
        <f t="shared" si="38"/>
        <v>312.22190035638084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10.048443398603666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10.048443398603666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169</v>
      </c>
      <c r="BW33" s="12">
        <f>VLOOKUP(A33,'Données projet'!$A$113:$I$133,9,0)</f>
        <v>11</v>
      </c>
      <c r="BX33" s="12">
        <f t="array" ref="BX33">INDEX(BW:BW,MIN(IF(ISNUMBER(BW33:BW229),ROW(BW33:BW229),"")))</f>
        <v>11</v>
      </c>
      <c r="BY33" s="12">
        <f>IF('Données projet'!$A$114&gt;35,BY32+BX33-CG32,IF(A33&lt;'Données projet'!$A$114,$BV$205^A33,IF(A33='Données projet'!$A$114,'Données projet'!$B$114,BY32+BX33-CG32)))</f>
        <v>169</v>
      </c>
      <c r="BZ33" s="13">
        <f>BY33*VLOOKUP('Données projet'!$B$12,Paramètres!$A$1:$I$89,3,0)*VLOOKUP('Données projet'!$B$12,Paramètres!$A$1:$I$89,5,0)</f>
        <v>147.63840000000002</v>
      </c>
      <c r="CA33" s="13">
        <f t="shared" si="39"/>
        <v>38.04140887895133</v>
      </c>
      <c r="CB33" s="20">
        <f t="shared" si="10"/>
        <v>323.39233379750692</v>
      </c>
      <c r="CC33" s="59">
        <f t="shared" si="11"/>
        <v>562.49975873054893</v>
      </c>
      <c r="CD33" s="59">
        <f ca="1">AVERAGE(OFFSET($CC$3,0,0,'Données projet'!$E$12+1,1))-AVERAGE(OFFSET($H$3,0,0,'Données projet'!$E$12+1,1))</f>
        <v>411.67183422518411</v>
      </c>
      <c r="CE33" s="59">
        <f t="shared" si="40"/>
        <v>379.16642539721556</v>
      </c>
      <c r="CF33" s="15">
        <f>IF(ISNA(VLOOKUP(A33,'Données projet'!$A$113:$I$133,3,0)),0,VLOOKUP(A33,'Données projet'!$A$113:$I$133,3,0))</f>
        <v>3</v>
      </c>
      <c r="CG33" s="15" t="str">
        <f>IF(ISNA(VLOOKUP(A33,'Données projet'!$A$113:$I$133,4,0)),0,VLOOKUP(A33,'Données projet'!$A$113:$I$133,4,0))</f>
        <v>32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0.215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6.6181227171247512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6.6181227171247512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14.690384615384611</v>
      </c>
      <c r="N34" s="13">
        <f>IF('Données projet'!$A$36&gt;35,N33+M34-V33,IF(A34&lt;'Données projet'!$A$36,$K$205^A34,IF(A34='Données projet'!$A$36,'Données projet'!$B$36,N33+M34-V33)))</f>
        <v>173.42884615384614</v>
      </c>
      <c r="O34" s="13">
        <f>N34*VLOOKUP('Données projet'!$B$9,Paramètres!$A$1:$I$89,3,0)*VLOOKUP('Données projet'!$B$9,Paramètres!$A$1:$I$89,5,0)</f>
        <v>81.164699999999996</v>
      </c>
      <c r="P34" s="13">
        <f t="shared" si="33"/>
        <v>22.421719335385692</v>
      </c>
      <c r="Q34" s="20">
        <f t="shared" si="2"/>
        <v>180.41301367579672</v>
      </c>
      <c r="R34" s="59">
        <f t="shared" si="0"/>
        <v>420.46113688861431</v>
      </c>
      <c r="S34" s="59">
        <f ca="1">AVERAGE(OFFSET($R$3,0,0,'Données projet'!$E$9+1,1))-AVERAGE(OFFSET($H$3,0,0,'Données projet'!$E$9+1,1))</f>
        <v>307.52968058891554</v>
      </c>
      <c r="T34" s="59">
        <f t="shared" si="34"/>
        <v>221.27527189662558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471.54207201192582</v>
      </c>
      <c r="AN34" s="59">
        <f ca="1">AVERAGE(OFFSET($AM$3,0,0,'Données projet'!$E$10+1,1))-AVERAGE(OFFSET($H$3,0,0,'Données projet'!$E$10+1,1))</f>
        <v>377.63545575155672</v>
      </c>
      <c r="AO34" s="59">
        <f t="shared" si="36"/>
        <v>339.1731538522788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155</v>
      </c>
      <c r="BB34" s="12">
        <f>VLOOKUP(A34,'Données projet'!$A$87:$I$107,9,0)</f>
        <v>11.5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154.99999999999994</v>
      </c>
      <c r="BE34" s="13">
        <f>BD34*VLOOKUP('Données projet'!$B$11,Paramètres!$A$1:$I$89,3,0)*VLOOKUP('Données projet'!$B$11,Paramètres!$A$1:$I$89,5,0)</f>
        <v>125.73599999999998</v>
      </c>
      <c r="BF34" s="13">
        <f t="shared" si="37"/>
        <v>33.0091698918201</v>
      </c>
      <c r="BG34" s="20">
        <f t="shared" si="7"/>
        <v>276.4811708949199</v>
      </c>
      <c r="BH34" s="59">
        <f t="shared" si="8"/>
        <v>516.52929410773743</v>
      </c>
      <c r="BI34" s="59">
        <f ca="1">AVERAGE(OFFSET($BH$3,0,0,'Données projet'!$E$11+1,1))-AVERAGE(OFFSET($H$3,0,0,'Données projet'!$E$11+1,1))</f>
        <v>318.98630351938459</v>
      </c>
      <c r="BJ34" s="59">
        <f t="shared" si="38"/>
        <v>312.22190035638084</v>
      </c>
      <c r="BK34" s="15">
        <f>IF(ISNA(VLOOKUP(A34,'Données projet'!$A$87:$I$107,3,0)),0,VLOOKUP(A34,'Données projet'!$A$87:$I$107,3,0))</f>
        <v>4</v>
      </c>
      <c r="BL34" s="15">
        <f>IF(ISNA(VLOOKUP(A34,'Données projet'!$A$87:$I$107,4,0)),0,VLOOKUP(A34,'Données projet'!$A$87:$I$107,4,0))</f>
        <v>35</v>
      </c>
      <c r="BM34" s="16">
        <f>IF(ISNA(VLOOKUP(A34,'Données projet'!$A$87:$I$107,5,0)),0%,VLOOKUP(A34,'Données projet'!$A$87:$I$107,5,0)*VLOOKUP('Données projet'!$B$11,Paramètres!$A$1:$I$89,7,0))</f>
        <v>0.159</v>
      </c>
      <c r="BN34" s="16">
        <f>IF(ISNA(VLOOKUP(A34,'Données projet'!$A$87:$I$107,6,0)),0%,VLOOKUP(A34,'Données projet'!$A$87:$I$107,6,0)*VLOOKUP('Données projet'!$B$11,Paramètres!$A$1:$I$89,7,0))</f>
        <v>0.21200000000000002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4.9904558874962239</v>
      </c>
      <c r="BQ34" s="21">
        <f>EXP(-LN(2)/25)*BQ33+(1-EXP(-LN(2)/25))/(LN(2)/25)*Calculateur!BL34*Calculateur!BN34*VLOOKUP('Données projet'!$B$11,Paramètres!$A$1:$I$89,3,0)*0.475*44/12</f>
        <v>16.401410266983351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21.391866154479576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10.4</v>
      </c>
      <c r="BY34" s="12">
        <f>IF('Données projet'!$A$114&gt;35,BY33+BX34-CG33,IF(A34&lt;'Données projet'!$A$114,$BV$205^A34,IF(A34='Données projet'!$A$114,'Données projet'!$B$114,BY33+BX34-CG33)))</f>
        <v>147.4</v>
      </c>
      <c r="BZ34" s="13">
        <f>BY34*VLOOKUP('Données projet'!$B$12,Paramètres!$A$1:$I$89,3,0)*VLOOKUP('Données projet'!$B$12,Paramètres!$A$1:$I$89,5,0)</f>
        <v>128.76864000000003</v>
      </c>
      <c r="CA34" s="13">
        <f t="shared" si="39"/>
        <v>33.711670780700224</v>
      </c>
      <c r="CB34" s="20">
        <f t="shared" si="10"/>
        <v>282.98654127638628</v>
      </c>
      <c r="CC34" s="59">
        <f t="shared" si="11"/>
        <v>523.03466448920381</v>
      </c>
      <c r="CD34" s="59">
        <f ca="1">AVERAGE(OFFSET($CC$3,0,0,'Données projet'!$E$12+1,1))-AVERAGE(OFFSET($H$3,0,0,'Données projet'!$E$12+1,1))</f>
        <v>411.67183422518411</v>
      </c>
      <c r="CE34" s="59">
        <f t="shared" si="40"/>
        <v>379.16642539721556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6.4371498033930274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6.4371498033930274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14.690384615384611</v>
      </c>
      <c r="N35" s="13">
        <f>IF('Données projet'!$A$36&gt;35,N34+M35-V34,IF(A35&lt;'Données projet'!$A$36,$K$205^A35,IF(A35='Données projet'!$A$36,'Données projet'!$B$36,N34+M35-V34)))</f>
        <v>188.11923076923074</v>
      </c>
      <c r="O35" s="13">
        <f>N35*VLOOKUP('Données projet'!$B$9,Paramètres!$A$1:$I$89,3,0)*VLOOKUP('Données projet'!$B$9,Paramètres!$A$1:$I$89,5,0)</f>
        <v>88.039799999999985</v>
      </c>
      <c r="P35" s="13">
        <f t="shared" si="33"/>
        <v>24.091867781781861</v>
      </c>
      <c r="Q35" s="20">
        <f t="shared" ref="Q35:Q66" si="53">(O35+P35)*0.475*44/12</f>
        <v>195.29598805327001</v>
      </c>
      <c r="R35" s="59">
        <f t="shared" si="0"/>
        <v>436.26849053379533</v>
      </c>
      <c r="S35" s="59">
        <f ca="1">AVERAGE(OFFSET($R$3,0,0,'Données projet'!$E$9+1,1))-AVERAGE(OFFSET($H$3,0,0,'Données projet'!$E$9+1,1))</f>
        <v>307.52968058891554</v>
      </c>
      <c r="T35" s="59">
        <f t="shared" si="34"/>
        <v>221.27527189662558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492.39468906229803</v>
      </c>
      <c r="AN35" s="59">
        <f ca="1">AVERAGE(OFFSET($AM$3,0,0,'Données projet'!$E$10+1,1))-AVERAGE(OFFSET($H$3,0,0,'Données projet'!$E$10+1,1))</f>
        <v>377.63545575155672</v>
      </c>
      <c r="AO35" s="59">
        <f t="shared" si="36"/>
        <v>339.1731538522788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11.333333333333334</v>
      </c>
      <c r="BD35" s="12">
        <f>IF('Données projet'!$A$88&gt;35,BD34+BC35-BL34,IF(A35&lt;'Données projet'!$A$88,$BA$205^A35,IF(A35='Données projet'!$A$88,'Données projet'!$B$88,BD34+BC35-BL34)))</f>
        <v>131.33333333333329</v>
      </c>
      <c r="BE35" s="13">
        <f>BD35*VLOOKUP('Données projet'!$B$11,Paramètres!$A$1:$I$89,3,0)*VLOOKUP('Données projet'!$B$11,Paramètres!$A$1:$I$89,5,0)</f>
        <v>106.53759999999997</v>
      </c>
      <c r="BF35" s="13">
        <f t="shared" si="37"/>
        <v>28.513703898555363</v>
      </c>
      <c r="BG35" s="20">
        <f t="shared" si="7"/>
        <v>235.21435428998385</v>
      </c>
      <c r="BH35" s="59">
        <f t="shared" si="8"/>
        <v>476.18685677050917</v>
      </c>
      <c r="BI35" s="59">
        <f ca="1">AVERAGE(OFFSET($BH$3,0,0,'Données projet'!$E$11+1,1))-AVERAGE(OFFSET($H$3,0,0,'Données projet'!$E$11+1,1))</f>
        <v>318.98630351938459</v>
      </c>
      <c r="BJ35" s="59">
        <f t="shared" si="38"/>
        <v>312.22190035638084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4.8925960914199562</v>
      </c>
      <c r="BQ35" s="21">
        <f>EXP(-LN(2)/25)*BQ34+(1-EXP(-LN(2)/25))/(LN(2)/25)*Calculateur!BL35*Calculateur!BN35*VLOOKUP('Données projet'!$B$11,Paramètres!$A$1:$I$89,3,0)*0.475*44/12</f>
        <v>15.952912840720012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20.845508932139968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10.4</v>
      </c>
      <c r="BY35" s="12">
        <f>IF('Données projet'!$A$114&gt;35,BY34+BX35-CG34,IF(A35&lt;'Données projet'!$A$114,$BV$205^A35,IF(A35='Données projet'!$A$114,'Données projet'!$B$114,BY34+BX35-CG34)))</f>
        <v>157.80000000000001</v>
      </c>
      <c r="BZ35" s="13">
        <f>BY35*VLOOKUP('Données projet'!$B$12,Paramètres!$A$1:$I$89,3,0)*VLOOKUP('Données projet'!$B$12,Paramètres!$A$1:$I$89,5,0)</f>
        <v>137.85408000000001</v>
      </c>
      <c r="CA35" s="13">
        <f t="shared" si="39"/>
        <v>35.804964283629964</v>
      </c>
      <c r="CB35" s="20">
        <f t="shared" si="10"/>
        <v>302.45616879398887</v>
      </c>
      <c r="CC35" s="59">
        <f t="shared" si="11"/>
        <v>543.42867127451416</v>
      </c>
      <c r="CD35" s="59">
        <f ca="1">AVERAGE(OFFSET($CC$3,0,0,'Données projet'!$E$12+1,1))-AVERAGE(OFFSET($H$3,0,0,'Données projet'!$E$12+1,1))</f>
        <v>411.67183422518411</v>
      </c>
      <c r="CE35" s="59">
        <f t="shared" si="40"/>
        <v>379.16642539721556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6.2611256035042491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6.2611256035042491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14.690384615384611</v>
      </c>
      <c r="N36" s="13">
        <f>IF('Données projet'!$A$36&gt;35,N35+M36-V35,IF(A36&lt;'Données projet'!$A$36,$K$205^A36,IF(A36='Données projet'!$A$36,'Données projet'!$B$36,N35+M36-V35)))</f>
        <v>202.80961538461534</v>
      </c>
      <c r="O36" s="13">
        <f>N36*VLOOKUP('Données projet'!$B$9,Paramètres!$A$1:$I$89,3,0)*VLOOKUP('Données projet'!$B$9,Paramètres!$A$1:$I$89,5,0)</f>
        <v>94.914899999999975</v>
      </c>
      <c r="P36" s="13">
        <f t="shared" si="33"/>
        <v>25.74688752812763</v>
      </c>
      <c r="Q36" s="20">
        <f t="shared" si="53"/>
        <v>210.1526132781556</v>
      </c>
      <c r="R36" s="59">
        <f t="shared" si="0"/>
        <v>452.03345911269633</v>
      </c>
      <c r="S36" s="59">
        <f ca="1">AVERAGE(OFFSET($R$3,0,0,'Données projet'!$E$9+1,1))-AVERAGE(OFFSET($H$3,0,0,'Données projet'!$E$9+1,1))</f>
        <v>307.52968058891554</v>
      </c>
      <c r="T36" s="59">
        <f t="shared" si="34"/>
        <v>221.27527189662558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513.19547638432289</v>
      </c>
      <c r="AN36" s="59">
        <f ca="1">AVERAGE(OFFSET($AM$3,0,0,'Données projet'!$E$10+1,1))-AVERAGE(OFFSET($H$3,0,0,'Données projet'!$E$10+1,1))</f>
        <v>377.63545575155672</v>
      </c>
      <c r="AO36" s="59">
        <f t="shared" si="36"/>
        <v>339.1731538522788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11.333333333333334</v>
      </c>
      <c r="BD36" s="12">
        <f>IF('Données projet'!$A$88&gt;35,BD35+BC36-BL35,IF(A36&lt;'Données projet'!$A$88,$BA$205^A36,IF(A36='Données projet'!$A$88,'Données projet'!$B$88,BD35+BC36-BL35)))</f>
        <v>142.66666666666663</v>
      </c>
      <c r="BE36" s="13">
        <f>BD36*VLOOKUP('Données projet'!$B$11,Paramètres!$A$1:$I$89,3,0)*VLOOKUP('Données projet'!$B$11,Paramètres!$A$1:$I$89,5,0)</f>
        <v>115.73119999999999</v>
      </c>
      <c r="BF36" s="13">
        <f t="shared" si="37"/>
        <v>30.677282667446153</v>
      </c>
      <c r="BG36" s="20">
        <f t="shared" si="7"/>
        <v>254.99477397913537</v>
      </c>
      <c r="BH36" s="59">
        <f t="shared" si="8"/>
        <v>496.87561981367611</v>
      </c>
      <c r="BI36" s="59">
        <f ca="1">AVERAGE(OFFSET($BH$3,0,0,'Données projet'!$E$11+1,1))-AVERAGE(OFFSET($H$3,0,0,'Données projet'!$E$11+1,1))</f>
        <v>318.98630351938459</v>
      </c>
      <c r="BJ36" s="59">
        <f t="shared" si="38"/>
        <v>312.22190035638084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4.7966552662561623</v>
      </c>
      <c r="BQ36" s="21">
        <f>EXP(-LN(2)/25)*BQ35+(1-EXP(-LN(2)/25))/(LN(2)/25)*Calculateur!BL36*Calculateur!BN36*VLOOKUP('Données projet'!$B$11,Paramètres!$A$1:$I$89,3,0)*0.475*44/12</f>
        <v>15.516679600163299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20.31333486641946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10.4</v>
      </c>
      <c r="BY36" s="12">
        <f>IF('Données projet'!$A$114&gt;35,BY35+BX36-CG35,IF(A36&lt;'Données projet'!$A$114,$BV$205^A36,IF(A36='Données projet'!$A$114,'Données projet'!$B$114,BY35+BX36-CG35)))</f>
        <v>168.20000000000002</v>
      </c>
      <c r="BZ36" s="13">
        <f>BY36*VLOOKUP('Données projet'!$B$12,Paramètres!$A$1:$I$89,3,0)*VLOOKUP('Données projet'!$B$12,Paramètres!$A$1:$I$89,5,0)</f>
        <v>146.93952000000004</v>
      </c>
      <c r="CA36" s="13">
        <f t="shared" si="39"/>
        <v>37.882248330654257</v>
      </c>
      <c r="CB36" s="20">
        <f t="shared" si="10"/>
        <v>321.89791317588953</v>
      </c>
      <c r="CC36" s="59">
        <f t="shared" si="11"/>
        <v>563.77875901043024</v>
      </c>
      <c r="CD36" s="59">
        <f ca="1">AVERAGE(OFFSET($CC$3,0,0,'Données projet'!$E$12+1,1))-AVERAGE(OFFSET($H$3,0,0,'Données projet'!$E$12+1,1))</f>
        <v>411.67183422518411</v>
      </c>
      <c r="CE36" s="59">
        <f t="shared" si="40"/>
        <v>379.16642539721556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6.0899147946181396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6.0899147946181396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14.690384615384611</v>
      </c>
      <c r="N37" s="13">
        <f>IF('Données projet'!$A$36&gt;35,N36+M37-V36,IF(A37&lt;'Données projet'!$A$36,$K$205^A37,IF(A37='Données projet'!$A$36,'Données projet'!$B$36,N36+M37-V36)))</f>
        <v>217.49999999999994</v>
      </c>
      <c r="O37" s="13">
        <f>N37*VLOOKUP('Données projet'!$B$9,Paramètres!$A$1:$I$89,3,0)*VLOOKUP('Données projet'!$B$9,Paramètres!$A$1:$I$89,5,0)</f>
        <v>101.78999999999998</v>
      </c>
      <c r="P37" s="13">
        <f t="shared" si="33"/>
        <v>27.38799903683508</v>
      </c>
      <c r="Q37" s="20">
        <f t="shared" si="53"/>
        <v>224.98501498915437</v>
      </c>
      <c r="R37" s="59">
        <f t="shared" si="0"/>
        <v>467.75844645126995</v>
      </c>
      <c r="S37" s="59">
        <f ca="1">AVERAGE(OFFSET($R$3,0,0,'Données projet'!$E$9+1,1))-AVERAGE(OFFSET($H$3,0,0,'Données projet'!$E$9+1,1))</f>
        <v>307.52968058891554</v>
      </c>
      <c r="T37" s="59">
        <f t="shared" si="34"/>
        <v>221.27527189662558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533.94770502369101</v>
      </c>
      <c r="AN37" s="59">
        <f ca="1">AVERAGE(OFFSET($AM$3,0,0,'Données projet'!$E$10+1,1))-AVERAGE(OFFSET($H$3,0,0,'Données projet'!$E$10+1,1))</f>
        <v>377.63545575155672</v>
      </c>
      <c r="AO37" s="59">
        <f t="shared" si="36"/>
        <v>339.1731538522788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11.333333333333334</v>
      </c>
      <c r="BD37" s="12">
        <f>IF('Données projet'!$A$88&gt;35,BD36+BC37-BL36,IF(A37&lt;'Données projet'!$A$88,$BA$205^A37,IF(A37='Données projet'!$A$88,'Données projet'!$B$88,BD36+BC37-BL36)))</f>
        <v>153.99999999999997</v>
      </c>
      <c r="BE37" s="13">
        <f>BD37*VLOOKUP('Données projet'!$B$11,Paramètres!$A$1:$I$89,3,0)*VLOOKUP('Données projet'!$B$11,Paramètres!$A$1:$I$89,5,0)</f>
        <v>124.92479999999998</v>
      </c>
      <c r="BF37" s="13">
        <f t="shared" si="37"/>
        <v>32.820925500842712</v>
      </c>
      <c r="BG37" s="20">
        <f t="shared" si="7"/>
        <v>274.74047191396772</v>
      </c>
      <c r="BH37" s="59">
        <f t="shared" si="8"/>
        <v>517.51390337608336</v>
      </c>
      <c r="BI37" s="59">
        <f ca="1">AVERAGE(OFFSET($BH$3,0,0,'Données projet'!$E$11+1,1))-AVERAGE(OFFSET($H$3,0,0,'Données projet'!$E$11+1,1))</f>
        <v>318.98630351938459</v>
      </c>
      <c r="BJ37" s="59">
        <f t="shared" si="38"/>
        <v>312.22190035638084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4.7025957821557052</v>
      </c>
      <c r="BQ37" s="21">
        <f>EXP(-LN(2)/25)*BQ36+(1-EXP(-LN(2)/25))/(LN(2)/25)*Calculateur!BL37*Calculateur!BN37*VLOOKUP('Données projet'!$B$11,Paramètres!$A$1:$I$89,3,0)*0.475*44/12</f>
        <v>15.092375180510118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19.794970962665822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10.4</v>
      </c>
      <c r="BY37" s="12">
        <f>IF('Données projet'!$A$114&gt;35,BY36+BX37-CG36,IF(A37&lt;'Données projet'!$A$114,$BV$205^A37,IF(A37='Données projet'!$A$114,'Données projet'!$B$114,BY36+BX37-CG36)))</f>
        <v>178.60000000000002</v>
      </c>
      <c r="BZ37" s="13">
        <f>BY37*VLOOKUP('Données projet'!$B$12,Paramètres!$A$1:$I$89,3,0)*VLOOKUP('Données projet'!$B$12,Paramètres!$A$1:$I$89,5,0)</f>
        <v>156.02496000000005</v>
      </c>
      <c r="CA37" s="13">
        <f t="shared" si="39"/>
        <v>39.944625507905997</v>
      </c>
      <c r="CB37" s="20">
        <f t="shared" si="10"/>
        <v>341.31369475960304</v>
      </c>
      <c r="CC37" s="59">
        <f t="shared" si="11"/>
        <v>584.08712622171856</v>
      </c>
      <c r="CD37" s="59">
        <f ca="1">AVERAGE(OFFSET($CC$3,0,0,'Données projet'!$E$12+1,1))-AVERAGE(OFFSET($H$3,0,0,'Données projet'!$E$12+1,1))</f>
        <v>411.67183422518411</v>
      </c>
      <c r="CE37" s="59">
        <f t="shared" si="40"/>
        <v>379.16642539721556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5.923385754304606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5.923385754304606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14.690384615384611</v>
      </c>
      <c r="N38" s="13">
        <f>IF('Données projet'!$A$36&gt;35,N37+M38-V37,IF(A38&lt;'Données projet'!$A$36,$K$205^A38,IF(A38='Données projet'!$A$36,'Données projet'!$B$36,N37+M38-V37)))</f>
        <v>232.19038461538454</v>
      </c>
      <c r="O38" s="13">
        <f>N38*VLOOKUP('Données projet'!$B$9,Paramètres!$A$1:$I$89,3,0)*VLOOKUP('Données projet'!$B$9,Paramètres!$A$1:$I$89,5,0)</f>
        <v>108.66509999999997</v>
      </c>
      <c r="P38" s="13">
        <f t="shared" si="33"/>
        <v>29.016248575845495</v>
      </c>
      <c r="Q38" s="20">
        <f t="shared" si="53"/>
        <v>239.79501543626409</v>
      </c>
      <c r="R38" s="59">
        <f t="shared" si="0"/>
        <v>483.4455481608386</v>
      </c>
      <c r="S38" s="59">
        <f ca="1">AVERAGE(OFFSET($R$3,0,0,'Données projet'!$E$9+1,1))-AVERAGE(OFFSET($H$3,0,0,'Données projet'!$E$9+1,1))</f>
        <v>307.52968058891554</v>
      </c>
      <c r="T38" s="59">
        <f t="shared" si="34"/>
        <v>221.27527189662558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554.6541995209991</v>
      </c>
      <c r="AN38" s="59">
        <f ca="1">AVERAGE(OFFSET($AM$3,0,0,'Données projet'!$E$10+1,1))-AVERAGE(OFFSET($H$3,0,0,'Données projet'!$E$10+1,1))</f>
        <v>377.63545575155672</v>
      </c>
      <c r="AO38" s="59">
        <f t="shared" si="36"/>
        <v>339.1731538522788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11.333333333333334</v>
      </c>
      <c r="BD38" s="12">
        <f>IF('Données projet'!$A$88&gt;35,BD37+BC38-BL37,IF(A38&lt;'Données projet'!$A$88,$BA$205^A38,IF(A38='Données projet'!$A$88,'Données projet'!$B$88,BD37+BC38-BL37)))</f>
        <v>165.33333333333331</v>
      </c>
      <c r="BE38" s="13">
        <f>BD38*VLOOKUP('Données projet'!$B$11,Paramètres!$A$1:$I$89,3,0)*VLOOKUP('Données projet'!$B$11,Paramètres!$A$1:$I$89,5,0)</f>
        <v>134.11840000000001</v>
      </c>
      <c r="BF38" s="13">
        <f t="shared" si="37"/>
        <v>34.946266385156008</v>
      </c>
      <c r="BG38" s="20">
        <f t="shared" si="7"/>
        <v>294.45429395414675</v>
      </c>
      <c r="BH38" s="59">
        <f t="shared" si="8"/>
        <v>538.10482667872122</v>
      </c>
      <c r="BI38" s="59">
        <f ca="1">AVERAGE(OFFSET($BH$3,0,0,'Données projet'!$E$11+1,1))-AVERAGE(OFFSET($H$3,0,0,'Données projet'!$E$11+1,1))</f>
        <v>318.98630351938459</v>
      </c>
      <c r="BJ38" s="59">
        <f t="shared" si="38"/>
        <v>312.22190035638084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4.610380747167838</v>
      </c>
      <c r="BQ38" s="21">
        <f>EXP(-LN(2)/25)*BQ37+(1-EXP(-LN(2)/25))/(LN(2)/25)*Calculateur!BL38*Calculateur!BN38*VLOOKUP('Données projet'!$B$11,Paramètres!$A$1:$I$89,3,0)*0.475*44/12</f>
        <v>14.679673387525552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19.290054134693392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189</v>
      </c>
      <c r="BW38" s="12">
        <f>VLOOKUP(A38,'Données projet'!$A$113:$I$133,9,0)</f>
        <v>10.4</v>
      </c>
      <c r="BX38" s="12">
        <f t="array" ref="BX38">INDEX(BW:BW,MIN(IF(ISNUMBER(BW38:BW234),ROW(BW38:BW234),"")))</f>
        <v>10.4</v>
      </c>
      <c r="BY38" s="12">
        <f>IF('Données projet'!$A$114&gt;35,BY37+BX38-CG37,IF(A38&lt;'Données projet'!$A$114,$BV$205^A38,IF(A38='Données projet'!$A$114,'Données projet'!$B$114,BY37+BX38-CG37)))</f>
        <v>189.00000000000003</v>
      </c>
      <c r="BZ38" s="13">
        <f>BY38*VLOOKUP('Données projet'!$B$12,Paramètres!$A$1:$I$89,3,0)*VLOOKUP('Données projet'!$B$12,Paramètres!$A$1:$I$89,5,0)</f>
        <v>165.11040000000006</v>
      </c>
      <c r="CA38" s="13">
        <f t="shared" si="39"/>
        <v>41.993062739333482</v>
      </c>
      <c r="CB38" s="20">
        <f t="shared" si="10"/>
        <v>360.70519760433922</v>
      </c>
      <c r="CC38" s="59">
        <f t="shared" si="11"/>
        <v>604.35573032891375</v>
      </c>
      <c r="CD38" s="59">
        <f ca="1">AVERAGE(OFFSET($CC$3,0,0,'Données projet'!$E$12+1,1))-AVERAGE(OFFSET($H$3,0,0,'Données projet'!$E$12+1,1))</f>
        <v>411.67183422518411</v>
      </c>
      <c r="CE38" s="59">
        <f t="shared" si="40"/>
        <v>379.16642539721556</v>
      </c>
      <c r="CF38" s="15">
        <f>IF(ISNA(VLOOKUP(A38,'Données projet'!$A$113:$I$133,3,0)),0,VLOOKUP(A38,'Données projet'!$A$113:$I$133,3,0))</f>
        <v>4</v>
      </c>
      <c r="CG38" s="15" t="str">
        <f>IF(ISNA(VLOOKUP(A38,'Données projet'!$A$113:$I$133,4,0)),0,VLOOKUP(A38,'Données projet'!$A$113:$I$133,4,0))</f>
        <v>32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0.215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12.379533176480578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12.379533176480578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14.690384615384611</v>
      </c>
      <c r="N39" s="13">
        <f>IF('Données projet'!$A$36&gt;35,N38+M39-V38,IF(A39&lt;'Données projet'!$A$36,$K$205^A39,IF(A39='Données projet'!$A$36,'Données projet'!$B$36,N38+M39-V38)))</f>
        <v>246.88076923076915</v>
      </c>
      <c r="O39" s="13">
        <f>N39*VLOOKUP('Données projet'!$B$9,Paramètres!$A$1:$I$89,3,0)*VLOOKUP('Données projet'!$B$9,Paramètres!$A$1:$I$89,5,0)</f>
        <v>115.54019999999996</v>
      </c>
      <c r="P39" s="13">
        <f t="shared" si="33"/>
        <v>30.632542537140463</v>
      </c>
      <c r="Q39" s="20">
        <f t="shared" si="53"/>
        <v>254.5841932521862</v>
      </c>
      <c r="R39" s="59">
        <f t="shared" si="0"/>
        <v>499.09661149322062</v>
      </c>
      <c r="S39" s="59">
        <f ca="1">AVERAGE(OFFSET($R$3,0,0,'Données projet'!$E$9+1,1))-AVERAGE(OFFSET($H$3,0,0,'Données projet'!$E$9+1,1))</f>
        <v>307.52968058891554</v>
      </c>
      <c r="T39" s="59">
        <f t="shared" si="34"/>
        <v>221.27527189662558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575.31742777927934</v>
      </c>
      <c r="AN39" s="59">
        <f ca="1">AVERAGE(OFFSET($AM$3,0,0,'Données projet'!$E$10+1,1))-AVERAGE(OFFSET($H$3,0,0,'Données projet'!$E$10+1,1))</f>
        <v>377.63545575155672</v>
      </c>
      <c r="AO39" s="59">
        <f t="shared" si="36"/>
        <v>339.1731538522788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11.333333333333334</v>
      </c>
      <c r="BD39" s="12">
        <f>IF('Données projet'!$A$88&gt;35,BD38+BC39-BL38,IF(A39&lt;'Données projet'!$A$88,$BA$205^A39,IF(A39='Données projet'!$A$88,'Données projet'!$B$88,BD38+BC39-BL38)))</f>
        <v>176.66666666666666</v>
      </c>
      <c r="BE39" s="13">
        <f>BD39*VLOOKUP('Données projet'!$B$11,Paramètres!$A$1:$I$89,3,0)*VLOOKUP('Données projet'!$B$11,Paramètres!$A$1:$I$89,5,0)</f>
        <v>143.31199999999998</v>
      </c>
      <c r="BF39" s="13">
        <f t="shared" si="37"/>
        <v>37.054702611837413</v>
      </c>
      <c r="BG39" s="20">
        <f t="shared" si="7"/>
        <v>314.13867371561679</v>
      </c>
      <c r="BH39" s="59">
        <f t="shared" si="8"/>
        <v>558.65109195665127</v>
      </c>
      <c r="BI39" s="59">
        <f ca="1">AVERAGE(OFFSET($BH$3,0,0,'Données projet'!$E$11+1,1))-AVERAGE(OFFSET($H$3,0,0,'Données projet'!$E$11+1,1))</f>
        <v>318.98630351938459</v>
      </c>
      <c r="BJ39" s="59">
        <f t="shared" si="38"/>
        <v>312.22190035638084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4.5199739927704652</v>
      </c>
      <c r="BQ39" s="21">
        <f>EXP(-LN(2)/25)*BQ38+(1-EXP(-LN(2)/25))/(LN(2)/25)*Calculateur!BL39*Calculateur!BN39*VLOOKUP('Données projet'!$B$11,Paramètres!$A$1:$I$89,3,0)*0.475*44/12</f>
        <v>14.278256946773194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18.798230939543657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9.8000000000000007</v>
      </c>
      <c r="BY39" s="12">
        <f>IF('Données projet'!$A$114&gt;35,BY38+BX39-CG38,IF(A39&lt;'Données projet'!$A$114,$BV$205^A39,IF(A39='Données projet'!$A$114,'Données projet'!$B$114,BY38+BX39-CG38)))</f>
        <v>166.80000000000004</v>
      </c>
      <c r="BZ39" s="13">
        <f>BY39*VLOOKUP('Données projet'!$B$12,Paramètres!$A$1:$I$89,3,0)*VLOOKUP('Données projet'!$B$12,Paramètres!$A$1:$I$89,5,0)</f>
        <v>145.71648000000005</v>
      </c>
      <c r="CA39" s="13">
        <f t="shared" si="39"/>
        <v>37.60350500083149</v>
      </c>
      <c r="CB39" s="20">
        <f t="shared" si="10"/>
        <v>319.28230720978155</v>
      </c>
      <c r="CC39" s="59">
        <f t="shared" si="11"/>
        <v>563.79472545081603</v>
      </c>
      <c r="CD39" s="59">
        <f ca="1">AVERAGE(OFFSET($CC$3,0,0,'Données projet'!$E$12+1,1))-AVERAGE(OFFSET($H$3,0,0,'Données projet'!$E$12+1,1))</f>
        <v>411.67183422518411</v>
      </c>
      <c r="CE39" s="59">
        <f t="shared" si="40"/>
        <v>379.16642539721556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12.041014190758361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12.041014190758361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14.690384615384611</v>
      </c>
      <c r="N40" s="13">
        <f>IF('Données projet'!$A$36&gt;35,N39+M40-V39,IF(A40&lt;'Données projet'!$A$36,$K$205^A40,IF(A40='Données projet'!$A$36,'Données projet'!$B$36,N39+M40-V39)))</f>
        <v>261.57115384615378</v>
      </c>
      <c r="O40" s="13">
        <f>N40*VLOOKUP('Données projet'!$B$9,Paramètres!$A$1:$I$89,3,0)*VLOOKUP('Données projet'!$B$9,Paramètres!$A$1:$I$89,5,0)</f>
        <v>122.41529999999996</v>
      </c>
      <c r="P40" s="13">
        <f t="shared" si="33"/>
        <v>32.23767335088813</v>
      </c>
      <c r="Q40" s="20">
        <f t="shared" si="53"/>
        <v>269.35392858613005</v>
      </c>
      <c r="R40" s="59">
        <f t="shared" si="0"/>
        <v>514.71328055680112</v>
      </c>
      <c r="S40" s="59">
        <f ca="1">AVERAGE(OFFSET($R$3,0,0,'Données projet'!$E$9+1,1))-AVERAGE(OFFSET($H$3,0,0,'Données projet'!$E$9+1,1))</f>
        <v>307.52968058891554</v>
      </c>
      <c r="T40" s="59">
        <f t="shared" si="34"/>
        <v>221.27527189662558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595.9395682854273</v>
      </c>
      <c r="AN40" s="59">
        <f ca="1">AVERAGE(OFFSET($AM$3,0,0,'Données projet'!$E$10+1,1))-AVERAGE(OFFSET($H$3,0,0,'Données projet'!$E$10+1,1))</f>
        <v>377.63545575155672</v>
      </c>
      <c r="AO40" s="59">
        <f t="shared" si="36"/>
        <v>339.1731538522788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188</v>
      </c>
      <c r="BB40" s="12">
        <f>VLOOKUP(A40,'Données projet'!$A$87:$I$107,9,0)</f>
        <v>11.333333333333334</v>
      </c>
      <c r="BC40" s="12">
        <f t="array" ref="BC40">INDEX(BB:BB,MIN(IF(ISNUMBER(BB40:BB236),ROW(BB40:BB236),"")))</f>
        <v>11.333333333333334</v>
      </c>
      <c r="BD40" s="12">
        <f>IF('Données projet'!$A$88&gt;35,BD39+BC40-BL39,IF(A40&lt;'Données projet'!$A$88,$BA$205^A40,IF(A40='Données projet'!$A$88,'Données projet'!$B$88,BD39+BC40-BL39)))</f>
        <v>188</v>
      </c>
      <c r="BE40" s="13">
        <f>BD40*VLOOKUP('Données projet'!$B$11,Paramètres!$A$1:$I$89,3,0)*VLOOKUP('Données projet'!$B$11,Paramètres!$A$1:$I$89,5,0)</f>
        <v>152.50560000000002</v>
      </c>
      <c r="BF40" s="13">
        <f t="shared" si="37"/>
        <v>39.147442061162216</v>
      </c>
      <c r="BG40" s="20">
        <f t="shared" si="7"/>
        <v>333.79571492319093</v>
      </c>
      <c r="BH40" s="59">
        <f t="shared" si="8"/>
        <v>579.155066893862</v>
      </c>
      <c r="BI40" s="59">
        <f ca="1">AVERAGE(OFFSET($BH$3,0,0,'Données projet'!$E$11+1,1))-AVERAGE(OFFSET($H$3,0,0,'Données projet'!$E$11+1,1))</f>
        <v>318.98630351938459</v>
      </c>
      <c r="BJ40" s="59">
        <f t="shared" si="38"/>
        <v>312.22190035638084</v>
      </c>
      <c r="BK40" s="15">
        <f>IF(ISNA(VLOOKUP(A40,'Données projet'!$A$87:$I$107,3,0)),0,VLOOKUP(A40,'Données projet'!$A$87:$I$107,3,0))</f>
        <v>5</v>
      </c>
      <c r="BL40" s="15">
        <f>IF(ISNA(VLOOKUP(A40,'Données projet'!$A$87:$I$107,4,0)),0,VLOOKUP(A40,'Données projet'!$A$87:$I$107,4,0))</f>
        <v>36</v>
      </c>
      <c r="BM40" s="16">
        <f>IF(ISNA(VLOOKUP(A40,'Données projet'!$A$87:$I$107,5,0)),0%,VLOOKUP(A40,'Données projet'!$A$87:$I$107,5,0)*VLOOKUP('Données projet'!$B$11,Paramètres!$A$1:$I$89,7,0))</f>
        <v>0.159</v>
      </c>
      <c r="BN40" s="16">
        <f>IF(ISNA(VLOOKUP(A40,'Données projet'!$A$87:$I$107,6,0)),0%,VLOOKUP(A40,'Données projet'!$A$87:$I$107,6,0)*VLOOKUP('Données projet'!$B$11,Paramètres!$A$1:$I$89,7,0))</f>
        <v>0.21200000000000002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9.5643804011088385</v>
      </c>
      <c r="BQ40" s="21">
        <f>EXP(-LN(2)/25)*BQ39+(1-EXP(-LN(2)/25))/(LN(2)/25)*Calculateur!BL40*Calculateur!BN40*VLOOKUP('Données projet'!$B$11,Paramètres!$A$1:$I$89,3,0)*0.475*44/12</f>
        <v>20.704923400714506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30.269303801823344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9.8000000000000007</v>
      </c>
      <c r="BY40" s="12">
        <f>IF('Données projet'!$A$114&gt;35,BY39+BX40-CG39,IF(A40&lt;'Données projet'!$A$114,$BV$205^A40,IF(A40='Données projet'!$A$114,'Données projet'!$B$114,BY39+BX40-CG39)))</f>
        <v>176.60000000000005</v>
      </c>
      <c r="BZ40" s="13">
        <f>BY40*VLOOKUP('Données projet'!$B$12,Paramètres!$A$1:$I$89,3,0)*VLOOKUP('Données projet'!$B$12,Paramètres!$A$1:$I$89,5,0)</f>
        <v>154.27776000000009</v>
      </c>
      <c r="CA40" s="13">
        <f t="shared" si="39"/>
        <v>39.549125277353333</v>
      </c>
      <c r="CB40" s="20">
        <f t="shared" si="10"/>
        <v>337.58182519139058</v>
      </c>
      <c r="CC40" s="59">
        <f t="shared" si="11"/>
        <v>582.94117716206165</v>
      </c>
      <c r="CD40" s="59">
        <f ca="1">AVERAGE(OFFSET($CC$3,0,0,'Données projet'!$E$12+1,1))-AVERAGE(OFFSET($H$3,0,0,'Données projet'!$E$12+1,1))</f>
        <v>411.67183422518411</v>
      </c>
      <c r="CE40" s="59">
        <f t="shared" si="40"/>
        <v>379.16642539721556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11.711752024502657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11.711752024502657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14.690384615384611</v>
      </c>
      <c r="N41" s="13">
        <f>IF('Données projet'!$A$36&gt;35,N40+M41-V40,IF(A41&lt;'Données projet'!$A$36,$K$205^A41,IF(A41='Données projet'!$A$36,'Données projet'!$B$36,N40+M41-V40)))</f>
        <v>276.26153846153841</v>
      </c>
      <c r="O41" s="13">
        <f>N41*VLOOKUP('Données projet'!$B$9,Paramètres!$A$1:$I$89,3,0)*VLOOKUP('Données projet'!$B$9,Paramètres!$A$1:$I$89,5,0)</f>
        <v>129.29039999999998</v>
      </c>
      <c r="P41" s="13">
        <f t="shared" si="33"/>
        <v>33.832339410932718</v>
      </c>
      <c r="Q41" s="20">
        <f t="shared" si="53"/>
        <v>284.10543780737447</v>
      </c>
      <c r="R41" s="59">
        <f t="shared" si="0"/>
        <v>530.29703110093317</v>
      </c>
      <c r="S41" s="59">
        <f ca="1">AVERAGE(OFFSET($R$3,0,0,'Données projet'!$E$9+1,1))-AVERAGE(OFFSET($H$3,0,0,'Données projet'!$E$9+1,1))</f>
        <v>307.52968058891554</v>
      </c>
      <c r="T41" s="59">
        <f t="shared" si="34"/>
        <v>221.27527189662558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560.66047068962735</v>
      </c>
      <c r="AN41" s="59">
        <f ca="1">AVERAGE(OFFSET($AM$3,0,0,'Données projet'!$E$10+1,1))-AVERAGE(OFFSET($H$3,0,0,'Données projet'!$E$10+1,1))</f>
        <v>377.63545575155672</v>
      </c>
      <c r="AO41" s="59">
        <f t="shared" si="36"/>
        <v>339.1731538522788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11.142857142857142</v>
      </c>
      <c r="BD41" s="12">
        <f>IF('Données projet'!$A$88&gt;35,BD40+BC41-BL40,IF(A41&lt;'Données projet'!$A$88,$BA$205^A41,IF(A41='Données projet'!$A$88,'Données projet'!$B$88,BD40+BC41-BL40)))</f>
        <v>163.14285714285714</v>
      </c>
      <c r="BE41" s="13">
        <f>BD41*VLOOKUP('Données projet'!$B$11,Paramètres!$A$1:$I$89,3,0)*VLOOKUP('Données projet'!$B$11,Paramètres!$A$1:$I$89,5,0)</f>
        <v>132.34148571428571</v>
      </c>
      <c r="BF41" s="13">
        <f t="shared" si="37"/>
        <v>34.536844536486583</v>
      </c>
      <c r="BG41" s="20">
        <f t="shared" si="7"/>
        <v>290.64642518676175</v>
      </c>
      <c r="BH41" s="59">
        <f t="shared" si="8"/>
        <v>536.83801848032044</v>
      </c>
      <c r="BI41" s="59">
        <f ca="1">AVERAGE(OFFSET($BH$3,0,0,'Données projet'!$E$11+1,1))-AVERAGE(OFFSET($H$3,0,0,'Données projet'!$E$11+1,1))</f>
        <v>318.98630351938459</v>
      </c>
      <c r="BJ41" s="59">
        <f t="shared" si="38"/>
        <v>312.22190035638084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9.3768287351391084</v>
      </c>
      <c r="BQ41" s="21">
        <f>EXP(-LN(2)/25)*BQ40+(1-EXP(-LN(2)/25))/(LN(2)/25)*Calculateur!BL41*Calculateur!BN41*VLOOKUP('Données projet'!$B$11,Paramètres!$A$1:$I$89,3,0)*0.475*44/12</f>
        <v>20.138746181497368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29.515574916636474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9.8000000000000007</v>
      </c>
      <c r="BY41" s="12">
        <f>IF('Données projet'!$A$114&gt;35,BY40+BX41-CG40,IF(A41&lt;'Données projet'!$A$114,$BV$205^A41,IF(A41='Données projet'!$A$114,'Données projet'!$B$114,BY40+BX41-CG40)))</f>
        <v>186.40000000000006</v>
      </c>
      <c r="BZ41" s="13">
        <f>BY41*VLOOKUP('Données projet'!$B$12,Paramètres!$A$1:$I$89,3,0)*VLOOKUP('Données projet'!$B$12,Paramètres!$A$1:$I$89,5,0)</f>
        <v>162.83904000000007</v>
      </c>
      <c r="CA41" s="13">
        <f t="shared" si="39"/>
        <v>41.482211836000111</v>
      </c>
      <c r="CB41" s="20">
        <f t="shared" si="10"/>
        <v>355.85951361436696</v>
      </c>
      <c r="CC41" s="59">
        <f t="shared" si="11"/>
        <v>602.05110690792571</v>
      </c>
      <c r="CD41" s="59">
        <f ca="1">AVERAGE(OFFSET($CC$3,0,0,'Données projet'!$E$12+1,1))-AVERAGE(OFFSET($H$3,0,0,'Données projet'!$E$12+1,1))</f>
        <v>411.67183422518411</v>
      </c>
      <c r="CE41" s="59">
        <f t="shared" si="40"/>
        <v>379.16642539721556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11.39149354949836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11.39149354949836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14.690384615384611</v>
      </c>
      <c r="N42" s="13">
        <f>IF('Données projet'!$A$36&gt;35,N41+M42-V41,IF(A42&lt;'Données projet'!$A$36,$K$205^A42,IF(A42='Données projet'!$A$36,'Données projet'!$B$36,N41+M42-V41)))</f>
        <v>290.95192307692304</v>
      </c>
      <c r="O42" s="13">
        <f>N42*VLOOKUP('Données projet'!$B$9,Paramètres!$A$1:$I$89,3,0)*VLOOKUP('Données projet'!$B$9,Paramètres!$A$1:$I$89,5,0)</f>
        <v>136.16549999999998</v>
      </c>
      <c r="P42" s="13">
        <f t="shared" si="33"/>
        <v>35.417160641070218</v>
      </c>
      <c r="Q42" s="20">
        <f t="shared" si="53"/>
        <v>298.83980061653057</v>
      </c>
      <c r="R42" s="59">
        <f t="shared" si="0"/>
        <v>545.84919770663771</v>
      </c>
      <c r="S42" s="59">
        <f ca="1">AVERAGE(OFFSET($R$3,0,0,'Données projet'!$E$9+1,1))-AVERAGE(OFFSET($H$3,0,0,'Données projet'!$E$9+1,1))</f>
        <v>307.52968058891554</v>
      </c>
      <c r="T42" s="59">
        <f t="shared" si="34"/>
        <v>221.27527189662558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581.12233803970889</v>
      </c>
      <c r="AN42" s="59">
        <f ca="1">AVERAGE(OFFSET($AM$3,0,0,'Données projet'!$E$10+1,1))-AVERAGE(OFFSET($H$3,0,0,'Données projet'!$E$10+1,1))</f>
        <v>377.63545575155672</v>
      </c>
      <c r="AO42" s="59">
        <f t="shared" si="36"/>
        <v>339.1731538522788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11.142857142857142</v>
      </c>
      <c r="BD42" s="12">
        <f>IF('Données projet'!$A$88&gt;35,BD41+BC42-BL41,IF(A42&lt;'Données projet'!$A$88,$BA$205^A42,IF(A42='Données projet'!$A$88,'Données projet'!$B$88,BD41+BC42-BL41)))</f>
        <v>174.28571428571428</v>
      </c>
      <c r="BE42" s="13">
        <f>BD42*VLOOKUP('Données projet'!$B$11,Paramètres!$A$1:$I$89,3,0)*VLOOKUP('Données projet'!$B$11,Paramètres!$A$1:$I$89,5,0)</f>
        <v>141.38057142857144</v>
      </c>
      <c r="BF42" s="13">
        <f t="shared" si="37"/>
        <v>36.613094170880125</v>
      </c>
      <c r="BG42" s="20">
        <f t="shared" si="7"/>
        <v>310.00563425237812</v>
      </c>
      <c r="BH42" s="59">
        <f t="shared" si="8"/>
        <v>557.01503134248526</v>
      </c>
      <c r="BI42" s="59">
        <f ca="1">AVERAGE(OFFSET($BH$3,0,0,'Données projet'!$E$11+1,1))-AVERAGE(OFFSET($H$3,0,0,'Données projet'!$E$11+1,1))</f>
        <v>318.98630351938459</v>
      </c>
      <c r="BJ42" s="59">
        <f t="shared" si="38"/>
        <v>312.22190035638084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9.1929548429438253</v>
      </c>
      <c r="BQ42" s="21">
        <f>EXP(-LN(2)/25)*BQ41+(1-EXP(-LN(2)/25))/(LN(2)/25)*Calculateur!BL42*Calculateur!BN42*VLOOKUP('Données projet'!$B$11,Paramètres!$A$1:$I$89,3,0)*0.475*44/12</f>
        <v>19.588051108113689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28.781005951057516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9.8000000000000007</v>
      </c>
      <c r="BY42" s="12">
        <f>IF('Données projet'!$A$114&gt;35,BY41+BX42-CG41,IF(A42&lt;'Données projet'!$A$114,$BV$205^A42,IF(A42='Données projet'!$A$114,'Données projet'!$B$114,BY41+BX42-CG41)))</f>
        <v>196.20000000000007</v>
      </c>
      <c r="BZ42" s="13">
        <f>BY42*VLOOKUP('Données projet'!$B$12,Paramètres!$A$1:$I$89,3,0)*VLOOKUP('Données projet'!$B$12,Paramètres!$A$1:$I$89,5,0)</f>
        <v>171.40032000000011</v>
      </c>
      <c r="CA42" s="13">
        <f t="shared" si="39"/>
        <v>43.40349878862115</v>
      </c>
      <c r="CB42" s="20">
        <f t="shared" si="10"/>
        <v>374.11665105684864</v>
      </c>
      <c r="CC42" s="59">
        <f t="shared" si="11"/>
        <v>621.12604814695578</v>
      </c>
      <c r="CD42" s="59">
        <f ca="1">AVERAGE(OFFSET($CC$3,0,0,'Données projet'!$E$12+1,1))-AVERAGE(OFFSET($H$3,0,0,'Données projet'!$E$12+1,1))</f>
        <v>411.67183422518411</v>
      </c>
      <c r="CE42" s="59">
        <f t="shared" si="40"/>
        <v>379.16642539721556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11.079992559334718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11.079992559334718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14.690384615384611</v>
      </c>
      <c r="N43" s="13">
        <f>IF('Données projet'!$A$36&gt;35,N42+M43-V42,IF(A43&lt;'Données projet'!$A$36,$K$205^A43,IF(A43='Données projet'!$A$36,'Données projet'!$B$36,N42+M43-V42)))</f>
        <v>305.64230769230767</v>
      </c>
      <c r="O43" s="13">
        <f>N43*VLOOKUP('Données projet'!$B$9,Paramètres!$A$1:$I$89,3,0)*VLOOKUP('Données projet'!$B$9,Paramètres!$A$1:$I$89,5,0)</f>
        <v>143.04059999999998</v>
      </c>
      <c r="P43" s="13">
        <f t="shared" si="33"/>
        <v>36.992690828109559</v>
      </c>
      <c r="Q43" s="20">
        <f t="shared" si="53"/>
        <v>313.55798152562414</v>
      </c>
      <c r="R43" s="59">
        <f t="shared" si="0"/>
        <v>561.37099534474498</v>
      </c>
      <c r="S43" s="59">
        <f ca="1">AVERAGE(OFFSET($R$3,0,0,'Données projet'!$E$9+1,1))-AVERAGE(OFFSET($H$3,0,0,'Données projet'!$E$9+1,1))</f>
        <v>307.52968058891554</v>
      </c>
      <c r="T43" s="59">
        <f t="shared" si="34"/>
        <v>221.27527189662558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601.54457577153801</v>
      </c>
      <c r="AN43" s="59">
        <f ca="1">AVERAGE(OFFSET($AM$3,0,0,'Données projet'!$E$10+1,1))-AVERAGE(OFFSET($H$3,0,0,'Données projet'!$E$10+1,1))</f>
        <v>377.63545575155672</v>
      </c>
      <c r="AO43" s="59">
        <f t="shared" si="36"/>
        <v>339.1731538522788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11.142857142857142</v>
      </c>
      <c r="BD43" s="12">
        <f>IF('Données projet'!$A$88&gt;35,BD42+BC43-BL42,IF(A43&lt;'Données projet'!$A$88,$BA$205^A43,IF(A43='Données projet'!$A$88,'Données projet'!$B$88,BD42+BC43-BL42)))</f>
        <v>185.42857142857142</v>
      </c>
      <c r="BE43" s="13">
        <f>BD43*VLOOKUP('Données projet'!$B$11,Paramètres!$A$1:$I$89,3,0)*VLOOKUP('Données projet'!$B$11,Paramètres!$A$1:$I$89,5,0)</f>
        <v>150.41965714285715</v>
      </c>
      <c r="BF43" s="13">
        <f t="shared" si="37"/>
        <v>38.673938700014851</v>
      </c>
      <c r="BG43" s="20">
        <f t="shared" si="7"/>
        <v>329.33801275966874</v>
      </c>
      <c r="BH43" s="59">
        <f t="shared" si="8"/>
        <v>577.15102657878958</v>
      </c>
      <c r="BI43" s="59">
        <f ca="1">AVERAGE(OFFSET($BH$3,0,0,'Données projet'!$E$11+1,1))-AVERAGE(OFFSET($H$3,0,0,'Données projet'!$E$11+1,1))</f>
        <v>318.98630351938459</v>
      </c>
      <c r="BJ43" s="59">
        <f t="shared" si="38"/>
        <v>312.22190035638084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9.0126866056224912</v>
      </c>
      <c r="BQ43" s="21">
        <f>EXP(-LN(2)/25)*BQ42+(1-EXP(-LN(2)/25))/(LN(2)/25)*Calculateur!BL43*Calculateur!BN43*VLOOKUP('Données projet'!$B$11,Paramètres!$A$1:$I$89,3,0)*0.475*44/12</f>
        <v>19.05241482047148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28.065101426093971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206</v>
      </c>
      <c r="BW43" s="12">
        <f>VLOOKUP(A43,'Données projet'!$A$113:$I$133,9,0)</f>
        <v>9.8000000000000007</v>
      </c>
      <c r="BX43" s="12">
        <f t="array" ref="BX43">INDEX(BW:BW,MIN(IF(ISNUMBER(BW43:BW239),ROW(BW43:BW239),"")))</f>
        <v>9.8000000000000007</v>
      </c>
      <c r="BY43" s="12">
        <f>IF('Données projet'!$A$114&gt;35,BY42+BX43-CG42,IF(A43&lt;'Données projet'!$A$114,$BV$205^A43,IF(A43='Données projet'!$A$114,'Données projet'!$B$114,BY42+BX43-CG42)))</f>
        <v>206.00000000000009</v>
      </c>
      <c r="BZ43" s="13">
        <f>BY43*VLOOKUP('Données projet'!$B$12,Paramètres!$A$1:$I$89,3,0)*VLOOKUP('Données projet'!$B$12,Paramètres!$A$1:$I$89,5,0)</f>
        <v>179.96160000000009</v>
      </c>
      <c r="CA43" s="13">
        <f t="shared" si="39"/>
        <v>45.313642767960104</v>
      </c>
      <c r="CB43" s="20">
        <f t="shared" si="10"/>
        <v>392.35438115419737</v>
      </c>
      <c r="CC43" s="59">
        <f t="shared" si="11"/>
        <v>640.16739497331821</v>
      </c>
      <c r="CD43" s="59">
        <f ca="1">AVERAGE(OFFSET($CC$3,0,0,'Données projet'!$E$12+1,1))-AVERAGE(OFFSET($H$3,0,0,'Données projet'!$E$12+1,1))</f>
        <v>411.67183422518411</v>
      </c>
      <c r="CE43" s="59">
        <f t="shared" si="40"/>
        <v>379.16642539721556</v>
      </c>
      <c r="CF43" s="15">
        <f>IF(ISNA(VLOOKUP(A43,'Données projet'!$A$113:$I$133,3,0)),0,VLOOKUP(A43,'Données projet'!$A$113:$I$133,3,0))</f>
        <v>5</v>
      </c>
      <c r="CG43" s="15" t="str">
        <f>IF(ISNA(VLOOKUP(A43,'Données projet'!$A$113:$I$133,4,0)),0,VLOOKUP(A43,'Données projet'!$A$113:$I$133,4,0))</f>
        <v>31</v>
      </c>
      <c r="CH43" s="16">
        <f>IF(ISNA(VLOOKUP(A43,'Données projet'!$A$113:$I$133,5,0)),0%,VLOOKUP(A43,'Données projet'!$A$113:$I$133,5,0)*VLOOKUP('Données projet'!$B$12,Paramètres!$A$1:$I$89,7,0))</f>
        <v>0.17200000000000001</v>
      </c>
      <c r="CI43" s="16">
        <f>IF(ISNA(VLOOKUP(A43,'Données projet'!$A$113:$I$133,6,0)),0%,VLOOKUP(A43,'Données projet'!$A$113:$I$133,6,0)*VLOOKUP('Données projet'!$B$12,Paramètres!$A$1:$I$89,7,0))</f>
        <v>0.17200000000000001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5.1493199404218428</v>
      </c>
      <c r="CL43" s="21">
        <f>EXP(-LN(2)/25)*CL42+(1-EXP(-LN(2)/25))/(LN(2)/25)*Calculateur!CG43*Calculateur!CI43*VLOOKUP('Données projet'!$B$12,Paramètres!$A$1:$I$89,3,0)*0.475*44/12</f>
        <v>15.906054685899907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21.05537462632175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14.690384615384611</v>
      </c>
      <c r="N44" s="13">
        <f>IF('Données projet'!$A$36&gt;35,N43+M44-V43,IF(A44&lt;'Données projet'!$A$36,$K$205^A44,IF(A44='Données projet'!$A$36,'Données projet'!$B$36,N43+M44-V43)))</f>
        <v>320.3326923076923</v>
      </c>
      <c r="O44" s="13">
        <f>N44*VLOOKUP('Données projet'!$B$9,Paramètres!$A$1:$I$89,3,0)*VLOOKUP('Données projet'!$B$9,Paramètres!$A$1:$I$89,5,0)</f>
        <v>149.91569999999999</v>
      </c>
      <c r="P44" s="13">
        <f t="shared" si="33"/>
        <v>38.559427516613091</v>
      </c>
      <c r="Q44" s="20">
        <f t="shared" si="53"/>
        <v>328.26084709143441</v>
      </c>
      <c r="R44" s="59">
        <f t="shared" si="0"/>
        <v>576.86353668593836</v>
      </c>
      <c r="S44" s="59">
        <f ca="1">AVERAGE(OFFSET($R$3,0,0,'Données projet'!$E$9+1,1))-AVERAGE(OFFSET($H$3,0,0,'Données projet'!$E$9+1,1))</f>
        <v>307.52968058891554</v>
      </c>
      <c r="T44" s="59">
        <f t="shared" si="34"/>
        <v>221.27527189662558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621.92903895357347</v>
      </c>
      <c r="AN44" s="59">
        <f ca="1">AVERAGE(OFFSET($AM$3,0,0,'Données projet'!$E$10+1,1))-AVERAGE(OFFSET($H$3,0,0,'Données projet'!$E$10+1,1))</f>
        <v>377.63545575155672</v>
      </c>
      <c r="AO44" s="59">
        <f t="shared" si="36"/>
        <v>339.1731538522788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11.142857142857142</v>
      </c>
      <c r="BD44" s="12">
        <f>IF('Données projet'!$A$88&gt;35,BD43+BC44-BL43,IF(A44&lt;'Données projet'!$A$88,$BA$205^A44,IF(A44='Données projet'!$A$88,'Données projet'!$B$88,BD43+BC44-BL43)))</f>
        <v>196.57142857142856</v>
      </c>
      <c r="BE44" s="13">
        <f>BD44*VLOOKUP('Données projet'!$B$11,Paramètres!$A$1:$I$89,3,0)*VLOOKUP('Données projet'!$B$11,Paramètres!$A$1:$I$89,5,0)</f>
        <v>159.45874285714285</v>
      </c>
      <c r="BF44" s="13">
        <f t="shared" si="37"/>
        <v>40.720409281188005</v>
      </c>
      <c r="BG44" s="20">
        <f t="shared" si="7"/>
        <v>348.64535664092631</v>
      </c>
      <c r="BH44" s="59">
        <f t="shared" si="8"/>
        <v>597.24804623543025</v>
      </c>
      <c r="BI44" s="59">
        <f ca="1">AVERAGE(OFFSET($BH$3,0,0,'Données projet'!$E$11+1,1))-AVERAGE(OFFSET($H$3,0,0,'Données projet'!$E$11+1,1))</f>
        <v>318.98630351938459</v>
      </c>
      <c r="BJ44" s="59">
        <f t="shared" si="38"/>
        <v>312.22190035638084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8.835953318482261</v>
      </c>
      <c r="BQ44" s="21">
        <f>EXP(-LN(2)/25)*BQ43+(1-EXP(-LN(2)/25))/(LN(2)/25)*Calculateur!BL44*Calculateur!BN44*VLOOKUP('Données projet'!$B$11,Paramètres!$A$1:$I$89,3,0)*0.475*44/12</f>
        <v>18.531425535282736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27.367378853764997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8.8000000000000007</v>
      </c>
      <c r="BY44" s="12">
        <f>IF('Données projet'!$A$114&gt;35,BY43+BX44-CG43,IF(A44&lt;'Données projet'!$A$114,$BV$205^A44,IF(A44='Données projet'!$A$114,'Données projet'!$B$114,BY43+BX44-CG43)))</f>
        <v>183.8000000000001</v>
      </c>
      <c r="BZ44" s="13">
        <f>BY44*VLOOKUP('Données projet'!$B$12,Paramètres!$A$1:$I$89,3,0)*VLOOKUP('Données projet'!$B$12,Paramètres!$A$1:$I$89,5,0)</f>
        <v>160.56768000000011</v>
      </c>
      <c r="CA44" s="13">
        <f t="shared" si="39"/>
        <v>40.970530810309917</v>
      </c>
      <c r="CB44" s="20">
        <f t="shared" si="10"/>
        <v>351.01238382795663</v>
      </c>
      <c r="CC44" s="59">
        <f t="shared" si="11"/>
        <v>599.61507342246057</v>
      </c>
      <c r="CD44" s="59">
        <f ca="1">AVERAGE(OFFSET($CC$3,0,0,'Données projet'!$E$12+1,1))-AVERAGE(OFFSET($H$3,0,0,'Données projet'!$E$12+1,1))</f>
        <v>411.67183422518411</v>
      </c>
      <c r="CE44" s="59">
        <f t="shared" si="40"/>
        <v>379.16642539721556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5.0483449171652079</v>
      </c>
      <c r="CL44" s="21">
        <f>EXP(-LN(2)/25)*CL43+(1-EXP(-LN(2)/25))/(LN(2)/25)*Calculateur!CG44*Calculateur!CI44*VLOOKUP('Données projet'!$B$12,Paramètres!$A$1:$I$89,3,0)*0.475*44/12</f>
        <v>15.471102784050911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20.519447701216119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335.02307692307687</v>
      </c>
      <c r="L45" s="12">
        <f>VLOOKUP(A45,'Données projet'!$A$35:$I$55,9,0)</f>
        <v>14.690384615384611</v>
      </c>
      <c r="M45" s="12">
        <f t="array" ref="M45">INDEX(L:L,MIN(IF(ISNUMBER(L45:L241),ROW(L45:L241),"")))</f>
        <v>14.690384615384611</v>
      </c>
      <c r="N45" s="13">
        <f>IF('Données projet'!$A$36&gt;35,N44+M45-V44,IF(A45&lt;'Données projet'!$A$36,$K$205^A45,IF(A45='Données projet'!$A$36,'Données projet'!$B$36,N44+M45-V44)))</f>
        <v>335.02307692307693</v>
      </c>
      <c r="O45" s="13">
        <f>N45*VLOOKUP('Données projet'!$B$9,Paramètres!$A$1:$I$89,3,0)*VLOOKUP('Données projet'!$B$9,Paramètres!$A$1:$I$89,5,0)</f>
        <v>156.79079999999999</v>
      </c>
      <c r="P45" s="13">
        <f t="shared" si="33"/>
        <v>40.117820037225911</v>
      </c>
      <c r="Q45" s="20">
        <f t="shared" si="53"/>
        <v>342.94917989816844</v>
      </c>
      <c r="R45" s="59">
        <f t="shared" si="0"/>
        <v>592.32784615880314</v>
      </c>
      <c r="S45" s="59">
        <f ca="1">AVERAGE(OFFSET($R$3,0,0,'Données projet'!$E$9+1,1))-AVERAGE(OFFSET($H$3,0,0,'Données projet'!$E$9+1,1))</f>
        <v>307.52968058891554</v>
      </c>
      <c r="T45" s="59">
        <f t="shared" si="34"/>
        <v>221.27527189662558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104.98461538461537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0.30800000000000005</v>
      </c>
      <c r="Y45" s="16">
        <f>IF(ISNA(VLOOKUP(A45,'Données projet'!$A$35:$I$55,7,0)),0%,VLOOKUP(A45,'Données projet'!$A$35:$I$55,7,0))</f>
        <v>0.44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19.995728411199782</v>
      </c>
      <c r="AB45" s="21">
        <f>EXP(-LN(2)/2)*AB44+(1-EXP(-LN(2)/2))/(LN(2)/2)*V45*Y45*VLOOKUP('Données projet'!$B$9,Paramètres!$A$1:$I$89,3,0)*0.475*44/12</f>
        <v>24.477086932279665</v>
      </c>
      <c r="AC45" s="22">
        <f t="shared" si="3"/>
        <v>44.472815343479446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642.27739575497276</v>
      </c>
      <c r="AN45" s="59">
        <f ca="1">AVERAGE(OFFSET($AM$3,0,0,'Données projet'!$E$10+1,1))-AVERAGE(OFFSET($H$3,0,0,'Données projet'!$E$10+1,1))</f>
        <v>377.63545575155672</v>
      </c>
      <c r="AO45" s="59">
        <f t="shared" si="36"/>
        <v>339.1731538522788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11.142857142857142</v>
      </c>
      <c r="BD45" s="12">
        <f>IF('Données projet'!$A$88&gt;35,BD44+BC45-BL44,IF(A45&lt;'Données projet'!$A$88,$BA$205^A45,IF(A45='Données projet'!$A$88,'Données projet'!$B$88,BD44+BC45-BL44)))</f>
        <v>207.71428571428569</v>
      </c>
      <c r="BE45" s="13">
        <f>BD45*VLOOKUP('Données projet'!$B$11,Paramètres!$A$1:$I$89,3,0)*VLOOKUP('Données projet'!$B$11,Paramètres!$A$1:$I$89,5,0)</f>
        <v>168.49782857142858</v>
      </c>
      <c r="BF45" s="13">
        <f t="shared" si="37"/>
        <v>42.753413564296366</v>
      </c>
      <c r="BG45" s="20">
        <f t="shared" si="7"/>
        <v>367.92924671972099</v>
      </c>
      <c r="BH45" s="59">
        <f t="shared" si="8"/>
        <v>617.3079129803557</v>
      </c>
      <c r="BI45" s="59">
        <f ca="1">AVERAGE(OFFSET($BH$3,0,0,'Données projet'!$E$11+1,1))-AVERAGE(OFFSET($H$3,0,0,'Données projet'!$E$11+1,1))</f>
        <v>318.98630351938459</v>
      </c>
      <c r="BJ45" s="59">
        <f t="shared" si="38"/>
        <v>312.22190035638084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8.6626856633061884</v>
      </c>
      <c r="BQ45" s="21">
        <f>EXP(-LN(2)/25)*BQ44+(1-EXP(-LN(2)/25))/(LN(2)/25)*Calculateur!BL45*Calculateur!BN45*VLOOKUP('Données projet'!$B$11,Paramètres!$A$1:$I$89,3,0)*0.475*44/12</f>
        <v>18.024682729495115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26.687368392801304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8.8000000000000007</v>
      </c>
      <c r="BY45" s="12">
        <f>IF('Données projet'!$A$114&gt;35,BY44+BX45-CG44,IF(A45&lt;'Données projet'!$A$114,$BV$205^A45,IF(A45='Données projet'!$A$114,'Données projet'!$B$114,BY44+BX45-CG44)))</f>
        <v>192.60000000000011</v>
      </c>
      <c r="BZ45" s="13">
        <f>BY45*VLOOKUP('Données projet'!$B$12,Paramètres!$A$1:$I$89,3,0)*VLOOKUP('Données projet'!$B$12,Paramètres!$A$1:$I$89,5,0)</f>
        <v>168.25536000000011</v>
      </c>
      <c r="CA45" s="13">
        <f t="shared" si="39"/>
        <v>42.699047982710923</v>
      </c>
      <c r="CB45" s="20">
        <f t="shared" si="10"/>
        <v>367.41226056988836</v>
      </c>
      <c r="CC45" s="59">
        <f t="shared" si="11"/>
        <v>616.79092683052306</v>
      </c>
      <c r="CD45" s="59">
        <f ca="1">AVERAGE(OFFSET($CC$3,0,0,'Données projet'!$E$12+1,1))-AVERAGE(OFFSET($H$3,0,0,'Données projet'!$E$12+1,1))</f>
        <v>411.67183422518411</v>
      </c>
      <c r="CE45" s="59">
        <f t="shared" si="40"/>
        <v>379.16642539721556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4.949349952525953</v>
      </c>
      <c r="CL45" s="21">
        <f>EXP(-LN(2)/25)*CL44+(1-EXP(-LN(2)/25))/(LN(2)/25)*Calculateur!CG45*Calculateur!CI45*VLOOKUP('Données projet'!$B$12,Paramètres!$A$1:$I$89,3,0)*0.475*44/12</f>
        <v>15.048044664831103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19.997394617357056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14.989423076923082</v>
      </c>
      <c r="N46" s="13">
        <f>IF('Données projet'!$A$36&gt;35,N45+M46-V45,IF(A46&lt;'Données projet'!$A$36,$K$205^A46,IF(A46='Données projet'!$A$36,'Données projet'!$B$36,N45+M46-V45)))</f>
        <v>245.02788461538461</v>
      </c>
      <c r="O46" s="13">
        <f>N46*VLOOKUP('Données projet'!$B$9,Paramètres!$A$1:$I$89,3,0)*VLOOKUP('Données projet'!$B$9,Paramètres!$A$1:$I$89,5,0)</f>
        <v>114.67305</v>
      </c>
      <c r="P46" s="13">
        <f t="shared" si="33"/>
        <v>30.429311489148546</v>
      </c>
      <c r="Q46" s="20">
        <f t="shared" si="53"/>
        <v>252.71994626026705</v>
      </c>
      <c r="R46" s="59">
        <f t="shared" si="0"/>
        <v>502.86112772669912</v>
      </c>
      <c r="S46" s="59">
        <f ca="1">AVERAGE(OFFSET($R$3,0,0,'Données projet'!$E$9+1,1))-AVERAGE(OFFSET($H$3,0,0,'Données projet'!$E$9+1,1))</f>
        <v>307.52968058891554</v>
      </c>
      <c r="T46" s="59">
        <f t="shared" si="34"/>
        <v>221.27527189662558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19.448944166265868</v>
      </c>
      <c r="AB46" s="21">
        <f>EXP(-LN(2)/2)*AB45+(1-EXP(-LN(2)/2))/(LN(2)/2)*V46*Y46*VLOOKUP('Données projet'!$B$9,Paramètres!$A$1:$I$89,3,0)*0.475*44/12</f>
        <v>17.307914153507578</v>
      </c>
      <c r="AC46" s="22">
        <f t="shared" si="3"/>
        <v>36.756858319773443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662.5911565025765</v>
      </c>
      <c r="AN46" s="59">
        <f ca="1">AVERAGE(OFFSET($AM$3,0,0,'Données projet'!$E$10+1,1))-AVERAGE(OFFSET($H$3,0,0,'Données projet'!$E$10+1,1))</f>
        <v>377.63545575155672</v>
      </c>
      <c r="AO46" s="59">
        <f t="shared" si="36"/>
        <v>339.1731538522788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11.142857142857142</v>
      </c>
      <c r="BD46" s="12">
        <f>IF('Données projet'!$A$88&gt;35,BD45+BC46-BL45,IF(A46&lt;'Données projet'!$A$88,$BA$205^A46,IF(A46='Données projet'!$A$88,'Données projet'!$B$88,BD45+BC46-BL45)))</f>
        <v>218.85714285714283</v>
      </c>
      <c r="BE46" s="13">
        <f>BD46*VLOOKUP('Données projet'!$B$11,Paramètres!$A$1:$I$89,3,0)*VLOOKUP('Données projet'!$B$11,Paramètres!$A$1:$I$89,5,0)</f>
        <v>177.53691428571426</v>
      </c>
      <c r="BF46" s="13">
        <f t="shared" si="37"/>
        <v>44.773756317302826</v>
      </c>
      <c r="BG46" s="20">
        <f t="shared" si="7"/>
        <v>387.1910846335881</v>
      </c>
      <c r="BH46" s="59">
        <f t="shared" si="8"/>
        <v>637.33226610002021</v>
      </c>
      <c r="BI46" s="59">
        <f ca="1">AVERAGE(OFFSET($BH$3,0,0,'Données projet'!$E$11+1,1))-AVERAGE(OFFSET($H$3,0,0,'Données projet'!$E$11+1,1))</f>
        <v>318.98630351938459</v>
      </c>
      <c r="BJ46" s="59">
        <f t="shared" si="38"/>
        <v>312.22190035638084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8.4928156811652844</v>
      </c>
      <c r="BQ46" s="21">
        <f>EXP(-LN(2)/25)*BQ45+(1-EXP(-LN(2)/25))/(LN(2)/25)*Calculateur!BL46*Calculateur!BN46*VLOOKUP('Données projet'!$B$11,Paramètres!$A$1:$I$89,3,0)*0.475*44/12</f>
        <v>17.531796832380202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26.024612513545485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8.8000000000000007</v>
      </c>
      <c r="BY46" s="12">
        <f>IF('Données projet'!$A$114&gt;35,BY45+BX46-CG45,IF(A46&lt;'Données projet'!$A$114,$BV$205^A46,IF(A46='Données projet'!$A$114,'Données projet'!$B$114,BY45+BX46-CG45)))</f>
        <v>201.40000000000012</v>
      </c>
      <c r="BZ46" s="13">
        <f>BY46*VLOOKUP('Données projet'!$B$12,Paramètres!$A$1:$I$89,3,0)*VLOOKUP('Données projet'!$B$12,Paramètres!$A$1:$I$89,5,0)</f>
        <v>175.94304000000014</v>
      </c>
      <c r="CA46" s="13">
        <f t="shared" si="39"/>
        <v>44.418393276556458</v>
      </c>
      <c r="CB46" s="20">
        <f t="shared" si="10"/>
        <v>383.79616295666938</v>
      </c>
      <c r="CC46" s="59">
        <f t="shared" si="11"/>
        <v>633.93734442310142</v>
      </c>
      <c r="CD46" s="59">
        <f ca="1">AVERAGE(OFFSET($CC$3,0,0,'Données projet'!$E$12+1,1))-AVERAGE(OFFSET($H$3,0,0,'Données projet'!$E$12+1,1))</f>
        <v>411.67183422518411</v>
      </c>
      <c r="CE46" s="59">
        <f t="shared" si="40"/>
        <v>379.16642539721556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4.8522962187623078</v>
      </c>
      <c r="CL46" s="21">
        <f>EXP(-LN(2)/25)*CL45+(1-EXP(-LN(2)/25))/(LN(2)/25)*Calculateur!CG46*Calculateur!CI46*VLOOKUP('Données projet'!$B$12,Paramètres!$A$1:$I$89,3,0)*0.475*44/12</f>
        <v>14.63655509212902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19.488851310891327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14.989423076923082</v>
      </c>
      <c r="N47" s="13">
        <f>IF('Données projet'!$A$36&gt;35,N46+M47-V46,IF(A47&lt;'Données projet'!$A$36,$K$205^A47,IF(A47='Données projet'!$A$36,'Données projet'!$B$36,N46+M47-V46)))</f>
        <v>260.01730769230767</v>
      </c>
      <c r="O47" s="13">
        <f>N47*VLOOKUP('Données projet'!$B$9,Paramètres!$A$1:$I$89,3,0)*VLOOKUP('Données projet'!$B$9,Paramètres!$A$1:$I$89,5,0)</f>
        <v>121.68809999999999</v>
      </c>
      <c r="P47" s="13">
        <f t="shared" si="33"/>
        <v>32.068400221328496</v>
      </c>
      <c r="Q47" s="20">
        <f t="shared" si="53"/>
        <v>267.79257121881375</v>
      </c>
      <c r="R47" s="59">
        <f t="shared" si="0"/>
        <v>518.68303995695123</v>
      </c>
      <c r="S47" s="59">
        <f ca="1">AVERAGE(OFFSET($R$3,0,0,'Données projet'!$E$9+1,1))-AVERAGE(OFFSET($H$3,0,0,'Données projet'!$E$9+1,1))</f>
        <v>307.52968058891554</v>
      </c>
      <c r="T47" s="59">
        <f t="shared" si="34"/>
        <v>221.27527189662558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18.917111765263805</v>
      </c>
      <c r="AB47" s="21">
        <f>EXP(-LN(2)/2)*AB46+(1-EXP(-LN(2)/2))/(LN(2)/2)*V47*Y47*VLOOKUP('Données projet'!$B$9,Paramètres!$A$1:$I$89,3,0)*0.475*44/12</f>
        <v>12.238543466139832</v>
      </c>
      <c r="AC47" s="22">
        <f t="shared" si="3"/>
        <v>31.155655231403635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682.87169695344005</v>
      </c>
      <c r="AN47" s="59">
        <f ca="1">AVERAGE(OFFSET($AM$3,0,0,'Données projet'!$E$10+1,1))-AVERAGE(OFFSET($H$3,0,0,'Données projet'!$E$10+1,1))</f>
        <v>377.63545575155672</v>
      </c>
      <c r="AO47" s="59">
        <f t="shared" si="36"/>
        <v>339.1731538522788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230</v>
      </c>
      <c r="BB47" s="12">
        <f>VLOOKUP(A47,'Données projet'!$A$87:$I$107,9,0)</f>
        <v>11.142857142857142</v>
      </c>
      <c r="BC47" s="12">
        <f t="array" ref="BC47">INDEX(BB:BB,MIN(IF(ISNUMBER(BB47:BB243),ROW(BB47:BB243),"")))</f>
        <v>11.142857142857142</v>
      </c>
      <c r="BD47" s="12">
        <f>IF('Données projet'!$A$88&gt;35,BD46+BC47-BL46,IF(A47&lt;'Données projet'!$A$88,$BA$205^A47,IF(A47='Données projet'!$A$88,'Données projet'!$B$88,BD46+BC47-BL46)))</f>
        <v>229.99999999999997</v>
      </c>
      <c r="BE47" s="13">
        <f>BD47*VLOOKUP('Données projet'!$B$11,Paramètres!$A$1:$I$89,3,0)*VLOOKUP('Données projet'!$B$11,Paramètres!$A$1:$I$89,5,0)</f>
        <v>186.57599999999999</v>
      </c>
      <c r="BF47" s="13">
        <f t="shared" si="37"/>
        <v>46.782155731694274</v>
      </c>
      <c r="BG47" s="20">
        <f t="shared" si="7"/>
        <v>406.43212123270087</v>
      </c>
      <c r="BH47" s="59">
        <f t="shared" si="8"/>
        <v>657.32258997083829</v>
      </c>
      <c r="BI47" s="59">
        <f ca="1">AVERAGE(OFFSET($BH$3,0,0,'Données projet'!$E$11+1,1))-AVERAGE(OFFSET($H$3,0,0,'Données projet'!$E$11+1,1))</f>
        <v>318.98630351938459</v>
      </c>
      <c r="BJ47" s="59">
        <f t="shared" si="38"/>
        <v>312.22190035638084</v>
      </c>
      <c r="BK47" s="15">
        <f>IF(ISNA(VLOOKUP(A47,'Données projet'!$A$87:$I$107,3,0)),0,VLOOKUP(A47,'Données projet'!$A$87:$I$107,3,0))</f>
        <v>6</v>
      </c>
      <c r="BL47" s="15">
        <f>IF(ISNA(VLOOKUP(A47,'Données projet'!$A$87:$I$107,4,0)),0,VLOOKUP(A47,'Données projet'!$A$87:$I$107,4,0))</f>
        <v>43</v>
      </c>
      <c r="BM47" s="16">
        <f>IF(ISNA(VLOOKUP(A47,'Données projet'!$A$87:$I$107,5,0)),0%,VLOOKUP(A47,'Données projet'!$A$87:$I$107,5,0)*VLOOKUP('Données projet'!$B$11,Paramètres!$A$1:$I$89,7,0))</f>
        <v>0.21200000000000002</v>
      </c>
      <c r="BN47" s="16">
        <f>IF(ISNA(VLOOKUP(A47,'Données projet'!$A$87:$I$107,6,0)),0%,VLOOKUP(A47,'Données projet'!$A$87:$I$107,6,0)*VLOOKUP('Données projet'!$B$11,Paramètres!$A$1:$I$89,7,0))</f>
        <v>0.21200000000000002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16.501118770995618</v>
      </c>
      <c r="BQ47" s="21">
        <f>EXP(-LN(2)/25)*BQ46+(1-EXP(-LN(2)/25))/(LN(2)/25)*Calculateur!BL47*Calculateur!BN47*VLOOKUP('Données projet'!$B$11,Paramètres!$A$1:$I$89,3,0)*0.475*44/12</f>
        <v>25.195043483361196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41.696162254356814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8.8000000000000007</v>
      </c>
      <c r="BY47" s="12">
        <f>IF('Données projet'!$A$114&gt;35,BY46+BX47-CG46,IF(A47&lt;'Données projet'!$A$114,$BV$205^A47,IF(A47='Données projet'!$A$114,'Données projet'!$B$114,BY46+BX47-CG46)))</f>
        <v>210.20000000000013</v>
      </c>
      <c r="BZ47" s="13">
        <f>BY47*VLOOKUP('Données projet'!$B$12,Paramètres!$A$1:$I$89,3,0)*VLOOKUP('Données projet'!$B$12,Paramètres!$A$1:$I$89,5,0)</f>
        <v>183.63072000000014</v>
      </c>
      <c r="CA47" s="13">
        <f t="shared" si="39"/>
        <v>46.129013251634483</v>
      </c>
      <c r="CB47" s="20">
        <f t="shared" si="10"/>
        <v>400.16486874659699</v>
      </c>
      <c r="CC47" s="59">
        <f t="shared" si="11"/>
        <v>651.05533748473442</v>
      </c>
      <c r="CD47" s="59">
        <f ca="1">AVERAGE(OFFSET($CC$3,0,0,'Données projet'!$E$12+1,1))-AVERAGE(OFFSET($H$3,0,0,'Données projet'!$E$12+1,1))</f>
        <v>411.67183422518411</v>
      </c>
      <c r="CE47" s="59">
        <f t="shared" si="40"/>
        <v>379.16642539721556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4.7571456495208349</v>
      </c>
      <c r="CL47" s="21">
        <f>EXP(-LN(2)/25)*CL46+(1-EXP(-LN(2)/25))/(LN(2)/25)*Calculateur!CG47*Calculateur!CI47*VLOOKUP('Données projet'!$B$12,Paramètres!$A$1:$I$89,3,0)*0.475*44/12</f>
        <v>14.236317723431773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18.993463372952608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14.989423076923082</v>
      </c>
      <c r="N48" s="13">
        <f>IF('Données projet'!$A$36&gt;35,N47+M48-V47,IF(A48&lt;'Données projet'!$A$36,$K$205^A48,IF(A48='Données projet'!$A$36,'Données projet'!$B$36,N47+M48-V47)))</f>
        <v>275.00673076923073</v>
      </c>
      <c r="O48" s="13">
        <f>N48*VLOOKUP('Données projet'!$B$9,Paramètres!$A$1:$I$89,3,0)*VLOOKUP('Données projet'!$B$9,Paramètres!$A$1:$I$89,5,0)</f>
        <v>128.70314999999999</v>
      </c>
      <c r="P48" s="13">
        <f t="shared" si="33"/>
        <v>33.696520742668326</v>
      </c>
      <c r="Q48" s="20">
        <f t="shared" si="53"/>
        <v>282.84609321014727</v>
      </c>
      <c r="R48" s="59">
        <f t="shared" si="0"/>
        <v>534.47285076098137</v>
      </c>
      <c r="S48" s="59">
        <f ca="1">AVERAGE(OFFSET($R$3,0,0,'Données projet'!$E$9+1,1))-AVERAGE(OFFSET($H$3,0,0,'Données projet'!$E$9+1,1))</f>
        <v>307.52968058891554</v>
      </c>
      <c r="T48" s="59">
        <f t="shared" si="34"/>
        <v>221.27527189662558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18.399822349234995</v>
      </c>
      <c r="AB48" s="21">
        <f>EXP(-LN(2)/2)*AB47+(1-EXP(-LN(2)/2))/(LN(2)/2)*V48*Y48*VLOOKUP('Données projet'!$B$9,Paramètres!$A$1:$I$89,3,0)*0.475*44/12</f>
        <v>8.6539570767537892</v>
      </c>
      <c r="AC48" s="22">
        <f t="shared" si="3"/>
        <v>27.053779425988786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703.12027715137094</v>
      </c>
      <c r="AN48" s="59">
        <f ca="1">AVERAGE(OFFSET($AM$3,0,0,'Données projet'!$E$10+1,1))-AVERAGE(OFFSET($H$3,0,0,'Données projet'!$E$10+1,1))</f>
        <v>377.63545575155672</v>
      </c>
      <c r="AO48" s="59">
        <f t="shared" si="36"/>
        <v>339.1731538522788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10.375</v>
      </c>
      <c r="BD48" s="12">
        <f>IF('Données projet'!$A$88&gt;35,BD47+BC48-BL47,IF(A48&lt;'Données projet'!$A$88,$BA$205^A48,IF(A48='Données projet'!$A$88,'Données projet'!$B$88,BD47+BC48-BL47)))</f>
        <v>197.37499999999997</v>
      </c>
      <c r="BE48" s="13">
        <f>BD48*VLOOKUP('Données projet'!$B$11,Paramètres!$A$1:$I$89,3,0)*VLOOKUP('Données projet'!$B$11,Paramètres!$A$1:$I$89,5,0)</f>
        <v>160.11060000000001</v>
      </c>
      <c r="BF48" s="13">
        <f t="shared" si="37"/>
        <v>40.867460542073509</v>
      </c>
      <c r="BG48" s="20">
        <f t="shared" si="7"/>
        <v>350.03678877744466</v>
      </c>
      <c r="BH48" s="59">
        <f t="shared" si="8"/>
        <v>601.66354632827881</v>
      </c>
      <c r="BI48" s="59">
        <f ca="1">AVERAGE(OFFSET($BH$3,0,0,'Données projet'!$E$11+1,1))-AVERAGE(OFFSET($H$3,0,0,'Données projet'!$E$11+1,1))</f>
        <v>318.98630351938459</v>
      </c>
      <c r="BJ48" s="59">
        <f t="shared" si="38"/>
        <v>312.22190035638084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16.177541896585037</v>
      </c>
      <c r="BQ48" s="21">
        <f>EXP(-LN(2)/25)*BQ47+(1-EXP(-LN(2)/25))/(LN(2)/25)*Calculateur!BL48*Calculateur!BN48*VLOOKUP('Données projet'!$B$11,Paramètres!$A$1:$I$89,3,0)*0.475*44/12</f>
        <v>24.506083694358932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40.683625590943969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219</v>
      </c>
      <c r="BW48" s="12">
        <f>VLOOKUP(A48,'Données projet'!$A$113:$I$133,9,0)</f>
        <v>8.8000000000000007</v>
      </c>
      <c r="BX48" s="12">
        <f t="array" ref="BX48">INDEX(BW:BW,MIN(IF(ISNUMBER(BW48:BW244),ROW(BW48:BW244),"")))</f>
        <v>8.8000000000000007</v>
      </c>
      <c r="BY48" s="12">
        <f>IF('Données projet'!$A$114&gt;35,BY47+BX48-CG47,IF(A48&lt;'Données projet'!$A$114,$BV$205^A48,IF(A48='Données projet'!$A$114,'Données projet'!$B$114,BY47+BX48-CG47)))</f>
        <v>219.00000000000014</v>
      </c>
      <c r="BZ48" s="13">
        <f>BY48*VLOOKUP('Données projet'!$B$12,Paramètres!$A$1:$I$89,3,0)*VLOOKUP('Données projet'!$B$12,Paramètres!$A$1:$I$89,5,0)</f>
        <v>191.31840000000014</v>
      </c>
      <c r="CA48" s="13">
        <f t="shared" si="39"/>
        <v>47.831314962098396</v>
      </c>
      <c r="CB48" s="20">
        <f t="shared" si="10"/>
        <v>416.51908689232158</v>
      </c>
      <c r="CC48" s="59">
        <f t="shared" si="11"/>
        <v>668.14584444315574</v>
      </c>
      <c r="CD48" s="59">
        <f ca="1">AVERAGE(OFFSET($CC$3,0,0,'Données projet'!$E$12+1,1))-AVERAGE(OFFSET($H$3,0,0,'Données projet'!$E$12+1,1))</f>
        <v>411.67183422518411</v>
      </c>
      <c r="CE48" s="59">
        <f t="shared" si="40"/>
        <v>379.16642539721556</v>
      </c>
      <c r="CF48" s="15">
        <f>IF(ISNA(VLOOKUP(A48,'Données projet'!$A$113:$I$133,3,0)),0,VLOOKUP(A48,'Données projet'!$A$113:$I$133,3,0))</f>
        <v>6</v>
      </c>
      <c r="CG48" s="15" t="str">
        <f>IF(ISNA(VLOOKUP(A48,'Données projet'!$A$113:$I$133,4,0)),0,VLOOKUP(A48,'Données projet'!$A$113:$I$133,4,0))</f>
        <v>30</v>
      </c>
      <c r="CH48" s="16">
        <f>IF(ISNA(VLOOKUP(A48,'Données projet'!$A$113:$I$133,5,0)),0%,VLOOKUP(A48,'Données projet'!$A$113:$I$133,5,0)*VLOOKUP('Données projet'!$B$12,Paramètres!$A$1:$I$89,7,0))</f>
        <v>0.17200000000000001</v>
      </c>
      <c r="CI48" s="16">
        <f>IF(ISNA(VLOOKUP(A48,'Données projet'!$A$113:$I$133,6,0)),0%,VLOOKUP(A48,'Données projet'!$A$113:$I$133,6,0)*VLOOKUP('Données projet'!$B$12,Paramètres!$A$1:$I$89,7,0))</f>
        <v>0.17200000000000001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9.6470737704755969</v>
      </c>
      <c r="CL48" s="21">
        <f>EXP(-LN(2)/25)*CL47+(1-EXP(-LN(2)/25))/(LN(2)/25)*Calculateur!CG48*Calculateur!CI48*VLOOKUP('Données projet'!$B$12,Paramètres!$A$1:$I$89,3,0)*0.475*44/12</f>
        <v>18.810616904472685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28.457690674948282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14.989423076923082</v>
      </c>
      <c r="N49" s="13">
        <f>IF('Données projet'!$A$36&gt;35,N48+M49-V48,IF(A49&lt;'Données projet'!$A$36,$K$205^A49,IF(A49='Données projet'!$A$36,'Données projet'!$B$36,N48+M49-V48)))</f>
        <v>289.99615384615379</v>
      </c>
      <c r="O49" s="13">
        <f>N49*VLOOKUP('Données projet'!$B$9,Paramètres!$A$1:$I$89,3,0)*VLOOKUP('Données projet'!$B$9,Paramètres!$A$1:$I$89,5,0)</f>
        <v>135.71819999999997</v>
      </c>
      <c r="P49" s="13">
        <f t="shared" si="33"/>
        <v>35.314339034341074</v>
      </c>
      <c r="Q49" s="20">
        <f t="shared" si="53"/>
        <v>297.88167215147729</v>
      </c>
      <c r="R49" s="59">
        <f t="shared" si="0"/>
        <v>550.23194555020291</v>
      </c>
      <c r="S49" s="59">
        <f ca="1">AVERAGE(OFFSET($R$3,0,0,'Données projet'!$E$9+1,1))-AVERAGE(OFFSET($H$3,0,0,'Données projet'!$E$9+1,1))</f>
        <v>307.52968058891554</v>
      </c>
      <c r="T49" s="59">
        <f t="shared" si="34"/>
        <v>221.27527189662558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17.896678239490559</v>
      </c>
      <c r="AB49" s="21">
        <f>EXP(-LN(2)/2)*AB48+(1-EXP(-LN(2)/2))/(LN(2)/2)*V49*Y49*VLOOKUP('Données projet'!$B$9,Paramètres!$A$1:$I$89,3,0)*0.475*44/12</f>
        <v>6.1192717330699162</v>
      </c>
      <c r="AC49" s="22">
        <f t="shared" si="3"/>
        <v>24.015949972560474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723.33805686583355</v>
      </c>
      <c r="AN49" s="59">
        <f ca="1">AVERAGE(OFFSET($AM$3,0,0,'Données projet'!$E$10+1,1))-AVERAGE(OFFSET($H$3,0,0,'Données projet'!$E$10+1,1))</f>
        <v>377.63545575155672</v>
      </c>
      <c r="AO49" s="59">
        <f t="shared" si="36"/>
        <v>339.1731538522788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10.375</v>
      </c>
      <c r="BD49" s="12">
        <f>IF('Données projet'!$A$88&gt;35,BD48+BC49-BL48,IF(A49&lt;'Données projet'!$A$88,$BA$205^A49,IF(A49='Données projet'!$A$88,'Données projet'!$B$88,BD48+BC49-BL48)))</f>
        <v>207.74999999999997</v>
      </c>
      <c r="BE49" s="13">
        <f>BD49*VLOOKUP('Données projet'!$B$11,Paramètres!$A$1:$I$89,3,0)*VLOOKUP('Données projet'!$B$11,Paramètres!$A$1:$I$89,5,0)</f>
        <v>168.52679999999998</v>
      </c>
      <c r="BF49" s="13">
        <f t="shared" si="37"/>
        <v>42.759908842532369</v>
      </c>
      <c r="BG49" s="20">
        <f t="shared" si="7"/>
        <v>367.99101790074377</v>
      </c>
      <c r="BH49" s="59">
        <f t="shared" si="8"/>
        <v>620.34129129946939</v>
      </c>
      <c r="BI49" s="59">
        <f ca="1">AVERAGE(OFFSET($BH$3,0,0,'Données projet'!$E$11+1,1))-AVERAGE(OFFSET($H$3,0,0,'Données projet'!$E$11+1,1))</f>
        <v>318.98630351938459</v>
      </c>
      <c r="BJ49" s="59">
        <f t="shared" si="38"/>
        <v>312.22190035638084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15.860310167319243</v>
      </c>
      <c r="BQ49" s="21">
        <f>EXP(-LN(2)/25)*BQ48+(1-EXP(-LN(2)/25))/(LN(2)/25)*Calculateur!BL49*Calculateur!BN49*VLOOKUP('Données projet'!$B$11,Paramètres!$A$1:$I$89,3,0)*0.475*44/12</f>
        <v>23.835963547017755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39.696273714336996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197.20000000000013</v>
      </c>
      <c r="BZ49" s="13">
        <f>BY49*VLOOKUP('Données projet'!$B$12,Paramètres!$A$1:$I$89,3,0)*VLOOKUP('Données projet'!$B$12,Paramètres!$A$1:$I$89,5,0)</f>
        <v>172.27392000000015</v>
      </c>
      <c r="CA49" s="13">
        <f t="shared" si="39"/>
        <v>43.59891151369964</v>
      </c>
      <c r="CB49" s="20">
        <f t="shared" si="10"/>
        <v>375.97851488636047</v>
      </c>
      <c r="CC49" s="59">
        <f t="shared" si="11"/>
        <v>628.32878828508615</v>
      </c>
      <c r="CD49" s="59">
        <f ca="1">AVERAGE(OFFSET($CC$3,0,0,'Données projet'!$E$12+1,1))-AVERAGE(OFFSET($H$3,0,0,'Données projet'!$E$12+1,1))</f>
        <v>411.67183422518411</v>
      </c>
      <c r="CE49" s="59">
        <f t="shared" si="40"/>
        <v>379.16642539721556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9.457900537970561</v>
      </c>
      <c r="CL49" s="21">
        <f>EXP(-LN(2)/25)*CL48+(1-EXP(-LN(2)/25))/(LN(2)/25)*Calculateur!CG49*Calculateur!CI49*VLOOKUP('Données projet'!$B$12,Paramètres!$A$1:$I$89,3,0)*0.475*44/12</f>
        <v>18.29623959601253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27.754140133983093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14.989423076923082</v>
      </c>
      <c r="N50" s="13">
        <f>IF('Données projet'!$A$36&gt;35,N49+M50-V49,IF(A50&lt;'Données projet'!$A$36,$K$205^A50,IF(A50='Données projet'!$A$36,'Données projet'!$B$36,N49+M50-V49)))</f>
        <v>304.98557692307685</v>
      </c>
      <c r="O50" s="13">
        <f>N50*VLOOKUP('Données projet'!$B$9,Paramètres!$A$1:$I$89,3,0)*VLOOKUP('Données projet'!$B$9,Paramètres!$A$1:$I$89,5,0)</f>
        <v>142.73324999999997</v>
      </c>
      <c r="P50" s="13">
        <f t="shared" si="33"/>
        <v>36.922448341951835</v>
      </c>
      <c r="Q50" s="20">
        <f t="shared" si="53"/>
        <v>312.90034127889936</v>
      </c>
      <c r="R50" s="59">
        <f t="shared" si="0"/>
        <v>565.9615791430947</v>
      </c>
      <c r="S50" s="59">
        <f ca="1">AVERAGE(OFFSET($R$3,0,0,'Données projet'!$E$9+1,1))-AVERAGE(OFFSET($H$3,0,0,'Données projet'!$E$9+1,1))</f>
        <v>307.52968058891554</v>
      </c>
      <c r="T50" s="59">
        <f t="shared" si="34"/>
        <v>221.27527189662558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17.407292631886286</v>
      </c>
      <c r="AB50" s="21">
        <f>EXP(-LN(2)/2)*AB49+(1-EXP(-LN(2)/2))/(LN(2)/2)*V50*Y50*VLOOKUP('Données projet'!$B$9,Paramètres!$A$1:$I$89,3,0)*0.475*44/12</f>
        <v>4.3269785383768946</v>
      </c>
      <c r="AC50" s="22">
        <f t="shared" si="3"/>
        <v>21.734271170263181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649.38292711998884</v>
      </c>
      <c r="AN50" s="59">
        <f ca="1">AVERAGE(OFFSET($AM$3,0,0,'Données projet'!$E$10+1,1))-AVERAGE(OFFSET($H$3,0,0,'Données projet'!$E$10+1,1))</f>
        <v>377.63545575155672</v>
      </c>
      <c r="AO50" s="59">
        <f t="shared" si="36"/>
        <v>339.1731538522788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10.375</v>
      </c>
      <c r="BD50" s="12">
        <f>IF('Données projet'!$A$88&gt;35,BD49+BC50-BL49,IF(A50&lt;'Données projet'!$A$88,$BA$205^A50,IF(A50='Données projet'!$A$88,'Données projet'!$B$88,BD49+BC50-BL49)))</f>
        <v>218.12499999999997</v>
      </c>
      <c r="BE50" s="13">
        <f>BD50*VLOOKUP('Données projet'!$B$11,Paramètres!$A$1:$I$89,3,0)*VLOOKUP('Données projet'!$B$11,Paramètres!$A$1:$I$89,5,0)</f>
        <v>176.94299999999998</v>
      </c>
      <c r="BF50" s="13">
        <f t="shared" si="37"/>
        <v>44.641383444033245</v>
      </c>
      <c r="BG50" s="20">
        <f t="shared" si="7"/>
        <v>385.92613449835784</v>
      </c>
      <c r="BH50" s="59">
        <f t="shared" si="8"/>
        <v>638.98737236255329</v>
      </c>
      <c r="BI50" s="59">
        <f ca="1">AVERAGE(OFFSET($BH$3,0,0,'Données projet'!$E$11+1,1))-AVERAGE(OFFSET($H$3,0,0,'Données projet'!$E$11+1,1))</f>
        <v>318.98630351938459</v>
      </c>
      <c r="BJ50" s="59">
        <f t="shared" si="38"/>
        <v>312.22190035638084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15.549299158772103</v>
      </c>
      <c r="BQ50" s="21">
        <f>EXP(-LN(2)/25)*BQ49+(1-EXP(-LN(2)/25))/(LN(2)/25)*Calculateur!BL50*Calculateur!BN50*VLOOKUP('Données projet'!$B$11,Paramètres!$A$1:$I$89,3,0)*0.475*44/12</f>
        <v>23.184167870345711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38.733467029117811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205.40000000000012</v>
      </c>
      <c r="BZ50" s="13">
        <f>BY50*VLOOKUP('Données projet'!$B$12,Paramètres!$A$1:$I$89,3,0)*VLOOKUP('Données projet'!$B$12,Paramètres!$A$1:$I$89,5,0)</f>
        <v>179.43744000000012</v>
      </c>
      <c r="CA50" s="13">
        <f t="shared" si="39"/>
        <v>45.197004138831659</v>
      </c>
      <c r="CB50" s="20">
        <f t="shared" si="10"/>
        <v>391.23832354179859</v>
      </c>
      <c r="CC50" s="59">
        <f t="shared" si="11"/>
        <v>644.29956140599393</v>
      </c>
      <c r="CD50" s="59">
        <f ca="1">AVERAGE(OFFSET($CC$3,0,0,'Données projet'!$E$12+1,1))-AVERAGE(OFFSET($H$3,0,0,'Données projet'!$E$12+1,1))</f>
        <v>411.67183422518411</v>
      </c>
      <c r="CE50" s="59">
        <f t="shared" si="40"/>
        <v>379.16642539721556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9.2724368771706693</v>
      </c>
      <c r="CL50" s="21">
        <f>EXP(-LN(2)/25)*CL49+(1-EXP(-LN(2)/25))/(LN(2)/25)*Calculateur!CG50*Calculateur!CI50*VLOOKUP('Données projet'!$B$12,Paramètres!$A$1:$I$89,3,0)*0.475*44/12</f>
        <v>17.795927962102144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27.068364839272814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14.989423076923082</v>
      </c>
      <c r="N51" s="13">
        <f>IF('Données projet'!$A$36&gt;35,N50+M51-V50,IF(A51&lt;'Données projet'!$A$36,$K$205^A51,IF(A51='Données projet'!$A$36,'Données projet'!$B$36,N50+M51-V50)))</f>
        <v>319.97499999999991</v>
      </c>
      <c r="O51" s="13">
        <f>N51*VLOOKUP('Données projet'!$B$9,Paramètres!$A$1:$I$89,3,0)*VLOOKUP('Données projet'!$B$9,Paramètres!$A$1:$I$89,5,0)</f>
        <v>149.74829999999994</v>
      </c>
      <c r="P51" s="13">
        <f t="shared" si="33"/>
        <v>38.521380303068611</v>
      </c>
      <c r="Q51" s="20">
        <f t="shared" si="53"/>
        <v>327.90302652784436</v>
      </c>
      <c r="R51" s="59">
        <f t="shared" si="0"/>
        <v>581.662895213512</v>
      </c>
      <c r="S51" s="59">
        <f ca="1">AVERAGE(OFFSET($R$3,0,0,'Données projet'!$E$9+1,1))-AVERAGE(OFFSET($H$3,0,0,'Données projet'!$E$9+1,1))</f>
        <v>307.52968058891554</v>
      </c>
      <c r="T51" s="59">
        <f t="shared" si="34"/>
        <v>221.27527189662558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16.931289299457621</v>
      </c>
      <c r="AB51" s="21">
        <f>EXP(-LN(2)/2)*AB50+(1-EXP(-LN(2)/2))/(LN(2)/2)*V51*Y51*VLOOKUP('Données projet'!$B$9,Paramètres!$A$1:$I$89,3,0)*0.475*44/12</f>
        <v>3.0596358665349581</v>
      </c>
      <c r="AC51" s="22">
        <f t="shared" si="3"/>
        <v>19.990925165992579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667.63232325772606</v>
      </c>
      <c r="AN51" s="59">
        <f ca="1">AVERAGE(OFFSET($AM$3,0,0,'Données projet'!$E$10+1,1))-AVERAGE(OFFSET($H$3,0,0,'Données projet'!$E$10+1,1))</f>
        <v>377.63545575155672</v>
      </c>
      <c r="AO51" s="59">
        <f t="shared" si="36"/>
        <v>339.1731538522788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10.375</v>
      </c>
      <c r="BD51" s="12">
        <f>IF('Données projet'!$A$88&gt;35,BD50+BC51-BL50,IF(A51&lt;'Données projet'!$A$88,$BA$205^A51,IF(A51='Données projet'!$A$88,'Données projet'!$B$88,BD50+BC51-BL50)))</f>
        <v>228.49999999999997</v>
      </c>
      <c r="BE51" s="13">
        <f>BD51*VLOOKUP('Données projet'!$B$11,Paramètres!$A$1:$I$89,3,0)*VLOOKUP('Données projet'!$B$11,Paramètres!$A$1:$I$89,5,0)</f>
        <v>185.35919999999999</v>
      </c>
      <c r="BF51" s="13">
        <f t="shared" si="37"/>
        <v>46.512465899126433</v>
      </c>
      <c r="BG51" s="20">
        <f t="shared" si="7"/>
        <v>403.84315144097854</v>
      </c>
      <c r="BH51" s="59">
        <f t="shared" si="8"/>
        <v>657.60302012664624</v>
      </c>
      <c r="BI51" s="59">
        <f ca="1">AVERAGE(OFFSET($BH$3,0,0,'Données projet'!$E$11+1,1))-AVERAGE(OFFSET($H$3,0,0,'Données projet'!$E$11+1,1))</f>
        <v>318.98630351938459</v>
      </c>
      <c r="BJ51" s="59">
        <f t="shared" si="38"/>
        <v>312.22190035638084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15.244386886404588</v>
      </c>
      <c r="BQ51" s="21">
        <f>EXP(-LN(2)/25)*BQ50+(1-EXP(-LN(2)/25))/(LN(2)/25)*Calculateur!BL51*Calculateur!BN51*VLOOKUP('Données projet'!$B$11,Paramètres!$A$1:$I$89,3,0)*0.475*44/12</f>
        <v>22.550195580728708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37.794582467133296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213.60000000000011</v>
      </c>
      <c r="BZ51" s="13">
        <f>BY51*VLOOKUP('Données projet'!$B$12,Paramètres!$A$1:$I$89,3,0)*VLOOKUP('Données projet'!$B$12,Paramètres!$A$1:$I$89,5,0)</f>
        <v>186.60096000000013</v>
      </c>
      <c r="CA51" s="13">
        <f t="shared" si="39"/>
        <v>46.787685683664144</v>
      </c>
      <c r="CB51" s="20">
        <f t="shared" si="10"/>
        <v>406.48522456571527</v>
      </c>
      <c r="CC51" s="59">
        <f t="shared" si="11"/>
        <v>660.24509325138297</v>
      </c>
      <c r="CD51" s="59">
        <f ca="1">AVERAGE(OFFSET($CC$3,0,0,'Données projet'!$E$12+1,1))-AVERAGE(OFFSET($H$3,0,0,'Données projet'!$E$12+1,1))</f>
        <v>411.67183422518411</v>
      </c>
      <c r="CE51" s="59">
        <f t="shared" si="40"/>
        <v>379.16642539721556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9.0906100456374013</v>
      </c>
      <c r="CL51" s="21">
        <f>EXP(-LN(2)/25)*CL50+(1-EXP(-LN(2)/25))/(LN(2)/25)*Calculateur!CG51*Calculateur!CI51*VLOOKUP('Données projet'!$B$12,Paramètres!$A$1:$I$89,3,0)*0.475*44/12</f>
        <v>17.309297376131283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26.399907421768685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14.989423076923082</v>
      </c>
      <c r="N52" s="13">
        <f>IF('Données projet'!$A$36&gt;35,N51+M52-V51,IF(A52&lt;'Données projet'!$A$36,$K$205^A52,IF(A52='Données projet'!$A$36,'Données projet'!$B$36,N51+M52-V51)))</f>
        <v>334.96442307692297</v>
      </c>
      <c r="O52" s="13">
        <f>N52*VLOOKUP('Données projet'!$B$9,Paramètres!$A$1:$I$89,3,0)*VLOOKUP('Données projet'!$B$9,Paramètres!$A$1:$I$89,5,0)</f>
        <v>156.76334999999995</v>
      </c>
      <c r="P52" s="13">
        <f t="shared" si="33"/>
        <v>40.111613930623022</v>
      </c>
      <c r="Q52" s="20">
        <f t="shared" si="53"/>
        <v>342.8905621791684</v>
      </c>
      <c r="R52" s="59">
        <f t="shared" si="0"/>
        <v>597.33694200346031</v>
      </c>
      <c r="S52" s="59">
        <f ca="1">AVERAGE(OFFSET($R$3,0,0,'Données projet'!$E$9+1,1))-AVERAGE(OFFSET($H$3,0,0,'Données projet'!$E$9+1,1))</f>
        <v>307.52968058891554</v>
      </c>
      <c r="T52" s="59">
        <f t="shared" si="34"/>
        <v>221.27527189662558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16.468302303186146</v>
      </c>
      <c r="AB52" s="21">
        <f>EXP(-LN(2)/2)*AB51+(1-EXP(-LN(2)/2))/(LN(2)/2)*V52*Y52*VLOOKUP('Données projet'!$B$9,Paramètres!$A$1:$I$89,3,0)*0.475*44/12</f>
        <v>2.1634892691884473</v>
      </c>
      <c r="AC52" s="22">
        <f t="shared" si="3"/>
        <v>18.631791572374592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685.85354985619188</v>
      </c>
      <c r="AN52" s="59">
        <f ca="1">AVERAGE(OFFSET($AM$3,0,0,'Données projet'!$E$10+1,1))-AVERAGE(OFFSET($H$3,0,0,'Données projet'!$E$10+1,1))</f>
        <v>377.63545575155672</v>
      </c>
      <c r="AO52" s="59">
        <f t="shared" si="36"/>
        <v>339.1731538522788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10.375</v>
      </c>
      <c r="BD52" s="12">
        <f>IF('Données projet'!$A$88&gt;35,BD51+BC52-BL51,IF(A52&lt;'Données projet'!$A$88,$BA$205^A52,IF(A52='Données projet'!$A$88,'Données projet'!$B$88,BD51+BC52-BL51)))</f>
        <v>238.87499999999997</v>
      </c>
      <c r="BE52" s="13">
        <f>BD52*VLOOKUP('Données projet'!$B$11,Paramètres!$A$1:$I$89,3,0)*VLOOKUP('Données projet'!$B$11,Paramètres!$A$1:$I$89,5,0)</f>
        <v>193.77539999999999</v>
      </c>
      <c r="BF52" s="13">
        <f t="shared" si="37"/>
        <v>48.373681964577997</v>
      </c>
      <c r="BG52" s="20">
        <f t="shared" si="7"/>
        <v>421.74298442163996</v>
      </c>
      <c r="BH52" s="59">
        <f t="shared" si="8"/>
        <v>676.18936424593198</v>
      </c>
      <c r="BI52" s="59">
        <f ca="1">AVERAGE(OFFSET($BH$3,0,0,'Données projet'!$E$11+1,1))-AVERAGE(OFFSET($H$3,0,0,'Données projet'!$E$11+1,1))</f>
        <v>318.98630351938459</v>
      </c>
      <c r="BJ52" s="59">
        <f t="shared" si="38"/>
        <v>312.22190035638084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14.945453757720077</v>
      </c>
      <c r="BQ52" s="21">
        <f>EXP(-LN(2)/25)*BQ51+(1-EXP(-LN(2)/25))/(LN(2)/25)*Calculateur!BL52*Calculateur!BN52*VLOOKUP('Données projet'!$B$11,Paramètres!$A$1:$I$89,3,0)*0.475*44/12</f>
        <v>21.933559296710435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36.879013054430516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221.8000000000001</v>
      </c>
      <c r="BZ52" s="13">
        <f>BY52*VLOOKUP('Données projet'!$B$12,Paramètres!$A$1:$I$89,3,0)*VLOOKUP('Données projet'!$B$12,Paramètres!$A$1:$I$89,5,0)</f>
        <v>193.76448000000011</v>
      </c>
      <c r="CA52" s="13">
        <f t="shared" si="39"/>
        <v>48.371273222646494</v>
      </c>
      <c r="CB52" s="20">
        <f t="shared" si="10"/>
        <v>421.71977019610949</v>
      </c>
      <c r="CC52" s="59">
        <f t="shared" si="11"/>
        <v>676.16615002040146</v>
      </c>
      <c r="CD52" s="59">
        <f ca="1">AVERAGE(OFFSET($CC$3,0,0,'Données projet'!$E$12+1,1))-AVERAGE(OFFSET($H$3,0,0,'Données projet'!$E$12+1,1))</f>
        <v>411.67183422518411</v>
      </c>
      <c r="CE52" s="59">
        <f t="shared" si="40"/>
        <v>379.16642539721556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8.9123487273670836</v>
      </c>
      <c r="CL52" s="21">
        <f>EXP(-LN(2)/25)*CL51+(1-EXP(-LN(2)/25))/(LN(2)/25)*Calculateur!CG52*Calculateur!CI52*VLOOKUP('Données projet'!$B$12,Paramètres!$A$1:$I$89,3,0)*0.475*44/12</f>
        <v>16.835973729124586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25.748322456491671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349.95384615384614</v>
      </c>
      <c r="L53" s="12">
        <f>VLOOKUP(A53,'Données projet'!$A$35:$I$55,9,0)</f>
        <v>14.989423076923082</v>
      </c>
      <c r="M53" s="12">
        <f t="array" ref="M53">INDEX(L:L,MIN(IF(ISNUMBER(L53:L249),ROW(L53:L249),"")))</f>
        <v>14.989423076923082</v>
      </c>
      <c r="N53" s="13">
        <f>IF('Données projet'!$A$36&gt;35,N52+M53-V52,IF(A53&lt;'Données projet'!$A$36,$K$205^A53,IF(A53='Données projet'!$A$36,'Données projet'!$B$36,N52+M53-V52)))</f>
        <v>349.95384615384603</v>
      </c>
      <c r="O53" s="13">
        <f>N53*VLOOKUP('Données projet'!$B$9,Paramètres!$A$1:$I$89,3,0)*VLOOKUP('Données projet'!$B$9,Paramètres!$A$1:$I$89,5,0)</f>
        <v>163.77839999999995</v>
      </c>
      <c r="P53" s="13">
        <f t="shared" si="33"/>
        <v>41.693582942883204</v>
      </c>
      <c r="Q53" s="20">
        <f t="shared" si="53"/>
        <v>357.86370362552151</v>
      </c>
      <c r="R53" s="59">
        <f t="shared" si="0"/>
        <v>612.98468515499167</v>
      </c>
      <c r="S53" s="59">
        <f ca="1">AVERAGE(OFFSET($R$3,0,0,'Données projet'!$E$9+1,1))-AVERAGE(OFFSET($H$3,0,0,'Données projet'!$E$9+1,1))</f>
        <v>307.52968058891554</v>
      </c>
      <c r="T53" s="59">
        <f t="shared" si="34"/>
        <v>221.27527189662558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100.66923076923077</v>
      </c>
      <c r="W53" s="16">
        <f>IF(ISNA(VLOOKUP(A53,'Données projet'!$A$35:$I$55,5,0)),0%,VLOOKUP(A53,'Données projet'!$A$35:$I$55,5,0)*VLOOKUP('Données projet'!$B$9,Paramètres!$A$1:$I$89,7,0))</f>
        <v>0.38500000000000001</v>
      </c>
      <c r="X53" s="16">
        <f>IF(ISNA(VLOOKUP(A53,'Données projet'!$A$35:$I$55,6,0)),0%,VLOOKUP(A53,'Données projet'!$A$35:$I$55,6,0)*VLOOKUP('Données projet'!$B$9,Paramètres!$A$1:$I$89,7,0))</f>
        <v>9.240000000000001E-2</v>
      </c>
      <c r="Y53" s="16">
        <f>IF(ISNA(VLOOKUP(A53,'Données projet'!$A$35:$I$55,7,0)),0%,VLOOKUP(A53,'Données projet'!$A$35:$I$55,7,0))</f>
        <v>0.13200000000000001</v>
      </c>
      <c r="Z53" s="21">
        <f>EXP(-LN(2)/35)*Z52+(1-EXP(-LN(2)/35))/(LN(2)/35)*V53*W53*VLOOKUP('Données projet'!$B$9,Paramètres!$A$1:$I$89,3,0)*0.475*44/12</f>
        <v>24.061998153275443</v>
      </c>
      <c r="AA53" s="21">
        <f>EXP(-LN(2)/25)*AA52+(1-EXP(-LN(2)/25))/(LN(2)/25)*Calculateur!V53*Calculateur!X53*VLOOKUP('Données projet'!$B$9,Paramètres!$A$1:$I$89,3,0)*0.475*44/12</f>
        <v>21.770117366244563</v>
      </c>
      <c r="AB53" s="21">
        <f>EXP(-LN(2)/2)*AB52+(1-EXP(-LN(2)/2))/(LN(2)/2)*V53*Y53*VLOOKUP('Données projet'!$B$9,Paramètres!$A$1:$I$89,3,0)*0.475*44/12</f>
        <v>8.5711053750042332</v>
      </c>
      <c r="AC53" s="22">
        <f t="shared" si="3"/>
        <v>54.403220894524239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704.04756105699448</v>
      </c>
      <c r="AN53" s="59">
        <f ca="1">AVERAGE(OFFSET($AM$3,0,0,'Données projet'!$E$10+1,1))-AVERAGE(OFFSET($H$3,0,0,'Données projet'!$E$10+1,1))</f>
        <v>377.63545575155672</v>
      </c>
      <c r="AO53" s="59">
        <f t="shared" si="36"/>
        <v>339.1731538522788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10.375</v>
      </c>
      <c r="BD53" s="12">
        <f>IF('Données projet'!$A$88&gt;35,BD52+BC53-BL52,IF(A53&lt;'Données projet'!$A$88,$BA$205^A53,IF(A53='Données projet'!$A$88,'Données projet'!$B$88,BD52+BC53-BL52)))</f>
        <v>249.24999999999997</v>
      </c>
      <c r="BE53" s="13">
        <f>BD53*VLOOKUP('Données projet'!$B$11,Paramètres!$A$1:$I$89,3,0)*VLOOKUP('Données projet'!$B$11,Paramètres!$A$1:$I$89,5,0)</f>
        <v>202.19159999999999</v>
      </c>
      <c r="BF53" s="13">
        <f t="shared" si="37"/>
        <v>50.225509144346276</v>
      </c>
      <c r="BG53" s="20">
        <f t="shared" si="7"/>
        <v>439.62646509306978</v>
      </c>
      <c r="BH53" s="59">
        <f t="shared" si="8"/>
        <v>694.74744662253988</v>
      </c>
      <c r="BI53" s="59">
        <f ca="1">AVERAGE(OFFSET($BH$3,0,0,'Données projet'!$E$11+1,1))-AVERAGE(OFFSET($H$3,0,0,'Données projet'!$E$11+1,1))</f>
        <v>318.98630351938459</v>
      </c>
      <c r="BJ53" s="59">
        <f t="shared" si="38"/>
        <v>312.22190035638084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14.652382525357865</v>
      </c>
      <c r="BQ53" s="21">
        <f>EXP(-LN(2)/25)*BQ52+(1-EXP(-LN(2)/25))/(LN(2)/25)*Calculateur!BL53*Calculateur!BN53*VLOOKUP('Données projet'!$B$11,Paramètres!$A$1:$I$89,3,0)*0.475*44/12</f>
        <v>21.333784964306133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35.986167489663998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230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230.00000000000009</v>
      </c>
      <c r="BZ53" s="13">
        <f>BY53*VLOOKUP('Données projet'!$B$12,Paramètres!$A$1:$I$89,3,0)*VLOOKUP('Données projet'!$B$12,Paramètres!$A$1:$I$89,5,0)</f>
        <v>200.92800000000011</v>
      </c>
      <c r="CA53" s="13">
        <f t="shared" si="39"/>
        <v>49.948059057189084</v>
      </c>
      <c r="CB53" s="20">
        <f t="shared" si="10"/>
        <v>436.94246952460452</v>
      </c>
      <c r="CC53" s="59">
        <f t="shared" si="11"/>
        <v>692.06345105407468</v>
      </c>
      <c r="CD53" s="59">
        <f ca="1">AVERAGE(OFFSET($CC$3,0,0,'Données projet'!$E$12+1,1))-AVERAGE(OFFSET($H$3,0,0,'Données projet'!$E$12+1,1))</f>
        <v>411.67183422518411</v>
      </c>
      <c r="CE53" s="59">
        <f t="shared" si="40"/>
        <v>379.16642539721556</v>
      </c>
      <c r="CF53" s="15">
        <f>IF(ISNA(VLOOKUP(A53,'Données projet'!$A$113:$I$133,3,0)),0,VLOOKUP(A53,'Données projet'!$A$113:$I$133,3,0))</f>
        <v>7</v>
      </c>
      <c r="CG53" s="15" t="str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0.17200000000000001</v>
      </c>
      <c r="CI53" s="16">
        <f>IF(ISNA(VLOOKUP(A53,'Données projet'!$A$113:$I$133,6,0)),0%,VLOOKUP(A53,'Données projet'!$A$113:$I$133,6,0)*VLOOKUP('Données projet'!$B$12,Paramètres!$A$1:$I$89,7,0))</f>
        <v>0.17200000000000001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13.38858166068427</v>
      </c>
      <c r="CL53" s="21">
        <f>EXP(-LN(2)/25)*CL52+(1-EXP(-LN(2)/25))/(LN(2)/25)*Calculateur!CG53*Calculateur!CI53*VLOOKUP('Données projet'!$B$12,Paramètres!$A$1:$I$89,3,0)*0.475*44/12</f>
        <v>21.008279044123622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34.396860704807892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14.254807692307693</v>
      </c>
      <c r="N54" s="13">
        <f>IF('Données projet'!$A$36&gt;35,N53+M54-V53,IF(A54&lt;'Données projet'!$A$36,$K$205^A54,IF(A54='Données projet'!$A$36,'Données projet'!$B$36,N53+M54-V53)))</f>
        <v>263.53942307692296</v>
      </c>
      <c r="O54" s="13">
        <f>N54*VLOOKUP('Données projet'!$B$9,Paramètres!$A$1:$I$89,3,0)*VLOOKUP('Données projet'!$B$9,Paramètres!$A$1:$I$89,5,0)</f>
        <v>123.33644999999993</v>
      </c>
      <c r="P54" s="13">
        <f t="shared" si="33"/>
        <v>32.451925084991807</v>
      </c>
      <c r="Q54" s="20">
        <f t="shared" si="53"/>
        <v>271.33141993969394</v>
      </c>
      <c r="R54" s="59">
        <f t="shared" si="0"/>
        <v>527.11530034294083</v>
      </c>
      <c r="S54" s="59">
        <f ca="1">AVERAGE(OFFSET($R$3,0,0,'Données projet'!$E$9+1,1))-AVERAGE(OFFSET($H$3,0,0,'Données projet'!$E$9+1,1))</f>
        <v>307.52968058891554</v>
      </c>
      <c r="T54" s="59">
        <f t="shared" si="34"/>
        <v>221.27527189662558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23.590157045859414</v>
      </c>
      <c r="AA54" s="21">
        <f>EXP(-LN(2)/25)*AA53+(1-EXP(-LN(2)/25))/(LN(2)/25)*Calculateur!V54*Calculateur!X54*VLOOKUP('Données projet'!$B$9,Paramètres!$A$1:$I$89,3,0)*0.475*44/12</f>
        <v>21.174812362023889</v>
      </c>
      <c r="AB54" s="21">
        <f>EXP(-LN(2)/2)*AB53+(1-EXP(-LN(2)/2))/(LN(2)/2)*V54*Y54*VLOOKUP('Données projet'!$B$9,Paramètres!$A$1:$I$89,3,0)*0.475*44/12</f>
        <v>6.0606867329299599</v>
      </c>
      <c r="AC54" s="22">
        <f t="shared" si="3"/>
        <v>50.825656140813258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722.21524458194108</v>
      </c>
      <c r="AN54" s="59">
        <f ca="1">AVERAGE(OFFSET($AM$3,0,0,'Données projet'!$E$10+1,1))-AVERAGE(OFFSET($H$3,0,0,'Données projet'!$E$10+1,1))</f>
        <v>377.63545575155672</v>
      </c>
      <c r="AO54" s="59">
        <f t="shared" si="36"/>
        <v>339.1731538522788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10.375</v>
      </c>
      <c r="BD54" s="12">
        <f>IF('Données projet'!$A$88&gt;35,BD53+BC54-BL53,IF(A54&lt;'Données projet'!$A$88,$BA$205^A54,IF(A54='Données projet'!$A$88,'Données projet'!$B$88,BD53+BC54-BL53)))</f>
        <v>259.625</v>
      </c>
      <c r="BE54" s="13">
        <f>BD54*VLOOKUP('Données projet'!$B$11,Paramètres!$A$1:$I$89,3,0)*VLOOKUP('Données projet'!$B$11,Paramètres!$A$1:$I$89,5,0)</f>
        <v>210.6078</v>
      </c>
      <c r="BF54" s="13">
        <f t="shared" si="37"/>
        <v>52.06838294126775</v>
      </c>
      <c r="BG54" s="20">
        <f t="shared" si="7"/>
        <v>457.49435195604133</v>
      </c>
      <c r="BH54" s="59">
        <f t="shared" si="8"/>
        <v>713.27823235928815</v>
      </c>
      <c r="BI54" s="59">
        <f ca="1">AVERAGE(OFFSET($BH$3,0,0,'Données projet'!$E$11+1,1))-AVERAGE(OFFSET($H$3,0,0,'Données projet'!$E$11+1,1))</f>
        <v>318.98630351938459</v>
      </c>
      <c r="BJ54" s="59">
        <f t="shared" si="38"/>
        <v>312.22190035638084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14.365058241106475</v>
      </c>
      <c r="BQ54" s="21">
        <f>EXP(-LN(2)/25)*BQ53+(1-EXP(-LN(2)/25))/(LN(2)/25)*Calculateur!BL54*Calculateur!BN54*VLOOKUP('Données projet'!$B$11,Paramètres!$A$1:$I$89,3,0)*0.475*44/12</f>
        <v>20.75041149256219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35.115469733668661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209.40000000000009</v>
      </c>
      <c r="BZ54" s="13">
        <f>BY54*VLOOKUP('Données projet'!$B$12,Paramètres!$A$1:$I$89,3,0)*VLOOKUP('Données projet'!$B$12,Paramètres!$A$1:$I$89,5,0)</f>
        <v>182.93184000000011</v>
      </c>
      <c r="CA54" s="13">
        <f t="shared" si="39"/>
        <v>45.973851929814685</v>
      </c>
      <c r="CB54" s="20">
        <f t="shared" si="10"/>
        <v>398.67741344442743</v>
      </c>
      <c r="CC54" s="59">
        <f t="shared" si="11"/>
        <v>654.46129384767426</v>
      </c>
      <c r="CD54" s="59">
        <f ca="1">AVERAGE(OFFSET($CC$3,0,0,'Données projet'!$E$12+1,1))-AVERAGE(OFFSET($H$3,0,0,'Données projet'!$E$12+1,1))</f>
        <v>411.67183422518411</v>
      </c>
      <c r="CE54" s="59">
        <f t="shared" si="40"/>
        <v>379.16642539721556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13.126039740546716</v>
      </c>
      <c r="CL54" s="21">
        <f>EXP(-LN(2)/25)*CL53+(1-EXP(-LN(2)/25))/(LN(2)/25)*Calculateur!CG54*Calculateur!CI54*VLOOKUP('Données projet'!$B$12,Paramètres!$A$1:$I$89,3,0)*0.475*44/12</f>
        <v>20.433806548884682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33.559846289431398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14.254807692307693</v>
      </c>
      <c r="N55" s="13">
        <f>IF('Données projet'!$A$36&gt;35,N54+M55-V54,IF(A55&lt;'Données projet'!$A$36,$K$205^A55,IF(A55='Données projet'!$A$36,'Données projet'!$B$36,N54+M55-V54)))</f>
        <v>277.79423076923064</v>
      </c>
      <c r="O55" s="13">
        <f>N55*VLOOKUP('Données projet'!$B$9,Paramètres!$A$1:$I$89,3,0)*VLOOKUP('Données projet'!$B$9,Paramètres!$A$1:$I$89,5,0)</f>
        <v>130.00769999999994</v>
      </c>
      <c r="P55" s="13">
        <f t="shared" si="33"/>
        <v>33.99813857013887</v>
      </c>
      <c r="Q55" s="20">
        <f t="shared" si="53"/>
        <v>285.64350217632511</v>
      </c>
      <c r="R55" s="59">
        <f t="shared" si="0"/>
        <v>542.07878163990847</v>
      </c>
      <c r="S55" s="59">
        <f ca="1">AVERAGE(OFFSET($R$3,0,0,'Données projet'!$E$9+1,1))-AVERAGE(OFFSET($H$3,0,0,'Données projet'!$E$9+1,1))</f>
        <v>307.52968058891554</v>
      </c>
      <c r="T55" s="59">
        <f t="shared" si="34"/>
        <v>221.27527189662558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23.127568454765154</v>
      </c>
      <c r="AA55" s="21">
        <f>EXP(-LN(2)/25)*AA54+(1-EXP(-LN(2)/25))/(LN(2)/25)*Calculateur!V55*Calculateur!X55*VLOOKUP('Données projet'!$B$9,Paramètres!$A$1:$I$89,3,0)*0.475*44/12</f>
        <v>20.595786004449359</v>
      </c>
      <c r="AB55" s="21">
        <f>EXP(-LN(2)/2)*AB54+(1-EXP(-LN(2)/2))/(LN(2)/2)*V55*Y55*VLOOKUP('Données projet'!$B$9,Paramètres!$A$1:$I$89,3,0)*0.475*44/12</f>
        <v>4.2855526875021166</v>
      </c>
      <c r="AC55" s="22">
        <f t="shared" si="3"/>
        <v>48.008907146716631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740.35742929877892</v>
      </c>
      <c r="AN55" s="59">
        <f ca="1">AVERAGE(OFFSET($AM$3,0,0,'Données projet'!$E$10+1,1))-AVERAGE(OFFSET($H$3,0,0,'Données projet'!$E$10+1,1))</f>
        <v>377.63545575155672</v>
      </c>
      <c r="AO55" s="59">
        <f t="shared" si="36"/>
        <v>339.1731538522788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270</v>
      </c>
      <c r="BB55" s="12">
        <f>VLOOKUP(A55,'Données projet'!$A$87:$I$107,9,0)</f>
        <v>10.375</v>
      </c>
      <c r="BC55" s="12">
        <f t="array" ref="BC55">INDEX(BB:BB,MIN(IF(ISNUMBER(BB55:BB251),ROW(BB55:BB251),"")))</f>
        <v>10.375</v>
      </c>
      <c r="BD55" s="12">
        <f>IF('Données projet'!$A$88&gt;35,BD54+BC55-BL54,IF(A55&lt;'Données projet'!$A$88,$BA$205^A55,IF(A55='Données projet'!$A$88,'Données projet'!$B$88,BD54+BC55-BL54)))</f>
        <v>270</v>
      </c>
      <c r="BE55" s="13">
        <f>BD55*VLOOKUP('Données projet'!$B$11,Paramètres!$A$1:$I$89,3,0)*VLOOKUP('Données projet'!$B$11,Paramètres!$A$1:$I$89,5,0)</f>
        <v>219.02400000000003</v>
      </c>
      <c r="BF55" s="13">
        <f t="shared" si="37"/>
        <v>53.902702081308355</v>
      </c>
      <c r="BG55" s="20">
        <f t="shared" si="7"/>
        <v>475.34733945827878</v>
      </c>
      <c r="BH55" s="59">
        <f t="shared" si="8"/>
        <v>731.78261892186219</v>
      </c>
      <c r="BI55" s="59">
        <f ca="1">AVERAGE(OFFSET($BH$3,0,0,'Données projet'!$E$11+1,1))-AVERAGE(OFFSET($H$3,0,0,'Données projet'!$E$11+1,1))</f>
        <v>318.98630351938459</v>
      </c>
      <c r="BJ55" s="59">
        <f t="shared" si="38"/>
        <v>312.22190035638084</v>
      </c>
      <c r="BK55" s="15">
        <f>IF(ISNA(VLOOKUP(A55,'Données projet'!$A$87:$I$107,3,0)),0,VLOOKUP(A55,'Données projet'!$A$87:$I$107,3,0))</f>
        <v>7</v>
      </c>
      <c r="BL55" s="15">
        <f>IF(ISNA(VLOOKUP(A55,'Données projet'!$A$87:$I$107,4,0)),0,VLOOKUP(A55,'Données projet'!$A$87:$I$107,4,0))</f>
        <v>49</v>
      </c>
      <c r="BM55" s="16">
        <f>IF(ISNA(VLOOKUP(A55,'Données projet'!$A$87:$I$107,5,0)),0%,VLOOKUP(A55,'Données projet'!$A$87:$I$107,5,0)*VLOOKUP('Données projet'!$B$11,Paramètres!$A$1:$I$89,7,0))</f>
        <v>0.21200000000000002</v>
      </c>
      <c r="BN55" s="16">
        <f>IF(ISNA(VLOOKUP(A55,'Données projet'!$A$87:$I$107,6,0)),0%,VLOOKUP(A55,'Données projet'!$A$87:$I$107,6,0)*VLOOKUP('Données projet'!$B$11,Paramètres!$A$1:$I$89,7,0))</f>
        <v>0.21200000000000002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23.398885867478363</v>
      </c>
      <c r="BQ55" s="21">
        <f>EXP(-LN(2)/25)*BQ54+(1-EXP(-LN(2)/25))/(LN(2)/25)*Calculateur!BL55*Calculateur!BN55*VLOOKUP('Données projet'!$B$11,Paramètres!$A$1:$I$89,3,0)*0.475*44/12</f>
        <v>29.461829313236208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52.860715180714571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216.8000000000001</v>
      </c>
      <c r="BZ55" s="13">
        <f>BY55*VLOOKUP('Données projet'!$B$12,Paramètres!$A$1:$I$89,3,0)*VLOOKUP('Données projet'!$B$12,Paramètres!$A$1:$I$89,5,0)</f>
        <v>189.39648000000011</v>
      </c>
      <c r="CA55" s="13">
        <f t="shared" si="39"/>
        <v>47.406498452084548</v>
      </c>
      <c r="CB55" s="20">
        <f t="shared" si="10"/>
        <v>412.43185413738075</v>
      </c>
      <c r="CC55" s="59">
        <f t="shared" si="11"/>
        <v>668.86713360096405</v>
      </c>
      <c r="CD55" s="59">
        <f ca="1">AVERAGE(OFFSET($CC$3,0,0,'Données projet'!$E$12+1,1))-AVERAGE(OFFSET($H$3,0,0,'Données projet'!$E$12+1,1))</f>
        <v>411.67183422518411</v>
      </c>
      <c r="CE55" s="59">
        <f t="shared" si="40"/>
        <v>379.16642539721556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12.868646107328301</v>
      </c>
      <c r="CL55" s="21">
        <f>EXP(-LN(2)/25)*CL54+(1-EXP(-LN(2)/25))/(LN(2)/25)*Calculateur!CG55*Calculateur!CI55*VLOOKUP('Données projet'!$B$12,Paramètres!$A$1:$I$89,3,0)*0.475*44/12</f>
        <v>19.875043034238246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32.743689141566549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14.254807692307693</v>
      </c>
      <c r="N56" s="13">
        <f>IF('Données projet'!$A$36&gt;35,N55+M56-V55,IF(A56&lt;'Données projet'!$A$36,$K$205^A56,IF(A56='Données projet'!$A$36,'Données projet'!$B$36,N55+M56-V55)))</f>
        <v>292.04903846153832</v>
      </c>
      <c r="O56" s="13">
        <f>N56*VLOOKUP('Données projet'!$B$9,Paramètres!$A$1:$I$89,3,0)*VLOOKUP('Données projet'!$B$9,Paramètres!$A$1:$I$89,5,0)</f>
        <v>136.67894999999993</v>
      </c>
      <c r="P56" s="13">
        <f t="shared" si="33"/>
        <v>35.535139810553957</v>
      </c>
      <c r="Q56" s="20">
        <f t="shared" si="53"/>
        <v>299.93953975338138</v>
      </c>
      <c r="R56" s="59">
        <f t="shared" si="0"/>
        <v>557.01491795991456</v>
      </c>
      <c r="S56" s="59">
        <f ca="1">AVERAGE(OFFSET($R$3,0,0,'Données projet'!$E$9+1,1))-AVERAGE(OFFSET($H$3,0,0,'Données projet'!$E$9+1,1))</f>
        <v>307.52968058891554</v>
      </c>
      <c r="T56" s="59">
        <f t="shared" si="34"/>
        <v>221.27527189662558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22.674050943791073</v>
      </c>
      <c r="AA56" s="21">
        <f>EXP(-LN(2)/25)*AA55+(1-EXP(-LN(2)/25))/(LN(2)/25)*Calculateur!V56*Calculateur!X56*VLOOKUP('Données projet'!$B$9,Paramètres!$A$1:$I$89,3,0)*0.475*44/12</f>
        <v>20.032593153072376</v>
      </c>
      <c r="AB56" s="21">
        <f>EXP(-LN(2)/2)*AB55+(1-EXP(-LN(2)/2))/(LN(2)/2)*V56*Y56*VLOOKUP('Données projet'!$B$9,Paramètres!$A$1:$I$89,3,0)*0.475*44/12</f>
        <v>3.0303433664649799</v>
      </c>
      <c r="AC56" s="22">
        <f t="shared" si="3"/>
        <v>45.736987463328433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758.47489164492526</v>
      </c>
      <c r="AN56" s="59">
        <f ca="1">AVERAGE(OFFSET($AM$3,0,0,'Données projet'!$E$10+1,1))-AVERAGE(OFFSET($H$3,0,0,'Données projet'!$E$10+1,1))</f>
        <v>377.63545575155672</v>
      </c>
      <c r="AO56" s="59">
        <f t="shared" si="36"/>
        <v>339.1731538522788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</v>
      </c>
      <c r="BD56" s="12">
        <f>IF('Données projet'!$A$88&gt;35,BD55+BC56-BL55,IF(A56&lt;'Données projet'!$A$88,$BA$205^A56,IF(A56='Données projet'!$A$88,'Données projet'!$B$88,BD55+BC56-BL55)))</f>
        <v>230.5</v>
      </c>
      <c r="BE56" s="13">
        <f>BD56*VLOOKUP('Données projet'!$B$11,Paramètres!$A$1:$I$89,3,0)*VLOOKUP('Données projet'!$B$11,Paramètres!$A$1:$I$89,5,0)</f>
        <v>186.98160000000001</v>
      </c>
      <c r="BF56" s="13">
        <f t="shared" si="37"/>
        <v>46.872006790472206</v>
      </c>
      <c r="BG56" s="20">
        <f t="shared" si="7"/>
        <v>407.29503182673903</v>
      </c>
      <c r="BH56" s="59">
        <f t="shared" si="8"/>
        <v>664.37041003327226</v>
      </c>
      <c r="BI56" s="59">
        <f ca="1">AVERAGE(OFFSET($BH$3,0,0,'Données projet'!$E$11+1,1))-AVERAGE(OFFSET($H$3,0,0,'Données projet'!$E$11+1,1))</f>
        <v>318.98630351938459</v>
      </c>
      <c r="BJ56" s="59">
        <f t="shared" si="38"/>
        <v>312.22190035638084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22.940047987528256</v>
      </c>
      <c r="BQ56" s="21">
        <f>EXP(-LN(2)/25)*BQ55+(1-EXP(-LN(2)/25))/(LN(2)/25)*Calculateur!BL56*Calculateur!BN56*VLOOKUP('Données projet'!$B$11,Paramètres!$A$1:$I$89,3,0)*0.475*44/12</f>
        <v>28.656194041335496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51.596242028863756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224.2000000000001</v>
      </c>
      <c r="BZ56" s="13">
        <f>BY56*VLOOKUP('Données projet'!$B$12,Paramètres!$A$1:$I$89,3,0)*VLOOKUP('Données projet'!$B$12,Paramètres!$A$1:$I$89,5,0)</f>
        <v>195.86112000000011</v>
      </c>
      <c r="CA56" s="13">
        <f t="shared" si="39"/>
        <v>48.833463106716465</v>
      </c>
      <c r="CB56" s="20">
        <f t="shared" si="10"/>
        <v>426.17639891086469</v>
      </c>
      <c r="CC56" s="59">
        <f t="shared" si="11"/>
        <v>683.25177711739798</v>
      </c>
      <c r="CD56" s="59">
        <f ca="1">AVERAGE(OFFSET($CC$3,0,0,'Données projet'!$E$12+1,1))-AVERAGE(OFFSET($H$3,0,0,'Données projet'!$E$12+1,1))</f>
        <v>411.67183422518411</v>
      </c>
      <c r="CE56" s="59">
        <f t="shared" si="40"/>
        <v>379.16642539721556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12.616299806262685</v>
      </c>
      <c r="CL56" s="21">
        <f>EXP(-LN(2)/25)*CL55+(1-EXP(-LN(2)/25))/(LN(2)/25)*Calculateur!CG56*Calculateur!CI56*VLOOKUP('Données projet'!$B$12,Paramètres!$A$1:$I$89,3,0)*0.475*44/12</f>
        <v>19.331558937283912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31.947858743546597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14.254807692307693</v>
      </c>
      <c r="N57" s="13">
        <f>IF('Données projet'!$A$36&gt;35,N56+M57-V56,IF(A57&lt;'Données projet'!$A$36,$K$205^A57,IF(A57='Données projet'!$A$36,'Données projet'!$B$36,N56+M57-V56)))</f>
        <v>306.303846153846</v>
      </c>
      <c r="O57" s="13">
        <f>N57*VLOOKUP('Données projet'!$B$9,Paramètres!$A$1:$I$89,3,0)*VLOOKUP('Données projet'!$B$9,Paramètres!$A$1:$I$89,5,0)</f>
        <v>143.35019999999992</v>
      </c>
      <c r="P57" s="13">
        <f t="shared" si="33"/>
        <v>37.063429775262271</v>
      </c>
      <c r="Q57" s="20">
        <f t="shared" si="53"/>
        <v>314.22040519191495</v>
      </c>
      <c r="R57" s="59">
        <f t="shared" si="0"/>
        <v>571.92477785925428</v>
      </c>
      <c r="S57" s="59">
        <f ca="1">AVERAGE(OFFSET($R$3,0,0,'Données projet'!$E$9+1,1))-AVERAGE(OFFSET($H$3,0,0,'Données projet'!$E$9+1,1))</f>
        <v>307.52968058891554</v>
      </c>
      <c r="T57" s="59">
        <f t="shared" si="34"/>
        <v>221.27527189662558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22.229426634588826</v>
      </c>
      <c r="AA57" s="21">
        <f>EXP(-LN(2)/25)*AA56+(1-EXP(-LN(2)/25))/(LN(2)/25)*Calculateur!V57*Calculateur!X57*VLOOKUP('Données projet'!$B$9,Paramètres!$A$1:$I$89,3,0)*0.475*44/12</f>
        <v>19.484800839833323</v>
      </c>
      <c r="AB57" s="21">
        <f>EXP(-LN(2)/2)*AB56+(1-EXP(-LN(2)/2))/(LN(2)/2)*V57*Y57*VLOOKUP('Données projet'!$B$9,Paramètres!$A$1:$I$89,3,0)*0.475*44/12</f>
        <v>2.1427763437510583</v>
      </c>
      <c r="AC57" s="22">
        <f t="shared" si="3"/>
        <v>43.857003818173204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776.56836111721509</v>
      </c>
      <c r="AN57" s="59">
        <f ca="1">AVERAGE(OFFSET($AM$3,0,0,'Données projet'!$E$10+1,1))-AVERAGE(OFFSET($H$3,0,0,'Données projet'!$E$10+1,1))</f>
        <v>377.63545575155672</v>
      </c>
      <c r="AO57" s="59">
        <f t="shared" si="36"/>
        <v>339.1731538522788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</v>
      </c>
      <c r="BD57" s="12">
        <f>IF('Données projet'!$A$88&gt;35,BD56+BC57-BL56,IF(A57&lt;'Données projet'!$A$88,$BA$205^A57,IF(A57='Données projet'!$A$88,'Données projet'!$B$88,BD56+BC57-BL56)))</f>
        <v>240</v>
      </c>
      <c r="BE57" s="13">
        <f>BD57*VLOOKUP('Données projet'!$B$11,Paramètres!$A$1:$I$89,3,0)*VLOOKUP('Données projet'!$B$11,Paramètres!$A$1:$I$89,5,0)</f>
        <v>194.68800000000002</v>
      </c>
      <c r="BF57" s="13">
        <f t="shared" si="37"/>
        <v>48.574928228914978</v>
      </c>
      <c r="BG57" s="20">
        <f t="shared" si="7"/>
        <v>423.68293333202695</v>
      </c>
      <c r="BH57" s="59">
        <f t="shared" si="8"/>
        <v>681.38730599936628</v>
      </c>
      <c r="BI57" s="59">
        <f ca="1">AVERAGE(OFFSET($BH$3,0,0,'Données projet'!$E$11+1,1))-AVERAGE(OFFSET($H$3,0,0,'Données projet'!$E$11+1,1))</f>
        <v>318.98630351938459</v>
      </c>
      <c r="BJ57" s="59">
        <f t="shared" si="38"/>
        <v>312.22190035638084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22.4902076385405</v>
      </c>
      <c r="BQ57" s="21">
        <f>EXP(-LN(2)/25)*BQ56+(1-EXP(-LN(2)/25))/(LN(2)/25)*Calculateur!BL57*Calculateur!BN57*VLOOKUP('Données projet'!$B$11,Paramètres!$A$1:$I$89,3,0)*0.475*44/12</f>
        <v>27.872588908311428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50.362796546851925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231.60000000000011</v>
      </c>
      <c r="BZ57" s="13">
        <f>BY57*VLOOKUP('Données projet'!$B$12,Paramètres!$A$1:$I$89,3,0)*VLOOKUP('Données projet'!$B$12,Paramètres!$A$1:$I$89,5,0)</f>
        <v>202.32576000000014</v>
      </c>
      <c r="CA57" s="13">
        <f t="shared" si="39"/>
        <v>50.254954935552938</v>
      </c>
      <c r="CB57" s="20">
        <f t="shared" si="10"/>
        <v>439.91141184608824</v>
      </c>
      <c r="CC57" s="59">
        <f t="shared" si="11"/>
        <v>697.61578451342757</v>
      </c>
      <c r="CD57" s="59">
        <f ca="1">AVERAGE(OFFSET($CC$3,0,0,'Données projet'!$E$12+1,1))-AVERAGE(OFFSET($H$3,0,0,'Données projet'!$E$12+1,1))</f>
        <v>411.67183422518411</v>
      </c>
      <c r="CE57" s="59">
        <f t="shared" si="40"/>
        <v>379.16642539721556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12.368901862244918</v>
      </c>
      <c r="CL57" s="21">
        <f>EXP(-LN(2)/25)*CL56+(1-EXP(-LN(2)/25))/(LN(2)/25)*Calculateur!CG57*Calculateur!CI57*VLOOKUP('Données projet'!$B$12,Paramètres!$A$1:$I$89,3,0)*0.475*44/12</f>
        <v>18.80293644154138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31.171838303786298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14.254807692307693</v>
      </c>
      <c r="N58" s="13">
        <f>IF('Données projet'!$A$36&gt;35,N57+M58-V57,IF(A58&lt;'Données projet'!$A$36,$K$205^A58,IF(A58='Données projet'!$A$36,'Données projet'!$B$36,N57+M58-V57)))</f>
        <v>320.55865384615367</v>
      </c>
      <c r="O58" s="13">
        <f>N58*VLOOKUP('Données projet'!$B$9,Paramètres!$A$1:$I$89,3,0)*VLOOKUP('Données projet'!$B$9,Paramètres!$A$1:$I$89,5,0)</f>
        <v>150.02144999999993</v>
      </c>
      <c r="P58" s="13">
        <f t="shared" si="33"/>
        <v>38.583460169756968</v>
      </c>
      <c r="Q58" s="20">
        <f t="shared" si="53"/>
        <v>328.48688521232657</v>
      </c>
      <c r="R58" s="59">
        <f t="shared" si="0"/>
        <v>586.80934069279795</v>
      </c>
      <c r="S58" s="59">
        <f ca="1">AVERAGE(OFFSET($R$3,0,0,'Données projet'!$E$9+1,1))-AVERAGE(OFFSET($H$3,0,0,'Données projet'!$E$9+1,1))</f>
        <v>307.52968058891554</v>
      </c>
      <c r="T58" s="59">
        <f t="shared" si="34"/>
        <v>221.27527189662558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21.793521136895986</v>
      </c>
      <c r="AA58" s="21">
        <f>EXP(-LN(2)/25)*AA57+(1-EXP(-LN(2)/25))/(LN(2)/25)*Calculateur!V58*Calculateur!X58*VLOOKUP('Données projet'!$B$9,Paramètres!$A$1:$I$89,3,0)*0.475*44/12</f>
        <v>18.951987936206937</v>
      </c>
      <c r="AB58" s="21">
        <f>EXP(-LN(2)/2)*AB57+(1-EXP(-LN(2)/2))/(LN(2)/2)*V58*Y58*VLOOKUP('Données projet'!$B$9,Paramètres!$A$1:$I$89,3,0)*0.475*44/12</f>
        <v>1.51517168323249</v>
      </c>
      <c r="AC58" s="22">
        <f t="shared" si="3"/>
        <v>42.260680756335411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794.63852499190898</v>
      </c>
      <c r="AN58" s="59">
        <f ca="1">AVERAGE(OFFSET($AM$3,0,0,'Données projet'!$E$10+1,1))-AVERAGE(OFFSET($H$3,0,0,'Données projet'!$E$10+1,1))</f>
        <v>377.63545575155672</v>
      </c>
      <c r="AO58" s="59">
        <f t="shared" si="36"/>
        <v>339.1731538522788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</v>
      </c>
      <c r="BD58" s="12">
        <f>IF('Données projet'!$A$88&gt;35,BD57+BC58-BL57,IF(A58&lt;'Données projet'!$A$88,$BA$205^A58,IF(A58='Données projet'!$A$88,'Données projet'!$B$88,BD57+BC58-BL57)))</f>
        <v>249.5</v>
      </c>
      <c r="BE58" s="13">
        <f>BD58*VLOOKUP('Données projet'!$B$11,Paramètres!$A$1:$I$89,3,0)*VLOOKUP('Données projet'!$B$11,Paramètres!$A$1:$I$89,5,0)</f>
        <v>202.39440000000002</v>
      </c>
      <c r="BF58" s="13">
        <f t="shared" si="37"/>
        <v>50.270019345150196</v>
      </c>
      <c r="BG58" s="20">
        <f t="shared" si="7"/>
        <v>440.05719702613652</v>
      </c>
      <c r="BH58" s="59">
        <f t="shared" si="8"/>
        <v>698.37965250660795</v>
      </c>
      <c r="BI58" s="59">
        <f ca="1">AVERAGE(OFFSET($BH$3,0,0,'Données projet'!$E$11+1,1))-AVERAGE(OFFSET($H$3,0,0,'Données projet'!$E$11+1,1))</f>
        <v>318.98630351938459</v>
      </c>
      <c r="BJ58" s="59">
        <f t="shared" si="38"/>
        <v>312.22190035638084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22.049188384420873</v>
      </c>
      <c r="BQ58" s="21">
        <f>EXP(-LN(2)/25)*BQ57+(1-EXP(-LN(2)/25))/(LN(2)/25)*Calculateur!BL58*Calculateur!BN58*VLOOKUP('Données projet'!$B$11,Paramètres!$A$1:$I$89,3,0)*0.475*44/12</f>
        <v>27.110411498857903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49.159599883278773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239.00000000000011</v>
      </c>
      <c r="BZ58" s="13">
        <f>BY58*VLOOKUP('Données projet'!$B$12,Paramètres!$A$1:$I$89,3,0)*VLOOKUP('Données projet'!$B$12,Paramètres!$A$1:$I$89,5,0)</f>
        <v>208.79040000000015</v>
      </c>
      <c r="CA58" s="13">
        <f t="shared" si="39"/>
        <v>51.671168863475195</v>
      </c>
      <c r="CB58" s="20">
        <f t="shared" si="10"/>
        <v>453.63723243721955</v>
      </c>
      <c r="CC58" s="59">
        <f t="shared" si="11"/>
        <v>711.95968791769087</v>
      </c>
      <c r="CD58" s="59">
        <f ca="1">AVERAGE(OFFSET($CC$3,0,0,'Données projet'!$E$12+1,1))-AVERAGE(OFFSET($H$3,0,0,'Données projet'!$E$12+1,1))</f>
        <v>411.67183422518411</v>
      </c>
      <c r="CE58" s="59">
        <f t="shared" si="40"/>
        <v>379.16642539721556</v>
      </c>
      <c r="CF58" s="15">
        <f>IF(ISNA(VLOOKUP(A58,'Données projet'!$A$113:$I$133,3,0)),0,VLOOKUP(A58,'Données projet'!$A$113:$I$133,3,0))</f>
        <v>8</v>
      </c>
      <c r="CG58" s="15" t="str">
        <f>IF(ISNA(VLOOKUP(A58,'Données projet'!$A$113:$I$133,4,0)),0,VLOOKUP(A58,'Données projet'!$A$113:$I$133,4,0))</f>
        <v>26</v>
      </c>
      <c r="CH58" s="16">
        <f>IF(ISNA(VLOOKUP(A58,'Données projet'!$A$113:$I$133,5,0)),0%,VLOOKUP(A58,'Données projet'!$A$113:$I$133,5,0)*VLOOKUP('Données projet'!$B$12,Paramètres!$A$1:$I$89,7,0))</f>
        <v>0.215</v>
      </c>
      <c r="CI58" s="16">
        <f>IF(ISNA(VLOOKUP(A58,'Données projet'!$A$113:$I$133,6,0)),0%,VLOOKUP(A58,'Données projet'!$A$113:$I$133,6,0)*VLOOKUP('Données projet'!$B$12,Paramètres!$A$1:$I$89,7,0))</f>
        <v>0.17200000000000001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17.524835823711815</v>
      </c>
      <c r="CL58" s="21">
        <f>EXP(-LN(2)/25)*CL57+(1-EXP(-LN(2)/25))/(LN(2)/25)*Calculateur!CG58*Calculateur!CI58*VLOOKUP('Données projet'!$B$12,Paramètres!$A$1:$I$89,3,0)*0.475*44/12</f>
        <v>22.590548921875065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40.11538474558688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14.254807692307693</v>
      </c>
      <c r="N59" s="13">
        <f>IF('Données projet'!$A$36&gt;35,N58+M59-V58,IF(A59&lt;'Données projet'!$A$36,$K$205^A59,IF(A59='Données projet'!$A$36,'Données projet'!$B$36,N58+M59-V58)))</f>
        <v>334.81346153846135</v>
      </c>
      <c r="O59" s="13">
        <f>N59*VLOOKUP('Données projet'!$B$9,Paramètres!$A$1:$I$89,3,0)*VLOOKUP('Données projet'!$B$9,Paramètres!$A$1:$I$89,5,0)</f>
        <v>156.69269999999992</v>
      </c>
      <c r="P59" s="13">
        <f t="shared" si="33"/>
        <v>40.095640254763687</v>
      </c>
      <c r="Q59" s="20">
        <f t="shared" si="53"/>
        <v>342.73969261037996</v>
      </c>
      <c r="R59" s="59">
        <f t="shared" si="0"/>
        <v>601.66950854900165</v>
      </c>
      <c r="S59" s="59">
        <f ca="1">AVERAGE(OFFSET($R$3,0,0,'Données projet'!$E$9+1,1))-AVERAGE(OFFSET($H$3,0,0,'Données projet'!$E$9+1,1))</f>
        <v>307.52968058891554</v>
      </c>
      <c r="T59" s="59">
        <f t="shared" si="34"/>
        <v>221.27527189662558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21.366163480136802</v>
      </c>
      <c r="AA59" s="21">
        <f>EXP(-LN(2)/25)*AA58+(1-EXP(-LN(2)/25))/(LN(2)/25)*Calculateur!V59*Calculateur!X59*VLOOKUP('Données projet'!$B$9,Paramètres!$A$1:$I$89,3,0)*0.475*44/12</f>
        <v>18.433744829449626</v>
      </c>
      <c r="AB59" s="21">
        <f>EXP(-LN(2)/2)*AB58+(1-EXP(-LN(2)/2))/(LN(2)/2)*V59*Y59*VLOOKUP('Données projet'!$B$9,Paramètres!$A$1:$I$89,3,0)*0.475*44/12</f>
        <v>1.0713881718755291</v>
      </c>
      <c r="AC59" s="22">
        <f t="shared" si="3"/>
        <v>40.871296481461954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812.68603240578523</v>
      </c>
      <c r="AN59" s="59">
        <f ca="1">AVERAGE(OFFSET($AM$3,0,0,'Données projet'!$E$10+1,1))-AVERAGE(OFFSET($H$3,0,0,'Données projet'!$E$10+1,1))</f>
        <v>377.63545575155672</v>
      </c>
      <c r="AO59" s="59">
        <f t="shared" si="36"/>
        <v>339.1731538522788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</v>
      </c>
      <c r="BD59" s="12">
        <f>IF('Données projet'!$A$88&gt;35,BD58+BC59-BL58,IF(A59&lt;'Données projet'!$A$88,$BA$205^A59,IF(A59='Données projet'!$A$88,'Données projet'!$B$88,BD58+BC59-BL58)))</f>
        <v>259</v>
      </c>
      <c r="BE59" s="13">
        <f>BD59*VLOOKUP('Données projet'!$B$11,Paramètres!$A$1:$I$89,3,0)*VLOOKUP('Données projet'!$B$11,Paramètres!$A$1:$I$89,5,0)</f>
        <v>210.10080000000002</v>
      </c>
      <c r="BF59" s="13">
        <f t="shared" si="37"/>
        <v>51.95761241914623</v>
      </c>
      <c r="BG59" s="20">
        <f t="shared" si="7"/>
        <v>456.41840163001302</v>
      </c>
      <c r="BH59" s="59">
        <f t="shared" si="8"/>
        <v>715.34821756863471</v>
      </c>
      <c r="BI59" s="59">
        <f ca="1">AVERAGE(OFFSET($BH$3,0,0,'Données projet'!$E$11+1,1))-AVERAGE(OFFSET($H$3,0,0,'Données projet'!$E$11+1,1))</f>
        <v>318.98630351938459</v>
      </c>
      <c r="BJ59" s="59">
        <f t="shared" si="38"/>
        <v>312.22190035638084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21.616817248879347</v>
      </c>
      <c r="BQ59" s="21">
        <f>EXP(-LN(2)/25)*BQ58+(1-EXP(-LN(2)/25))/(LN(2)/25)*Calculateur!BL59*Calculateur!BN59*VLOOKUP('Données projet'!$B$11,Paramètres!$A$1:$I$89,3,0)*0.475*44/12</f>
        <v>26.369075870747054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47.985893119626397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6.6</v>
      </c>
      <c r="BY59" s="12">
        <f>IF('Données projet'!$A$114&gt;35,BY58+BX59-CG58,IF(A59&lt;'Données projet'!$A$114,$BV$205^A59,IF(A59='Données projet'!$A$114,'Données projet'!$B$114,BY58+BX59-CG58)))</f>
        <v>219.60000000000011</v>
      </c>
      <c r="BZ59" s="13">
        <f>BY59*VLOOKUP('Données projet'!$B$12,Paramètres!$A$1:$I$89,3,0)*VLOOKUP('Données projet'!$B$12,Paramètres!$A$1:$I$89,5,0)</f>
        <v>191.84256000000011</v>
      </c>
      <c r="CA59" s="13">
        <f t="shared" si="39"/>
        <v>47.947087613384845</v>
      </c>
      <c r="CB59" s="20">
        <f t="shared" si="10"/>
        <v>417.6336362599788</v>
      </c>
      <c r="CC59" s="59">
        <f t="shared" si="11"/>
        <v>676.56345219860054</v>
      </c>
      <c r="CD59" s="59">
        <f ca="1">AVERAGE(OFFSET($CC$3,0,0,'Données projet'!$E$12+1,1))-AVERAGE(OFFSET($H$3,0,0,'Données projet'!$E$12+1,1))</f>
        <v>411.67183422518411</v>
      </c>
      <c r="CE59" s="59">
        <f t="shared" si="40"/>
        <v>379.16642539721556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17.18118448230322</v>
      </c>
      <c r="CL59" s="21">
        <f>EXP(-LN(2)/25)*CL58+(1-EXP(-LN(2)/25))/(LN(2)/25)*Calculateur!CG59*Calculateur!CI59*VLOOKUP('Données projet'!$B$12,Paramètres!$A$1:$I$89,3,0)*0.475*44/12</f>
        <v>21.972809173621055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39.153993655924275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14.254807692307693</v>
      </c>
      <c r="N60" s="13">
        <f>IF('Données projet'!$A$36&gt;35,N59+M60-V59,IF(A60&lt;'Données projet'!$A$36,$K$205^A60,IF(A60='Données projet'!$A$36,'Données projet'!$B$36,N59+M60-V59)))</f>
        <v>349.06826923076903</v>
      </c>
      <c r="O60" s="13">
        <f>N60*VLOOKUP('Données projet'!$B$9,Paramètres!$A$1:$I$89,3,0)*VLOOKUP('Données projet'!$B$9,Paramètres!$A$1:$I$89,5,0)</f>
        <v>163.3639499999999</v>
      </c>
      <c r="P60" s="13">
        <f t="shared" si="33"/>
        <v>41.600342471015871</v>
      </c>
      <c r="Q60" s="20">
        <f t="shared" si="53"/>
        <v>356.9794760536858</v>
      </c>
      <c r="R60" s="59">
        <f t="shared" si="0"/>
        <v>616.50611610436351</v>
      </c>
      <c r="S60" s="59">
        <f ca="1">AVERAGE(OFFSET($R$3,0,0,'Données projet'!$E$9+1,1))-AVERAGE(OFFSET($H$3,0,0,'Données projet'!$E$9+1,1))</f>
        <v>307.52968058891554</v>
      </c>
      <c r="T60" s="59">
        <f t="shared" si="34"/>
        <v>221.27527189662558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20.94718604636423</v>
      </c>
      <c r="AA60" s="21">
        <f>EXP(-LN(2)/25)*AA59+(1-EXP(-LN(2)/25))/(LN(2)/25)*Calculateur!V60*Calculateur!X60*VLOOKUP('Données projet'!$B$9,Paramètres!$A$1:$I$89,3,0)*0.475*44/12</f>
        <v>17.929673107699816</v>
      </c>
      <c r="AB60" s="21">
        <f>EXP(-LN(2)/2)*AB59+(1-EXP(-LN(2)/2))/(LN(2)/2)*V60*Y60*VLOOKUP('Données projet'!$B$9,Paramètres!$A$1:$I$89,3,0)*0.475*44/12</f>
        <v>0.75758584161624498</v>
      </c>
      <c r="AC60" s="22">
        <f t="shared" si="3"/>
        <v>39.634444995680298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752.49417715116647</v>
      </c>
      <c r="AN60" s="59">
        <f ca="1">AVERAGE(OFFSET($AM$3,0,0,'Données projet'!$E$10+1,1))-AVERAGE(OFFSET($H$3,0,0,'Données projet'!$E$10+1,1))</f>
        <v>377.63545575155672</v>
      </c>
      <c r="AO60" s="59">
        <f t="shared" si="36"/>
        <v>339.1731538522788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</v>
      </c>
      <c r="BD60" s="12">
        <f>IF('Données projet'!$A$88&gt;35,BD59+BC60-BL59,IF(A60&lt;'Données projet'!$A$88,$BA$205^A60,IF(A60='Données projet'!$A$88,'Données projet'!$B$88,BD59+BC60-BL59)))</f>
        <v>268.5</v>
      </c>
      <c r="BE60" s="13">
        <f>BD60*VLOOKUP('Données projet'!$B$11,Paramètres!$A$1:$I$89,3,0)*VLOOKUP('Données projet'!$B$11,Paramètres!$A$1:$I$89,5,0)</f>
        <v>217.80720000000002</v>
      </c>
      <c r="BF60" s="13">
        <f t="shared" si="37"/>
        <v>53.638013973813976</v>
      </c>
      <c r="BG60" s="20">
        <f t="shared" si="7"/>
        <v>472.76708100439265</v>
      </c>
      <c r="BH60" s="59">
        <f t="shared" si="8"/>
        <v>732.29372105507036</v>
      </c>
      <c r="BI60" s="59">
        <f ca="1">AVERAGE(OFFSET($BH$3,0,0,'Données projet'!$E$11+1,1))-AVERAGE(OFFSET($H$3,0,0,'Données projet'!$E$11+1,1))</f>
        <v>318.98630351938459</v>
      </c>
      <c r="BJ60" s="59">
        <f t="shared" si="38"/>
        <v>312.22190035638084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21.192924647585439</v>
      </c>
      <c r="BQ60" s="21">
        <f>EXP(-LN(2)/25)*BQ59+(1-EXP(-LN(2)/25))/(LN(2)/25)*Calculateur!BL60*Calculateur!BN60*VLOOKUP('Données projet'!$B$11,Paramètres!$A$1:$I$89,3,0)*0.475*44/12</f>
        <v>25.648012104372043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46.840936751957486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6.6</v>
      </c>
      <c r="BY60" s="12">
        <f>IF('Données projet'!$A$114&gt;35,BY59+BX60-CG59,IF(A60&lt;'Données projet'!$A$114,$BV$205^A60,IF(A60='Données projet'!$A$114,'Données projet'!$B$114,BY59+BX60-CG59)))</f>
        <v>226.2000000000001</v>
      </c>
      <c r="BZ60" s="13">
        <f>BY60*VLOOKUP('Données projet'!$B$12,Paramètres!$A$1:$I$89,3,0)*VLOOKUP('Données projet'!$B$12,Paramètres!$A$1:$I$89,5,0)</f>
        <v>197.60832000000011</v>
      </c>
      <c r="CA60" s="13">
        <f t="shared" si="39"/>
        <v>49.218181392381403</v>
      </c>
      <c r="CB60" s="20">
        <f t="shared" si="10"/>
        <v>429.88948992506448</v>
      </c>
      <c r="CC60" s="59">
        <f t="shared" si="11"/>
        <v>689.41612997574225</v>
      </c>
      <c r="CD60" s="59">
        <f ca="1">AVERAGE(OFFSET($CC$3,0,0,'Données projet'!$E$12+1,1))-AVERAGE(OFFSET($H$3,0,0,'Données projet'!$E$12+1,1))</f>
        <v>411.67183422518411</v>
      </c>
      <c r="CE60" s="59">
        <f t="shared" si="40"/>
        <v>379.16642539721556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16.844271934093022</v>
      </c>
      <c r="CL60" s="21">
        <f>EXP(-LN(2)/25)*CL59+(1-EXP(-LN(2)/25))/(LN(2)/25)*Calculateur!CG60*Calculateur!CI60*VLOOKUP('Données projet'!$B$12,Paramètres!$A$1:$I$89,3,0)*0.475*44/12</f>
        <v>21.371961551268573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38.216233485361599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363.32307692307694</v>
      </c>
      <c r="L61" s="12">
        <f>VLOOKUP(A61,'Données projet'!$A$35:$I$55,9,0)</f>
        <v>14.254807692307693</v>
      </c>
      <c r="M61" s="12">
        <f t="array" ref="M61">INDEX(L:L,MIN(IF(ISNUMBER(L61:L257),ROW(L61:L257),"")))</f>
        <v>14.254807692307693</v>
      </c>
      <c r="N61" s="13">
        <f>IF('Données projet'!$A$36&gt;35,N60+M61-V60,IF(A61&lt;'Données projet'!$A$36,$K$205^A61,IF(A61='Données projet'!$A$36,'Données projet'!$B$36,N60+M61-V60)))</f>
        <v>363.32307692307671</v>
      </c>
      <c r="O61" s="13">
        <f>N61*VLOOKUP('Données projet'!$B$9,Paramètres!$A$1:$I$89,3,0)*VLOOKUP('Données projet'!$B$9,Paramètres!$A$1:$I$89,5,0)</f>
        <v>170.03519999999989</v>
      </c>
      <c r="P61" s="13">
        <f t="shared" si="33"/>
        <v>43.097907119364415</v>
      </c>
      <c r="Q61" s="20">
        <f t="shared" si="53"/>
        <v>371.2068282328928</v>
      </c>
      <c r="R61" s="59">
        <f t="shared" si="0"/>
        <v>631.31993883158123</v>
      </c>
      <c r="S61" s="59">
        <f ca="1">AVERAGE(OFFSET($R$3,0,0,'Données projet'!$E$9+1,1))-AVERAGE(OFFSET($H$3,0,0,'Données projet'!$E$9+1,1))</f>
        <v>307.52968058891554</v>
      </c>
      <c r="T61" s="59">
        <f t="shared" si="34"/>
        <v>221.27527189662558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80.315384615384616</v>
      </c>
      <c r="W61" s="16">
        <f>IF(ISNA(VLOOKUP(A61,'Données projet'!$A$35:$I$55,5,0)),0%,VLOOKUP(A61,'Données projet'!$A$35:$I$55,5,0)*VLOOKUP('Données projet'!$B$9,Paramètres!$A$1:$I$89,7,0))</f>
        <v>0.38500000000000001</v>
      </c>
      <c r="X61" s="16">
        <f>IF(ISNA(VLOOKUP(A61,'Données projet'!$A$35:$I$55,6,0)),0%,VLOOKUP(A61,'Données projet'!$A$35:$I$55,6,0)*VLOOKUP('Données projet'!$B$9,Paramètres!$A$1:$I$89,7,0))</f>
        <v>9.240000000000001E-2</v>
      </c>
      <c r="Y61" s="16">
        <f>IF(ISNA(VLOOKUP(A61,'Données projet'!$A$35:$I$55,7,0)),0%,VLOOKUP(A61,'Données projet'!$A$35:$I$55,7,0))</f>
        <v>0.13200000000000001</v>
      </c>
      <c r="Z61" s="21">
        <f>EXP(-LN(2)/35)*Z60+(1-EXP(-LN(2)/35))/(LN(2)/35)*V61*W61*VLOOKUP('Données projet'!$B$9,Paramètres!$A$1:$I$89,3,0)*0.475*44/12</f>
        <v>39.733438542749454</v>
      </c>
      <c r="AA61" s="21">
        <f>EXP(-LN(2)/25)*AA60+(1-EXP(-LN(2)/25))/(LN(2)/25)*Calculateur!V61*Calculateur!X61*VLOOKUP('Données projet'!$B$9,Paramètres!$A$1:$I$89,3,0)*0.475*44/12</f>
        <v>22.028527992728002</v>
      </c>
      <c r="AB61" s="21">
        <f>EXP(-LN(2)/2)*AB60+(1-EXP(-LN(2)/2))/(LN(2)/2)*V61*Y61*VLOOKUP('Données projet'!$B$9,Paramètres!$A$1:$I$89,3,0)*0.475*44/12</f>
        <v>6.153336187196528</v>
      </c>
      <c r="AC61" s="22">
        <f t="shared" si="3"/>
        <v>67.915302722673985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768.34915688861145</v>
      </c>
      <c r="AN61" s="59">
        <f ca="1">AVERAGE(OFFSET($AM$3,0,0,'Données projet'!$E$10+1,1))-AVERAGE(OFFSET($H$3,0,0,'Données projet'!$E$10+1,1))</f>
        <v>377.63545575155672</v>
      </c>
      <c r="AO61" s="59">
        <f t="shared" si="36"/>
        <v>339.1731538522788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9.5</v>
      </c>
      <c r="BD61" s="12">
        <f>IF('Données projet'!$A$88&gt;35,BD60+BC61-BL60,IF(A61&lt;'Données projet'!$A$88,$BA$205^A61,IF(A61='Données projet'!$A$88,'Données projet'!$B$88,BD60+BC61-BL60)))</f>
        <v>278</v>
      </c>
      <c r="BE61" s="13">
        <f>BD61*VLOOKUP('Données projet'!$B$11,Paramètres!$A$1:$I$89,3,0)*VLOOKUP('Données projet'!$B$11,Paramètres!$A$1:$I$89,5,0)</f>
        <v>225.51360000000003</v>
      </c>
      <c r="BF61" s="13">
        <f t="shared" si="37"/>
        <v>55.311507611662641</v>
      </c>
      <c r="BG61" s="20">
        <f t="shared" si="7"/>
        <v>489.10372909031236</v>
      </c>
      <c r="BH61" s="59">
        <f t="shared" si="8"/>
        <v>749.21683968900084</v>
      </c>
      <c r="BI61" s="59">
        <f ca="1">AVERAGE(OFFSET($BH$3,0,0,'Données projet'!$E$11+1,1))-AVERAGE(OFFSET($H$3,0,0,'Données projet'!$E$11+1,1))</f>
        <v>318.98630351938459</v>
      </c>
      <c r="BJ61" s="59">
        <f t="shared" si="38"/>
        <v>312.22190035638084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20.777344321653946</v>
      </c>
      <c r="BQ61" s="21">
        <f>EXP(-LN(2)/25)*BQ60+(1-EXP(-LN(2)/25))/(LN(2)/25)*Calculateur!BL61*Calculateur!BN61*VLOOKUP('Données projet'!$B$11,Paramètres!$A$1:$I$89,3,0)*0.475*44/12</f>
        <v>24.946665864607652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45.724010186261594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6.6</v>
      </c>
      <c r="BY61" s="12">
        <f>IF('Données projet'!$A$114&gt;35,BY60+BX61-CG60,IF(A61&lt;'Données projet'!$A$114,$BV$205^A61,IF(A61='Données projet'!$A$114,'Données projet'!$B$114,BY60+BX61-CG60)))</f>
        <v>232.8000000000001</v>
      </c>
      <c r="BZ61" s="13">
        <f>BY61*VLOOKUP('Données projet'!$B$12,Paramètres!$A$1:$I$89,3,0)*VLOOKUP('Données projet'!$B$12,Paramètres!$A$1:$I$89,5,0)</f>
        <v>203.37408000000013</v>
      </c>
      <c r="CA61" s="13">
        <f t="shared" si="39"/>
        <v>50.484964849140624</v>
      </c>
      <c r="CB61" s="20">
        <f t="shared" si="10"/>
        <v>442.1378364455868</v>
      </c>
      <c r="CC61" s="59">
        <f t="shared" si="11"/>
        <v>702.25094704427522</v>
      </c>
      <c r="CD61" s="59">
        <f ca="1">AVERAGE(OFFSET($CC$3,0,0,'Données projet'!$E$12+1,1))-AVERAGE(OFFSET($H$3,0,0,'Données projet'!$E$12+1,1))</f>
        <v>411.67183422518411</v>
      </c>
      <c r="CE61" s="59">
        <f t="shared" si="40"/>
        <v>379.16642539721556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16.513966035456864</v>
      </c>
      <c r="CL61" s="21">
        <f>EXP(-LN(2)/25)*CL60+(1-EXP(-LN(2)/25))/(LN(2)/25)*Calculateur!CG61*Calculateur!CI61*VLOOKUP('Données projet'!$B$12,Paramètres!$A$1:$I$89,3,0)*0.475*44/12</f>
        <v>20.787544138746522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37.301510174203386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13.723076923076924</v>
      </c>
      <c r="N62" s="13">
        <f>IF('Données projet'!$A$36&gt;35,N61+M62-V61,IF(A62&lt;'Données projet'!$A$36,$K$205^A62,IF(A62='Données projet'!$A$36,'Données projet'!$B$36,N61+M62-V61)))</f>
        <v>296.730769230769</v>
      </c>
      <c r="O62" s="13">
        <f>N62*VLOOKUP('Données projet'!$B$9,Paramètres!$A$1:$I$89,3,0)*VLOOKUP('Données projet'!$B$9,Paramètres!$A$1:$I$89,5,0)</f>
        <v>138.86999999999989</v>
      </c>
      <c r="P62" s="13">
        <f t="shared" si="33"/>
        <v>36.038016391479765</v>
      </c>
      <c r="Q62" s="20">
        <f t="shared" si="53"/>
        <v>304.63146188182708</v>
      </c>
      <c r="R62" s="59">
        <f t="shared" si="0"/>
        <v>565.32086907566986</v>
      </c>
      <c r="S62" s="59">
        <f ca="1">AVERAGE(OFFSET($R$3,0,0,'Données projet'!$E$9+1,1))-AVERAGE(OFFSET($H$3,0,0,'Données projet'!$E$9+1,1))</f>
        <v>307.52968058891554</v>
      </c>
      <c r="T62" s="59">
        <f t="shared" si="34"/>
        <v>221.27527189662558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38.954290047930641</v>
      </c>
      <c r="AA62" s="21">
        <f>EXP(-LN(2)/25)*AA61+(1-EXP(-LN(2)/25))/(LN(2)/25)*Calculateur!V62*Calculateur!X62*VLOOKUP('Données projet'!$B$9,Paramètres!$A$1:$I$89,3,0)*0.475*44/12</f>
        <v>21.426156736336914</v>
      </c>
      <c r="AB62" s="21">
        <f>EXP(-LN(2)/2)*AB61+(1-EXP(-LN(2)/2))/(LN(2)/2)*V62*Y62*VLOOKUP('Données projet'!$B$9,Paramètres!$A$1:$I$89,3,0)*0.475*44/12</f>
        <v>4.3510657448872401</v>
      </c>
      <c r="AC62" s="22">
        <f t="shared" si="3"/>
        <v>64.731512529154799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784.18427111335245</v>
      </c>
      <c r="AN62" s="59">
        <f ca="1">AVERAGE(OFFSET($AM$3,0,0,'Données projet'!$E$10+1,1))-AVERAGE(OFFSET($H$3,0,0,'Données projet'!$E$10+1,1))</f>
        <v>377.63545575155672</v>
      </c>
      <c r="AO62" s="59">
        <f t="shared" si="36"/>
        <v>339.1731538522788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9.5</v>
      </c>
      <c r="BD62" s="12">
        <f>IF('Données projet'!$A$88&gt;35,BD61+BC62-BL61,IF(A62&lt;'Données projet'!$A$88,$BA$205^A62,IF(A62='Données projet'!$A$88,'Données projet'!$B$88,BD61+BC62-BL61)))</f>
        <v>287.5</v>
      </c>
      <c r="BE62" s="13">
        <f>BD62*VLOOKUP('Données projet'!$B$11,Paramètres!$A$1:$I$89,3,0)*VLOOKUP('Données projet'!$B$11,Paramètres!$A$1:$I$89,5,0)</f>
        <v>233.22</v>
      </c>
      <c r="BF62" s="13">
        <f t="shared" si="37"/>
        <v>56.978356452817273</v>
      </c>
      <c r="BG62" s="20">
        <f t="shared" si="7"/>
        <v>505.42880415532341</v>
      </c>
      <c r="BH62" s="59">
        <f t="shared" si="8"/>
        <v>766.11821134916613</v>
      </c>
      <c r="BI62" s="59">
        <f ca="1">AVERAGE(OFFSET($BH$3,0,0,'Données projet'!$E$11+1,1))-AVERAGE(OFFSET($H$3,0,0,'Données projet'!$E$11+1,1))</f>
        <v>318.98630351938459</v>
      </c>
      <c r="BJ62" s="59">
        <f t="shared" si="38"/>
        <v>312.22190035638084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20.369913272434999</v>
      </c>
      <c r="BQ62" s="21">
        <f>EXP(-LN(2)/25)*BQ61+(1-EXP(-LN(2)/25))/(LN(2)/25)*Calculateur!BL62*Calculateur!BN62*VLOOKUP('Données projet'!$B$11,Paramètres!$A$1:$I$89,3,0)*0.475*44/12</f>
        <v>24.264497974651814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44.634411247086817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6.6</v>
      </c>
      <c r="BY62" s="12">
        <f>IF('Données projet'!$A$114&gt;35,BY61+BX62-CG61,IF(A62&lt;'Données projet'!$A$114,$BV$205^A62,IF(A62='Données projet'!$A$114,'Données projet'!$B$114,BY61+BX62-CG61)))</f>
        <v>239.40000000000009</v>
      </c>
      <c r="BZ62" s="13">
        <f>BY62*VLOOKUP('Données projet'!$B$12,Paramètres!$A$1:$I$89,3,0)*VLOOKUP('Données projet'!$B$12,Paramètres!$A$1:$I$89,5,0)</f>
        <v>209.13984000000008</v>
      </c>
      <c r="CA62" s="13">
        <f t="shared" si="39"/>
        <v>51.747574219710266</v>
      </c>
      <c r="CB62" s="20">
        <f t="shared" si="10"/>
        <v>454.37891309932888</v>
      </c>
      <c r="CC62" s="59">
        <f t="shared" si="11"/>
        <v>715.06832029317161</v>
      </c>
      <c r="CD62" s="59">
        <f ca="1">AVERAGE(OFFSET($CC$3,0,0,'Données projet'!$E$12+1,1))-AVERAGE(OFFSET($H$3,0,0,'Données projet'!$E$12+1,1))</f>
        <v>411.67183422518411</v>
      </c>
      <c r="CE62" s="59">
        <f t="shared" si="40"/>
        <v>379.16642539721556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16.190137234026256</v>
      </c>
      <c r="CL62" s="21">
        <f>EXP(-LN(2)/25)*CL61+(1-EXP(-LN(2)/25))/(LN(2)/25)*Calculateur!CG62*Calculateur!CI62*VLOOKUP('Données projet'!$B$12,Paramètres!$A$1:$I$89,3,0)*0.475*44/12</f>
        <v>20.219107651103062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36.409244885129318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13.723076923076924</v>
      </c>
      <c r="N63" s="13">
        <f>IF('Données projet'!$A$36&gt;35,N62+M63-V62,IF(A63&lt;'Données projet'!$A$36,$K$205^A63,IF(A63='Données projet'!$A$36,'Données projet'!$B$36,N62+M63-V62)))</f>
        <v>310.45384615384592</v>
      </c>
      <c r="O63" s="13">
        <f>N63*VLOOKUP('Données projet'!$B$9,Paramètres!$A$1:$I$89,3,0)*VLOOKUP('Données projet'!$B$9,Paramètres!$A$1:$I$89,5,0)</f>
        <v>145.29239999999987</v>
      </c>
      <c r="P63" s="13">
        <f t="shared" si="33"/>
        <v>37.506789343413246</v>
      </c>
      <c r="Q63" s="20">
        <f t="shared" si="53"/>
        <v>318.37525477311118</v>
      </c>
      <c r="R63" s="59">
        <f t="shared" si="0"/>
        <v>579.63096110458866</v>
      </c>
      <c r="S63" s="59">
        <f ca="1">AVERAGE(OFFSET($R$3,0,0,'Données projet'!$E$9+1,1))-AVERAGE(OFFSET($H$3,0,0,'Données projet'!$E$9+1,1))</f>
        <v>307.52968058891554</v>
      </c>
      <c r="T63" s="59">
        <f t="shared" si="34"/>
        <v>221.27527189662558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38.190420179861569</v>
      </c>
      <c r="AA63" s="21">
        <f>EXP(-LN(2)/25)*AA62+(1-EXP(-LN(2)/25))/(LN(2)/25)*Calculateur!V63*Calculateur!X63*VLOOKUP('Données projet'!$B$9,Paramètres!$A$1:$I$89,3,0)*0.475*44/12</f>
        <v>20.84025735362917</v>
      </c>
      <c r="AB63" s="21">
        <f>EXP(-LN(2)/2)*AB62+(1-EXP(-LN(2)/2))/(LN(2)/2)*V63*Y63*VLOOKUP('Données projet'!$B$9,Paramètres!$A$1:$I$89,3,0)*0.475*44/12</f>
        <v>3.0766680935982644</v>
      </c>
      <c r="AC63" s="22">
        <f t="shared" si="3"/>
        <v>62.107345627089003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800.00001848008583</v>
      </c>
      <c r="AN63" s="59">
        <f ca="1">AVERAGE(OFFSET($AM$3,0,0,'Données projet'!$E$10+1,1))-AVERAGE(OFFSET($H$3,0,0,'Données projet'!$E$10+1,1))</f>
        <v>377.63545575155672</v>
      </c>
      <c r="AO63" s="59">
        <f t="shared" si="36"/>
        <v>339.1731538522788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297</v>
      </c>
      <c r="BB63" s="12">
        <f>VLOOKUP(A63,'Données projet'!$A$87:$I$107,9,0)</f>
        <v>9.5</v>
      </c>
      <c r="BC63" s="12">
        <f t="array" ref="BC63">INDEX(BB:BB,MIN(IF(ISNUMBER(BB63:BB259),ROW(BB63:BB259),"")))</f>
        <v>9.5</v>
      </c>
      <c r="BD63" s="12">
        <f>IF('Données projet'!$A$88&gt;35,BD62+BC63-BL62,IF(A63&lt;'Données projet'!$A$88,$BA$205^A63,IF(A63='Données projet'!$A$88,'Données projet'!$B$88,BD62+BC63-BL62)))</f>
        <v>297</v>
      </c>
      <c r="BE63" s="13">
        <f>BD63*VLOOKUP('Données projet'!$B$11,Paramètres!$A$1:$I$89,3,0)*VLOOKUP('Données projet'!$B$11,Paramètres!$A$1:$I$89,5,0)</f>
        <v>240.9264</v>
      </c>
      <c r="BF63" s="13">
        <f t="shared" si="37"/>
        <v>58.638805241742823</v>
      </c>
      <c r="BG63" s="20">
        <f t="shared" si="7"/>
        <v>521.74273246270207</v>
      </c>
      <c r="BH63" s="59">
        <f t="shared" si="8"/>
        <v>782.99843879417949</v>
      </c>
      <c r="BI63" s="59">
        <f ca="1">AVERAGE(OFFSET($BH$3,0,0,'Données projet'!$E$11+1,1))-AVERAGE(OFFSET($H$3,0,0,'Données projet'!$E$11+1,1))</f>
        <v>318.98630351938459</v>
      </c>
      <c r="BJ63" s="59">
        <f t="shared" si="38"/>
        <v>312.22190035638084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0.26500000000000001</v>
      </c>
      <c r="BN63" s="16">
        <f>IF(ISNA(VLOOKUP(A63,'Données projet'!$A$87:$I$107,6,0)),0%,VLOOKUP(A63,'Données projet'!$A$87:$I$107,6,0)*VLOOKUP('Données projet'!$B$11,Paramètres!$A$1:$I$89,7,0))</f>
        <v>0.21200000000000002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31.139587255312478</v>
      </c>
      <c r="BQ63" s="21">
        <f>EXP(-LN(2)/25)*BQ62+(1-EXP(-LN(2)/25))/(LN(2)/25)*Calculateur!BL63*Calculateur!BN63*VLOOKUP('Données projet'!$B$11,Paramètres!$A$1:$I$89,3,0)*0.475*44/12</f>
        <v>32.501094796730222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63.640682052042699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246</v>
      </c>
      <c r="BW63" s="12">
        <f>VLOOKUP(A63,'Données projet'!$A$113:$I$133,9,0)</f>
        <v>6.6</v>
      </c>
      <c r="BX63" s="12">
        <f t="array" ref="BX63">INDEX(BW:BW,MIN(IF(ISNUMBER(BW63:BW259),ROW(BW63:BW259),"")))</f>
        <v>6.6</v>
      </c>
      <c r="BY63" s="12">
        <f>IF('Données projet'!$A$114&gt;35,BY62+BX63-CG62,IF(A63&lt;'Données projet'!$A$114,$BV$205^A63,IF(A63='Données projet'!$A$114,'Données projet'!$B$114,BY62+BX63-CG62)))</f>
        <v>246.00000000000009</v>
      </c>
      <c r="BZ63" s="13">
        <f>BY63*VLOOKUP('Données projet'!$B$12,Paramètres!$A$1:$I$89,3,0)*VLOOKUP('Données projet'!$B$12,Paramètres!$A$1:$I$89,5,0)</f>
        <v>214.90560000000008</v>
      </c>
      <c r="CA63" s="13">
        <f t="shared" si="39"/>
        <v>53.006137800892326</v>
      </c>
      <c r="CB63" s="20">
        <f t="shared" si="10"/>
        <v>466.61294333655428</v>
      </c>
      <c r="CC63" s="59">
        <f t="shared" si="11"/>
        <v>727.86864966803182</v>
      </c>
      <c r="CD63" s="59">
        <f ca="1">AVERAGE(OFFSET($CC$3,0,0,'Données projet'!$E$12+1,1))-AVERAGE(OFFSET($H$3,0,0,'Données projet'!$E$12+1,1))</f>
        <v>411.67183422518411</v>
      </c>
      <c r="CE63" s="59">
        <f t="shared" si="40"/>
        <v>379.16642539721556</v>
      </c>
      <c r="CF63" s="15">
        <f>IF(ISNA(VLOOKUP(A63,'Données projet'!$A$113:$I$133,3,0)),0,VLOOKUP(A63,'Données projet'!$A$113:$I$133,3,0))</f>
        <v>9</v>
      </c>
      <c r="CG63" s="15" t="str">
        <f>IF(ISNA(VLOOKUP(A63,'Données projet'!$A$113:$I$133,4,0)),0,VLOOKUP(A63,'Données projet'!$A$113:$I$133,4,0))</f>
        <v>24</v>
      </c>
      <c r="CH63" s="16">
        <f>IF(ISNA(VLOOKUP(A63,'Données projet'!$A$113:$I$133,5,0)),0%,VLOOKUP(A63,'Données projet'!$A$113:$I$133,5,0)*VLOOKUP('Données projet'!$B$12,Paramètres!$A$1:$I$89,7,0))</f>
        <v>0.215</v>
      </c>
      <c r="CI63" s="16">
        <f>IF(ISNA(VLOOKUP(A63,'Données projet'!$A$113:$I$133,6,0)),0%,VLOOKUP(A63,'Données projet'!$A$113:$I$133,6,0)*VLOOKUP('Données projet'!$B$12,Paramètres!$A$1:$I$89,7,0))</f>
        <v>0.17200000000000001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20.855871363445164</v>
      </c>
      <c r="CL63" s="21">
        <f>EXP(-LN(2)/25)*CL62+(1-EXP(-LN(2)/25))/(LN(2)/25)*Calculateur!CG63*Calculateur!CI63*VLOOKUP('Données projet'!$B$12,Paramètres!$A$1:$I$89,3,0)*0.475*44/12</f>
        <v>23.63708871938184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44.492960082827004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13.723076923076924</v>
      </c>
      <c r="N64" s="13">
        <f>IF('Données projet'!$A$36&gt;35,N63+M64-V63,IF(A64&lt;'Données projet'!$A$36,$K$205^A64,IF(A64='Données projet'!$A$36,'Données projet'!$B$36,N63+M64-V63)))</f>
        <v>324.17692307692283</v>
      </c>
      <c r="O64" s="13">
        <f>N64*VLOOKUP('Données projet'!$B$9,Paramètres!$A$1:$I$89,3,0)*VLOOKUP('Données projet'!$B$9,Paramètres!$A$1:$I$89,5,0)</f>
        <v>151.71479999999988</v>
      </c>
      <c r="P64" s="13">
        <f t="shared" si="33"/>
        <v>38.968021890349831</v>
      </c>
      <c r="Q64" s="20">
        <f t="shared" si="53"/>
        <v>332.1059147923591</v>
      </c>
      <c r="R64" s="59">
        <f t="shared" si="0"/>
        <v>593.9180962374885</v>
      </c>
      <c r="S64" s="59">
        <f ca="1">AVERAGE(OFFSET($R$3,0,0,'Données projet'!$E$9+1,1))-AVERAGE(OFFSET($H$3,0,0,'Données projet'!$E$9+1,1))</f>
        <v>307.52968058891554</v>
      </c>
      <c r="T64" s="59">
        <f t="shared" si="34"/>
        <v>221.27527189662558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37.441529333990715</v>
      </c>
      <c r="AA64" s="21">
        <f>EXP(-LN(2)/25)*AA63+(1-EXP(-LN(2)/25))/(LN(2)/25)*Calculateur!V64*Calculateur!X64*VLOOKUP('Données projet'!$B$9,Paramètres!$A$1:$I$89,3,0)*0.475*44/12</f>
        <v>20.270379420352675</v>
      </c>
      <c r="AB64" s="21">
        <f>EXP(-LN(2)/2)*AB63+(1-EXP(-LN(2)/2))/(LN(2)/2)*V64*Y64*VLOOKUP('Données projet'!$B$9,Paramètres!$A$1:$I$89,3,0)*0.475*44/12</f>
        <v>2.1755328724436205</v>
      </c>
      <c r="AC64" s="22">
        <f t="shared" si="3"/>
        <v>59.887441626787009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815.79687486473472</v>
      </c>
      <c r="AN64" s="59">
        <f ca="1">AVERAGE(OFFSET($AM$3,0,0,'Données projet'!$E$10+1,1))-AVERAGE(OFFSET($H$3,0,0,'Données projet'!$E$10+1,1))</f>
        <v>377.63545575155672</v>
      </c>
      <c r="AO64" s="59">
        <f t="shared" si="36"/>
        <v>339.1731538522788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8.6666666666666661</v>
      </c>
      <c r="BD64" s="12">
        <f>IF('Données projet'!$A$88&gt;35,BD63+BC64-BL63,IF(A64&lt;'Données projet'!$A$88,$BA$205^A64,IF(A64='Données projet'!$A$88,'Données projet'!$B$88,BD63+BC64-BL63)))</f>
        <v>258.66666666666669</v>
      </c>
      <c r="BE64" s="13">
        <f>BD64*VLOOKUP('Données projet'!$B$11,Paramètres!$A$1:$I$89,3,0)*VLOOKUP('Données projet'!$B$11,Paramètres!$A$1:$I$89,5,0)</f>
        <v>209.83040000000005</v>
      </c>
      <c r="BF64" s="13">
        <f t="shared" si="37"/>
        <v>51.898522088668571</v>
      </c>
      <c r="BG64" s="20">
        <f t="shared" si="7"/>
        <v>455.84453930443124</v>
      </c>
      <c r="BH64" s="59">
        <f t="shared" si="8"/>
        <v>717.65672074956058</v>
      </c>
      <c r="BI64" s="59">
        <f ca="1">AVERAGE(OFFSET($BH$3,0,0,'Données projet'!$E$11+1,1))-AVERAGE(OFFSET($H$3,0,0,'Données projet'!$E$11+1,1))</f>
        <v>318.98630351938459</v>
      </c>
      <c r="BJ64" s="59">
        <f t="shared" si="38"/>
        <v>312.22190035638084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30.528958942508595</v>
      </c>
      <c r="BQ64" s="21">
        <f>EXP(-LN(2)/25)*BQ63+(1-EXP(-LN(2)/25))/(LN(2)/25)*Calculateur!BL64*Calculateur!BN64*VLOOKUP('Données projet'!$B$11,Paramètres!$A$1:$I$89,3,0)*0.475*44/12</f>
        <v>31.612350650355342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62.141309592863934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228.00000000000009</v>
      </c>
      <c r="BZ64" s="13">
        <f>BY64*VLOOKUP('Données projet'!$B$12,Paramètres!$A$1:$I$89,3,0)*VLOOKUP('Données projet'!$B$12,Paramètres!$A$1:$I$89,5,0)</f>
        <v>199.18080000000012</v>
      </c>
      <c r="CA64" s="13">
        <f t="shared" si="39"/>
        <v>49.564089376413726</v>
      </c>
      <c r="CB64" s="20">
        <f t="shared" si="10"/>
        <v>433.2306823305874</v>
      </c>
      <c r="CC64" s="59">
        <f t="shared" si="11"/>
        <v>695.0428637757168</v>
      </c>
      <c r="CD64" s="59">
        <f ca="1">AVERAGE(OFFSET($CC$3,0,0,'Données projet'!$E$12+1,1))-AVERAGE(OFFSET($H$3,0,0,'Données projet'!$E$12+1,1))</f>
        <v>411.67183422518411</v>
      </c>
      <c r="CE64" s="59">
        <f t="shared" si="40"/>
        <v>379.16642539721556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20.44690044683346</v>
      </c>
      <c r="CL64" s="21">
        <f>EXP(-LN(2)/25)*CL63+(1-EXP(-LN(2)/25))/(LN(2)/25)*Calculateur!CG64*Calculateur!CI64*VLOOKUP('Données projet'!$B$12,Paramètres!$A$1:$I$89,3,0)*0.475*44/12</f>
        <v>22.990731285329872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43.437631732163332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13.723076923076924</v>
      </c>
      <c r="N65" s="13">
        <f>IF('Données projet'!$A$36&gt;35,N64+M65-V64,IF(A65&lt;'Données projet'!$A$36,$K$205^A65,IF(A65='Données projet'!$A$36,'Données projet'!$B$36,N64+M65-V64)))</f>
        <v>337.89999999999975</v>
      </c>
      <c r="O65" s="13">
        <f>N65*VLOOKUP('Données projet'!$B$9,Paramètres!$A$1:$I$89,3,0)*VLOOKUP('Données projet'!$B$9,Paramètres!$A$1:$I$89,5,0)</f>
        <v>158.13719999999989</v>
      </c>
      <c r="P65" s="13">
        <f t="shared" si="33"/>
        <v>40.422069728367696</v>
      </c>
      <c r="Q65" s="20">
        <f t="shared" si="53"/>
        <v>345.82406144357356</v>
      </c>
      <c r="R65" s="59">
        <f t="shared" si="0"/>
        <v>608.18306440322488</v>
      </c>
      <c r="S65" s="59">
        <f ca="1">AVERAGE(OFFSET($R$3,0,0,'Données projet'!$E$9+1,1))-AVERAGE(OFFSET($H$3,0,0,'Données projet'!$E$9+1,1))</f>
        <v>307.52968058891554</v>
      </c>
      <c r="T65" s="59">
        <f t="shared" si="34"/>
        <v>221.27527189662558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36.707323780829078</v>
      </c>
      <c r="AA65" s="21">
        <f>EXP(-LN(2)/25)*AA64+(1-EXP(-LN(2)/25))/(LN(2)/25)*Calculateur!V65*Calculateur!X65*VLOOKUP('Données projet'!$B$9,Paramètres!$A$1:$I$89,3,0)*0.475*44/12</f>
        <v>19.716084829130207</v>
      </c>
      <c r="AB65" s="21">
        <f>EXP(-LN(2)/2)*AB64+(1-EXP(-LN(2)/2))/(LN(2)/2)*V65*Y65*VLOOKUP('Données projet'!$B$9,Paramètres!$A$1:$I$89,3,0)*0.475*44/12</f>
        <v>1.5383340467991324</v>
      </c>
      <c r="AC65" s="22">
        <f t="shared" si="3"/>
        <v>57.961742656758418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831.57529514474788</v>
      </c>
      <c r="AN65" s="59">
        <f ca="1">AVERAGE(OFFSET($AM$3,0,0,'Données projet'!$E$10+1,1))-AVERAGE(OFFSET($H$3,0,0,'Données projet'!$E$10+1,1))</f>
        <v>377.63545575155672</v>
      </c>
      <c r="AO65" s="59">
        <f t="shared" si="36"/>
        <v>339.1731538522788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8.6666666666666661</v>
      </c>
      <c r="BD65" s="12">
        <f>IF('Données projet'!$A$88&gt;35,BD64+BC65-BL64,IF(A65&lt;'Données projet'!$A$88,$BA$205^A65,IF(A65='Données projet'!$A$88,'Données projet'!$B$88,BD64+BC65-BL64)))</f>
        <v>267.33333333333337</v>
      </c>
      <c r="BE65" s="13">
        <f>BD65*VLOOKUP('Données projet'!$B$11,Paramètres!$A$1:$I$89,3,0)*VLOOKUP('Données projet'!$B$11,Paramètres!$A$1:$I$89,5,0)</f>
        <v>216.86080000000004</v>
      </c>
      <c r="BF65" s="13">
        <f t="shared" si="37"/>
        <v>53.432026464152749</v>
      </c>
      <c r="BG65" s="20">
        <f t="shared" si="7"/>
        <v>470.76000609173275</v>
      </c>
      <c r="BH65" s="59">
        <f t="shared" si="8"/>
        <v>733.11900905138407</v>
      </c>
      <c r="BI65" s="59">
        <f ca="1">AVERAGE(OFFSET($BH$3,0,0,'Données projet'!$E$11+1,1))-AVERAGE(OFFSET($H$3,0,0,'Données projet'!$E$11+1,1))</f>
        <v>318.98630351938459</v>
      </c>
      <c r="BJ65" s="59">
        <f t="shared" si="38"/>
        <v>312.22190035638084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29.930304678472304</v>
      </c>
      <c r="BQ65" s="21">
        <f>EXP(-LN(2)/25)*BQ64+(1-EXP(-LN(2)/25))/(LN(2)/25)*Calculateur!BL65*Calculateur!BN65*VLOOKUP('Données projet'!$B$11,Paramètres!$A$1:$I$89,3,0)*0.475*44/12</f>
        <v>30.747909259400107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60.678213937872414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234.00000000000009</v>
      </c>
      <c r="BZ65" s="13">
        <f>BY65*VLOOKUP('Données projet'!$B$12,Paramètres!$A$1:$I$89,3,0)*VLOOKUP('Données projet'!$B$12,Paramètres!$A$1:$I$89,5,0)</f>
        <v>204.4224000000001</v>
      </c>
      <c r="CA65" s="13">
        <f t="shared" si="39"/>
        <v>50.714836797527312</v>
      </c>
      <c r="CB65" s="20">
        <f t="shared" si="10"/>
        <v>444.3640207556935</v>
      </c>
      <c r="CC65" s="59">
        <f t="shared" si="11"/>
        <v>706.72302371534488</v>
      </c>
      <c r="CD65" s="59">
        <f ca="1">AVERAGE(OFFSET($CC$3,0,0,'Données projet'!$E$12+1,1))-AVERAGE(OFFSET($H$3,0,0,'Données projet'!$E$12+1,1))</f>
        <v>411.67183422518411</v>
      </c>
      <c r="CE65" s="59">
        <f t="shared" si="40"/>
        <v>379.16642539721556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20.045949200448881</v>
      </c>
      <c r="CL65" s="21">
        <f>EXP(-LN(2)/25)*CL64+(1-EXP(-LN(2)/25))/(LN(2)/25)*Calculateur!CG65*Calculateur!CI65*VLOOKUP('Données projet'!$B$12,Paramètres!$A$1:$I$89,3,0)*0.475*44/12</f>
        <v>22.362048529302513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42.407997729751393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13.723076923076924</v>
      </c>
      <c r="N66" s="13">
        <f>IF('Données projet'!$A$36&gt;35,N65+M66-V65,IF(A66&lt;'Données projet'!$A$36,$K$205^A66,IF(A66='Données projet'!$A$36,'Données projet'!$B$36,N65+M66-V65)))</f>
        <v>351.62307692307667</v>
      </c>
      <c r="O66" s="13">
        <f>N66*VLOOKUP('Données projet'!$B$9,Paramètres!$A$1:$I$89,3,0)*VLOOKUP('Données projet'!$B$9,Paramètres!$A$1:$I$89,5,0)</f>
        <v>164.55959999999988</v>
      </c>
      <c r="P66" s="13">
        <f t="shared" si="33"/>
        <v>41.869258026833585</v>
      </c>
      <c r="Q66" s="20">
        <f t="shared" si="53"/>
        <v>359.53026106340167</v>
      </c>
      <c r="R66" s="59">
        <f t="shared" si="0"/>
        <v>622.42659940680778</v>
      </c>
      <c r="S66" s="59">
        <f ca="1">AVERAGE(OFFSET($R$3,0,0,'Données projet'!$E$9+1,1))-AVERAGE(OFFSET($H$3,0,0,'Données projet'!$E$9+1,1))</f>
        <v>307.52968058891554</v>
      </c>
      <c r="T66" s="59">
        <f t="shared" si="34"/>
        <v>221.27527189662558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35.987515550743773</v>
      </c>
      <c r="AA66" s="21">
        <f>EXP(-LN(2)/25)*AA65+(1-EXP(-LN(2)/25))/(LN(2)/25)*Calculateur!V66*Calculateur!X66*VLOOKUP('Données projet'!$B$9,Paramètres!$A$1:$I$89,3,0)*0.475*44/12</f>
        <v>19.176947452653803</v>
      </c>
      <c r="AB66" s="21">
        <f>EXP(-LN(2)/2)*AB65+(1-EXP(-LN(2)/2))/(LN(2)/2)*V66*Y66*VLOOKUP('Données projet'!$B$9,Paramètres!$A$1:$I$89,3,0)*0.475*44/12</f>
        <v>1.0877664362218105</v>
      </c>
      <c r="AC66" s="22">
        <f t="shared" si="3"/>
        <v>56.252229439619384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847.33571478406805</v>
      </c>
      <c r="AN66" s="59">
        <f ca="1">AVERAGE(OFFSET($AM$3,0,0,'Données projet'!$E$10+1,1))-AVERAGE(OFFSET($H$3,0,0,'Données projet'!$E$10+1,1))</f>
        <v>377.63545575155672</v>
      </c>
      <c r="AO66" s="59">
        <f t="shared" si="36"/>
        <v>339.1731538522788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8.6666666666666661</v>
      </c>
      <c r="BD66" s="12">
        <f>IF('Données projet'!$A$88&gt;35,BD65+BC66-BL65,IF(A66&lt;'Données projet'!$A$88,$BA$205^A66,IF(A66='Données projet'!$A$88,'Données projet'!$B$88,BD65+BC66-BL65)))</f>
        <v>276.00000000000006</v>
      </c>
      <c r="BE66" s="13">
        <f>BD66*VLOOKUP('Données projet'!$B$11,Paramètres!$A$1:$I$89,3,0)*VLOOKUP('Données projet'!$B$11,Paramètres!$A$1:$I$89,5,0)</f>
        <v>223.89120000000005</v>
      </c>
      <c r="BF66" s="13">
        <f t="shared" si="37"/>
        <v>54.95975389514863</v>
      </c>
      <c r="BG66" s="20">
        <f t="shared" si="7"/>
        <v>485.66541136738397</v>
      </c>
      <c r="BH66" s="59">
        <f t="shared" si="8"/>
        <v>748.56174971079008</v>
      </c>
      <c r="BI66" s="59">
        <f ca="1">AVERAGE(OFFSET($BH$3,0,0,'Données projet'!$E$11+1,1))-AVERAGE(OFFSET($H$3,0,0,'Données projet'!$E$11+1,1))</f>
        <v>318.98630351938459</v>
      </c>
      <c r="BJ66" s="59">
        <f t="shared" si="38"/>
        <v>312.22190035638084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29.343389659410718</v>
      </c>
      <c r="BQ66" s="21">
        <f>EXP(-LN(2)/25)*BQ65+(1-EXP(-LN(2)/25))/(LN(2)/25)*Calculateur!BL66*Calculateur!BN66*VLOOKUP('Données projet'!$B$11,Paramètres!$A$1:$I$89,3,0)*0.475*44/12</f>
        <v>29.907106063739537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59.250495723150252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240.00000000000009</v>
      </c>
      <c r="BZ66" s="13">
        <f>BY66*VLOOKUP('Données projet'!$B$12,Paramètres!$A$1:$I$89,3,0)*VLOOKUP('Données projet'!$B$12,Paramètres!$A$1:$I$89,5,0)</f>
        <v>209.6640000000001</v>
      </c>
      <c r="CA66" s="13">
        <f t="shared" si="39"/>
        <v>51.862154403304537</v>
      </c>
      <c r="CB66" s="20">
        <f t="shared" si="10"/>
        <v>455.49138558575561</v>
      </c>
      <c r="CC66" s="59">
        <f t="shared" si="11"/>
        <v>718.38772392916167</v>
      </c>
      <c r="CD66" s="59">
        <f ca="1">AVERAGE(OFFSET($CC$3,0,0,'Données projet'!$E$12+1,1))-AVERAGE(OFFSET($H$3,0,0,'Données projet'!$E$12+1,1))</f>
        <v>411.67183422518411</v>
      </c>
      <c r="CE66" s="59">
        <f t="shared" si="40"/>
        <v>379.16642539721556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19.652860363449793</v>
      </c>
      <c r="CL66" s="21">
        <f>EXP(-LN(2)/25)*CL65+(1-EXP(-LN(2)/25))/(LN(2)/25)*Calculateur!CG66*Calculateur!CI66*VLOOKUP('Données projet'!$B$12,Paramètres!$A$1:$I$89,3,0)*0.475*44/12</f>
        <v>21.750557136299712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41.403417499749509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13.723076923076924</v>
      </c>
      <c r="N67" s="13">
        <f>IF('Données projet'!$A$36&gt;35,N66+M67-V66,IF(A67&lt;'Données projet'!$A$36,$K$205^A67,IF(A67='Données projet'!$A$36,'Données projet'!$B$36,N66+M67-V66)))</f>
        <v>365.34615384615358</v>
      </c>
      <c r="O67" s="13">
        <f>N67*VLOOKUP('Données projet'!$B$9,Paramètres!$A$1:$I$89,3,0)*VLOOKUP('Données projet'!$B$9,Paramètres!$A$1:$I$89,5,0)</f>
        <v>170.98199999999989</v>
      </c>
      <c r="P67" s="13">
        <f t="shared" si="33"/>
        <v>43.309885136716623</v>
      </c>
      <c r="Q67" s="20">
        <f t="shared" ref="Q67:Q98" si="54">(O67+P67)*0.475*44/12</f>
        <v>373.22503327978126</v>
      </c>
      <c r="R67" s="59">
        <f t="shared" ref="R67:R130" si="55">Q67+(I67+J67)*44/12</f>
        <v>636.64938543933602</v>
      </c>
      <c r="S67" s="59">
        <f ca="1">AVERAGE(OFFSET($R$3,0,0,'Données projet'!$E$9+1,1))-AVERAGE(OFFSET($H$3,0,0,'Données projet'!$E$9+1,1))</f>
        <v>307.52968058891554</v>
      </c>
      <c r="T67" s="59">
        <f t="shared" si="34"/>
        <v>221.27527189662558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35.281822321010772</v>
      </c>
      <c r="AA67" s="21">
        <f>EXP(-LN(2)/25)*AA66+(1-EXP(-LN(2)/25))/(LN(2)/25)*Calculateur!V67*Calculateur!X67*VLOOKUP('Données projet'!$B$9,Paramètres!$A$1:$I$89,3,0)*0.475*44/12</f>
        <v>18.652552816089148</v>
      </c>
      <c r="AB67" s="21">
        <f>EXP(-LN(2)/2)*AB66+(1-EXP(-LN(2)/2))/(LN(2)/2)*V67*Y67*VLOOKUP('Données projet'!$B$9,Paramètres!$A$1:$I$89,3,0)*0.475*44/12</f>
        <v>0.76916702339956644</v>
      </c>
      <c r="AC67" s="22">
        <f t="shared" si="3"/>
        <v>54.703542160499488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863.07855124926436</v>
      </c>
      <c r="AN67" s="59">
        <f ca="1">AVERAGE(OFFSET($AM$3,0,0,'Données projet'!$E$10+1,1))-AVERAGE(OFFSET($H$3,0,0,'Données projet'!$E$10+1,1))</f>
        <v>377.63545575155672</v>
      </c>
      <c r="AO67" s="59">
        <f t="shared" si="36"/>
        <v>339.1731538522788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8.6666666666666661</v>
      </c>
      <c r="BD67" s="12">
        <f>IF('Données projet'!$A$88&gt;35,BD66+BC67-BL66,IF(A67&lt;'Données projet'!$A$88,$BA$205^A67,IF(A67='Données projet'!$A$88,'Données projet'!$B$88,BD66+BC67-BL66)))</f>
        <v>284.66666666666674</v>
      </c>
      <c r="BE67" s="13">
        <f>BD67*VLOOKUP('Données projet'!$B$11,Paramètres!$A$1:$I$89,3,0)*VLOOKUP('Données projet'!$B$11,Paramètres!$A$1:$I$89,5,0)</f>
        <v>230.92160000000007</v>
      </c>
      <c r="BF67" s="13">
        <f t="shared" si="37"/>
        <v>56.481906596223766</v>
      </c>
      <c r="BG67" s="20">
        <f t="shared" si="7"/>
        <v>500.56110732175648</v>
      </c>
      <c r="BH67" s="59">
        <f t="shared" si="8"/>
        <v>763.98545948131118</v>
      </c>
      <c r="BI67" s="59">
        <f ca="1">AVERAGE(OFFSET($BH$3,0,0,'Données projet'!$E$11+1,1))-AVERAGE(OFFSET($H$3,0,0,'Données projet'!$E$11+1,1))</f>
        <v>318.98630351938459</v>
      </c>
      <c r="BJ67" s="59">
        <f t="shared" si="38"/>
        <v>312.22190035638084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28.767983685890115</v>
      </c>
      <c r="BQ67" s="21">
        <f>EXP(-LN(2)/25)*BQ66+(1-EXP(-LN(2)/25))/(LN(2)/25)*Calculateur!BL67*Calculateur!BN67*VLOOKUP('Données projet'!$B$11,Paramètres!$A$1:$I$89,3,0)*0.475*44/12</f>
        <v>29.089294675680225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57.857278361570337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246.00000000000009</v>
      </c>
      <c r="BZ67" s="13">
        <f>BY67*VLOOKUP('Données projet'!$B$12,Paramètres!$A$1:$I$89,3,0)*VLOOKUP('Données projet'!$B$12,Paramètres!$A$1:$I$89,5,0)</f>
        <v>214.90560000000008</v>
      </c>
      <c r="CA67" s="13">
        <f t="shared" si="39"/>
        <v>53.006137800892326</v>
      </c>
      <c r="CB67" s="20">
        <f t="shared" si="10"/>
        <v>466.61294333655428</v>
      </c>
      <c r="CC67" s="59">
        <f t="shared" si="11"/>
        <v>730.03729549610898</v>
      </c>
      <c r="CD67" s="59">
        <f ca="1">AVERAGE(OFFSET($CC$3,0,0,'Données projet'!$E$12+1,1))-AVERAGE(OFFSET($H$3,0,0,'Données projet'!$E$12+1,1))</f>
        <v>411.67183422518411</v>
      </c>
      <c r="CE67" s="59">
        <f t="shared" si="40"/>
        <v>379.16642539721556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19.26747975878374</v>
      </c>
      <c r="CL67" s="21">
        <f>EXP(-LN(2)/25)*CL66+(1-EXP(-LN(2)/25))/(LN(2)/25)*Calculateur!CG67*Calculateur!CI67*VLOOKUP('Données projet'!$B$12,Paramètres!$A$1:$I$89,3,0)*0.475*44/12</f>
        <v>21.155787007595507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40.423266766379243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13.723076923076924</v>
      </c>
      <c r="N68" s="13">
        <f>IF('Données projet'!$A$36&gt;35,N67+M68-V67,IF(A68&lt;'Données projet'!$A$36,$K$205^A68,IF(A68='Données projet'!$A$36,'Données projet'!$B$36,N67+M68-V67)))</f>
        <v>379.0692307692305</v>
      </c>
      <c r="O68" s="13">
        <f>N68*VLOOKUP('Données projet'!$B$9,Paramètres!$A$1:$I$89,3,0)*VLOOKUP('Données projet'!$B$9,Paramètres!$A$1:$I$89,5,0)</f>
        <v>177.4043999999999</v>
      </c>
      <c r="P68" s="13">
        <f t="shared" si="33"/>
        <v>44.744225726071818</v>
      </c>
      <c r="Q68" s="20">
        <f t="shared" si="54"/>
        <v>386.90885647290816</v>
      </c>
      <c r="R68" s="59">
        <f t="shared" si="55"/>
        <v>650.85206258936341</v>
      </c>
      <c r="S68" s="59">
        <f ca="1">AVERAGE(OFFSET($R$3,0,0,'Données projet'!$E$9+1,1))-AVERAGE(OFFSET($H$3,0,0,'Données projet'!$E$9+1,1))</f>
        <v>307.52968058891554</v>
      </c>
      <c r="T68" s="59">
        <f t="shared" si="34"/>
        <v>221.27527189662558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34.589967305082467</v>
      </c>
      <c r="AA68" s="21">
        <f>EXP(-LN(2)/25)*AA67+(1-EXP(-LN(2)/25))/(LN(2)/25)*Calculateur!V68*Calculateur!X68*VLOOKUP('Données projet'!$B$9,Paramètres!$A$1:$I$89,3,0)*0.475*44/12</f>
        <v>18.14249777843807</v>
      </c>
      <c r="AB68" s="21">
        <f>EXP(-LN(2)/2)*AB67+(1-EXP(-LN(2)/2))/(LN(2)/2)*V68*Y68*VLOOKUP('Données projet'!$B$9,Paramètres!$A$1:$I$89,3,0)*0.475*44/12</f>
        <v>0.54388321811090534</v>
      </c>
      <c r="AC68" s="22">
        <f t="shared" ref="AC68:AC131" si="57">SUM(Z68:AB68)</f>
        <v>53.276348301631444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878.80420527912474</v>
      </c>
      <c r="AN68" s="59">
        <f ca="1">AVERAGE(OFFSET($AM$3,0,0,'Données projet'!$E$10+1,1))-AVERAGE(OFFSET($H$3,0,0,'Données projet'!$E$10+1,1))</f>
        <v>377.63545575155672</v>
      </c>
      <c r="AO68" s="59">
        <f t="shared" si="36"/>
        <v>339.1731538522788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8.6666666666666661</v>
      </c>
      <c r="BD68" s="12">
        <f>IF('Données projet'!$A$88&gt;35,BD67+BC68-BL67,IF(A68&lt;'Données projet'!$A$88,$BA$205^A68,IF(A68='Données projet'!$A$88,'Données projet'!$B$88,BD67+BC68-BL67)))</f>
        <v>293.33333333333343</v>
      </c>
      <c r="BE68" s="13">
        <f>BD68*VLOOKUP('Données projet'!$B$11,Paramètres!$A$1:$I$89,3,0)*VLOOKUP('Données projet'!$B$11,Paramètres!$A$1:$I$89,5,0)</f>
        <v>237.95200000000008</v>
      </c>
      <c r="BF68" s="13">
        <f t="shared" si="37"/>
        <v>57.99867376947342</v>
      </c>
      <c r="BG68" s="20">
        <f t="shared" ref="BG68:BG131" si="61">(BE68+BF68)*0.475*44/12</f>
        <v>515.44742348183297</v>
      </c>
      <c r="BH68" s="59">
        <f t="shared" ref="BH68:BH131" si="62">BG68+(AY68+AZ68)*44/12</f>
        <v>779.39062959828811</v>
      </c>
      <c r="BI68" s="59">
        <f ca="1">AVERAGE(OFFSET($BH$3,0,0,'Données projet'!$E$11+1,1))-AVERAGE(OFFSET($H$3,0,0,'Données projet'!$E$11+1,1))</f>
        <v>318.98630351938459</v>
      </c>
      <c r="BJ68" s="59">
        <f t="shared" si="38"/>
        <v>312.22190035638084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28.203861072547262</v>
      </c>
      <c r="BQ68" s="21">
        <f>EXP(-LN(2)/25)*BQ67+(1-EXP(-LN(2)/25))/(LN(2)/25)*Calculateur!BL68*Calculateur!BN68*VLOOKUP('Données projet'!$B$11,Paramètres!$A$1:$I$89,3,0)*0.475*44/12</f>
        <v>28.293846383034229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56.497707455581491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252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252.00000000000009</v>
      </c>
      <c r="BZ68" s="13">
        <f>BY68*VLOOKUP('Données projet'!$B$12,Paramètres!$A$1:$I$89,3,0)*VLOOKUP('Données projet'!$B$12,Paramètres!$A$1:$I$89,5,0)</f>
        <v>220.14720000000011</v>
      </c>
      <c r="CA68" s="13">
        <f t="shared" si="39"/>
        <v>54.146877667769687</v>
      </c>
      <c r="CB68" s="20">
        <f t="shared" ref="CB68:CB131" si="64">(BZ68+CA68)*0.475*44/12</f>
        <v>477.72885193803239</v>
      </c>
      <c r="CC68" s="59">
        <f t="shared" ref="CC68:CC131" si="65">CB68+(BT68+BU68)*44/12</f>
        <v>741.67205805448759</v>
      </c>
      <c r="CD68" s="59">
        <f ca="1">AVERAGE(OFFSET($CC$3,0,0,'Données projet'!$E$12+1,1))-AVERAGE(OFFSET($H$3,0,0,'Données projet'!$E$12+1,1))</f>
        <v>411.67183422518411</v>
      </c>
      <c r="CE68" s="59">
        <f t="shared" si="40"/>
        <v>379.16642539721556</v>
      </c>
      <c r="CF68" s="15">
        <f>IF(ISNA(VLOOKUP(A68,'Données projet'!$A$113:$I$133,3,0)),0,VLOOKUP(A68,'Données projet'!$A$113:$I$133,3,0))</f>
        <v>10</v>
      </c>
      <c r="CG68" s="15" t="str">
        <f>IF(ISNA(VLOOKUP(A68,'Données projet'!$A$113:$I$133,4,0)),0,VLOOKUP(A68,'Données projet'!$A$113:$I$133,4,0))</f>
        <v>22</v>
      </c>
      <c r="CH68" s="16">
        <f>IF(ISNA(VLOOKUP(A68,'Données projet'!$A$113:$I$133,5,0)),0%,VLOOKUP(A68,'Données projet'!$A$113:$I$133,5,0)*VLOOKUP('Données projet'!$B$12,Paramètres!$A$1:$I$89,7,0))</f>
        <v>0.25800000000000001</v>
      </c>
      <c r="CI68" s="16">
        <f>IF(ISNA(VLOOKUP(A68,'Données projet'!$A$113:$I$133,6,0)),0%,VLOOKUP(A68,'Données projet'!$A$113:$I$133,6,0)*VLOOKUP('Données projet'!$B$12,Paramètres!$A$1:$I$89,7,0))</f>
        <v>0.129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24.371190362842707</v>
      </c>
      <c r="CL68" s="21">
        <f>EXP(-LN(2)/25)*CL67+(1-EXP(-LN(2)/25))/(LN(2)/25)*Calculateur!CG68*Calculateur!CI68*VLOOKUP('Données projet'!$B$12,Paramètres!$A$1:$I$89,3,0)*0.475*44/12</f>
        <v>23.307256520152279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47.67844688299499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392.7923076923077</v>
      </c>
      <c r="L69" s="12">
        <f>VLOOKUP(A69,'Données projet'!$A$35:$I$55,9,0)</f>
        <v>13.723076923076924</v>
      </c>
      <c r="M69" s="12">
        <f t="array" ref="M69">INDEX(L:L,MIN(IF(ISNUMBER(L69:L265),ROW(L69:L265),"")))</f>
        <v>13.723076923076924</v>
      </c>
      <c r="N69" s="13">
        <f>IF('Données projet'!$A$36&gt;35,N68+M69-V68,IF(A69&lt;'Données projet'!$A$36,$K$205^A69,IF(A69='Données projet'!$A$36,'Données projet'!$B$36,N68+M69-V68)))</f>
        <v>392.79230769230742</v>
      </c>
      <c r="O69" s="13">
        <f>N69*VLOOKUP('Données projet'!$B$9,Paramètres!$A$1:$I$89,3,0)*VLOOKUP('Données projet'!$B$9,Paramètres!$A$1:$I$89,5,0)</f>
        <v>183.82679999999985</v>
      </c>
      <c r="P69" s="13">
        <f t="shared" ref="P69:P132" si="87">EXP(-1.0587+0.8836*LN(O69)+0.284)</f>
        <v>46.172533448719371</v>
      </c>
      <c r="Q69" s="20">
        <f t="shared" si="54"/>
        <v>400.58217242318597</v>
      </c>
      <c r="R69" s="59">
        <f t="shared" si="55"/>
        <v>665.03523154037305</v>
      </c>
      <c r="S69" s="59">
        <f ca="1">AVERAGE(OFFSET($R$3,0,0,'Données projet'!$E$9+1,1))-AVERAGE(OFFSET($H$3,0,0,'Données projet'!$E$9+1,1))</f>
        <v>307.52968058891554</v>
      </c>
      <c r="T69" s="59">
        <f t="shared" ref="T69:T132" si="88">$T$3</f>
        <v>221.27527189662558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79.169230769230765</v>
      </c>
      <c r="W69" s="16">
        <f>IF(ISNA(VLOOKUP(A69,'Données projet'!$A$35:$I$55,5,0)),0%,VLOOKUP(A69,'Données projet'!$A$35:$I$55,5,0)*VLOOKUP('Données projet'!$B$9,Paramètres!$A$1:$I$89,7,0))</f>
        <v>0.38500000000000001</v>
      </c>
      <c r="X69" s="16">
        <f>IF(ISNA(VLOOKUP(A69,'Données projet'!$A$35:$I$55,6,0)),0%,VLOOKUP(A69,'Données projet'!$A$35:$I$55,6,0)*VLOOKUP('Données projet'!$B$9,Paramètres!$A$1:$I$89,7,0))</f>
        <v>9.240000000000001E-2</v>
      </c>
      <c r="Y69" s="16">
        <f>IF(ISNA(VLOOKUP(A69,'Données projet'!$A$35:$I$55,7,0)),0%,VLOOKUP(A69,'Données projet'!$A$35:$I$55,7,0))</f>
        <v>0.13200000000000001</v>
      </c>
      <c r="Z69" s="21">
        <f>EXP(-LN(2)/35)*Z68+(1-EXP(-LN(2)/35))/(LN(2)/35)*V69*W69*VLOOKUP('Données projet'!$B$9,Paramètres!$A$1:$I$89,3,0)*0.475*44/12</f>
        <v>52.834739050308499</v>
      </c>
      <c r="AA69" s="21">
        <f>EXP(-LN(2)/25)*AA68+(1-EXP(-LN(2)/25))/(LN(2)/25)*Calculateur!V69*Calculateur!X69*VLOOKUP('Données projet'!$B$9,Paramètres!$A$1:$I$89,3,0)*0.475*44/12</f>
        <v>22.170042848817324</v>
      </c>
      <c r="AB69" s="21">
        <f>EXP(-LN(2)/2)*AB68+(1-EXP(-LN(2)/2))/(LN(2)/2)*V69*Y69*VLOOKUP('Données projet'!$B$9,Paramètres!$A$1:$I$89,3,0)*0.475*44/12</f>
        <v>5.9220581315786447</v>
      </c>
      <c r="AC69" s="22">
        <f t="shared" si="57"/>
        <v>80.926840030704454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894.51306202655064</v>
      </c>
      <c r="AN69" s="59">
        <f ca="1">AVERAGE(OFFSET($AM$3,0,0,'Données projet'!$E$10+1,1))-AVERAGE(OFFSET($H$3,0,0,'Données projet'!$E$10+1,1))</f>
        <v>377.63545575155672</v>
      </c>
      <c r="AO69" s="59">
        <f t="shared" ref="AO69:AO132" si="90">$AO$3</f>
        <v>339.1731538522788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8.6666666666666661</v>
      </c>
      <c r="BD69" s="12">
        <f>IF('Données projet'!$A$88&gt;35,BD68+BC69-BL68,IF(A69&lt;'Données projet'!$A$88,$BA$205^A69,IF(A69='Données projet'!$A$88,'Données projet'!$B$88,BD68+BC69-BL68)))</f>
        <v>302.00000000000011</v>
      </c>
      <c r="BE69" s="13">
        <f>BD69*VLOOKUP('Données projet'!$B$11,Paramètres!$A$1:$I$89,3,0)*VLOOKUP('Données projet'!$B$11,Paramètres!$A$1:$I$89,5,0)</f>
        <v>244.98240000000013</v>
      </c>
      <c r="BF69" s="13">
        <f t="shared" ref="BF69:BF132" si="91">EXP(-1.0587+0.8836*LN(BE69)+0.284)</f>
        <v>59.510232801299694</v>
      </c>
      <c r="BG69" s="20">
        <f t="shared" si="61"/>
        <v>530.32466879559718</v>
      </c>
      <c r="BH69" s="59">
        <f t="shared" si="62"/>
        <v>794.77772791278426</v>
      </c>
      <c r="BI69" s="59">
        <f ca="1">AVERAGE(OFFSET($BH$3,0,0,'Données projet'!$E$11+1,1))-AVERAGE(OFFSET($H$3,0,0,'Données projet'!$E$11+1,1))</f>
        <v>318.98630351938459</v>
      </c>
      <c r="BJ69" s="59">
        <f t="shared" ref="BJ69:BJ132" si="92">$BJ$3</f>
        <v>312.22190035638084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27.650800559571245</v>
      </c>
      <c r="BQ69" s="21">
        <f>EXP(-LN(2)/25)*BQ68+(1-EXP(-LN(2)/25))/(LN(2)/25)*Calculateur!BL69*Calculateur!BN69*VLOOKUP('Données projet'!$B$11,Paramètres!$A$1:$I$89,3,0)*0.475*44/12</f>
        <v>27.520149665781442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55.170950225352684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5.4</v>
      </c>
      <c r="BY69" s="12">
        <f>IF('Données projet'!$A$114&gt;35,BY68+BX69-CG68,IF(A69&lt;'Données projet'!$A$114,$BV$205^A69,IF(A69='Données projet'!$A$114,'Données projet'!$B$114,BY68+BX69-CG68)))</f>
        <v>235.40000000000009</v>
      </c>
      <c r="BZ69" s="13">
        <f>BY69*VLOOKUP('Données projet'!$B$12,Paramètres!$A$1:$I$89,3,0)*VLOOKUP('Données projet'!$B$12,Paramètres!$A$1:$I$89,5,0)</f>
        <v>205.64544000000012</v>
      </c>
      <c r="CA69" s="13">
        <f t="shared" ref="CA69:CA132" si="93">EXP(-1.0587+0.8836*LN(BZ69)+0.284)</f>
        <v>50.982847417614401</v>
      </c>
      <c r="CB69" s="20">
        <f t="shared" si="64"/>
        <v>446.96093391901189</v>
      </c>
      <c r="CC69" s="59">
        <f t="shared" si="65"/>
        <v>711.41399303619892</v>
      </c>
      <c r="CD69" s="59">
        <f ca="1">AVERAGE(OFFSET($CC$3,0,0,'Données projet'!$E$12+1,1))-AVERAGE(OFFSET($H$3,0,0,'Données projet'!$E$12+1,1))</f>
        <v>411.67183422518411</v>
      </c>
      <c r="CE69" s="59">
        <f t="shared" ref="CE69:CE132" si="94">$CE$3</f>
        <v>379.16642539721556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23.893286184785691</v>
      </c>
      <c r="CL69" s="21">
        <f>EXP(-LN(2)/25)*CL68+(1-EXP(-LN(2)/25))/(LN(2)/25)*Calculateur!CG69*Calculateur!CI69*VLOOKUP('Données projet'!$B$12,Paramètres!$A$1:$I$89,3,0)*0.475*44/12</f>
        <v>22.669918364933363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46.563204549719053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13.02735042735042</v>
      </c>
      <c r="N70" s="13">
        <f>IF('Données projet'!$A$36&gt;35,N69+M70-V69,IF(A70&lt;'Données projet'!$A$36,$K$205^A70,IF(A70='Données projet'!$A$36,'Données projet'!$B$36,N69+M70-V69)))</f>
        <v>326.65042735042709</v>
      </c>
      <c r="O70" s="13">
        <f>N70*VLOOKUP('Données projet'!$B$9,Paramètres!$A$1:$I$89,3,0)*VLOOKUP('Données projet'!$B$9,Paramètres!$A$1:$I$89,5,0)</f>
        <v>152.87239999999989</v>
      </c>
      <c r="P70" s="13">
        <f t="shared" si="87"/>
        <v>39.230626461545988</v>
      </c>
      <c r="Q70" s="20">
        <f t="shared" si="54"/>
        <v>334.57943775385905</v>
      </c>
      <c r="R70" s="59">
        <f t="shared" si="55"/>
        <v>599.53350506207596</v>
      </c>
      <c r="S70" s="59">
        <f ca="1">AVERAGE(OFFSET($R$3,0,0,'Données projet'!$E$9+1,1))-AVERAGE(OFFSET($H$3,0,0,'Données projet'!$E$9+1,1))</f>
        <v>307.52968058891554</v>
      </c>
      <c r="T70" s="59">
        <f t="shared" si="88"/>
        <v>221.27527189662558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51.798682043540715</v>
      </c>
      <c r="AA70" s="21">
        <f>EXP(-LN(2)/25)*AA69+(1-EXP(-LN(2)/25))/(LN(2)/25)*Calculateur!V70*Calculateur!X70*VLOOKUP('Données projet'!$B$9,Paramètres!$A$1:$I$89,3,0)*0.475*44/12</f>
        <v>21.563801861244531</v>
      </c>
      <c r="AB70" s="21">
        <f>EXP(-LN(2)/2)*AB69+(1-EXP(-LN(2)/2))/(LN(2)/2)*V70*Y70*VLOOKUP('Données projet'!$B$9,Paramètres!$A$1:$I$89,3,0)*0.475*44/12</f>
        <v>4.1875274634201958</v>
      </c>
      <c r="AC70" s="22">
        <f t="shared" si="57"/>
        <v>77.550011368205446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821.59089358917072</v>
      </c>
      <c r="AN70" s="59">
        <f ca="1">AVERAGE(OFFSET($AM$3,0,0,'Données projet'!$E$10+1,1))-AVERAGE(OFFSET($H$3,0,0,'Données projet'!$E$10+1,1))</f>
        <v>377.63545575155672</v>
      </c>
      <c r="AO70" s="59">
        <f t="shared" si="90"/>
        <v>339.1731538522788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8.6666666666666661</v>
      </c>
      <c r="BD70" s="12">
        <f>IF('Données projet'!$A$88&gt;35,BD69+BC70-BL69,IF(A70&lt;'Données projet'!$A$88,$BA$205^A70,IF(A70='Données projet'!$A$88,'Données projet'!$B$88,BD69+BC70-BL69)))</f>
        <v>310.6666666666668</v>
      </c>
      <c r="BE70" s="13">
        <f>BD70*VLOOKUP('Données projet'!$B$11,Paramètres!$A$1:$I$89,3,0)*VLOOKUP('Données projet'!$B$11,Paramètres!$A$1:$I$89,5,0)</f>
        <v>252.01280000000011</v>
      </c>
      <c r="BF70" s="13">
        <f t="shared" si="91"/>
        <v>61.016750317950084</v>
      </c>
      <c r="BG70" s="20">
        <f t="shared" si="61"/>
        <v>545.19313347042998</v>
      </c>
      <c r="BH70" s="59">
        <f t="shared" si="62"/>
        <v>810.14720077864695</v>
      </c>
      <c r="BI70" s="59">
        <f ca="1">AVERAGE(OFFSET($BH$3,0,0,'Données projet'!$E$11+1,1))-AVERAGE(OFFSET($H$3,0,0,'Données projet'!$E$11+1,1))</f>
        <v>318.98630351938459</v>
      </c>
      <c r="BJ70" s="59">
        <f t="shared" si="92"/>
        <v>312.22190035638084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27.108585225921082</v>
      </c>
      <c r="BQ70" s="21">
        <f>EXP(-LN(2)/25)*BQ69+(1-EXP(-LN(2)/25))/(LN(2)/25)*Calculateur!BL70*Calculateur!BN70*VLOOKUP('Données projet'!$B$11,Paramètres!$A$1:$I$89,3,0)*0.475*44/12</f>
        <v>26.767609725948876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53.876194951869962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5.4</v>
      </c>
      <c r="BY70" s="12">
        <f>IF('Données projet'!$A$114&gt;35,BY69+BX70-CG69,IF(A70&lt;'Données projet'!$A$114,$BV$205^A70,IF(A70='Données projet'!$A$114,'Données projet'!$B$114,BY69+BX70-CG69)))</f>
        <v>240.8000000000001</v>
      </c>
      <c r="BZ70" s="13">
        <f>BY70*VLOOKUP('Données projet'!$B$12,Paramètres!$A$1:$I$89,3,0)*VLOOKUP('Données projet'!$B$12,Paramètres!$A$1:$I$89,5,0)</f>
        <v>210.3628800000001</v>
      </c>
      <c r="CA70" s="13">
        <f t="shared" si="93"/>
        <v>52.014876138342963</v>
      </c>
      <c r="CB70" s="20">
        <f t="shared" si="64"/>
        <v>456.97459194094745</v>
      </c>
      <c r="CC70" s="59">
        <f t="shared" si="65"/>
        <v>721.92865924916441</v>
      </c>
      <c r="CD70" s="59">
        <f ca="1">AVERAGE(OFFSET($CC$3,0,0,'Données projet'!$E$12+1,1))-AVERAGE(OFFSET($H$3,0,0,'Données projet'!$E$12+1,1))</f>
        <v>411.67183422518411</v>
      </c>
      <c r="CE70" s="59">
        <f t="shared" si="94"/>
        <v>379.16642539721556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23.424753416167604</v>
      </c>
      <c r="CL70" s="21">
        <f>EXP(-LN(2)/25)*CL69+(1-EXP(-LN(2)/25))/(LN(2)/25)*Calculateur!CG70*Calculateur!CI70*VLOOKUP('Données projet'!$B$12,Paramètres!$A$1:$I$89,3,0)*0.475*44/12</f>
        <v>22.050008255085064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45.474761671252665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13.02735042735042</v>
      </c>
      <c r="N71" s="13">
        <f>IF('Données projet'!$A$36&gt;35,N70+M71-V70,IF(A71&lt;'Données projet'!$A$36,$K$205^A71,IF(A71='Données projet'!$A$36,'Données projet'!$B$36,N70+M71-V70)))</f>
        <v>339.67777777777752</v>
      </c>
      <c r="O71" s="13">
        <f>N71*VLOOKUP('Données projet'!$B$9,Paramètres!$A$1:$I$89,3,0)*VLOOKUP('Données projet'!$B$9,Paramètres!$A$1:$I$89,5,0)</f>
        <v>158.96919999999989</v>
      </c>
      <c r="P71" s="13">
        <f t="shared" si="87"/>
        <v>40.609928203050444</v>
      </c>
      <c r="Q71" s="20">
        <f t="shared" si="54"/>
        <v>347.60031495364598</v>
      </c>
      <c r="R71" s="59">
        <f t="shared" si="55"/>
        <v>613.04669908086476</v>
      </c>
      <c r="S71" s="59">
        <f ca="1">AVERAGE(OFFSET($R$3,0,0,'Données projet'!$E$9+1,1))-AVERAGE(OFFSET($H$3,0,0,'Données projet'!$E$9+1,1))</f>
        <v>307.52968058891554</v>
      </c>
      <c r="T71" s="59">
        <f t="shared" si="88"/>
        <v>221.27527189662558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50.782941482743276</v>
      </c>
      <c r="AA71" s="21">
        <f>EXP(-LN(2)/25)*AA70+(1-EXP(-LN(2)/25))/(LN(2)/25)*Calculateur!V71*Calculateur!X71*VLOOKUP('Données projet'!$B$9,Paramètres!$A$1:$I$89,3,0)*0.475*44/12</f>
        <v>20.974138565357745</v>
      </c>
      <c r="AB71" s="21">
        <f>EXP(-LN(2)/2)*AB70+(1-EXP(-LN(2)/2))/(LN(2)/2)*V71*Y71*VLOOKUP('Données projet'!$B$9,Paramètres!$A$1:$I$89,3,0)*0.475*44/12</f>
        <v>2.9610290657893228</v>
      </c>
      <c r="AC71" s="22">
        <f t="shared" si="57"/>
        <v>74.718109113890335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834.68211003411079</v>
      </c>
      <c r="AN71" s="59">
        <f ca="1">AVERAGE(OFFSET($AM$3,0,0,'Données projet'!$E$10+1,1))-AVERAGE(OFFSET($H$3,0,0,'Données projet'!$E$10+1,1))</f>
        <v>377.63545575155672</v>
      </c>
      <c r="AO71" s="59">
        <f t="shared" si="90"/>
        <v>339.1731538522788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8.6666666666666661</v>
      </c>
      <c r="BD71" s="12">
        <f>IF('Données projet'!$A$88&gt;35,BD70+BC71-BL70,IF(A71&lt;'Données projet'!$A$88,$BA$205^A71,IF(A71='Données projet'!$A$88,'Données projet'!$B$88,BD70+BC71-BL70)))</f>
        <v>319.33333333333348</v>
      </c>
      <c r="BE71" s="13">
        <f>BD71*VLOOKUP('Données projet'!$B$11,Paramètres!$A$1:$I$89,3,0)*VLOOKUP('Données projet'!$B$11,Paramètres!$A$1:$I$89,5,0)</f>
        <v>259.04320000000013</v>
      </c>
      <c r="BF71" s="13">
        <f t="shared" si="91"/>
        <v>62.518383119960305</v>
      </c>
      <c r="BG71" s="20">
        <f t="shared" si="61"/>
        <v>560.05309060059778</v>
      </c>
      <c r="BH71" s="59">
        <f t="shared" si="62"/>
        <v>825.49947472781662</v>
      </c>
      <c r="BI71" s="59">
        <f ca="1">AVERAGE(OFFSET($BH$3,0,0,'Données projet'!$E$11+1,1))-AVERAGE(OFFSET($H$3,0,0,'Données projet'!$E$11+1,1))</f>
        <v>318.98630351938459</v>
      </c>
      <c r="BJ71" s="59">
        <f t="shared" si="92"/>
        <v>312.22190035638084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26.5770024042451</v>
      </c>
      <c r="BQ71" s="21">
        <f>EXP(-LN(2)/25)*BQ70+(1-EXP(-LN(2)/25))/(LN(2)/25)*Calculateur!BL71*Calculateur!BN71*VLOOKUP('Données projet'!$B$11,Paramètres!$A$1:$I$89,3,0)*0.475*44/12</f>
        <v>26.035648030345389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52.612650434590492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5.4</v>
      </c>
      <c r="BY71" s="12">
        <f>IF('Données projet'!$A$114&gt;35,BY70+BX71-CG70,IF(A71&lt;'Données projet'!$A$114,$BV$205^A71,IF(A71='Données projet'!$A$114,'Données projet'!$B$114,BY70+BX71-CG70)))</f>
        <v>246.2000000000001</v>
      </c>
      <c r="BZ71" s="13">
        <f>BY71*VLOOKUP('Données projet'!$B$12,Paramètres!$A$1:$I$89,3,0)*VLOOKUP('Données projet'!$B$12,Paramètres!$A$1:$I$89,5,0)</f>
        <v>215.08032000000011</v>
      </c>
      <c r="CA71" s="13">
        <f t="shared" si="93"/>
        <v>53.044214230061506</v>
      </c>
      <c r="CB71" s="20">
        <f t="shared" si="64"/>
        <v>466.983563784024</v>
      </c>
      <c r="CC71" s="59">
        <f t="shared" si="65"/>
        <v>732.42994791124283</v>
      </c>
      <c r="CD71" s="59">
        <f ca="1">AVERAGE(OFFSET($CC$3,0,0,'Données projet'!$E$12+1,1))-AVERAGE(OFFSET($H$3,0,0,'Données projet'!$E$12+1,1))</f>
        <v>411.67183422518411</v>
      </c>
      <c r="CE71" s="59">
        <f t="shared" si="94"/>
        <v>379.16642539721556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22.96540828936535</v>
      </c>
      <c r="CL71" s="21">
        <f>EXP(-LN(2)/25)*CL70+(1-EXP(-LN(2)/25))/(LN(2)/25)*Calculateur!CG71*Calculateur!CI71*VLOOKUP('Données projet'!$B$12,Paramètres!$A$1:$I$89,3,0)*0.475*44/12</f>
        <v>21.447049619790224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44.412457909155577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13.02735042735042</v>
      </c>
      <c r="N72" s="13">
        <f>IF('Données projet'!$A$36&gt;35,N71+M72-V71,IF(A72&lt;'Données projet'!$A$36,$K$205^A72,IF(A72='Données projet'!$A$36,'Données projet'!$B$36,N71+M72-V71)))</f>
        <v>352.70512820512795</v>
      </c>
      <c r="O72" s="13">
        <f>N72*VLOOKUP('Données projet'!$B$9,Paramètres!$A$1:$I$89,3,0)*VLOOKUP('Données projet'!$B$9,Paramètres!$A$1:$I$89,5,0)</f>
        <v>165.06599999999989</v>
      </c>
      <c r="P72" s="13">
        <f t="shared" si="87"/>
        <v>41.983084622237634</v>
      </c>
      <c r="Q72" s="20">
        <f t="shared" si="54"/>
        <v>360.61048905039701</v>
      </c>
      <c r="R72" s="59">
        <f t="shared" si="55"/>
        <v>626.54064940046351</v>
      </c>
      <c r="S72" s="59">
        <f ca="1">AVERAGE(OFFSET($R$3,0,0,'Données projet'!$E$9+1,1))-AVERAGE(OFFSET($H$3,0,0,'Données projet'!$E$9+1,1))</f>
        <v>307.52968058891554</v>
      </c>
      <c r="T72" s="59">
        <f t="shared" si="88"/>
        <v>221.27527189662558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49.787118974802503</v>
      </c>
      <c r="AA72" s="21">
        <f>EXP(-LN(2)/25)*AA71+(1-EXP(-LN(2)/25))/(LN(2)/25)*Calculateur!V72*Calculateur!X72*VLOOKUP('Données projet'!$B$9,Paramètres!$A$1:$I$89,3,0)*0.475*44/12</f>
        <v>20.400599643306027</v>
      </c>
      <c r="AB72" s="21">
        <f>EXP(-LN(2)/2)*AB71+(1-EXP(-LN(2)/2))/(LN(2)/2)*V72*Y72*VLOOKUP('Données projet'!$B$9,Paramètres!$A$1:$I$89,3,0)*0.475*44/12</f>
        <v>2.0937637317100979</v>
      </c>
      <c r="AC72" s="22">
        <f t="shared" si="57"/>
        <v>72.281482349818631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847.75896029037176</v>
      </c>
      <c r="AN72" s="59">
        <f ca="1">AVERAGE(OFFSET($AM$3,0,0,'Données projet'!$E$10+1,1))-AVERAGE(OFFSET($H$3,0,0,'Données projet'!$E$10+1,1))</f>
        <v>377.63545575155672</v>
      </c>
      <c r="AO72" s="59">
        <f t="shared" si="90"/>
        <v>339.1731538522788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328</v>
      </c>
      <c r="BB72" s="12">
        <f>VLOOKUP(A72,'Données projet'!$A$87:$I$107,9,0)</f>
        <v>8.6666666666666661</v>
      </c>
      <c r="BC72" s="12">
        <f t="array" ref="BC72">INDEX(BB:BB,MIN(IF(ISNUMBER(BB72:BB268),ROW(BB72:BB268),"")))</f>
        <v>8.6666666666666661</v>
      </c>
      <c r="BD72" s="12">
        <f>IF('Données projet'!$A$88&gt;35,BD71+BC72-BL71,IF(A72&lt;'Données projet'!$A$88,$BA$205^A72,IF(A72='Données projet'!$A$88,'Données projet'!$B$88,BD71+BC72-BL71)))</f>
        <v>328.00000000000017</v>
      </c>
      <c r="BE72" s="13">
        <f>BD72*VLOOKUP('Données projet'!$B$11,Paramètres!$A$1:$I$89,3,0)*VLOOKUP('Données projet'!$B$11,Paramètres!$A$1:$I$89,5,0)</f>
        <v>266.07360000000017</v>
      </c>
      <c r="BF72" s="13">
        <f t="shared" si="91"/>
        <v>64.015279012301136</v>
      </c>
      <c r="BG72" s="20">
        <f t="shared" si="61"/>
        <v>574.90479761309132</v>
      </c>
      <c r="BH72" s="59">
        <f t="shared" si="62"/>
        <v>840.83495796315788</v>
      </c>
      <c r="BI72" s="59">
        <f ca="1">AVERAGE(OFFSET($BH$3,0,0,'Données projet'!$E$11+1,1))-AVERAGE(OFFSET($H$3,0,0,'Données projet'!$E$11+1,1))</f>
        <v>318.98630351938459</v>
      </c>
      <c r="BJ72" s="59">
        <f t="shared" si="92"/>
        <v>312.22190035638084</v>
      </c>
      <c r="BK72" s="15" t="str">
        <f>IF(ISNA(VLOOKUP(A72,'Données projet'!$A$87:$I$107,3,0)),0,VLOOKUP(A72,'Données projet'!$A$87:$I$107,3,0))</f>
        <v>CR</v>
      </c>
      <c r="BL72" s="15">
        <f>IF(ISNA(VLOOKUP(A72,'Données projet'!$A$87:$I$107,4,0)),0,VLOOKUP(A72,'Données projet'!$A$87:$I$107,4,0))</f>
        <v>328</v>
      </c>
      <c r="BM72" s="16">
        <f>IF(ISNA(VLOOKUP(A72,'Données projet'!$A$87:$I$107,5,0)),0%,VLOOKUP(A72,'Données projet'!$A$87:$I$107,5,0)*VLOOKUP('Données projet'!$B$11,Paramètres!$A$1:$I$89,7,0))</f>
        <v>0.26500000000000001</v>
      </c>
      <c r="BN72" s="16">
        <f>IF(ISNA(VLOOKUP(A72,'Données projet'!$A$87:$I$107,6,0)),0%,VLOOKUP(A72,'Données projet'!$A$87:$I$107,6,0)*VLOOKUP('Données projet'!$B$11,Paramètres!$A$1:$I$89,7,0))</f>
        <v>0.21200000000000002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104.00201174502875</v>
      </c>
      <c r="BQ72" s="21">
        <f>EXP(-LN(2)/25)*BQ71+(1-EXP(-LN(2)/25))/(LN(2)/25)*Calculateur!BL72*Calculateur!BN72*VLOOKUP('Données projet'!$B$11,Paramètres!$A$1:$I$89,3,0)*0.475*44/12</f>
        <v>87.435113372796081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191.43712511782485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5.4</v>
      </c>
      <c r="BY72" s="12">
        <f>IF('Données projet'!$A$114&gt;35,BY71+BX72-CG71,IF(A72&lt;'Données projet'!$A$114,$BV$205^A72,IF(A72='Données projet'!$A$114,'Données projet'!$B$114,BY71+BX72-CG71)))</f>
        <v>251.60000000000011</v>
      </c>
      <c r="BZ72" s="13">
        <f>BY72*VLOOKUP('Données projet'!$B$12,Paramètres!$A$1:$I$89,3,0)*VLOOKUP('Données projet'!$B$12,Paramètres!$A$1:$I$89,5,0)</f>
        <v>219.79776000000012</v>
      </c>
      <c r="CA72" s="13">
        <f t="shared" si="93"/>
        <v>54.070927503307431</v>
      </c>
      <c r="CB72" s="20">
        <f t="shared" si="64"/>
        <v>476.98796406826068</v>
      </c>
      <c r="CC72" s="59">
        <f t="shared" si="65"/>
        <v>742.91812441832724</v>
      </c>
      <c r="CD72" s="59">
        <f ca="1">AVERAGE(OFFSET($CC$3,0,0,'Données projet'!$E$12+1,1))-AVERAGE(OFFSET($H$3,0,0,'Données projet'!$E$12+1,1))</f>
        <v>411.67183422518411</v>
      </c>
      <c r="CE72" s="59">
        <f t="shared" si="94"/>
        <v>379.16642539721556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22.515070640326826</v>
      </c>
      <c r="CL72" s="21">
        <f>EXP(-LN(2)/25)*CL71+(1-EXP(-LN(2)/25))/(LN(2)/25)*Calculateur!CG72*Calculateur!CI72*VLOOKUP('Données projet'!$B$12,Paramètres!$A$1:$I$89,3,0)*0.475*44/12</f>
        <v>20.860578920085739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43.375649560412569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13.02735042735042</v>
      </c>
      <c r="N73" s="13">
        <f>IF('Données projet'!$A$36&gt;35,N72+M73-V72,IF(A73&lt;'Données projet'!$A$36,$K$205^A73,IF(A73='Données projet'!$A$36,'Données projet'!$B$36,N72+M73-V72)))</f>
        <v>365.73247863247838</v>
      </c>
      <c r="O73" s="13">
        <f>N73*VLOOKUP('Données projet'!$B$9,Paramètres!$A$1:$I$89,3,0)*VLOOKUP('Données projet'!$B$9,Paramètres!$A$1:$I$89,5,0)</f>
        <v>171.16279999999986</v>
      </c>
      <c r="P73" s="13">
        <f t="shared" si="87"/>
        <v>43.350348693488058</v>
      </c>
      <c r="Q73" s="20">
        <f t="shared" si="54"/>
        <v>373.61040064115809</v>
      </c>
      <c r="R73" s="59">
        <f t="shared" si="55"/>
        <v>640.01594477816752</v>
      </c>
      <c r="S73" s="59">
        <f ca="1">AVERAGE(OFFSET($R$3,0,0,'Données projet'!$E$9+1,1))-AVERAGE(OFFSET($H$3,0,0,'Données projet'!$E$9+1,1))</f>
        <v>307.52968058891554</v>
      </c>
      <c r="T73" s="59">
        <f t="shared" si="88"/>
        <v>221.27527189662558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48.810823938850696</v>
      </c>
      <c r="AA73" s="21">
        <f>EXP(-LN(2)/25)*AA72+(1-EXP(-LN(2)/25))/(LN(2)/25)*Calculateur!V73*Calculateur!X73*VLOOKUP('Données projet'!$B$9,Paramètres!$A$1:$I$89,3,0)*0.475*44/12</f>
        <v>19.842744173238913</v>
      </c>
      <c r="AB73" s="21">
        <f>EXP(-LN(2)/2)*AB72+(1-EXP(-LN(2)/2))/(LN(2)/2)*V73*Y73*VLOOKUP('Données projet'!$B$9,Paramètres!$A$1:$I$89,3,0)*0.475*44/12</f>
        <v>1.4805145328946614</v>
      </c>
      <c r="AC73" s="22">
        <f t="shared" si="57"/>
        <v>70.134082644984261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860.82173633659886</v>
      </c>
      <c r="AN73" s="59">
        <f ca="1">AVERAGE(OFFSET($AM$3,0,0,'Données projet'!$E$10+1,1))-AVERAGE(OFFSET($H$3,0,0,'Données projet'!$E$10+1,1))</f>
        <v>377.63545575155672</v>
      </c>
      <c r="AO73" s="59">
        <f t="shared" si="90"/>
        <v>339.1731538522788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1.7053025658242404E-13</v>
      </c>
      <c r="BE73" s="13">
        <f>BD73*VLOOKUP('Données projet'!$B$11,Paramètres!$A$1:$I$89,3,0)*VLOOKUP('Données projet'!$B$11,Paramètres!$A$1:$I$89,5,0)</f>
        <v>1.383341441396624E-13</v>
      </c>
      <c r="BF73" s="13">
        <f t="shared" si="91"/>
        <v>2.0011390722884082E-12</v>
      </c>
      <c r="BG73" s="20">
        <f t="shared" si="61"/>
        <v>3.7262491852788889E-12</v>
      </c>
      <c r="BH73" s="59">
        <f t="shared" si="62"/>
        <v>266.40554413701324</v>
      </c>
      <c r="BI73" s="59">
        <f ca="1">AVERAGE(OFFSET($BH$3,0,0,'Données projet'!$E$11+1,1))-AVERAGE(OFFSET($H$3,0,0,'Données projet'!$E$11+1,1))</f>
        <v>318.98630351938459</v>
      </c>
      <c r="BJ73" s="59">
        <f t="shared" si="92"/>
        <v>312.22190035638084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101.96259572967222</v>
      </c>
      <c r="BQ73" s="21">
        <f>EXP(-LN(2)/25)*BQ72+(1-EXP(-LN(2)/25))/(LN(2)/25)*Calculateur!BL73*Calculateur!BN73*VLOOKUP('Données projet'!$B$11,Paramètres!$A$1:$I$89,3,0)*0.475*44/12</f>
        <v>85.044195599604194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187.00679132927641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257</v>
      </c>
      <c r="BW73" s="12">
        <f>VLOOKUP(A73,'Données projet'!$A$113:$I$133,9,0)</f>
        <v>5.4</v>
      </c>
      <c r="BX73" s="12">
        <f t="array" ref="BX73">INDEX(BW:BW,MIN(IF(ISNUMBER(BW73:BW269),ROW(BW73:BW269),"")))</f>
        <v>5.4</v>
      </c>
      <c r="BY73" s="12">
        <f>IF('Données projet'!$A$114&gt;35,BY72+BX73-CG72,IF(A73&lt;'Données projet'!$A$114,$BV$205^A73,IF(A73='Données projet'!$A$114,'Données projet'!$B$114,BY72+BX73-CG72)))</f>
        <v>257.00000000000011</v>
      </c>
      <c r="BZ73" s="13">
        <f>BY73*VLOOKUP('Données projet'!$B$12,Paramètres!$A$1:$I$89,3,0)*VLOOKUP('Données projet'!$B$12,Paramètres!$A$1:$I$89,5,0)</f>
        <v>224.51520000000014</v>
      </c>
      <c r="CA73" s="13">
        <f t="shared" si="93"/>
        <v>55.095078782313593</v>
      </c>
      <c r="CB73" s="20">
        <f t="shared" si="64"/>
        <v>486.98790221252966</v>
      </c>
      <c r="CC73" s="59">
        <f t="shared" si="65"/>
        <v>753.39344634953909</v>
      </c>
      <c r="CD73" s="59">
        <f ca="1">AVERAGE(OFFSET($CC$3,0,0,'Données projet'!$E$12+1,1))-AVERAGE(OFFSET($H$3,0,0,'Données projet'!$E$12+1,1))</f>
        <v>411.67183422518411</v>
      </c>
      <c r="CE73" s="59">
        <f t="shared" si="94"/>
        <v>379.16642539721556</v>
      </c>
      <c r="CF73" s="15">
        <f>IF(ISNA(VLOOKUP(A73,'Données projet'!$A$113:$I$133,3,0)),0,VLOOKUP(A73,'Données projet'!$A$113:$I$133,3,0))</f>
        <v>11</v>
      </c>
      <c r="CG73" s="15" t="str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0.25800000000000001</v>
      </c>
      <c r="CI73" s="16">
        <f>IF(ISNA(VLOOKUP(A73,'Données projet'!$A$113:$I$133,6,0)),0%,VLOOKUP(A73,'Données projet'!$A$113:$I$133,6,0)*VLOOKUP('Données projet'!$B$12,Paramètres!$A$1:$I$89,7,0))</f>
        <v>0.129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27.305937325755103</v>
      </c>
      <c r="CL73" s="21">
        <f>EXP(-LN(2)/25)*CL72+(1-EXP(-LN(2)/25))/(LN(2)/25)*Calculateur!CG73*Calculateur!CI73*VLOOKUP('Données projet'!$B$12,Paramètres!$A$1:$I$89,3,0)*0.475*44/12</f>
        <v>22.896031112373699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50.201968438128802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13.02735042735042</v>
      </c>
      <c r="N74" s="13">
        <f>IF('Données projet'!$A$36&gt;35,N73+M74-V73,IF(A74&lt;'Données projet'!$A$36,$K$205^A74,IF(A74='Données projet'!$A$36,'Données projet'!$B$36,N73+M74-V73)))</f>
        <v>378.7598290598288</v>
      </c>
      <c r="O74" s="13">
        <f>N74*VLOOKUP('Données projet'!$B$9,Paramètres!$A$1:$I$89,3,0)*VLOOKUP('Données projet'!$B$9,Paramètres!$A$1:$I$89,5,0)</f>
        <v>177.25959999999989</v>
      </c>
      <c r="P74" s="13">
        <f t="shared" si="87"/>
        <v>44.711954347677931</v>
      </c>
      <c r="Q74" s="20">
        <f t="shared" si="54"/>
        <v>386.60045715553883</v>
      </c>
      <c r="R74" s="59">
        <f t="shared" si="55"/>
        <v>653.47313823358672</v>
      </c>
      <c r="S74" s="59">
        <f ca="1">AVERAGE(OFFSET($R$3,0,0,'Données projet'!$E$9+1,1))-AVERAGE(OFFSET($H$3,0,0,'Données projet'!$E$9+1,1))</f>
        <v>307.52968058891554</v>
      </c>
      <c r="T74" s="59">
        <f t="shared" si="88"/>
        <v>221.27527189662558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47.85367345307273</v>
      </c>
      <c r="AA74" s="21">
        <f>EXP(-LN(2)/25)*AA73+(1-EXP(-LN(2)/25))/(LN(2)/25)*Calculateur!V74*Calculateur!X74*VLOOKUP('Données projet'!$B$9,Paramètres!$A$1:$I$89,3,0)*0.475*44/12</f>
        <v>19.300143290337129</v>
      </c>
      <c r="AB74" s="21">
        <f>EXP(-LN(2)/2)*AB73+(1-EXP(-LN(2)/2))/(LN(2)/2)*V74*Y74*VLOOKUP('Données projet'!$B$9,Paramètres!$A$1:$I$89,3,0)*0.475*44/12</f>
        <v>1.0468818658550489</v>
      </c>
      <c r="AC74" s="22">
        <f t="shared" si="57"/>
        <v>68.200698609264919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873.87072099552483</v>
      </c>
      <c r="AN74" s="59">
        <f ca="1">AVERAGE(OFFSET($AM$3,0,0,'Données projet'!$E$10+1,1))-AVERAGE(OFFSET($H$3,0,0,'Données projet'!$E$10+1,1))</f>
        <v>377.63545575155672</v>
      </c>
      <c r="AO74" s="59">
        <f t="shared" si="90"/>
        <v>339.1731538522788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1.7053025658242404E-13</v>
      </c>
      <c r="BE74" s="13">
        <f>BD74*VLOOKUP('Données projet'!$B$11,Paramètres!$A$1:$I$89,3,0)*VLOOKUP('Données projet'!$B$11,Paramètres!$A$1:$I$89,5,0)</f>
        <v>1.383341441396624E-13</v>
      </c>
      <c r="BF74" s="13">
        <f t="shared" si="91"/>
        <v>2.0011390722884082E-12</v>
      </c>
      <c r="BG74" s="20">
        <f t="shared" si="61"/>
        <v>3.7262491852788889E-12</v>
      </c>
      <c r="BH74" s="59">
        <f t="shared" si="62"/>
        <v>266.8726810780517</v>
      </c>
      <c r="BI74" s="59">
        <f ca="1">AVERAGE(OFFSET($BH$3,0,0,'Données projet'!$E$11+1,1))-AVERAGE(OFFSET($H$3,0,0,'Données projet'!$E$11+1,1))</f>
        <v>318.98630351938459</v>
      </c>
      <c r="BJ74" s="59">
        <f t="shared" si="92"/>
        <v>312.22190035638084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99.963171418455886</v>
      </c>
      <c r="BQ74" s="21">
        <f>EXP(-LN(2)/25)*BQ73+(1-EXP(-LN(2)/25))/(LN(2)/25)*Calculateur!BL74*Calculateur!BN74*VLOOKUP('Données projet'!$B$11,Paramètres!$A$1:$I$89,3,0)*0.475*44/12</f>
        <v>82.718657598653138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182.68182901710901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</v>
      </c>
      <c r="BY74" s="12">
        <f>IF('Données projet'!$A$114&gt;35,BY73+BX74-CG73,IF(A74&lt;'Données projet'!$A$114,$BV$205^A74,IF(A74='Données projet'!$A$114,'Données projet'!$B$114,BY73+BX74-CG73)))</f>
        <v>241.00000000000011</v>
      </c>
      <c r="BZ74" s="13">
        <f>BY74*VLOOKUP('Données projet'!$B$12,Paramètres!$A$1:$I$89,3,0)*VLOOKUP('Données projet'!$B$12,Paramètres!$A$1:$I$89,5,0)</f>
        <v>210.53760000000011</v>
      </c>
      <c r="CA74" s="13">
        <f t="shared" si="93"/>
        <v>52.053047337322276</v>
      </c>
      <c r="CB74" s="20">
        <f t="shared" si="64"/>
        <v>457.34537744583645</v>
      </c>
      <c r="CC74" s="59">
        <f t="shared" si="65"/>
        <v>724.21805852388434</v>
      </c>
      <c r="CD74" s="59">
        <f ca="1">AVERAGE(OFFSET($CC$3,0,0,'Données projet'!$E$12+1,1))-AVERAGE(OFFSET($H$3,0,0,'Données projet'!$E$12+1,1))</f>
        <v>411.67183422518411</v>
      </c>
      <c r="CE74" s="59">
        <f t="shared" si="94"/>
        <v>379.16642539721556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26.77048454977427</v>
      </c>
      <c r="CL74" s="21">
        <f>EXP(-LN(2)/25)*CL73+(1-EXP(-LN(2)/25))/(LN(2)/25)*Calculateur!CG74*Calculateur!CI74*VLOOKUP('Données projet'!$B$12,Paramètres!$A$1:$I$89,3,0)*0.475*44/12</f>
        <v>22.269937937555895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49.040422487330162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13.02735042735042</v>
      </c>
      <c r="N75" s="13">
        <f>IF('Données projet'!$A$36&gt;35,N74+M75-V74,IF(A75&lt;'Données projet'!$A$36,$K$205^A75,IF(A75='Données projet'!$A$36,'Données projet'!$B$36,N74+M75-V74)))</f>
        <v>391.78717948717923</v>
      </c>
      <c r="O75" s="13">
        <f>N75*VLOOKUP('Données projet'!$B$9,Paramètres!$A$1:$I$89,3,0)*VLOOKUP('Données projet'!$B$9,Paramètres!$A$1:$I$89,5,0)</f>
        <v>183.35639999999989</v>
      </c>
      <c r="P75" s="13">
        <f t="shared" si="87"/>
        <v>46.068118510976113</v>
      </c>
      <c r="Q75" s="20">
        <f t="shared" si="54"/>
        <v>399.58103640661653</v>
      </c>
      <c r="R75" s="59">
        <f t="shared" si="55"/>
        <v>666.91275064413765</v>
      </c>
      <c r="S75" s="59">
        <f ca="1">AVERAGE(OFFSET($R$3,0,0,'Données projet'!$E$9+1,1))-AVERAGE(OFFSET($H$3,0,0,'Données projet'!$E$9+1,1))</f>
        <v>307.52968058891554</v>
      </c>
      <c r="T75" s="59">
        <f t="shared" si="88"/>
        <v>221.27527189662558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46.915292104516716</v>
      </c>
      <c r="AA75" s="21">
        <f>EXP(-LN(2)/25)*AA74+(1-EXP(-LN(2)/25))/(LN(2)/25)*Calculateur!V75*Calculateur!X75*VLOOKUP('Données projet'!$B$9,Paramètres!$A$1:$I$89,3,0)*0.475*44/12</f>
        <v>18.772379857112437</v>
      </c>
      <c r="AB75" s="21">
        <f>EXP(-LN(2)/2)*AB74+(1-EXP(-LN(2)/2))/(LN(2)/2)*V75*Y75*VLOOKUP('Données projet'!$B$9,Paramètres!$A$1:$I$89,3,0)*0.475*44/12</f>
        <v>0.7402572664473307</v>
      </c>
      <c r="AC75" s="22">
        <f t="shared" si="57"/>
        <v>66.427929228076479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886.90618841324158</v>
      </c>
      <c r="AN75" s="59">
        <f ca="1">AVERAGE(OFFSET($AM$3,0,0,'Données projet'!$E$10+1,1))-AVERAGE(OFFSET($H$3,0,0,'Données projet'!$E$10+1,1))</f>
        <v>377.63545575155672</v>
      </c>
      <c r="AO75" s="59">
        <f t="shared" si="90"/>
        <v>339.1731538522788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1.7053025658242404E-13</v>
      </c>
      <c r="BE75" s="13">
        <f>BD75*VLOOKUP('Données projet'!$B$11,Paramètres!$A$1:$I$89,3,0)*VLOOKUP('Données projet'!$B$11,Paramètres!$A$1:$I$89,5,0)</f>
        <v>1.383341441396624E-13</v>
      </c>
      <c r="BF75" s="13">
        <f t="shared" si="91"/>
        <v>2.0011390722884082E-12</v>
      </c>
      <c r="BG75" s="20">
        <f t="shared" si="61"/>
        <v>3.7262491852788889E-12</v>
      </c>
      <c r="BH75" s="59">
        <f t="shared" si="62"/>
        <v>267.33171423752486</v>
      </c>
      <c r="BI75" s="59">
        <f ca="1">AVERAGE(OFFSET($BH$3,0,0,'Données projet'!$E$11+1,1))-AVERAGE(OFFSET($H$3,0,0,'Données projet'!$E$11+1,1))</f>
        <v>318.98630351938459</v>
      </c>
      <c r="BJ75" s="59">
        <f t="shared" si="92"/>
        <v>312.22190035638084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98.002954598454096</v>
      </c>
      <c r="BQ75" s="21">
        <f>EXP(-LN(2)/25)*BQ74+(1-EXP(-LN(2)/25))/(LN(2)/25)*Calculateur!BL75*Calculateur!BN75*VLOOKUP('Données projet'!$B$11,Paramètres!$A$1:$I$89,3,0)*0.475*44/12</f>
        <v>80.456711556632825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178.45966615508692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</v>
      </c>
      <c r="BY75" s="12">
        <f>IF('Données projet'!$A$114&gt;35,BY74+BX75-CG74,IF(A75&lt;'Données projet'!$A$114,$BV$205^A75,IF(A75='Données projet'!$A$114,'Données projet'!$B$114,BY74+BX75-CG74)))</f>
        <v>246.00000000000011</v>
      </c>
      <c r="BZ75" s="13">
        <f>BY75*VLOOKUP('Données projet'!$B$12,Paramètres!$A$1:$I$89,3,0)*VLOOKUP('Données projet'!$B$12,Paramètres!$A$1:$I$89,5,0)</f>
        <v>214.90560000000013</v>
      </c>
      <c r="CA75" s="13">
        <f t="shared" si="93"/>
        <v>53.006137800892375</v>
      </c>
      <c r="CB75" s="20">
        <f t="shared" si="64"/>
        <v>466.61294333655451</v>
      </c>
      <c r="CC75" s="59">
        <f t="shared" si="65"/>
        <v>733.94465757407556</v>
      </c>
      <c r="CD75" s="59">
        <f ca="1">AVERAGE(OFFSET($CC$3,0,0,'Données projet'!$E$12+1,1))-AVERAGE(OFFSET($H$3,0,0,'Données projet'!$E$12+1,1))</f>
        <v>411.67183422518411</v>
      </c>
      <c r="CE75" s="59">
        <f t="shared" si="94"/>
        <v>379.16642539721556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26.24553167613648</v>
      </c>
      <c r="CL75" s="21">
        <f>EXP(-LN(2)/25)*CL74+(1-EXP(-LN(2)/25))/(LN(2)/25)*Calculateur!CG75*Calculateur!CI75*VLOOKUP('Données projet'!$B$12,Paramètres!$A$1:$I$89,3,0)*0.475*44/12</f>
        <v>21.66096531352829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47.906496989664774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13.02735042735042</v>
      </c>
      <c r="N76" s="13">
        <f>IF('Données projet'!$A$36&gt;35,N75+M76-V75,IF(A76&lt;'Données projet'!$A$36,$K$205^A76,IF(A76='Données projet'!$A$36,'Données projet'!$B$36,N75+M76-V75)))</f>
        <v>404.81452991452966</v>
      </c>
      <c r="O76" s="13">
        <f>N76*VLOOKUP('Données projet'!$B$9,Paramètres!$A$1:$I$89,3,0)*VLOOKUP('Données projet'!$B$9,Paramètres!$A$1:$I$89,5,0)</f>
        <v>189.45319999999987</v>
      </c>
      <c r="P76" s="13">
        <f t="shared" si="87"/>
        <v>47.419042864854745</v>
      </c>
      <c r="Q76" s="20">
        <f t="shared" si="54"/>
        <v>412.5524896562884</v>
      </c>
      <c r="R76" s="59">
        <f t="shared" si="55"/>
        <v>680.33527385421019</v>
      </c>
      <c r="S76" s="59">
        <f ca="1">AVERAGE(OFFSET($R$3,0,0,'Données projet'!$E$9+1,1))-AVERAGE(OFFSET($H$3,0,0,'Données projet'!$E$9+1,1))</f>
        <v>307.52968058891554</v>
      </c>
      <c r="T76" s="59">
        <f t="shared" si="88"/>
        <v>221.27527189662558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45.995311841849784</v>
      </c>
      <c r="AA76" s="21">
        <f>EXP(-LN(2)/25)*AA75+(1-EXP(-LN(2)/25))/(LN(2)/25)*Calculateur!V76*Calculateur!X76*VLOOKUP('Données projet'!$B$9,Paramètres!$A$1:$I$89,3,0)*0.475*44/12</f>
        <v>18.259048142723145</v>
      </c>
      <c r="AB76" s="21">
        <f>EXP(-LN(2)/2)*AB75+(1-EXP(-LN(2)/2))/(LN(2)/2)*V76*Y76*VLOOKUP('Données projet'!$B$9,Paramètres!$A$1:$I$89,3,0)*0.475*44/12</f>
        <v>0.52344093292752447</v>
      </c>
      <c r="AC76" s="22">
        <f t="shared" si="57"/>
        <v>64.777800917500457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899.92840450058657</v>
      </c>
      <c r="AN76" s="59">
        <f ca="1">AVERAGE(OFFSET($AM$3,0,0,'Données projet'!$E$10+1,1))-AVERAGE(OFFSET($H$3,0,0,'Données projet'!$E$10+1,1))</f>
        <v>377.63545575155672</v>
      </c>
      <c r="AO76" s="59">
        <f t="shared" si="90"/>
        <v>339.1731538522788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1.7053025658242404E-13</v>
      </c>
      <c r="BE76" s="13">
        <f>BD76*VLOOKUP('Données projet'!$B$11,Paramètres!$A$1:$I$89,3,0)*VLOOKUP('Données projet'!$B$11,Paramètres!$A$1:$I$89,5,0)</f>
        <v>1.383341441396624E-13</v>
      </c>
      <c r="BF76" s="13">
        <f t="shared" si="91"/>
        <v>2.0011390722884082E-12</v>
      </c>
      <c r="BG76" s="20">
        <f t="shared" si="61"/>
        <v>3.7262491852788889E-12</v>
      </c>
      <c r="BH76" s="59">
        <f t="shared" si="62"/>
        <v>267.78278419792554</v>
      </c>
      <c r="BI76" s="59">
        <f ca="1">AVERAGE(OFFSET($BH$3,0,0,'Données projet'!$E$11+1,1))-AVERAGE(OFFSET($H$3,0,0,'Données projet'!$E$11+1,1))</f>
        <v>318.98630351938459</v>
      </c>
      <c r="BJ76" s="59">
        <f t="shared" si="92"/>
        <v>312.22190035638084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96.081176434678341</v>
      </c>
      <c r="BQ76" s="21">
        <f>EXP(-LN(2)/25)*BQ75+(1-EXP(-LN(2)/25))/(LN(2)/25)*Calculateur!BL76*Calculateur!BN76*VLOOKUP('Données projet'!$B$11,Paramètres!$A$1:$I$89,3,0)*0.475*44/12</f>
        <v>78.25661854808213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174.33779498276047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</v>
      </c>
      <c r="BY76" s="12">
        <f>IF('Données projet'!$A$114&gt;35,BY75+BX76-CG75,IF(A76&lt;'Données projet'!$A$114,$BV$205^A76,IF(A76='Données projet'!$A$114,'Données projet'!$B$114,BY75+BX76-CG75)))</f>
        <v>251.00000000000011</v>
      </c>
      <c r="BZ76" s="13">
        <f>BY76*VLOOKUP('Données projet'!$B$12,Paramètres!$A$1:$I$89,3,0)*VLOOKUP('Données projet'!$B$12,Paramètres!$A$1:$I$89,5,0)</f>
        <v>219.27360000000016</v>
      </c>
      <c r="CA76" s="13">
        <f t="shared" si="93"/>
        <v>53.956975893220168</v>
      </c>
      <c r="CB76" s="20">
        <f t="shared" si="64"/>
        <v>475.87658634735868</v>
      </c>
      <c r="CC76" s="59">
        <f t="shared" si="65"/>
        <v>743.65937054528047</v>
      </c>
      <c r="CD76" s="59">
        <f ca="1">AVERAGE(OFFSET($CC$3,0,0,'Données projet'!$E$12+1,1))-AVERAGE(OFFSET($H$3,0,0,'Données projet'!$E$12+1,1))</f>
        <v>411.67183422518411</v>
      </c>
      <c r="CE76" s="59">
        <f t="shared" si="94"/>
        <v>379.16642539721556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25.730872808161088</v>
      </c>
      <c r="CL76" s="21">
        <f>EXP(-LN(2)/25)*CL75+(1-EXP(-LN(2)/25))/(LN(2)/25)*Calculateur!CG76*Calculateur!CI76*VLOOKUP('Données projet'!$B$12,Paramètres!$A$1:$I$89,3,0)*0.475*44/12</f>
        <v>21.068645077929201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46.799517886090285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13.02735042735042</v>
      </c>
      <c r="N77" s="13">
        <f>IF('Données projet'!$A$36&gt;35,N76+M77-V76,IF(A77&lt;'Données projet'!$A$36,$K$205^A77,IF(A77='Données projet'!$A$36,'Données projet'!$B$36,N76+M77-V76)))</f>
        <v>417.84188034188008</v>
      </c>
      <c r="O77" s="13">
        <f>N77*VLOOKUP('Données projet'!$B$9,Paramètres!$A$1:$I$89,3,0)*VLOOKUP('Données projet'!$B$9,Paramètres!$A$1:$I$89,5,0)</f>
        <v>195.54999999999987</v>
      </c>
      <c r="P77" s="13">
        <f t="shared" si="87"/>
        <v>48.764915373179647</v>
      </c>
      <c r="Q77" s="20">
        <f t="shared" si="54"/>
        <v>425.51514427495431</v>
      </c>
      <c r="R77" s="59">
        <f t="shared" si="55"/>
        <v>693.74117337790517</v>
      </c>
      <c r="S77" s="59">
        <f ca="1">AVERAGE(OFFSET($R$3,0,0,'Données projet'!$E$9+1,1))-AVERAGE(OFFSET($H$3,0,0,'Données projet'!$E$9+1,1))</f>
        <v>307.52968058891554</v>
      </c>
      <c r="T77" s="59">
        <f t="shared" si="88"/>
        <v>221.27527189662558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45.093371831001193</v>
      </c>
      <c r="AA77" s="21">
        <f>EXP(-LN(2)/25)*AA76+(1-EXP(-LN(2)/25))/(LN(2)/25)*Calculateur!V77*Calculateur!X77*VLOOKUP('Données projet'!$B$9,Paramètres!$A$1:$I$89,3,0)*0.475*44/12</f>
        <v>17.759753511058772</v>
      </c>
      <c r="AB77" s="21">
        <f>EXP(-LN(2)/2)*AB76+(1-EXP(-LN(2)/2))/(LN(2)/2)*V77*Y77*VLOOKUP('Données projet'!$B$9,Paramètres!$A$1:$I$89,3,0)*0.475*44/12</f>
        <v>0.37012863322366535</v>
      </c>
      <c r="AC77" s="22">
        <f t="shared" si="57"/>
        <v>63.223253975283633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912.93762734051109</v>
      </c>
      <c r="AN77" s="59">
        <f ca="1">AVERAGE(OFFSET($AM$3,0,0,'Données projet'!$E$10+1,1))-AVERAGE(OFFSET($H$3,0,0,'Données projet'!$E$10+1,1))</f>
        <v>377.63545575155672</v>
      </c>
      <c r="AO77" s="59">
        <f t="shared" si="90"/>
        <v>339.1731538522788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1.7053025658242404E-13</v>
      </c>
      <c r="BE77" s="13">
        <f>BD77*VLOOKUP('Données projet'!$B$11,Paramètres!$A$1:$I$89,3,0)*VLOOKUP('Données projet'!$B$11,Paramètres!$A$1:$I$89,5,0)</f>
        <v>1.383341441396624E-13</v>
      </c>
      <c r="BF77" s="13">
        <f t="shared" si="91"/>
        <v>2.0011390722884082E-12</v>
      </c>
      <c r="BG77" s="20">
        <f t="shared" si="61"/>
        <v>3.7262491852788889E-12</v>
      </c>
      <c r="BH77" s="59">
        <f t="shared" si="62"/>
        <v>268.22602910295461</v>
      </c>
      <c r="BI77" s="59">
        <f ca="1">AVERAGE(OFFSET($BH$3,0,0,'Données projet'!$E$11+1,1))-AVERAGE(OFFSET($H$3,0,0,'Données projet'!$E$11+1,1))</f>
        <v>318.98630351938459</v>
      </c>
      <c r="BJ77" s="59">
        <f t="shared" si="92"/>
        <v>312.22190035638084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94.197083168525282</v>
      </c>
      <c r="BQ77" s="21">
        <f>EXP(-LN(2)/25)*BQ76+(1-EXP(-LN(2)/25))/(LN(2)/25)*Calculateur!BL77*Calculateur!BN77*VLOOKUP('Données projet'!$B$11,Paramètres!$A$1:$I$89,3,0)*0.475*44/12</f>
        <v>76.116687198548107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170.3137703670734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</v>
      </c>
      <c r="BY77" s="12">
        <f>IF('Données projet'!$A$114&gt;35,BY76+BX77-CG76,IF(A77&lt;'Données projet'!$A$114,$BV$205^A77,IF(A77='Données projet'!$A$114,'Données projet'!$B$114,BY76+BX77-CG76)))</f>
        <v>256.00000000000011</v>
      </c>
      <c r="BZ77" s="13">
        <f>BY77*VLOOKUP('Données projet'!$B$12,Paramètres!$A$1:$I$89,3,0)*VLOOKUP('Données projet'!$B$12,Paramètres!$A$1:$I$89,5,0)</f>
        <v>223.64160000000012</v>
      </c>
      <c r="CA77" s="13">
        <f t="shared" si="93"/>
        <v>54.905611653539218</v>
      </c>
      <c r="CB77" s="20">
        <f t="shared" si="64"/>
        <v>485.13639362991444</v>
      </c>
      <c r="CC77" s="59">
        <f t="shared" si="65"/>
        <v>753.3624227328653</v>
      </c>
      <c r="CD77" s="59">
        <f ca="1">AVERAGE(OFFSET($CC$3,0,0,'Données projet'!$E$12+1,1))-AVERAGE(OFFSET($H$3,0,0,'Données projet'!$E$12+1,1))</f>
        <v>411.67183422518411</v>
      </c>
      <c r="CE77" s="59">
        <f t="shared" si="94"/>
        <v>379.16642539721556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25.22630608667578</v>
      </c>
      <c r="CL77" s="21">
        <f>EXP(-LN(2)/25)*CL76+(1-EXP(-LN(2)/25))/(LN(2)/25)*Calculateur!CG77*Calculateur!CI77*VLOOKUP('Données projet'!$B$12,Paramètres!$A$1:$I$89,3,0)*0.475*44/12</f>
        <v>20.492521870321337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45.718827956997117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430.86923076923074</v>
      </c>
      <c r="L78" s="12">
        <f>VLOOKUP(A78,'Données projet'!$A$35:$I$55,9,0)</f>
        <v>13.02735042735042</v>
      </c>
      <c r="M78" s="12">
        <f t="array" ref="M78">INDEX(L:L,MIN(IF(ISNUMBER(L78:L274),ROW(L78:L274),"")))</f>
        <v>13.02735042735042</v>
      </c>
      <c r="N78" s="13">
        <f>IF('Données projet'!$A$36&gt;35,N77+M78-V77,IF(A78&lt;'Données projet'!$A$36,$K$205^A78,IF(A78='Données projet'!$A$36,'Données projet'!$B$36,N77+M78-V77)))</f>
        <v>430.86923076923051</v>
      </c>
      <c r="O78" s="13">
        <f>N78*VLOOKUP('Données projet'!$B$9,Paramètres!$A$1:$I$89,3,0)*VLOOKUP('Données projet'!$B$9,Paramètres!$A$1:$I$89,5,0)</f>
        <v>201.64679999999987</v>
      </c>
      <c r="P78" s="13">
        <f t="shared" si="87"/>
        <v>50.105911613506244</v>
      </c>
      <c r="Q78" s="20">
        <f t="shared" si="54"/>
        <v>438.46930606018981</v>
      </c>
      <c r="R78" s="59">
        <f t="shared" si="55"/>
        <v>707.13089076001461</v>
      </c>
      <c r="S78" s="59">
        <f ca="1">AVERAGE(OFFSET($R$3,0,0,'Données projet'!$E$9+1,1))-AVERAGE(OFFSET($H$3,0,0,'Données projet'!$E$9+1,1))</f>
        <v>307.52968058891554</v>
      </c>
      <c r="T78" s="59">
        <f t="shared" si="88"/>
        <v>221.27527189662558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78.307692307692307</v>
      </c>
      <c r="W78" s="16">
        <f>IF(ISNA(VLOOKUP(A78,'Données projet'!$A$35:$I$55,5,0)),0%,VLOOKUP(A78,'Données projet'!$A$35:$I$55,5,0)*VLOOKUP('Données projet'!$B$9,Paramètres!$A$1:$I$89,7,0))</f>
        <v>0.38500000000000001</v>
      </c>
      <c r="X78" s="16">
        <f>IF(ISNA(VLOOKUP(A78,'Données projet'!$A$35:$I$55,6,0)),0%,VLOOKUP(A78,'Données projet'!$A$35:$I$55,6,0)*VLOOKUP('Données projet'!$B$9,Paramètres!$A$1:$I$89,7,0))</f>
        <v>9.240000000000001E-2</v>
      </c>
      <c r="Y78" s="16">
        <f>IF(ISNA(VLOOKUP(A78,'Données projet'!$A$35:$I$55,7,0)),0%,VLOOKUP(A78,'Données projet'!$A$35:$I$55,7,0))</f>
        <v>0.13200000000000001</v>
      </c>
      <c r="Z78" s="21">
        <f>EXP(-LN(2)/35)*Z77+(1-EXP(-LN(2)/35))/(LN(2)/35)*V78*W78*VLOOKUP('Données projet'!$B$9,Paramètres!$A$1:$I$89,3,0)*0.475*44/12</f>
        <v>62.926252966371337</v>
      </c>
      <c r="AA78" s="21">
        <f>EXP(-LN(2)/25)*AA77+(1-EXP(-LN(2)/25))/(LN(2)/25)*Calculateur!V78*Calculateur!X78*VLOOKUP('Données projet'!$B$9,Paramètres!$A$1:$I$89,3,0)*0.475*44/12</f>
        <v>21.748537276190785</v>
      </c>
      <c r="AB78" s="21">
        <f>EXP(-LN(2)/2)*AB77+(1-EXP(-LN(2)/2))/(LN(2)/2)*V78*Y78*VLOOKUP('Données projet'!$B$9,Paramètres!$A$1:$I$89,3,0)*0.475*44/12</f>
        <v>5.7389349661107527</v>
      </c>
      <c r="AC78" s="22">
        <f t="shared" si="57"/>
        <v>90.413725208672872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925.93410756483718</v>
      </c>
      <c r="AN78" s="59">
        <f ca="1">AVERAGE(OFFSET($AM$3,0,0,'Données projet'!$E$10+1,1))-AVERAGE(OFFSET($H$3,0,0,'Données projet'!$E$10+1,1))</f>
        <v>377.63545575155672</v>
      </c>
      <c r="AO78" s="59">
        <f t="shared" si="90"/>
        <v>339.1731538522788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1.7053025658242404E-13</v>
      </c>
      <c r="BE78" s="13">
        <f>BD78*VLOOKUP('Données projet'!$B$11,Paramètres!$A$1:$I$89,3,0)*VLOOKUP('Données projet'!$B$11,Paramètres!$A$1:$I$89,5,0)</f>
        <v>1.383341441396624E-13</v>
      </c>
      <c r="BF78" s="13">
        <f t="shared" si="91"/>
        <v>2.0011390722884082E-12</v>
      </c>
      <c r="BG78" s="20">
        <f t="shared" si="61"/>
        <v>3.7262491852788889E-12</v>
      </c>
      <c r="BH78" s="59">
        <f t="shared" si="62"/>
        <v>268.66158469982855</v>
      </c>
      <c r="BI78" s="59">
        <f ca="1">AVERAGE(OFFSET($BH$3,0,0,'Données projet'!$E$11+1,1))-AVERAGE(OFFSET($H$3,0,0,'Données projet'!$E$11+1,1))</f>
        <v>318.98630351938459</v>
      </c>
      <c r="BJ78" s="59">
        <f t="shared" si="92"/>
        <v>312.22190035638084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92.349935822138065</v>
      </c>
      <c r="BQ78" s="21">
        <f>EXP(-LN(2)/25)*BQ77+(1-EXP(-LN(2)/25))/(LN(2)/25)*Calculateur!BL78*Calculateur!BN78*VLOOKUP('Données projet'!$B$11,Paramètres!$A$1:$I$89,3,0)*0.475*44/12</f>
        <v>74.035272384301194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166.38520820643924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261</v>
      </c>
      <c r="BW78" s="12">
        <f>VLOOKUP(A78,'Données projet'!$A$113:$I$133,9,0)</f>
        <v>5</v>
      </c>
      <c r="BX78" s="12">
        <f t="array" ref="BX78">INDEX(BW:BW,MIN(IF(ISNUMBER(BW78:BW274),ROW(BW78:BW274),"")))</f>
        <v>5</v>
      </c>
      <c r="BY78" s="12">
        <f>IF('Données projet'!$A$114&gt;35,BY77+BX78-CG77,IF(A78&lt;'Données projet'!$A$114,$BV$205^A78,IF(A78='Données projet'!$A$114,'Données projet'!$B$114,BY77+BX78-CG77)))</f>
        <v>261.00000000000011</v>
      </c>
      <c r="BZ78" s="13">
        <f>BY78*VLOOKUP('Données projet'!$B$12,Paramètres!$A$1:$I$89,3,0)*VLOOKUP('Données projet'!$B$12,Paramètres!$A$1:$I$89,5,0)</f>
        <v>228.00960000000015</v>
      </c>
      <c r="CA78" s="13">
        <f t="shared" si="93"/>
        <v>55.852093054619878</v>
      </c>
      <c r="CB78" s="20">
        <f t="shared" si="64"/>
        <v>494.39244873679655</v>
      </c>
      <c r="CC78" s="59">
        <f t="shared" si="65"/>
        <v>763.05403343662135</v>
      </c>
      <c r="CD78" s="59">
        <f ca="1">AVERAGE(OFFSET($CC$3,0,0,'Données projet'!$E$12+1,1))-AVERAGE(OFFSET($H$3,0,0,'Données projet'!$E$12+1,1))</f>
        <v>411.67183422518411</v>
      </c>
      <c r="CE78" s="59">
        <f t="shared" si="94"/>
        <v>379.16642539721556</v>
      </c>
      <c r="CF78" s="15">
        <f>IF(ISNA(VLOOKUP(A78,'Données projet'!$A$113:$I$133,3,0)),0,VLOOKUP(A78,'Données projet'!$A$113:$I$133,3,0))</f>
        <v>12</v>
      </c>
      <c r="CG78" s="15" t="str">
        <f>IF(ISNA(VLOOKUP(A78,'Données projet'!$A$113:$I$133,4,0)),0,VLOOKUP(A78,'Données projet'!$A$113:$I$133,4,0))</f>
        <v>19</v>
      </c>
      <c r="CH78" s="16">
        <f>IF(ISNA(VLOOKUP(A78,'Données projet'!$A$113:$I$133,5,0)),0%,VLOOKUP(A78,'Données projet'!$A$113:$I$133,5,0)*VLOOKUP('Données projet'!$B$12,Paramètres!$A$1:$I$89,7,0))</f>
        <v>0.30099999999999999</v>
      </c>
      <c r="CI78" s="16">
        <f>IF(ISNA(VLOOKUP(A78,'Données projet'!$A$113:$I$133,6,0)),0%,VLOOKUP(A78,'Données projet'!$A$113:$I$133,6,0)*VLOOKUP('Données projet'!$B$12,Paramètres!$A$1:$I$89,7,0))</f>
        <v>8.6000000000000007E-2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30.254694514683045</v>
      </c>
      <c r="CL78" s="21">
        <f>EXP(-LN(2)/25)*CL77+(1-EXP(-LN(2)/25))/(LN(2)/25)*Calculateur!CG78*Calculateur!CI78*VLOOKUP('Données projet'!$B$12,Paramètres!$A$1:$I$89,3,0)*0.475*44/12</f>
        <v>21.503956927439638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51.758651442122684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12.25961538461538</v>
      </c>
      <c r="N79" s="13">
        <f>IF('Données projet'!$A$36&gt;35,N78+M79-V78,IF(A79&lt;'Données projet'!$A$36,$K$205^A79,IF(A79='Données projet'!$A$36,'Données projet'!$B$36,N78+M79-V78)))</f>
        <v>364.82115384615355</v>
      </c>
      <c r="O79" s="13">
        <f>N79*VLOOKUP('Données projet'!$B$9,Paramètres!$A$1:$I$89,3,0)*VLOOKUP('Données projet'!$B$9,Paramètres!$A$1:$I$89,5,0)</f>
        <v>170.73629999999986</v>
      </c>
      <c r="P79" s="13">
        <f t="shared" si="87"/>
        <v>43.254888789891716</v>
      </c>
      <c r="Q79" s="20">
        <f t="shared" si="54"/>
        <v>372.70132047572787</v>
      </c>
      <c r="R79" s="59">
        <f t="shared" si="55"/>
        <v>641.7909048565773</v>
      </c>
      <c r="S79" s="59">
        <f ca="1">AVERAGE(OFFSET($R$3,0,0,'Données projet'!$E$9+1,1))-AVERAGE(OFFSET($H$3,0,0,'Données projet'!$E$9+1,1))</f>
        <v>307.52968058891554</v>
      </c>
      <c r="T79" s="59">
        <f t="shared" si="88"/>
        <v>221.27527189662558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61.692307526925276</v>
      </c>
      <c r="AA79" s="21">
        <f>EXP(-LN(2)/25)*AA78+(1-EXP(-LN(2)/25))/(LN(2)/25)*Calculateur!V79*Calculateur!X79*VLOOKUP('Données projet'!$B$9,Paramètres!$A$1:$I$89,3,0)*0.475*44/12</f>
        <v>21.153822380667478</v>
      </c>
      <c r="AB79" s="21">
        <f>EXP(-LN(2)/2)*AB78+(1-EXP(-LN(2)/2))/(LN(2)/2)*V79*Y79*VLOOKUP('Données projet'!$B$9,Paramètres!$A$1:$I$89,3,0)*0.475*44/12</f>
        <v>4.0580398313255026</v>
      </c>
      <c r="AC79" s="22">
        <f t="shared" si="57"/>
        <v>86.904169738918256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938.91808870339742</v>
      </c>
      <c r="AN79" s="59">
        <f ca="1">AVERAGE(OFFSET($AM$3,0,0,'Données projet'!$E$10+1,1))-AVERAGE(OFFSET($H$3,0,0,'Données projet'!$E$10+1,1))</f>
        <v>377.63545575155672</v>
      </c>
      <c r="AO79" s="59">
        <f t="shared" si="90"/>
        <v>339.1731538522788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1.7053025658242404E-13</v>
      </c>
      <c r="BE79" s="13">
        <f>BD79*VLOOKUP('Données projet'!$B$11,Paramètres!$A$1:$I$89,3,0)*VLOOKUP('Données projet'!$B$11,Paramètres!$A$1:$I$89,5,0)</f>
        <v>1.383341441396624E-13</v>
      </c>
      <c r="BF79" s="13">
        <f t="shared" si="91"/>
        <v>2.0011390722884082E-12</v>
      </c>
      <c r="BG79" s="20">
        <f t="shared" si="61"/>
        <v>3.7262491852788889E-12</v>
      </c>
      <c r="BH79" s="59">
        <f t="shared" si="62"/>
        <v>269.08958438085318</v>
      </c>
      <c r="BI79" s="59">
        <f ca="1">AVERAGE(OFFSET($BH$3,0,0,'Données projet'!$E$11+1,1))-AVERAGE(OFFSET($H$3,0,0,'Données projet'!$E$11+1,1))</f>
        <v>318.98630351938459</v>
      </c>
      <c r="BJ79" s="59">
        <f t="shared" si="92"/>
        <v>312.22190035638084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90.539009908564864</v>
      </c>
      <c r="BQ79" s="21">
        <f>EXP(-LN(2)/25)*BQ78+(1-EXP(-LN(2)/25))/(LN(2)/25)*Calculateur!BL79*Calculateur!BN79*VLOOKUP('Données projet'!$B$11,Paramètres!$A$1:$I$89,3,0)*0.475*44/12</f>
        <v>72.01077396760671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162.54978387617157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4.4000000000000004</v>
      </c>
      <c r="BY79" s="12">
        <f>IF('Données projet'!$A$114&gt;35,BY78+BX79-CG78,IF(A79&lt;'Données projet'!$A$114,$BV$205^A79,IF(A79='Données projet'!$A$114,'Données projet'!$B$114,BY78+BX79-CG78)))</f>
        <v>246.40000000000009</v>
      </c>
      <c r="BZ79" s="13">
        <f>BY79*VLOOKUP('Données projet'!$B$12,Paramètres!$A$1:$I$89,3,0)*VLOOKUP('Données projet'!$B$12,Paramètres!$A$1:$I$89,5,0)</f>
        <v>215.25504000000012</v>
      </c>
      <c r="CA79" s="13">
        <f t="shared" si="93"/>
        <v>53.082287058997267</v>
      </c>
      <c r="CB79" s="20">
        <f t="shared" si="64"/>
        <v>467.35417796108709</v>
      </c>
      <c r="CC79" s="59">
        <f t="shared" si="65"/>
        <v>736.44376234193646</v>
      </c>
      <c r="CD79" s="59">
        <f ca="1">AVERAGE(OFFSET($CC$3,0,0,'Données projet'!$E$12+1,1))-AVERAGE(OFFSET($H$3,0,0,'Données projet'!$E$12+1,1))</f>
        <v>411.67183422518411</v>
      </c>
      <c r="CE79" s="59">
        <f t="shared" si="94"/>
        <v>379.16642539721556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29.661418408791629</v>
      </c>
      <c r="CL79" s="21">
        <f>EXP(-LN(2)/25)*CL78+(1-EXP(-LN(2)/25))/(LN(2)/25)*Calculateur!CG79*Calculateur!CI79*VLOOKUP('Données projet'!$B$12,Paramètres!$A$1:$I$89,3,0)*0.475*44/12</f>
        <v>20.915930094414854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50.57734850320648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12.25961538461538</v>
      </c>
      <c r="N80" s="13">
        <f>IF('Données projet'!$A$36&gt;35,N79+M80-V79,IF(A80&lt;'Données projet'!$A$36,$K$205^A80,IF(A80='Données projet'!$A$36,'Données projet'!$B$36,N79+M80-V79)))</f>
        <v>377.08076923076891</v>
      </c>
      <c r="O80" s="13">
        <f>N80*VLOOKUP('Données projet'!$B$9,Paramètres!$A$1:$I$89,3,0)*VLOOKUP('Données projet'!$B$9,Paramètres!$A$1:$I$89,5,0)</f>
        <v>176.47379999999987</v>
      </c>
      <c r="P80" s="13">
        <f t="shared" si="87"/>
        <v>44.536770589031235</v>
      </c>
      <c r="Q80" s="20">
        <f t="shared" si="54"/>
        <v>384.92674377589583</v>
      </c>
      <c r="R80" s="59">
        <f t="shared" si="55"/>
        <v>654.43690300016806</v>
      </c>
      <c r="S80" s="59">
        <f ca="1">AVERAGE(OFFSET($R$3,0,0,'Données projet'!$E$9+1,1))-AVERAGE(OFFSET($H$3,0,0,'Données projet'!$E$9+1,1))</f>
        <v>307.52968058891554</v>
      </c>
      <c r="T80" s="59">
        <f t="shared" si="88"/>
        <v>221.27527189662558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60.48255900491435</v>
      </c>
      <c r="AA80" s="21">
        <f>EXP(-LN(2)/25)*AA79+(1-EXP(-LN(2)/25))/(LN(2)/25)*Calculateur!V80*Calculateur!X80*VLOOKUP('Données projet'!$B$9,Paramètres!$A$1:$I$89,3,0)*0.475*44/12</f>
        <v>20.575369995236954</v>
      </c>
      <c r="AB80" s="21">
        <f>EXP(-LN(2)/2)*AB79+(1-EXP(-LN(2)/2))/(LN(2)/2)*V80*Y80*VLOOKUP('Données projet'!$B$9,Paramètres!$A$1:$I$89,3,0)*0.475*44/12</f>
        <v>2.8694674830553768</v>
      </c>
      <c r="AC80" s="22">
        <f t="shared" si="57"/>
        <v>83.927396483206678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377.63545575155672</v>
      </c>
      <c r="AO80" s="59">
        <f t="shared" si="90"/>
        <v>339.1731538522788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1.7053025658242404E-13</v>
      </c>
      <c r="BE80" s="13">
        <f>BD80*VLOOKUP('Données projet'!$B$11,Paramètres!$A$1:$I$89,3,0)*VLOOKUP('Données projet'!$B$11,Paramètres!$A$1:$I$89,5,0)</f>
        <v>1.383341441396624E-13</v>
      </c>
      <c r="BF80" s="13">
        <f t="shared" si="91"/>
        <v>2.0011390722884082E-12</v>
      </c>
      <c r="BG80" s="20">
        <f t="shared" si="61"/>
        <v>3.7262491852788889E-12</v>
      </c>
      <c r="BH80" s="59">
        <f t="shared" si="62"/>
        <v>269.51015922427604</v>
      </c>
      <c r="BI80" s="59">
        <f ca="1">AVERAGE(OFFSET($BH$3,0,0,'Données projet'!$E$11+1,1))-AVERAGE(OFFSET($H$3,0,0,'Données projet'!$E$11+1,1))</f>
        <v>318.98630351938459</v>
      </c>
      <c r="BJ80" s="59">
        <f t="shared" si="92"/>
        <v>312.22190035638084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88.763595147601094</v>
      </c>
      <c r="BQ80" s="21">
        <f>EXP(-LN(2)/25)*BQ79+(1-EXP(-LN(2)/25))/(LN(2)/25)*Calculateur!BL80*Calculateur!BN80*VLOOKUP('Données projet'!$B$11,Paramètres!$A$1:$I$89,3,0)*0.475*44/12</f>
        <v>70.041635566580482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158.80523071418156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4.4000000000000004</v>
      </c>
      <c r="BY80" s="12">
        <f>IF('Données projet'!$A$114&gt;35,BY79+BX80-CG79,IF(A80&lt;'Données projet'!$A$114,$BV$205^A80,IF(A80='Données projet'!$A$114,'Données projet'!$B$114,BY79+BX80-CG79)))</f>
        <v>250.8000000000001</v>
      </c>
      <c r="BZ80" s="13">
        <f>BY80*VLOOKUP('Données projet'!$B$12,Paramètres!$A$1:$I$89,3,0)*VLOOKUP('Données projet'!$B$12,Paramètres!$A$1:$I$89,5,0)</f>
        <v>219.09888000000012</v>
      </c>
      <c r="CA80" s="13">
        <f t="shared" si="93"/>
        <v>53.918984980452286</v>
      </c>
      <c r="CB80" s="20">
        <f t="shared" si="64"/>
        <v>475.50611484095458</v>
      </c>
      <c r="CC80" s="59">
        <f t="shared" si="65"/>
        <v>745.01627406522687</v>
      </c>
      <c r="CD80" s="59">
        <f ca="1">AVERAGE(OFFSET($CC$3,0,0,'Données projet'!$E$12+1,1))-AVERAGE(OFFSET($H$3,0,0,'Données projet'!$E$12+1,1))</f>
        <v>411.67183422518411</v>
      </c>
      <c r="CE80" s="59">
        <f t="shared" si="94"/>
        <v>379.16642539721556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29.079776085474048</v>
      </c>
      <c r="CL80" s="21">
        <f>EXP(-LN(2)/25)*CL79+(1-EXP(-LN(2)/25))/(LN(2)/25)*Calculateur!CG80*Calculateur!CI80*VLOOKUP('Données projet'!$B$12,Paramètres!$A$1:$I$89,3,0)*0.475*44/12</f>
        <v>20.343982886062122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49.423758971536174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12.25961538461538</v>
      </c>
      <c r="N81" s="13">
        <f>IF('Données projet'!$A$36&gt;35,N80+M81-V80,IF(A81&lt;'Données projet'!$A$36,$K$205^A81,IF(A81='Données projet'!$A$36,'Données projet'!$B$36,N80+M81-V80)))</f>
        <v>389.34038461538427</v>
      </c>
      <c r="O81" s="13">
        <f>N81*VLOOKUP('Données projet'!$B$9,Paramètres!$A$1:$I$89,3,0)*VLOOKUP('Données projet'!$B$9,Paramètres!$A$1:$I$89,5,0)</f>
        <v>182.21129999999985</v>
      </c>
      <c r="P81" s="13">
        <f t="shared" si="87"/>
        <v>45.813809518844167</v>
      </c>
      <c r="Q81" s="20">
        <f t="shared" si="54"/>
        <v>397.14373241198672</v>
      </c>
      <c r="R81" s="59">
        <f t="shared" si="55"/>
        <v>667.067170446413</v>
      </c>
      <c r="S81" s="59">
        <f ca="1">AVERAGE(OFFSET($R$3,0,0,'Données projet'!$E$9+1,1))-AVERAGE(OFFSET($H$3,0,0,'Données projet'!$E$9+1,1))</f>
        <v>307.52968058891554</v>
      </c>
      <c r="T81" s="59">
        <f t="shared" si="88"/>
        <v>221.27527189662558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59.296532913546315</v>
      </c>
      <c r="AA81" s="21">
        <f>EXP(-LN(2)/25)*AA80+(1-EXP(-LN(2)/25))/(LN(2)/25)*Calculateur!V81*Calculateur!X81*VLOOKUP('Données projet'!$B$9,Paramètres!$A$1:$I$89,3,0)*0.475*44/12</f>
        <v>20.012735420705518</v>
      </c>
      <c r="AB81" s="21">
        <f>EXP(-LN(2)/2)*AB80+(1-EXP(-LN(2)/2))/(LN(2)/2)*V81*Y81*VLOOKUP('Données projet'!$B$9,Paramètres!$A$1:$I$89,3,0)*0.475*44/12</f>
        <v>2.0290199156627517</v>
      </c>
      <c r="AC81" s="22">
        <f t="shared" si="57"/>
        <v>81.338288249914598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377.63545575155672</v>
      </c>
      <c r="AO81" s="59">
        <f t="shared" si="90"/>
        <v>339.1731538522788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1.7053025658242404E-13</v>
      </c>
      <c r="BE81" s="13">
        <f>BD81*VLOOKUP('Données projet'!$B$11,Paramètres!$A$1:$I$89,3,0)*VLOOKUP('Données projet'!$B$11,Paramètres!$A$1:$I$89,5,0)</f>
        <v>1.383341441396624E-13</v>
      </c>
      <c r="BF81" s="13">
        <f t="shared" si="91"/>
        <v>2.0011390722884082E-12</v>
      </c>
      <c r="BG81" s="20">
        <f t="shared" si="61"/>
        <v>3.7262491852788889E-12</v>
      </c>
      <c r="BH81" s="59">
        <f t="shared" si="62"/>
        <v>269.92343803442998</v>
      </c>
      <c r="BI81" s="59">
        <f ca="1">AVERAGE(OFFSET($BH$3,0,0,'Données projet'!$E$11+1,1))-AVERAGE(OFFSET($H$3,0,0,'Données projet'!$E$11+1,1))</f>
        <v>318.98630351938459</v>
      </c>
      <c r="BJ81" s="59">
        <f t="shared" si="92"/>
        <v>312.22190035638084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87.022995187203747</v>
      </c>
      <c r="BQ81" s="21">
        <f>EXP(-LN(2)/25)*BQ80+(1-EXP(-LN(2)/25))/(LN(2)/25)*Calculateur!BL81*Calculateur!BN81*VLOOKUP('Données projet'!$B$11,Paramètres!$A$1:$I$89,3,0)*0.475*44/12</f>
        <v>68.126343358682803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155.14933854588656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4.4000000000000004</v>
      </c>
      <c r="BY81" s="12">
        <f>IF('Données projet'!$A$114&gt;35,BY80+BX81-CG80,IF(A81&lt;'Données projet'!$A$114,$BV$205^A81,IF(A81='Données projet'!$A$114,'Données projet'!$B$114,BY80+BX81-CG80)))</f>
        <v>255.2000000000001</v>
      </c>
      <c r="BZ81" s="13">
        <f>BY81*VLOOKUP('Données projet'!$B$12,Paramètres!$A$1:$I$89,3,0)*VLOOKUP('Données projet'!$B$12,Paramètres!$A$1:$I$89,5,0)</f>
        <v>222.94272000000009</v>
      </c>
      <c r="CA81" s="13">
        <f t="shared" si="93"/>
        <v>54.753975927514929</v>
      </c>
      <c r="CB81" s="20">
        <f t="shared" si="64"/>
        <v>483.65507874042197</v>
      </c>
      <c r="CC81" s="59">
        <f t="shared" si="65"/>
        <v>753.57851677484814</v>
      </c>
      <c r="CD81" s="59">
        <f ca="1">AVERAGE(OFFSET($CC$3,0,0,'Données projet'!$E$12+1,1))-AVERAGE(OFFSET($H$3,0,0,'Données projet'!$E$12+1,1))</f>
        <v>411.67183422518411</v>
      </c>
      <c r="CE81" s="59">
        <f t="shared" si="94"/>
        <v>379.16642539721556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28.509539413349941</v>
      </c>
      <c r="CL81" s="21">
        <f>EXP(-LN(2)/25)*CL80+(1-EXP(-LN(2)/25))/(LN(2)/25)*Calculateur!CG81*Calculateur!CI81*VLOOKUP('Données projet'!$B$12,Paramètres!$A$1:$I$89,3,0)*0.475*44/12</f>
        <v>19.78767560419919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48.297215017549135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12.25961538461538</v>
      </c>
      <c r="N82" s="13">
        <f>IF('Données projet'!$A$36&gt;35,N81+M82-V81,IF(A82&lt;'Données projet'!$A$36,$K$205^A82,IF(A82='Données projet'!$A$36,'Données projet'!$B$36,N81+M82-V81)))</f>
        <v>401.59999999999962</v>
      </c>
      <c r="O82" s="13">
        <f>N82*VLOOKUP('Données projet'!$B$9,Paramètres!$A$1:$I$89,3,0)*VLOOKUP('Données projet'!$B$9,Paramètres!$A$1:$I$89,5,0)</f>
        <v>187.94879999999981</v>
      </c>
      <c r="P82" s="13">
        <f t="shared" si="87"/>
        <v>47.086175568004208</v>
      </c>
      <c r="Q82" s="20">
        <f t="shared" si="54"/>
        <v>409.35258244760695</v>
      </c>
      <c r="R82" s="59">
        <f t="shared" si="55"/>
        <v>679.6821298287839</v>
      </c>
      <c r="S82" s="59">
        <f ca="1">AVERAGE(OFFSET($R$3,0,0,'Données projet'!$E$9+1,1))-AVERAGE(OFFSET($H$3,0,0,'Données projet'!$E$9+1,1))</f>
        <v>307.52968058891554</v>
      </c>
      <c r="T82" s="59">
        <f t="shared" si="88"/>
        <v>221.27527189662558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58.133764070425521</v>
      </c>
      <c r="AA82" s="21">
        <f>EXP(-LN(2)/25)*AA81+(1-EXP(-LN(2)/25))/(LN(2)/25)*Calculateur!V82*Calculateur!X82*VLOOKUP('Données projet'!$B$9,Paramètres!$A$1:$I$89,3,0)*0.475*44/12</f>
        <v>19.46548611820231</v>
      </c>
      <c r="AB82" s="21">
        <f>EXP(-LN(2)/2)*AB81+(1-EXP(-LN(2)/2))/(LN(2)/2)*V82*Y82*VLOOKUP('Données projet'!$B$9,Paramètres!$A$1:$I$89,3,0)*0.475*44/12</f>
        <v>1.4347337415276886</v>
      </c>
      <c r="AC82" s="22">
        <f t="shared" si="57"/>
        <v>79.033983930155529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377.63545575155672</v>
      </c>
      <c r="AO82" s="59">
        <f t="shared" si="90"/>
        <v>339.1731538522788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1.7053025658242404E-13</v>
      </c>
      <c r="BE82" s="13">
        <f>BD82*VLOOKUP('Données projet'!$B$11,Paramètres!$A$1:$I$89,3,0)*VLOOKUP('Données projet'!$B$11,Paramètres!$A$1:$I$89,5,0)</f>
        <v>1.383341441396624E-13</v>
      </c>
      <c r="BF82" s="13">
        <f t="shared" si="91"/>
        <v>2.0011390722884082E-12</v>
      </c>
      <c r="BG82" s="20">
        <f t="shared" si="61"/>
        <v>3.7262491852788889E-12</v>
      </c>
      <c r="BH82" s="59">
        <f t="shared" si="62"/>
        <v>270.3295473811807</v>
      </c>
      <c r="BI82" s="59">
        <f ca="1">AVERAGE(OFFSET($BH$3,0,0,'Données projet'!$E$11+1,1))-AVERAGE(OFFSET($H$3,0,0,'Données projet'!$E$11+1,1))</f>
        <v>318.98630351938459</v>
      </c>
      <c r="BJ82" s="59">
        <f t="shared" si="92"/>
        <v>312.22190035638084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85.316527330368658</v>
      </c>
      <c r="BQ82" s="21">
        <f>EXP(-LN(2)/25)*BQ81+(1-EXP(-LN(2)/25))/(LN(2)/25)*Calculateur!BL82*Calculateur!BN82*VLOOKUP('Données projet'!$B$11,Paramètres!$A$1:$I$89,3,0)*0.475*44/12</f>
        <v>66.26342491693093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151.57995224729959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4.4000000000000004</v>
      </c>
      <c r="BY82" s="12">
        <f>IF('Données projet'!$A$114&gt;35,BY81+BX82-CG81,IF(A82&lt;'Données projet'!$A$114,$BV$205^A82,IF(A82='Données projet'!$A$114,'Données projet'!$B$114,BY81+BX82-CG81)))</f>
        <v>259.60000000000008</v>
      </c>
      <c r="BZ82" s="13">
        <f>BY82*VLOOKUP('Données projet'!$B$12,Paramètres!$A$1:$I$89,3,0)*VLOOKUP('Données projet'!$B$12,Paramètres!$A$1:$I$89,5,0)</f>
        <v>226.78656000000009</v>
      </c>
      <c r="CA82" s="13">
        <f t="shared" si="93"/>
        <v>55.587292726829872</v>
      </c>
      <c r="CB82" s="20">
        <f t="shared" si="64"/>
        <v>491.8011268325622</v>
      </c>
      <c r="CC82" s="59">
        <f t="shared" si="65"/>
        <v>762.13067421373921</v>
      </c>
      <c r="CD82" s="59">
        <f ca="1">AVERAGE(OFFSET($CC$3,0,0,'Données projet'!$E$12+1,1))-AVERAGE(OFFSET($H$3,0,0,'Données projet'!$E$12+1,1))</f>
        <v>411.67183422518411</v>
      </c>
      <c r="CE82" s="59">
        <f t="shared" si="94"/>
        <v>379.16642539721556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27.950484734556159</v>
      </c>
      <c r="CL82" s="21">
        <f>EXP(-LN(2)/25)*CL81+(1-EXP(-LN(2)/25))/(LN(2)/25)*Calculateur!CG82*Calculateur!CI82*VLOOKUP('Données projet'!$B$12,Paramètres!$A$1:$I$89,3,0)*0.475*44/12</f>
        <v>19.246580574213731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47.197065308769893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12.25961538461538</v>
      </c>
      <c r="N83" s="13">
        <f>IF('Données projet'!$A$36&gt;35,N82+M83-V82,IF(A83&lt;'Données projet'!$A$36,$K$205^A83,IF(A83='Données projet'!$A$36,'Données projet'!$B$36,N82+M83-V82)))</f>
        <v>413.85961538461498</v>
      </c>
      <c r="O83" s="13">
        <f>N83*VLOOKUP('Données projet'!$B$9,Paramètres!$A$1:$I$89,3,0)*VLOOKUP('Données projet'!$B$9,Paramètres!$A$1:$I$89,5,0)</f>
        <v>193.68629999999982</v>
      </c>
      <c r="P83" s="13">
        <f t="shared" si="87"/>
        <v>48.354027757017739</v>
      </c>
      <c r="Q83" s="20">
        <f t="shared" si="54"/>
        <v>421.55357084347224</v>
      </c>
      <c r="R83" s="59">
        <f t="shared" si="55"/>
        <v>692.2821824821583</v>
      </c>
      <c r="S83" s="59">
        <f ca="1">AVERAGE(OFFSET($R$3,0,0,'Données projet'!$E$9+1,1))-AVERAGE(OFFSET($H$3,0,0,'Données projet'!$E$9+1,1))</f>
        <v>307.52968058891554</v>
      </c>
      <c r="T83" s="59">
        <f t="shared" si="88"/>
        <v>221.27527189662558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56.993796415099361</v>
      </c>
      <c r="AA83" s="21">
        <f>EXP(-LN(2)/25)*AA82+(1-EXP(-LN(2)/25))/(LN(2)/25)*Calculateur!V83*Calculateur!X83*VLOOKUP('Données projet'!$B$9,Paramètres!$A$1:$I$89,3,0)*0.475*44/12</f>
        <v>18.933201376654644</v>
      </c>
      <c r="AB83" s="21">
        <f>EXP(-LN(2)/2)*AB82+(1-EXP(-LN(2)/2))/(LN(2)/2)*V83*Y83*VLOOKUP('Données projet'!$B$9,Paramètres!$A$1:$I$89,3,0)*0.475*44/12</f>
        <v>1.0145099578313761</v>
      </c>
      <c r="AC83" s="22">
        <f t="shared" si="57"/>
        <v>76.941507749585384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377.63545575155672</v>
      </c>
      <c r="AO83" s="59">
        <f t="shared" si="90"/>
        <v>339.1731538522788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1.7053025658242404E-13</v>
      </c>
      <c r="BE83" s="13">
        <f>BD83*VLOOKUP('Données projet'!$B$11,Paramètres!$A$1:$I$89,3,0)*VLOOKUP('Données projet'!$B$11,Paramètres!$A$1:$I$89,5,0)</f>
        <v>1.383341441396624E-13</v>
      </c>
      <c r="BF83" s="13">
        <f t="shared" si="91"/>
        <v>2.0011390722884082E-12</v>
      </c>
      <c r="BG83" s="20">
        <f t="shared" si="61"/>
        <v>3.7262491852788889E-12</v>
      </c>
      <c r="BH83" s="59">
        <f t="shared" si="62"/>
        <v>270.72861163868987</v>
      </c>
      <c r="BI83" s="59">
        <f ca="1">AVERAGE(OFFSET($BH$3,0,0,'Données projet'!$E$11+1,1))-AVERAGE(OFFSET($H$3,0,0,'Données projet'!$E$11+1,1))</f>
        <v>318.98630351938459</v>
      </c>
      <c r="BJ83" s="59">
        <f t="shared" si="92"/>
        <v>312.22190035638084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83.64352226736348</v>
      </c>
      <c r="BQ83" s="21">
        <f>EXP(-LN(2)/25)*BQ82+(1-EXP(-LN(2)/25))/(LN(2)/25)*Calculateur!BL83*Calculateur!BN83*VLOOKUP('Données projet'!$B$11,Paramètres!$A$1:$I$89,3,0)*0.475*44/12</f>
        <v>64.451448077935382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148.09497034529886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264</v>
      </c>
      <c r="BW83" s="12">
        <f>VLOOKUP(A83,'Données projet'!$A$113:$I$133,9,0)</f>
        <v>4.4000000000000004</v>
      </c>
      <c r="BX83" s="12">
        <f t="array" ref="BX83">INDEX(BW:BW,MIN(IF(ISNUMBER(BW83:BW279),ROW(BW83:BW279),"")))</f>
        <v>4.4000000000000004</v>
      </c>
      <c r="BY83" s="12">
        <f>IF('Données projet'!$A$114&gt;35,BY82+BX83-CG82,IF(A83&lt;'Données projet'!$A$114,$BV$205^A83,IF(A83='Données projet'!$A$114,'Données projet'!$B$114,BY82+BX83-CG82)))</f>
        <v>264.00000000000006</v>
      </c>
      <c r="BZ83" s="13">
        <f>BY83*VLOOKUP('Données projet'!$B$12,Paramètres!$A$1:$I$89,3,0)*VLOOKUP('Données projet'!$B$12,Paramètres!$A$1:$I$89,5,0)</f>
        <v>230.63040000000007</v>
      </c>
      <c r="CA83" s="13">
        <f t="shared" si="93"/>
        <v>56.418967028503253</v>
      </c>
      <c r="CB83" s="20">
        <f t="shared" si="64"/>
        <v>499.94431424130994</v>
      </c>
      <c r="CC83" s="59">
        <f t="shared" si="65"/>
        <v>770.672925879996</v>
      </c>
      <c r="CD83" s="59">
        <f ca="1">AVERAGE(OFFSET($CC$3,0,0,'Données projet'!$E$12+1,1))-AVERAGE(OFFSET($H$3,0,0,'Données projet'!$E$12+1,1))</f>
        <v>411.67183422518411</v>
      </c>
      <c r="CE83" s="59">
        <f t="shared" si="94"/>
        <v>379.16642539721556</v>
      </c>
      <c r="CF83" s="15">
        <f>IF(ISNA(VLOOKUP(A83,'Données projet'!$A$113:$I$133,3,0)),0,VLOOKUP(A83,'Données projet'!$A$113:$I$133,3,0))</f>
        <v>13</v>
      </c>
      <c r="CG83" s="15" t="str">
        <f>IF(ISNA(VLOOKUP(A83,'Données projet'!$A$113:$I$133,4,0)),0,VLOOKUP(A83,'Données projet'!$A$113:$I$133,4,0))</f>
        <v>17</v>
      </c>
      <c r="CH83" s="16">
        <f>IF(ISNA(VLOOKUP(A83,'Données projet'!$A$113:$I$133,5,0)),0%,VLOOKUP(A83,'Données projet'!$A$113:$I$133,5,0)*VLOOKUP('Données projet'!$B$12,Paramètres!$A$1:$I$89,7,0))</f>
        <v>0.30099999999999999</v>
      </c>
      <c r="CI83" s="16">
        <f>IF(ISNA(VLOOKUP(A83,'Données projet'!$A$113:$I$133,6,0)),0%,VLOOKUP(A83,'Données projet'!$A$113:$I$133,6,0)*VLOOKUP('Données projet'!$B$12,Paramètres!$A$1:$I$89,7,0))</f>
        <v>8.6000000000000007E-2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32.344078848880287</v>
      </c>
      <c r="CL83" s="21">
        <f>EXP(-LN(2)/25)*CL82+(1-EXP(-LN(2)/25))/(LN(2)/25)*Calculateur!CG83*Calculateur!CI83*VLOOKUP('Données projet'!$B$12,Paramètres!$A$1:$I$89,3,0)*0.475*44/12</f>
        <v>20.126632893667185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52.470711742547472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12.25961538461538</v>
      </c>
      <c r="N84" s="13">
        <f>IF('Données projet'!$A$36&gt;35,N83+M84-V83,IF(A84&lt;'Données projet'!$A$36,$K$205^A84,IF(A84='Données projet'!$A$36,'Données projet'!$B$36,N83+M84-V83)))</f>
        <v>426.11923076923034</v>
      </c>
      <c r="O84" s="13">
        <f>N84*VLOOKUP('Données projet'!$B$9,Paramètres!$A$1:$I$89,3,0)*VLOOKUP('Données projet'!$B$9,Paramètres!$A$1:$I$89,5,0)</f>
        <v>199.4237999999998</v>
      </c>
      <c r="P84" s="13">
        <f t="shared" si="87"/>
        <v>49.617515149618207</v>
      </c>
      <c r="Q84" s="20">
        <f t="shared" si="54"/>
        <v>433.746957218918</v>
      </c>
      <c r="R84" s="59">
        <f t="shared" si="55"/>
        <v>704.86771024241943</v>
      </c>
      <c r="S84" s="59">
        <f ca="1">AVERAGE(OFFSET($R$3,0,0,'Données projet'!$E$9+1,1))-AVERAGE(OFFSET($H$3,0,0,'Données projet'!$E$9+1,1))</f>
        <v>307.52968058891554</v>
      </c>
      <c r="T84" s="59">
        <f t="shared" si="88"/>
        <v>221.27527189662558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55.876182830182536</v>
      </c>
      <c r="AA84" s="21">
        <f>EXP(-LN(2)/25)*AA83+(1-EXP(-LN(2)/25))/(LN(2)/25)*Calculateur!V84*Calculateur!X84*VLOOKUP('Données projet'!$B$9,Paramètres!$A$1:$I$89,3,0)*0.475*44/12</f>
        <v>18.415471989356234</v>
      </c>
      <c r="AB84" s="21">
        <f>EXP(-LN(2)/2)*AB83+(1-EXP(-LN(2)/2))/(LN(2)/2)*V84*Y84*VLOOKUP('Données projet'!$B$9,Paramètres!$A$1:$I$89,3,0)*0.475*44/12</f>
        <v>0.71736687076384442</v>
      </c>
      <c r="AC84" s="22">
        <f t="shared" si="57"/>
        <v>75.009021690302603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377.63545575155672</v>
      </c>
      <c r="AO84" s="59">
        <f t="shared" si="90"/>
        <v>339.1731538522788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1.7053025658242404E-13</v>
      </c>
      <c r="BE84" s="13">
        <f>BD84*VLOOKUP('Données projet'!$B$11,Paramètres!$A$1:$I$89,3,0)*VLOOKUP('Données projet'!$B$11,Paramètres!$A$1:$I$89,5,0)</f>
        <v>1.383341441396624E-13</v>
      </c>
      <c r="BF84" s="13">
        <f t="shared" si="91"/>
        <v>2.0011390722884082E-12</v>
      </c>
      <c r="BG84" s="20">
        <f t="shared" si="61"/>
        <v>3.7262491852788889E-12</v>
      </c>
      <c r="BH84" s="59">
        <f t="shared" si="62"/>
        <v>271.12075302350519</v>
      </c>
      <c r="BI84" s="59">
        <f ca="1">AVERAGE(OFFSET($BH$3,0,0,'Données projet'!$E$11+1,1))-AVERAGE(OFFSET($H$3,0,0,'Données projet'!$E$11+1,1))</f>
        <v>318.98630351938459</v>
      </c>
      <c r="BJ84" s="59">
        <f t="shared" si="92"/>
        <v>312.22190035638084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82.003323813211509</v>
      </c>
      <c r="BQ84" s="21">
        <f>EXP(-LN(2)/25)*BQ83+(1-EXP(-LN(2)/25))/(LN(2)/25)*Calculateur!BL84*Calculateur!BN84*VLOOKUP('Données projet'!$B$11,Paramètres!$A$1:$I$89,3,0)*0.475*44/12</f>
        <v>62.689019840889891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144.69234365410139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</v>
      </c>
      <c r="BY84" s="12">
        <f>IF('Données projet'!$A$114&gt;35,BY83+BX84-CG83,IF(A84&lt;'Données projet'!$A$114,$BV$205^A84,IF(A84='Données projet'!$A$114,'Données projet'!$B$114,BY83+BX84-CG83)))</f>
        <v>251.00000000000006</v>
      </c>
      <c r="BZ84" s="13">
        <f>BY84*VLOOKUP('Données projet'!$B$12,Paramètres!$A$1:$I$89,3,0)*VLOOKUP('Données projet'!$B$12,Paramètres!$A$1:$I$89,5,0)</f>
        <v>219.2736000000001</v>
      </c>
      <c r="CA84" s="13">
        <f t="shared" si="93"/>
        <v>53.956975893220125</v>
      </c>
      <c r="CB84" s="20">
        <f t="shared" si="64"/>
        <v>475.87658634735857</v>
      </c>
      <c r="CC84" s="59">
        <f t="shared" si="65"/>
        <v>746.99733937086</v>
      </c>
      <c r="CD84" s="59">
        <f ca="1">AVERAGE(OFFSET($CC$3,0,0,'Données projet'!$E$12+1,1))-AVERAGE(OFFSET($H$3,0,0,'Données projet'!$E$12+1,1))</f>
        <v>411.67183422518411</v>
      </c>
      <c r="CE84" s="59">
        <f t="shared" si="94"/>
        <v>379.16642539721556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31.709831190593871</v>
      </c>
      <c r="CL84" s="21">
        <f>EXP(-LN(2)/25)*CL83+(1-EXP(-LN(2)/25))/(LN(2)/25)*Calculateur!CG84*Calculateur!CI84*VLOOKUP('Données projet'!$B$12,Paramètres!$A$1:$I$89,3,0)*0.475*44/12</f>
        <v>19.576269058776234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51.286100249370108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12.25961538461538</v>
      </c>
      <c r="N85" s="13">
        <f>IF('Données projet'!$A$36&gt;35,N84+M85-V84,IF(A85&lt;'Données projet'!$A$36,$K$205^A85,IF(A85='Données projet'!$A$36,'Données projet'!$B$36,N84+M85-V84)))</f>
        <v>438.3788461538457</v>
      </c>
      <c r="O85" s="13">
        <f>N85*VLOOKUP('Données projet'!$B$9,Paramètres!$A$1:$I$89,3,0)*VLOOKUP('Données projet'!$B$9,Paramètres!$A$1:$I$89,5,0)</f>
        <v>205.16129999999978</v>
      </c>
      <c r="P85" s="13">
        <f t="shared" si="87"/>
        <v>50.876777744497439</v>
      </c>
      <c r="Q85" s="20">
        <f t="shared" si="54"/>
        <v>445.93298540499927</v>
      </c>
      <c r="R85" s="59">
        <f t="shared" si="55"/>
        <v>717.4390770369863</v>
      </c>
      <c r="S85" s="59">
        <f ca="1">AVERAGE(OFFSET($R$3,0,0,'Données projet'!$E$9+1,1))-AVERAGE(OFFSET($H$3,0,0,'Données projet'!$E$9+1,1))</f>
        <v>307.52968058891554</v>
      </c>
      <c r="T85" s="59">
        <f t="shared" si="88"/>
        <v>221.27527189662558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54.780484965988954</v>
      </c>
      <c r="AA85" s="21">
        <f>EXP(-LN(2)/25)*AA84+(1-EXP(-LN(2)/25))/(LN(2)/25)*Calculateur!V85*Calculateur!X85*VLOOKUP('Données projet'!$B$9,Paramètres!$A$1:$I$89,3,0)*0.475*44/12</f>
        <v>17.911899939379705</v>
      </c>
      <c r="AB85" s="21">
        <f>EXP(-LN(2)/2)*AB84+(1-EXP(-LN(2)/2))/(LN(2)/2)*V85*Y85*VLOOKUP('Données projet'!$B$9,Paramètres!$A$1:$I$89,3,0)*0.475*44/12</f>
        <v>0.50725497891568805</v>
      </c>
      <c r="AC85" s="22">
        <f t="shared" si="57"/>
        <v>73.199639884284338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377.63545575155672</v>
      </c>
      <c r="AO85" s="59">
        <f t="shared" si="90"/>
        <v>339.1731538522788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1.7053025658242404E-13</v>
      </c>
      <c r="BE85" s="13">
        <f>BD85*VLOOKUP('Données projet'!$B$11,Paramètres!$A$1:$I$89,3,0)*VLOOKUP('Données projet'!$B$11,Paramètres!$A$1:$I$89,5,0)</f>
        <v>1.383341441396624E-13</v>
      </c>
      <c r="BF85" s="13">
        <f t="shared" si="91"/>
        <v>2.0011390722884082E-12</v>
      </c>
      <c r="BG85" s="20">
        <f t="shared" si="61"/>
        <v>3.7262491852788889E-12</v>
      </c>
      <c r="BH85" s="59">
        <f t="shared" si="62"/>
        <v>271.50609163199078</v>
      </c>
      <c r="BI85" s="59">
        <f ca="1">AVERAGE(OFFSET($BH$3,0,0,'Données projet'!$E$11+1,1))-AVERAGE(OFFSET($H$3,0,0,'Données projet'!$E$11+1,1))</f>
        <v>318.98630351938459</v>
      </c>
      <c r="BJ85" s="59">
        <f t="shared" si="92"/>
        <v>312.22190035638084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80.395288650323181</v>
      </c>
      <c r="BQ85" s="21">
        <f>EXP(-LN(2)/25)*BQ84+(1-EXP(-LN(2)/25))/(LN(2)/25)*Calculateur!BL85*Calculateur!BN85*VLOOKUP('Données projet'!$B$11,Paramètres!$A$1:$I$89,3,0)*0.475*44/12</f>
        <v>60.974785296668479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141.37007394699165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</v>
      </c>
      <c r="BY85" s="12">
        <f>IF('Données projet'!$A$114&gt;35,BY84+BX85-CG84,IF(A85&lt;'Données projet'!$A$114,$BV$205^A85,IF(A85='Données projet'!$A$114,'Données projet'!$B$114,BY84+BX85-CG84)))</f>
        <v>255.00000000000006</v>
      </c>
      <c r="BZ85" s="13">
        <f>BY85*VLOOKUP('Données projet'!$B$12,Paramètres!$A$1:$I$89,3,0)*VLOOKUP('Données projet'!$B$12,Paramètres!$A$1:$I$89,5,0)</f>
        <v>222.76800000000006</v>
      </c>
      <c r="CA85" s="13">
        <f t="shared" si="93"/>
        <v>54.716058356609508</v>
      </c>
      <c r="CB85" s="20">
        <f t="shared" si="64"/>
        <v>483.28473497109502</v>
      </c>
      <c r="CC85" s="59">
        <f t="shared" si="65"/>
        <v>754.790826603082</v>
      </c>
      <c r="CD85" s="59">
        <f ca="1">AVERAGE(OFFSET($CC$3,0,0,'Données projet'!$E$12+1,1))-AVERAGE(OFFSET($H$3,0,0,'Données projet'!$E$12+1,1))</f>
        <v>411.67183422518411</v>
      </c>
      <c r="CE85" s="59">
        <f t="shared" si="94"/>
        <v>379.16642539721556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31.088020742033578</v>
      </c>
      <c r="CL85" s="21">
        <f>EXP(-LN(2)/25)*CL84+(1-EXP(-LN(2)/25))/(LN(2)/25)*Calculateur!CG85*Calculateur!CI85*VLOOKUP('Données projet'!$B$12,Paramètres!$A$1:$I$89,3,0)*0.475*44/12</f>
        <v>19.040954951892751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50.128975693926328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>
        <f>VLOOKUP(A86,'Données projet'!$A$35:$I$55,2,0)</f>
        <v>450.63846153846146</v>
      </c>
      <c r="L86" s="12">
        <f>VLOOKUP(A86,'Données projet'!$A$35:$I$55,9,0)</f>
        <v>12.25961538461538</v>
      </c>
      <c r="M86" s="12">
        <f t="array" ref="M86">INDEX(L:L,MIN(IF(ISNUMBER(L86:L282),ROW(L86:L282),"")))</f>
        <v>12.25961538461538</v>
      </c>
      <c r="N86" s="13">
        <f>IF('Données projet'!$A$36&gt;35,N85+M86-V85,IF(A86&lt;'Données projet'!$A$36,$K$205^A86,IF(A86='Données projet'!$A$36,'Données projet'!$B$36,N85+M86-V85)))</f>
        <v>450.63846153846106</v>
      </c>
      <c r="O86" s="13">
        <f>N86*VLOOKUP('Données projet'!$B$9,Paramètres!$A$1:$I$89,3,0)*VLOOKUP('Données projet'!$B$9,Paramètres!$A$1:$I$89,5,0)</f>
        <v>210.8987999999998</v>
      </c>
      <c r="P86" s="13">
        <f t="shared" si="87"/>
        <v>52.131947264479528</v>
      </c>
      <c r="Q86" s="20">
        <f t="shared" si="54"/>
        <v>458.11188481896812</v>
      </c>
      <c r="R86" s="59">
        <f t="shared" si="55"/>
        <v>729.99663029607154</v>
      </c>
      <c r="S86" s="59">
        <f ca="1">AVERAGE(OFFSET($R$3,0,0,'Données projet'!$E$9+1,1))-AVERAGE(OFFSET($H$3,0,0,'Données projet'!$E$9+1,1))</f>
        <v>307.52968058891554</v>
      </c>
      <c r="T86" s="59">
        <f t="shared" si="88"/>
        <v>221.27527189662558</v>
      </c>
      <c r="U86" s="15">
        <f>IF(ISNA(VLOOKUP(A86,'Données projet'!$A$35:$I$55,3,0)),0,VLOOKUP(A86,'Données projet'!$A$35:$I$55,3,0))</f>
        <v>6</v>
      </c>
      <c r="V86" s="15">
        <f>IF(ISNA(VLOOKUP(A86,'Données projet'!$A$35:$I$55,4,0)),0,VLOOKUP(A86,'Données projet'!$A$35:$I$55,4,0))</f>
        <v>79.707692307692312</v>
      </c>
      <c r="W86" s="16">
        <f>IF(ISNA(VLOOKUP(A86,'Données projet'!$A$35:$I$55,5,0)),0%,VLOOKUP(A86,'Données projet'!$A$35:$I$55,5,0)*VLOOKUP('Données projet'!$B$9,Paramètres!$A$1:$I$89,7,0))</f>
        <v>0.38500000000000001</v>
      </c>
      <c r="X86" s="16">
        <f>IF(ISNA(VLOOKUP(A86,'Données projet'!$A$35:$I$55,6,0)),0%,VLOOKUP(A86,'Données projet'!$A$35:$I$55,6,0)*VLOOKUP('Données projet'!$B$9,Paramètres!$A$1:$I$89,7,0))</f>
        <v>9.240000000000001E-2</v>
      </c>
      <c r="Y86" s="16">
        <f>IF(ISNA(VLOOKUP(A86,'Données projet'!$A$35:$I$55,7,0)),0%,VLOOKUP(A86,'Données projet'!$A$35:$I$55,7,0))</f>
        <v>0.13200000000000001</v>
      </c>
      <c r="Z86" s="21">
        <f>EXP(-LN(2)/35)*Z85+(1-EXP(-LN(2)/35))/(LN(2)/35)*V86*W86*VLOOKUP('Données projet'!$B$9,Paramètres!$A$1:$I$89,3,0)*0.475*44/12</f>
        <v>72.758036258351126</v>
      </c>
      <c r="AA86" s="21">
        <f>EXP(-LN(2)/25)*AA85+(1-EXP(-LN(2)/25))/(LN(2)/25)*Calculateur!V86*Calculateur!X86*VLOOKUP('Données projet'!$B$9,Paramètres!$A$1:$I$89,3,0)*0.475*44/12</f>
        <v>21.976517886898613</v>
      </c>
      <c r="AB86" s="21">
        <f>EXP(-LN(2)/2)*AB85+(1-EXP(-LN(2)/2))/(LN(2)/2)*V86*Y86*VLOOKUP('Données projet'!$B$9,Paramètres!$A$1:$I$89,3,0)*0.475*44/12</f>
        <v>5.9338206304057053</v>
      </c>
      <c r="AC86" s="22">
        <f t="shared" si="57"/>
        <v>100.66837477565545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377.63545575155672</v>
      </c>
      <c r="AO86" s="59">
        <f t="shared" si="90"/>
        <v>339.1731538522788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1.7053025658242404E-13</v>
      </c>
      <c r="BE86" s="13">
        <f>BD86*VLOOKUP('Données projet'!$B$11,Paramètres!$A$1:$I$89,3,0)*VLOOKUP('Données projet'!$B$11,Paramètres!$A$1:$I$89,5,0)</f>
        <v>1.383341441396624E-13</v>
      </c>
      <c r="BF86" s="13">
        <f t="shared" si="91"/>
        <v>2.0011390722884082E-12</v>
      </c>
      <c r="BG86" s="20">
        <f t="shared" si="61"/>
        <v>3.7262491852788889E-12</v>
      </c>
      <c r="BH86" s="59">
        <f t="shared" si="62"/>
        <v>271.88474547710723</v>
      </c>
      <c r="BI86" s="59">
        <f ca="1">AVERAGE(OFFSET($BH$3,0,0,'Données projet'!$E$11+1,1))-AVERAGE(OFFSET($H$3,0,0,'Données projet'!$E$11+1,1))</f>
        <v>318.98630351938459</v>
      </c>
      <c r="BJ86" s="59">
        <f t="shared" si="92"/>
        <v>312.22190035638084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78.81878607617449</v>
      </c>
      <c r="BQ86" s="21">
        <f>EXP(-LN(2)/25)*BQ85+(1-EXP(-LN(2)/25))/(LN(2)/25)*Calculateur!BL86*Calculateur!BN86*VLOOKUP('Données projet'!$B$11,Paramètres!$A$1:$I$89,3,0)*0.475*44/12</f>
        <v>59.307426586206482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138.12621266238096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</v>
      </c>
      <c r="BY86" s="12">
        <f>IF('Données projet'!$A$114&gt;35,BY85+BX86-CG85,IF(A86&lt;'Données projet'!$A$114,$BV$205^A86,IF(A86='Données projet'!$A$114,'Données projet'!$B$114,BY85+BX86-CG85)))</f>
        <v>259.00000000000006</v>
      </c>
      <c r="BZ86" s="13">
        <f>BY86*VLOOKUP('Données projet'!$B$12,Paramètres!$A$1:$I$89,3,0)*VLOOKUP('Données projet'!$B$12,Paramètres!$A$1:$I$89,5,0)</f>
        <v>226.26240000000007</v>
      </c>
      <c r="CA86" s="13">
        <f t="shared" si="93"/>
        <v>55.473756029242935</v>
      </c>
      <c r="CB86" s="20">
        <f t="shared" si="64"/>
        <v>490.69047175093164</v>
      </c>
      <c r="CC86" s="59">
        <f t="shared" si="65"/>
        <v>762.57521722803517</v>
      </c>
      <c r="CD86" s="59">
        <f ca="1">AVERAGE(OFFSET($CC$3,0,0,'Données projet'!$E$12+1,1))-AVERAGE(OFFSET($H$3,0,0,'Données projet'!$E$12+1,1))</f>
        <v>411.67183422518411</v>
      </c>
      <c r="CE86" s="59">
        <f t="shared" si="94"/>
        <v>379.16642539721556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30.478403617102629</v>
      </c>
      <c r="CL86" s="21">
        <f>EXP(-LN(2)/25)*CL85+(1-EXP(-LN(2)/25))/(LN(2)/25)*Calculateur!CG86*Calculateur!CI86*VLOOKUP('Données projet'!$B$12,Paramètres!$A$1:$I$89,3,0)*0.475*44/12</f>
        <v>18.520279037412941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48.998682654515569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11.328846153846158</v>
      </c>
      <c r="N87" s="13">
        <f>IF('Données projet'!$A$36&gt;35,N86+M87-V86,IF(A87&lt;'Données projet'!$A$36,$K$205^A87,IF(A87='Données projet'!$A$36,'Données projet'!$B$36,N86+M87-V86)))</f>
        <v>382.2596153846149</v>
      </c>
      <c r="O87" s="13">
        <f>N87*VLOOKUP('Données projet'!$B$9,Paramètres!$A$1:$I$89,3,0)*VLOOKUP('Données projet'!$B$9,Paramètres!$A$1:$I$89,5,0)</f>
        <v>178.89749999999978</v>
      </c>
      <c r="P87" s="13">
        <f t="shared" si="87"/>
        <v>45.076812590668659</v>
      </c>
      <c r="Q87" s="20">
        <f t="shared" si="54"/>
        <v>390.08859442874746</v>
      </c>
      <c r="R87" s="59">
        <f t="shared" si="55"/>
        <v>662.34542495329777</v>
      </c>
      <c r="S87" s="59">
        <f ca="1">AVERAGE(OFFSET($R$3,0,0,'Données projet'!$E$9+1,1))-AVERAGE(OFFSET($H$3,0,0,'Données projet'!$E$9+1,1))</f>
        <v>307.52968058891554</v>
      </c>
      <c r="T87" s="59">
        <f t="shared" si="88"/>
        <v>221.27527189662558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71.331295545345014</v>
      </c>
      <c r="AA87" s="21">
        <f>EXP(-LN(2)/25)*AA86+(1-EXP(-LN(2)/25))/(LN(2)/25)*Calculateur!V87*Calculateur!X87*VLOOKUP('Données projet'!$B$9,Paramètres!$A$1:$I$89,3,0)*0.475*44/12</f>
        <v>21.375568849586521</v>
      </c>
      <c r="AB87" s="21">
        <f>EXP(-LN(2)/2)*AB86+(1-EXP(-LN(2)/2))/(LN(2)/2)*V87*Y87*VLOOKUP('Données projet'!$B$9,Paramètres!$A$1:$I$89,3,0)*0.475*44/12</f>
        <v>4.1958448061045086</v>
      </c>
      <c r="AC87" s="22">
        <f t="shared" si="57"/>
        <v>96.902709201036032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377.63545575155672</v>
      </c>
      <c r="AO87" s="59">
        <f t="shared" si="90"/>
        <v>339.1731538522788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1.7053025658242404E-13</v>
      </c>
      <c r="BE87" s="13">
        <f>BD87*VLOOKUP('Données projet'!$B$11,Paramètres!$A$1:$I$89,3,0)*VLOOKUP('Données projet'!$B$11,Paramètres!$A$1:$I$89,5,0)</f>
        <v>1.383341441396624E-13</v>
      </c>
      <c r="BF87" s="13">
        <f t="shared" si="91"/>
        <v>2.0011390722884082E-12</v>
      </c>
      <c r="BG87" s="20">
        <f t="shared" si="61"/>
        <v>3.7262491852788889E-12</v>
      </c>
      <c r="BH87" s="59">
        <f t="shared" si="62"/>
        <v>272.25683052455406</v>
      </c>
      <c r="BI87" s="59">
        <f ca="1">AVERAGE(OFFSET($BH$3,0,0,'Données projet'!$E$11+1,1))-AVERAGE(OFFSET($H$3,0,0,'Données projet'!$E$11+1,1))</f>
        <v>318.98630351938459</v>
      </c>
      <c r="BJ87" s="59">
        <f t="shared" si="92"/>
        <v>312.22190035638084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77.273197755933225</v>
      </c>
      <c r="BQ87" s="21">
        <f>EXP(-LN(2)/25)*BQ86+(1-EXP(-LN(2)/25))/(LN(2)/25)*Calculateur!BL87*Calculateur!BN87*VLOOKUP('Données projet'!$B$11,Paramètres!$A$1:$I$89,3,0)*0.475*44/12</f>
        <v>57.685661887364653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134.95885964329787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</v>
      </c>
      <c r="BY87" s="12">
        <f>IF('Données projet'!$A$114&gt;35,BY86+BX87-CG86,IF(A87&lt;'Données projet'!$A$114,$BV$205^A87,IF(A87='Données projet'!$A$114,'Données projet'!$B$114,BY86+BX87-CG86)))</f>
        <v>263.00000000000006</v>
      </c>
      <c r="BZ87" s="13">
        <f>BY87*VLOOKUP('Données projet'!$B$12,Paramètres!$A$1:$I$89,3,0)*VLOOKUP('Données projet'!$B$12,Paramètres!$A$1:$I$89,5,0)</f>
        <v>229.75680000000011</v>
      </c>
      <c r="CA87" s="13">
        <f t="shared" si="93"/>
        <v>56.230092767727569</v>
      </c>
      <c r="CB87" s="20">
        <f t="shared" si="64"/>
        <v>498.09383823712568</v>
      </c>
      <c r="CC87" s="59">
        <f t="shared" si="65"/>
        <v>770.35066876167593</v>
      </c>
      <c r="CD87" s="59">
        <f ca="1">AVERAGE(OFFSET($CC$3,0,0,'Données projet'!$E$12+1,1))-AVERAGE(OFFSET($H$3,0,0,'Données projet'!$E$12+1,1))</f>
        <v>411.67183422518411</v>
      </c>
      <c r="CE87" s="59">
        <f t="shared" si="94"/>
        <v>379.16642539721556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29.880740712161842</v>
      </c>
      <c r="CL87" s="21">
        <f>EXP(-LN(2)/25)*CL86+(1-EXP(-LN(2)/25))/(LN(2)/25)*Calculateur!CG87*Calculateur!CI87*VLOOKUP('Données projet'!$B$12,Paramètres!$A$1:$I$89,3,0)*0.475*44/12</f>
        <v>18.013841033195739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47.894581745357584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11.328846153846158</v>
      </c>
      <c r="N88" s="13">
        <f>IF('Données projet'!$A$36&gt;35,N87+M88-V87,IF(A88&lt;'Données projet'!$A$36,$K$205^A88,IF(A88='Données projet'!$A$36,'Données projet'!$B$36,N87+M88-V87)))</f>
        <v>393.58846153846105</v>
      </c>
      <c r="O88" s="13">
        <f>N88*VLOOKUP('Données projet'!$B$9,Paramètres!$A$1:$I$89,3,0)*VLOOKUP('Données projet'!$B$9,Paramètres!$A$1:$I$89,5,0)</f>
        <v>184.19939999999977</v>
      </c>
      <c r="P88" s="13">
        <f t="shared" si="87"/>
        <v>46.255217593493356</v>
      </c>
      <c r="Q88" s="20">
        <f t="shared" si="54"/>
        <v>401.37512564200051</v>
      </c>
      <c r="R88" s="59">
        <f t="shared" si="55"/>
        <v>673.99758637028208</v>
      </c>
      <c r="S88" s="59">
        <f ca="1">AVERAGE(OFFSET($R$3,0,0,'Données projet'!$E$9+1,1))-AVERAGE(OFFSET($H$3,0,0,'Données projet'!$E$9+1,1))</f>
        <v>307.52968058891554</v>
      </c>
      <c r="T88" s="59">
        <f t="shared" si="88"/>
        <v>221.27527189662558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69.932532347495041</v>
      </c>
      <c r="AA88" s="21">
        <f>EXP(-LN(2)/25)*AA87+(1-EXP(-LN(2)/25))/(LN(2)/25)*Calculateur!V88*Calculateur!X88*VLOOKUP('Données projet'!$B$9,Paramètres!$A$1:$I$89,3,0)*0.475*44/12</f>
        <v>20.791052795302267</v>
      </c>
      <c r="AB88" s="21">
        <f>EXP(-LN(2)/2)*AB87+(1-EXP(-LN(2)/2))/(LN(2)/2)*V88*Y88*VLOOKUP('Données projet'!$B$9,Paramètres!$A$1:$I$89,3,0)*0.475*44/12</f>
        <v>2.9669103152028531</v>
      </c>
      <c r="AC88" s="22">
        <f t="shared" si="57"/>
        <v>93.690495458000157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377.63545575155672</v>
      </c>
      <c r="AO88" s="59">
        <f t="shared" si="90"/>
        <v>339.1731538522788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1.7053025658242404E-13</v>
      </c>
      <c r="BE88" s="13">
        <f>BD88*VLOOKUP('Données projet'!$B$11,Paramètres!$A$1:$I$89,3,0)*VLOOKUP('Données projet'!$B$11,Paramètres!$A$1:$I$89,5,0)</f>
        <v>1.383341441396624E-13</v>
      </c>
      <c r="BF88" s="13">
        <f t="shared" si="91"/>
        <v>2.0011390722884082E-12</v>
      </c>
      <c r="BG88" s="20">
        <f t="shared" si="61"/>
        <v>3.7262491852788889E-12</v>
      </c>
      <c r="BH88" s="59">
        <f t="shared" si="62"/>
        <v>272.62246072828526</v>
      </c>
      <c r="BI88" s="59">
        <f ca="1">AVERAGE(OFFSET($BH$3,0,0,'Données projet'!$E$11+1,1))-AVERAGE(OFFSET($H$3,0,0,'Données projet'!$E$11+1,1))</f>
        <v>318.98630351938459</v>
      </c>
      <c r="BJ88" s="59">
        <f t="shared" si="92"/>
        <v>312.22190035638084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75.757917479936111</v>
      </c>
      <c r="BQ88" s="21">
        <f>EXP(-LN(2)/25)*BQ87+(1-EXP(-LN(2)/25))/(LN(2)/25)*Calculateur!BL88*Calculateur!BN88*VLOOKUP('Données projet'!$B$11,Paramètres!$A$1:$I$89,3,0)*0.475*44/12</f>
        <v>56.108244429497553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131.86616190943366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267</v>
      </c>
      <c r="BW88" s="12">
        <f>VLOOKUP(A88,'Données projet'!$A$113:$I$133,9,0)</f>
        <v>4</v>
      </c>
      <c r="BX88" s="12">
        <f t="array" ref="BX88">INDEX(BW:BW,MIN(IF(ISNUMBER(BW88:BW284),ROW(BW88:BW284),"")))</f>
        <v>4</v>
      </c>
      <c r="BY88" s="12">
        <f>IF('Données projet'!$A$114&gt;35,BY87+BX88-CG87,IF(A88&lt;'Données projet'!$A$114,$BV$205^A88,IF(A88='Données projet'!$A$114,'Données projet'!$B$114,BY87+BX88-CG87)))</f>
        <v>267.00000000000006</v>
      </c>
      <c r="BZ88" s="13">
        <f>BY88*VLOOKUP('Données projet'!$B$12,Paramètres!$A$1:$I$89,3,0)*VLOOKUP('Données projet'!$B$12,Paramètres!$A$1:$I$89,5,0)</f>
        <v>233.25120000000007</v>
      </c>
      <c r="CA88" s="13">
        <f t="shared" si="93"/>
        <v>56.985091661350914</v>
      </c>
      <c r="CB88" s="20">
        <f t="shared" si="64"/>
        <v>505.49487464351961</v>
      </c>
      <c r="CC88" s="59">
        <f t="shared" si="65"/>
        <v>778.11733537180112</v>
      </c>
      <c r="CD88" s="59">
        <f ca="1">AVERAGE(OFFSET($CC$3,0,0,'Données projet'!$E$12+1,1))-AVERAGE(OFFSET($H$3,0,0,'Données projet'!$E$12+1,1))</f>
        <v>411.67183422518411</v>
      </c>
      <c r="CE88" s="59">
        <f t="shared" si="94"/>
        <v>379.16642539721556</v>
      </c>
      <c r="CF88" s="15">
        <f>IF(ISNA(VLOOKUP(A88,'Données projet'!$A$113:$I$133,3,0)),0,VLOOKUP(A88,'Données projet'!$A$113:$I$133,3,0))</f>
        <v>14</v>
      </c>
      <c r="CG88" s="15" t="str">
        <f>IF(ISNA(VLOOKUP(A88,'Données projet'!$A$113:$I$133,4,0)),0,VLOOKUP(A88,'Données projet'!$A$113:$I$133,4,0))</f>
        <v>16</v>
      </c>
      <c r="CH88" s="16">
        <f>IF(ISNA(VLOOKUP(A88,'Données projet'!$A$113:$I$133,5,0)),0%,VLOOKUP(A88,'Données projet'!$A$113:$I$133,5,0)*VLOOKUP('Données projet'!$B$12,Paramètres!$A$1:$I$89,7,0))</f>
        <v>0.34400000000000003</v>
      </c>
      <c r="CI88" s="16">
        <f>IF(ISNA(VLOOKUP(A88,'Données projet'!$A$113:$I$133,6,0)),0%,VLOOKUP(A88,'Données projet'!$A$113:$I$133,6,0)*VLOOKUP('Données projet'!$B$12,Paramètres!$A$1:$I$89,7,0))</f>
        <v>4.3000000000000003E-2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34.610224647522728</v>
      </c>
      <c r="CL88" s="21">
        <f>EXP(-LN(2)/25)*CL87+(1-EXP(-LN(2)/25))/(LN(2)/25)*Calculateur!CG88*Calculateur!CI88*VLOOKUP('Données projet'!$B$12,Paramètres!$A$1:$I$89,3,0)*0.475*44/12</f>
        <v>18.183063874548747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52.793288522071478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11.328846153846158</v>
      </c>
      <c r="N89" s="13">
        <f>IF('Données projet'!$A$36&gt;35,N88+M89-V88,IF(A89&lt;'Données projet'!$A$36,$K$205^A89,IF(A89='Données projet'!$A$36,'Données projet'!$B$36,N88+M89-V88)))</f>
        <v>404.91730769230719</v>
      </c>
      <c r="O89" s="13">
        <f>N89*VLOOKUP('Données projet'!$B$9,Paramètres!$A$1:$I$89,3,0)*VLOOKUP('Données projet'!$B$9,Paramètres!$A$1:$I$89,5,0)</f>
        <v>189.50129999999976</v>
      </c>
      <c r="P89" s="13">
        <f t="shared" si="87"/>
        <v>47.429680502809646</v>
      </c>
      <c r="Q89" s="20">
        <f t="shared" si="54"/>
        <v>412.65479104239301</v>
      </c>
      <c r="R89" s="59">
        <f t="shared" si="55"/>
        <v>685.63653910779772</v>
      </c>
      <c r="S89" s="59">
        <f ca="1">AVERAGE(OFFSET($R$3,0,0,'Données projet'!$E$9+1,1))-AVERAGE(OFFSET($H$3,0,0,'Données projet'!$E$9+1,1))</f>
        <v>307.52968058891554</v>
      </c>
      <c r="T89" s="59">
        <f t="shared" si="88"/>
        <v>221.27527189662558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68.561198042793606</v>
      </c>
      <c r="AA89" s="21">
        <f>EXP(-LN(2)/25)*AA88+(1-EXP(-LN(2)/25))/(LN(2)/25)*Calculateur!V89*Calculateur!X89*VLOOKUP('Données projet'!$B$9,Paramètres!$A$1:$I$89,3,0)*0.475*44/12</f>
        <v>20.222520363260777</v>
      </c>
      <c r="AB89" s="21">
        <f>EXP(-LN(2)/2)*AB88+(1-EXP(-LN(2)/2))/(LN(2)/2)*V89*Y89*VLOOKUP('Données projet'!$B$9,Paramètres!$A$1:$I$89,3,0)*0.475*44/12</f>
        <v>2.0979224030522547</v>
      </c>
      <c r="AC89" s="22">
        <f t="shared" si="57"/>
        <v>90.881640809106642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377.63545575155672</v>
      </c>
      <c r="AO89" s="59">
        <f t="shared" si="90"/>
        <v>339.1731538522788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1.7053025658242404E-13</v>
      </c>
      <c r="BE89" s="13">
        <f>BD89*VLOOKUP('Données projet'!$B$11,Paramètres!$A$1:$I$89,3,0)*VLOOKUP('Données projet'!$B$11,Paramètres!$A$1:$I$89,5,0)</f>
        <v>1.383341441396624E-13</v>
      </c>
      <c r="BF89" s="13">
        <f t="shared" si="91"/>
        <v>2.0011390722884082E-12</v>
      </c>
      <c r="BG89" s="20">
        <f t="shared" si="61"/>
        <v>3.7262491852788889E-12</v>
      </c>
      <c r="BH89" s="59">
        <f t="shared" si="62"/>
        <v>272.98174806540845</v>
      </c>
      <c r="BI89" s="59">
        <f ca="1">AVERAGE(OFFSET($BH$3,0,0,'Données projet'!$E$11+1,1))-AVERAGE(OFFSET($H$3,0,0,'Données projet'!$E$11+1,1))</f>
        <v>318.98630351938459</v>
      </c>
      <c r="BJ89" s="59">
        <f t="shared" si="92"/>
        <v>312.22190035638084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74.272350925921586</v>
      </c>
      <c r="BQ89" s="21">
        <f>EXP(-LN(2)/25)*BQ88+(1-EXP(-LN(2)/25))/(LN(2)/25)*Calculateur!BL89*Calculateur!BN89*VLOOKUP('Données projet'!$B$11,Paramètres!$A$1:$I$89,3,0)*0.475*44/12</f>
        <v>54.573961534968603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128.8463124608902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3.4</v>
      </c>
      <c r="BY89" s="12">
        <f>IF('Données projet'!$A$114&gt;35,BY88+BX89-CG88,IF(A89&lt;'Données projet'!$A$114,$BV$205^A89,IF(A89='Données projet'!$A$114,'Données projet'!$B$114,BY88+BX89-CG88)))</f>
        <v>254.40000000000003</v>
      </c>
      <c r="BZ89" s="13">
        <f>BY89*VLOOKUP('Données projet'!$B$12,Paramètres!$A$1:$I$89,3,0)*VLOOKUP('Données projet'!$B$12,Paramètres!$A$1:$I$89,5,0)</f>
        <v>222.24384000000006</v>
      </c>
      <c r="CA89" s="13">
        <f t="shared" si="93"/>
        <v>54.602284860895942</v>
      </c>
      <c r="CB89" s="20">
        <f t="shared" si="64"/>
        <v>482.17366746606058</v>
      </c>
      <c r="CC89" s="59">
        <f t="shared" si="65"/>
        <v>755.15541553146522</v>
      </c>
      <c r="CD89" s="59">
        <f ca="1">AVERAGE(OFFSET($CC$3,0,0,'Données projet'!$E$12+1,1))-AVERAGE(OFFSET($H$3,0,0,'Données projet'!$E$12+1,1))</f>
        <v>411.67183422518411</v>
      </c>
      <c r="CE89" s="59">
        <f t="shared" si="94"/>
        <v>379.16642539721556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33.931539252337387</v>
      </c>
      <c r="CL89" s="21">
        <f>EXP(-LN(2)/25)*CL88+(1-EXP(-LN(2)/25))/(LN(2)/25)*Calculateur!CG89*Calculateur!CI89*VLOOKUP('Données projet'!$B$12,Paramètres!$A$1:$I$89,3,0)*0.475*44/12</f>
        <v>17.685847036693442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51.617386289030833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11.328846153846158</v>
      </c>
      <c r="N90" s="13">
        <f>IF('Données projet'!$A$36&gt;35,N89+M90-V89,IF(A90&lt;'Données projet'!$A$36,$K$205^A90,IF(A90='Données projet'!$A$36,'Données projet'!$B$36,N89+M90-V89)))</f>
        <v>416.24615384615333</v>
      </c>
      <c r="O90" s="13">
        <f>N90*VLOOKUP('Données projet'!$B$9,Paramètres!$A$1:$I$89,3,0)*VLOOKUP('Données projet'!$B$9,Paramètres!$A$1:$I$89,5,0)</f>
        <v>194.80319999999975</v>
      </c>
      <c r="P90" s="13">
        <f t="shared" si="87"/>
        <v>48.600324281463649</v>
      </c>
      <c r="Q90" s="20">
        <f t="shared" si="54"/>
        <v>423.92780479021536</v>
      </c>
      <c r="R90" s="59">
        <f t="shared" si="55"/>
        <v>697.26260736069025</v>
      </c>
      <c r="S90" s="59">
        <f ca="1">AVERAGE(OFFSET($R$3,0,0,'Données projet'!$E$9+1,1))-AVERAGE(OFFSET($H$3,0,0,'Données projet'!$E$9+1,1))</f>
        <v>307.52968058891554</v>
      </c>
      <c r="T90" s="59">
        <f t="shared" si="88"/>
        <v>221.27527189662558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67.216754767376031</v>
      </c>
      <c r="AA90" s="21">
        <f>EXP(-LN(2)/25)*AA89+(1-EXP(-LN(2)/25))/(LN(2)/25)*Calculateur!V90*Calculateur!X90*VLOOKUP('Données projet'!$B$9,Paramètres!$A$1:$I$89,3,0)*0.475*44/12</f>
        <v>19.669534480471285</v>
      </c>
      <c r="AB90" s="21">
        <f>EXP(-LN(2)/2)*AB89+(1-EXP(-LN(2)/2))/(LN(2)/2)*V90*Y90*VLOOKUP('Données projet'!$B$9,Paramètres!$A$1:$I$89,3,0)*0.475*44/12</f>
        <v>1.4834551576014268</v>
      </c>
      <c r="AC90" s="22">
        <f t="shared" si="57"/>
        <v>88.369744405448742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377.63545575155672</v>
      </c>
      <c r="AO90" s="59">
        <f t="shared" si="90"/>
        <v>339.1731538522788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1.7053025658242404E-13</v>
      </c>
      <c r="BE90" s="13">
        <f>BD90*VLOOKUP('Données projet'!$B$11,Paramètres!$A$1:$I$89,3,0)*VLOOKUP('Données projet'!$B$11,Paramètres!$A$1:$I$89,5,0)</f>
        <v>1.383341441396624E-13</v>
      </c>
      <c r="BF90" s="13">
        <f t="shared" si="91"/>
        <v>2.0011390722884082E-12</v>
      </c>
      <c r="BG90" s="20">
        <f t="shared" si="61"/>
        <v>3.7262491852788889E-12</v>
      </c>
      <c r="BH90" s="59">
        <f t="shared" si="62"/>
        <v>273.33480257047859</v>
      </c>
      <c r="BI90" s="59">
        <f ca="1">AVERAGE(OFFSET($BH$3,0,0,'Données projet'!$E$11+1,1))-AVERAGE(OFFSET($H$3,0,0,'Données projet'!$E$11+1,1))</f>
        <v>318.98630351938459</v>
      </c>
      <c r="BJ90" s="59">
        <f t="shared" si="92"/>
        <v>312.22190035638084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72.815915425925155</v>
      </c>
      <c r="BQ90" s="21">
        <f>EXP(-LN(2)/25)*BQ89+(1-EXP(-LN(2)/25))/(LN(2)/25)*Calculateur!BL90*Calculateur!BN90*VLOOKUP('Données projet'!$B$11,Paramètres!$A$1:$I$89,3,0)*0.475*44/12</f>
        <v>53.08163368687498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125.89754911280014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3.4</v>
      </c>
      <c r="BY90" s="12">
        <f>IF('Données projet'!$A$114&gt;35,BY89+BX90-CG89,IF(A90&lt;'Données projet'!$A$114,$BV$205^A90,IF(A90='Données projet'!$A$114,'Données projet'!$B$114,BY89+BX90-CG89)))</f>
        <v>257.8</v>
      </c>
      <c r="BZ90" s="13">
        <f>BY90*VLOOKUP('Données projet'!$B$12,Paramètres!$A$1:$I$89,3,0)*VLOOKUP('Données projet'!$B$12,Paramètres!$A$1:$I$89,5,0)</f>
        <v>225.21408000000005</v>
      </c>
      <c r="CA90" s="13">
        <f t="shared" si="93"/>
        <v>55.246590695846493</v>
      </c>
      <c r="CB90" s="20">
        <f t="shared" si="64"/>
        <v>488.46900146193275</v>
      </c>
      <c r="CC90" s="59">
        <f t="shared" si="65"/>
        <v>761.80380403240758</v>
      </c>
      <c r="CD90" s="59">
        <f ca="1">AVERAGE(OFFSET($CC$3,0,0,'Données projet'!$E$12+1,1))-AVERAGE(OFFSET($H$3,0,0,'Données projet'!$E$12+1,1))</f>
        <v>411.67183422518411</v>
      </c>
      <c r="CE90" s="59">
        <f t="shared" si="94"/>
        <v>379.16642539721556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33.266162463794416</v>
      </c>
      <c r="CL90" s="21">
        <f>EXP(-LN(2)/25)*CL89+(1-EXP(-LN(2)/25))/(LN(2)/25)*Calculateur!CG90*Calculateur!CI90*VLOOKUP('Données projet'!$B$12,Paramètres!$A$1:$I$89,3,0)*0.475*44/12</f>
        <v>17.202226619416784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50.4683890832112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11.328846153846158</v>
      </c>
      <c r="N91" s="13">
        <f>IF('Données projet'!$A$36&gt;35,N90+M91-V90,IF(A91&lt;'Données projet'!$A$36,$K$205^A91,IF(A91='Données projet'!$A$36,'Données projet'!$B$36,N90+M91-V90)))</f>
        <v>427.57499999999948</v>
      </c>
      <c r="O91" s="13">
        <f>N91*VLOOKUP('Données projet'!$B$9,Paramètres!$A$1:$I$89,3,0)*VLOOKUP('Données projet'!$B$9,Paramètres!$A$1:$I$89,5,0)</f>
        <v>200.10509999999974</v>
      </c>
      <c r="P91" s="13">
        <f t="shared" si="87"/>
        <v>49.76726481803523</v>
      </c>
      <c r="Q91" s="20">
        <f t="shared" si="54"/>
        <v>435.19436872474421</v>
      </c>
      <c r="R91" s="59">
        <f t="shared" si="55"/>
        <v>708.8761010939379</v>
      </c>
      <c r="S91" s="59">
        <f ca="1">AVERAGE(OFFSET($R$3,0,0,'Données projet'!$E$9+1,1))-AVERAGE(OFFSET($H$3,0,0,'Données projet'!$E$9+1,1))</f>
        <v>307.52968058891554</v>
      </c>
      <c r="T91" s="59">
        <f t="shared" si="88"/>
        <v>221.27527189662558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65.898675204559964</v>
      </c>
      <c r="AA91" s="21">
        <f>EXP(-LN(2)/25)*AA90+(1-EXP(-LN(2)/25))/(LN(2)/25)*Calculateur!V91*Calculateur!X91*VLOOKUP('Données projet'!$B$9,Paramètres!$A$1:$I$89,3,0)*0.475*44/12</f>
        <v>19.131670025726933</v>
      </c>
      <c r="AB91" s="21">
        <f>EXP(-LN(2)/2)*AB90+(1-EXP(-LN(2)/2))/(LN(2)/2)*V91*Y91*VLOOKUP('Données projet'!$B$9,Paramètres!$A$1:$I$89,3,0)*0.475*44/12</f>
        <v>1.0489612015261276</v>
      </c>
      <c r="AC91" s="22">
        <f t="shared" si="57"/>
        <v>86.079306431813023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377.63545575155672</v>
      </c>
      <c r="AO91" s="59">
        <f t="shared" si="90"/>
        <v>339.1731538522788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1.7053025658242404E-13</v>
      </c>
      <c r="BE91" s="13">
        <f>BD91*VLOOKUP('Données projet'!$B$11,Paramètres!$A$1:$I$89,3,0)*VLOOKUP('Données projet'!$B$11,Paramètres!$A$1:$I$89,5,0)</f>
        <v>1.383341441396624E-13</v>
      </c>
      <c r="BF91" s="13">
        <f t="shared" si="91"/>
        <v>2.0011390722884082E-12</v>
      </c>
      <c r="BG91" s="20">
        <f t="shared" si="61"/>
        <v>3.7262491852788889E-12</v>
      </c>
      <c r="BH91" s="59">
        <f t="shared" si="62"/>
        <v>273.68173236919745</v>
      </c>
      <c r="BI91" s="59">
        <f ca="1">AVERAGE(OFFSET($BH$3,0,0,'Données projet'!$E$11+1,1))-AVERAGE(OFFSET($H$3,0,0,'Données projet'!$E$11+1,1))</f>
        <v>318.98630351938459</v>
      </c>
      <c r="BJ91" s="59">
        <f t="shared" si="92"/>
        <v>312.22190035638084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71.388039737745714</v>
      </c>
      <c r="BQ91" s="21">
        <f>EXP(-LN(2)/25)*BQ90+(1-EXP(-LN(2)/25))/(LN(2)/25)*Calculateur!BL91*Calculateur!BN91*VLOOKUP('Données projet'!$B$11,Paramètres!$A$1:$I$89,3,0)*0.475*44/12</f>
        <v>51.63011362226559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123.0181533600113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3.4</v>
      </c>
      <c r="BY91" s="12">
        <f>IF('Données projet'!$A$114&gt;35,BY90+BX91-CG90,IF(A91&lt;'Données projet'!$A$114,$BV$205^A91,IF(A91='Données projet'!$A$114,'Données projet'!$B$114,BY90+BX91-CG90)))</f>
        <v>261.2</v>
      </c>
      <c r="BZ91" s="13">
        <f>BY91*VLOOKUP('Données projet'!$B$12,Paramètres!$A$1:$I$89,3,0)*VLOOKUP('Données projet'!$B$12,Paramètres!$A$1:$I$89,5,0)</f>
        <v>228.18432000000004</v>
      </c>
      <c r="CA91" s="13">
        <f t="shared" si="93"/>
        <v>55.889908157388689</v>
      </c>
      <c r="CB91" s="20">
        <f t="shared" si="64"/>
        <v>494.76261404078542</v>
      </c>
      <c r="CC91" s="59">
        <f t="shared" si="65"/>
        <v>768.44434640997906</v>
      </c>
      <c r="CD91" s="59">
        <f ca="1">AVERAGE(OFFSET($CC$3,0,0,'Données projet'!$E$12+1,1))-AVERAGE(OFFSET($H$3,0,0,'Données projet'!$E$12+1,1))</f>
        <v>411.67183422518411</v>
      </c>
      <c r="CE91" s="59">
        <f t="shared" si="94"/>
        <v>379.16642539721556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32.613833308235002</v>
      </c>
      <c r="CL91" s="21">
        <f>EXP(-LN(2)/25)*CL90+(1-EXP(-LN(2)/25))/(LN(2)/25)*Calculateur!CG91*Calculateur!CI91*VLOOKUP('Données projet'!$B$12,Paramètres!$A$1:$I$89,3,0)*0.475*44/12</f>
        <v>16.731830827883051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49.345664136118053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11.328846153846158</v>
      </c>
      <c r="N92" s="13">
        <f>IF('Données projet'!$A$36&gt;35,N91+M92-V91,IF(A92&lt;'Données projet'!$A$36,$K$205^A92,IF(A92='Données projet'!$A$36,'Données projet'!$B$36,N91+M92-V91)))</f>
        <v>438.90384615384562</v>
      </c>
      <c r="O92" s="13">
        <f>N92*VLOOKUP('Données projet'!$B$9,Paramètres!$A$1:$I$89,3,0)*VLOOKUP('Données projet'!$B$9,Paramètres!$A$1:$I$89,5,0)</f>
        <v>205.40699999999975</v>
      </c>
      <c r="P92" s="13">
        <f t="shared" si="87"/>
        <v>50.930611510342416</v>
      </c>
      <c r="Q92" s="20">
        <f t="shared" si="54"/>
        <v>446.45467338051259</v>
      </c>
      <c r="R92" s="59">
        <f t="shared" si="55"/>
        <v>720.47731709203617</v>
      </c>
      <c r="S92" s="59">
        <f ca="1">AVERAGE(OFFSET($R$3,0,0,'Données projet'!$E$9+1,1))-AVERAGE(OFFSET($H$3,0,0,'Données projet'!$E$9+1,1))</f>
        <v>307.52968058891554</v>
      </c>
      <c r="T92" s="59">
        <f t="shared" si="88"/>
        <v>221.27527189662558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64.606442378021569</v>
      </c>
      <c r="AA92" s="21">
        <f>EXP(-LN(2)/25)*AA91+(1-EXP(-LN(2)/25))/(LN(2)/25)*Calculateur!V92*Calculateur!X92*VLOOKUP('Données projet'!$B$9,Paramètres!$A$1:$I$89,3,0)*0.475*44/12</f>
        <v>18.608513502782628</v>
      </c>
      <c r="AB92" s="21">
        <f>EXP(-LN(2)/2)*AB91+(1-EXP(-LN(2)/2))/(LN(2)/2)*V92*Y92*VLOOKUP('Données projet'!$B$9,Paramètres!$A$1:$I$89,3,0)*0.475*44/12</f>
        <v>0.74172757880071349</v>
      </c>
      <c r="AC92" s="22">
        <f t="shared" si="57"/>
        <v>83.956683459604918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377.63545575155672</v>
      </c>
      <c r="AO92" s="59">
        <f t="shared" si="90"/>
        <v>339.1731538522788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1.7053025658242404E-13</v>
      </c>
      <c r="BE92" s="13">
        <f>BD92*VLOOKUP('Données projet'!$B$11,Paramètres!$A$1:$I$89,3,0)*VLOOKUP('Données projet'!$B$11,Paramètres!$A$1:$I$89,5,0)</f>
        <v>1.383341441396624E-13</v>
      </c>
      <c r="BF92" s="13">
        <f t="shared" si="91"/>
        <v>2.0011390722884082E-12</v>
      </c>
      <c r="BG92" s="20">
        <f t="shared" si="61"/>
        <v>3.7262491852788889E-12</v>
      </c>
      <c r="BH92" s="59">
        <f t="shared" si="62"/>
        <v>274.02264371152734</v>
      </c>
      <c r="BI92" s="59">
        <f ca="1">AVERAGE(OFFSET($BH$3,0,0,'Données projet'!$E$11+1,1))-AVERAGE(OFFSET($H$3,0,0,'Données projet'!$E$11+1,1))</f>
        <v>318.98630351938459</v>
      </c>
      <c r="BJ92" s="59">
        <f t="shared" si="92"/>
        <v>312.22190035638084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69.988163820893305</v>
      </c>
      <c r="BQ92" s="21">
        <f>EXP(-LN(2)/25)*BQ91+(1-EXP(-LN(2)/25))/(LN(2)/25)*Calculateur!BL92*Calculateur!BN92*VLOOKUP('Données projet'!$B$11,Paramètres!$A$1:$I$89,3,0)*0.475*44/12</f>
        <v>50.218285450155065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120.20644927104837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3.4</v>
      </c>
      <c r="BY92" s="12">
        <f>IF('Données projet'!$A$114&gt;35,BY91+BX92-CG91,IF(A92&lt;'Données projet'!$A$114,$BV$205^A92,IF(A92='Données projet'!$A$114,'Données projet'!$B$114,BY91+BX92-CG91)))</f>
        <v>264.59999999999997</v>
      </c>
      <c r="BZ92" s="13">
        <f>BY92*VLOOKUP('Données projet'!$B$12,Paramètres!$A$1:$I$89,3,0)*VLOOKUP('Données projet'!$B$12,Paramètres!$A$1:$I$89,5,0)</f>
        <v>231.15455999999998</v>
      </c>
      <c r="CA92" s="13">
        <f t="shared" si="93"/>
        <v>56.532251598510484</v>
      </c>
      <c r="CB92" s="20">
        <f t="shared" si="64"/>
        <v>501.05453020073901</v>
      </c>
      <c r="CC92" s="59">
        <f t="shared" si="65"/>
        <v>775.07717391226265</v>
      </c>
      <c r="CD92" s="59">
        <f ca="1">AVERAGE(OFFSET($CC$3,0,0,'Données projet'!$E$12+1,1))-AVERAGE(OFFSET($H$3,0,0,'Données projet'!$E$12+1,1))</f>
        <v>411.67183422518411</v>
      </c>
      <c r="CE92" s="59">
        <f t="shared" si="94"/>
        <v>379.16642539721556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31.974295929534613</v>
      </c>
      <c r="CL92" s="21">
        <f>EXP(-LN(2)/25)*CL91+(1-EXP(-LN(2)/25))/(LN(2)/25)*Calculateur!CG92*Calculateur!CI92*VLOOKUP('Données projet'!$B$12,Paramètres!$A$1:$I$89,3,0)*0.475*44/12</f>
        <v>16.274298034005849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48.248593963540458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11.328846153846158</v>
      </c>
      <c r="N93" s="13">
        <f>IF('Données projet'!$A$36&gt;35,N92+M93-V92,IF(A93&lt;'Données projet'!$A$36,$K$205^A93,IF(A93='Données projet'!$A$36,'Données projet'!$B$36,N92+M93-V92)))</f>
        <v>450.23269230769176</v>
      </c>
      <c r="O93" s="13">
        <f>N93*VLOOKUP('Données projet'!$B$9,Paramètres!$A$1:$I$89,3,0)*VLOOKUP('Données projet'!$B$9,Paramètres!$A$1:$I$89,5,0)</f>
        <v>210.70889999999974</v>
      </c>
      <c r="P93" s="13">
        <f t="shared" si="87"/>
        <v>52.090467787005039</v>
      </c>
      <c r="Q93" s="20">
        <f t="shared" si="54"/>
        <v>457.70889889569997</v>
      </c>
      <c r="R93" s="59">
        <f t="shared" si="55"/>
        <v>732.06653989992765</v>
      </c>
      <c r="S93" s="59">
        <f ca="1">AVERAGE(OFFSET($R$3,0,0,'Données projet'!$E$9+1,1))-AVERAGE(OFFSET($H$3,0,0,'Données projet'!$E$9+1,1))</f>
        <v>307.52968058891554</v>
      </c>
      <c r="T93" s="59">
        <f t="shared" si="88"/>
        <v>221.27527189662558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63.339549449027395</v>
      </c>
      <c r="AA93" s="21">
        <f>EXP(-LN(2)/25)*AA92+(1-EXP(-LN(2)/25))/(LN(2)/25)*Calculateur!V93*Calculateur!X93*VLOOKUP('Données projet'!$B$9,Paramètres!$A$1:$I$89,3,0)*0.475*44/12</f>
        <v>18.099662722469841</v>
      </c>
      <c r="AB93" s="21">
        <f>EXP(-LN(2)/2)*AB92+(1-EXP(-LN(2)/2))/(LN(2)/2)*V93*Y93*VLOOKUP('Données projet'!$B$9,Paramètres!$A$1:$I$89,3,0)*0.475*44/12</f>
        <v>0.5244806007630638</v>
      </c>
      <c r="AC93" s="22">
        <f t="shared" si="57"/>
        <v>81.963692772260302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377.63545575155672</v>
      </c>
      <c r="AO93" s="59">
        <f t="shared" si="90"/>
        <v>339.1731538522788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1.7053025658242404E-13</v>
      </c>
      <c r="BE93" s="13">
        <f>BD93*VLOOKUP('Données projet'!$B$11,Paramètres!$A$1:$I$89,3,0)*VLOOKUP('Données projet'!$B$11,Paramètres!$A$1:$I$89,5,0)</f>
        <v>1.383341441396624E-13</v>
      </c>
      <c r="BF93" s="13">
        <f t="shared" si="91"/>
        <v>2.0011390722884082E-12</v>
      </c>
      <c r="BG93" s="20">
        <f t="shared" si="61"/>
        <v>3.7262491852788889E-12</v>
      </c>
      <c r="BH93" s="59">
        <f t="shared" si="62"/>
        <v>274.35764100423143</v>
      </c>
      <c r="BI93" s="59">
        <f ca="1">AVERAGE(OFFSET($BH$3,0,0,'Données projet'!$E$11+1,1))-AVERAGE(OFFSET($H$3,0,0,'Données projet'!$E$11+1,1))</f>
        <v>318.98630351938459</v>
      </c>
      <c r="BJ93" s="59">
        <f t="shared" si="92"/>
        <v>312.22190035638084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68.615738616930372</v>
      </c>
      <c r="BQ93" s="21">
        <f>EXP(-LN(2)/25)*BQ92+(1-EXP(-LN(2)/25))/(LN(2)/25)*Calculateur!BL93*Calculateur!BN93*VLOOKUP('Données projet'!$B$11,Paramètres!$A$1:$I$89,3,0)*0.475*44/12</f>
        <v>48.845063793655719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117.4608024105861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268</v>
      </c>
      <c r="BW93" s="12">
        <f>VLOOKUP(A93,'Données projet'!$A$113:$I$133,9,0)</f>
        <v>3.4</v>
      </c>
      <c r="BX93" s="12">
        <f t="array" ref="BX93">INDEX(BW:BW,MIN(IF(ISNUMBER(BW93:BW289),ROW(BW93:BW289),"")))</f>
        <v>3.4</v>
      </c>
      <c r="BY93" s="12">
        <f>IF('Données projet'!$A$114&gt;35,BY92+BX93-CG92,IF(A93&lt;'Données projet'!$A$114,$BV$205^A93,IF(A93='Données projet'!$A$114,'Données projet'!$B$114,BY92+BX93-CG92)))</f>
        <v>267.99999999999994</v>
      </c>
      <c r="BZ93" s="13">
        <f>BY93*VLOOKUP('Données projet'!$B$12,Paramètres!$A$1:$I$89,3,0)*VLOOKUP('Données projet'!$B$12,Paramètres!$A$1:$I$89,5,0)</f>
        <v>234.12479999999999</v>
      </c>
      <c r="CA93" s="13">
        <f t="shared" si="93"/>
        <v>57.173634982132555</v>
      </c>
      <c r="CB93" s="20">
        <f t="shared" si="64"/>
        <v>507.34477426054747</v>
      </c>
      <c r="CC93" s="59">
        <f t="shared" si="65"/>
        <v>781.70241526477514</v>
      </c>
      <c r="CD93" s="59">
        <f ca="1">AVERAGE(OFFSET($CC$3,0,0,'Données projet'!$E$12+1,1))-AVERAGE(OFFSET($H$3,0,0,'Données projet'!$E$12+1,1))</f>
        <v>411.67183422518411</v>
      </c>
      <c r="CE93" s="59">
        <f t="shared" si="94"/>
        <v>379.16642539721556</v>
      </c>
      <c r="CF93" s="15">
        <f>IF(ISNA(VLOOKUP(A93,'Données projet'!$A$113:$I$133,3,0)),0,VLOOKUP(A93,'Données projet'!$A$113:$I$133,3,0))</f>
        <v>15</v>
      </c>
      <c r="CG93" s="15" t="str">
        <f>IF(ISNA(VLOOKUP(A93,'Données projet'!$A$113:$I$133,4,0)),0,VLOOKUP(A93,'Données projet'!$A$113:$I$133,4,0))</f>
        <v>14</v>
      </c>
      <c r="CH93" s="16">
        <f>IF(ISNA(VLOOKUP(A93,'Données projet'!$A$113:$I$133,5,0)),0%,VLOOKUP(A93,'Données projet'!$A$113:$I$133,5,0)*VLOOKUP('Données projet'!$B$12,Paramètres!$A$1:$I$89,7,0))</f>
        <v>0.34400000000000003</v>
      </c>
      <c r="CI93" s="16">
        <f>IF(ISNA(VLOOKUP(A93,'Données projet'!$A$113:$I$133,6,0)),0%,VLOOKUP(A93,'Données projet'!$A$113:$I$133,6,0)*VLOOKUP('Données projet'!$B$12,Paramètres!$A$1:$I$89,7,0))</f>
        <v>4.3000000000000003E-2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35.998298144616143</v>
      </c>
      <c r="CL93" s="21">
        <f>EXP(-LN(2)/25)*CL92+(1-EXP(-LN(2)/25))/(LN(2)/25)*Calculateur!CG93*Calculateur!CI93*VLOOKUP('Données projet'!$B$12,Paramètres!$A$1:$I$89,3,0)*0.475*44/12</f>
        <v>16.408362236186235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52.406660380802379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>
        <f>VLOOKUP(A94,'Données projet'!$A$35:$I$55,2,0)</f>
        <v>461.56153846153842</v>
      </c>
      <c r="L94" s="12">
        <f>VLOOKUP(A94,'Données projet'!$A$35:$I$55,9,0)</f>
        <v>11.328846153846158</v>
      </c>
      <c r="M94" s="12">
        <f t="array" ref="M94">INDEX(L:L,MIN(IF(ISNUMBER(L94:L290),ROW(L94:L290),"")))</f>
        <v>11.328846153846158</v>
      </c>
      <c r="N94" s="13">
        <f>IF('Données projet'!$A$36&gt;35,N93+M94-V93,IF(A94&lt;'Données projet'!$A$36,$K$205^A94,IF(A94='Données projet'!$A$36,'Données projet'!$B$36,N93+M94-V93)))</f>
        <v>461.56153846153791</v>
      </c>
      <c r="O94" s="13">
        <f>N94*VLOOKUP('Données projet'!$B$9,Paramètres!$A$1:$I$89,3,0)*VLOOKUP('Données projet'!$B$9,Paramètres!$A$1:$I$89,5,0)</f>
        <v>216.01079999999973</v>
      </c>
      <c r="P94" s="13">
        <f t="shared" si="87"/>
        <v>53.246931575036889</v>
      </c>
      <c r="Q94" s="20">
        <f t="shared" si="54"/>
        <v>468.95721582652214</v>
      </c>
      <c r="R94" s="59">
        <f t="shared" si="55"/>
        <v>743.6440426693672</v>
      </c>
      <c r="S94" s="59">
        <f ca="1">AVERAGE(OFFSET($R$3,0,0,'Données projet'!$E$9+1,1))-AVERAGE(OFFSET($H$3,0,0,'Données projet'!$E$9+1,1))</f>
        <v>307.52968058891554</v>
      </c>
      <c r="T94" s="59">
        <f t="shared" si="88"/>
        <v>221.27527189662558</v>
      </c>
      <c r="U94" s="15">
        <f>IF(ISNA(VLOOKUP(A94,'Données projet'!$A$35:$I$55,3,0)),0,VLOOKUP(A94,'Données projet'!$A$35:$I$55,3,0))</f>
        <v>7</v>
      </c>
      <c r="V94" s="15">
        <f>IF(ISNA(VLOOKUP(A94,'Données projet'!$A$35:$I$55,4,0)),0,VLOOKUP(A94,'Données projet'!$A$35:$I$55,4,0))</f>
        <v>229.73846153846154</v>
      </c>
      <c r="W94" s="16">
        <f>IF(ISNA(VLOOKUP(A94,'Données projet'!$A$35:$I$55,5,0)),0%,VLOOKUP(A94,'Données projet'!$A$35:$I$55,5,0)*VLOOKUP('Données projet'!$B$9,Paramètres!$A$1:$I$89,7,0))</f>
        <v>0.38500000000000001</v>
      </c>
      <c r="X94" s="16">
        <f>IF(ISNA(VLOOKUP(A94,'Données projet'!$A$35:$I$55,6,0)),0%,VLOOKUP(A94,'Données projet'!$A$35:$I$55,6,0)*VLOOKUP('Données projet'!$B$9,Paramètres!$A$1:$I$89,7,0))</f>
        <v>9.240000000000001E-2</v>
      </c>
      <c r="Y94" s="16">
        <f>IF(ISNA(VLOOKUP(A94,'Données projet'!$A$35:$I$55,7,0)),0%,VLOOKUP(A94,'Données projet'!$A$35:$I$55,7,0))</f>
        <v>0.13200000000000001</v>
      </c>
      <c r="Z94" s="21">
        <f>EXP(-LN(2)/35)*Z93+(1-EXP(-LN(2)/35))/(LN(2)/35)*V94*W94*VLOOKUP('Données projet'!$B$9,Paramètres!$A$1:$I$89,3,0)*0.475*44/12</f>
        <v>117.00967471789643</v>
      </c>
      <c r="AA94" s="21">
        <f>EXP(-LN(2)/25)*AA93+(1-EXP(-LN(2)/25))/(LN(2)/25)*Calculateur!V94*Calculateur!X94*VLOOKUP('Données projet'!$B$9,Paramètres!$A$1:$I$89,3,0)*0.475*44/12</f>
        <v>30.731758103898777</v>
      </c>
      <c r="AB94" s="21">
        <f>EXP(-LN(2)/2)*AB93+(1-EXP(-LN(2)/2))/(LN(2)/2)*V94*Y94*VLOOKUP('Données projet'!$B$9,Paramètres!$A$1:$I$89,3,0)*0.475*44/12</f>
        <v>16.439870493374521</v>
      </c>
      <c r="AC94" s="22">
        <f t="shared" si="57"/>
        <v>164.18130331516971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377.63545575155672</v>
      </c>
      <c r="AO94" s="59">
        <f t="shared" si="90"/>
        <v>339.1731538522788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1.7053025658242404E-13</v>
      </c>
      <c r="BE94" s="13">
        <f>BD94*VLOOKUP('Données projet'!$B$11,Paramètres!$A$1:$I$89,3,0)*VLOOKUP('Données projet'!$B$11,Paramètres!$A$1:$I$89,5,0)</f>
        <v>1.383341441396624E-13</v>
      </c>
      <c r="BF94" s="13">
        <f t="shared" si="91"/>
        <v>2.0011390722884082E-12</v>
      </c>
      <c r="BG94" s="20">
        <f t="shared" si="61"/>
        <v>3.7262491852788889E-12</v>
      </c>
      <c r="BH94" s="59">
        <f t="shared" si="62"/>
        <v>274.6868268428488</v>
      </c>
      <c r="BI94" s="59">
        <f ca="1">AVERAGE(OFFSET($BH$3,0,0,'Données projet'!$E$11+1,1))-AVERAGE(OFFSET($H$3,0,0,'Données projet'!$E$11+1,1))</f>
        <v>318.98630351938459</v>
      </c>
      <c r="BJ94" s="59">
        <f t="shared" si="92"/>
        <v>312.22190035638084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67.270225834120438</v>
      </c>
      <c r="BQ94" s="21">
        <f>EXP(-LN(2)/25)*BQ93+(1-EXP(-LN(2)/25))/(LN(2)/25)*Calculateur!BL94*Calculateur!BN94*VLOOKUP('Données projet'!$B$11,Paramètres!$A$1:$I$89,3,0)*0.475*44/12</f>
        <v>47.509392955567932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114.77961878968837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3.2</v>
      </c>
      <c r="BY94" s="12">
        <f>IF('Données projet'!$A$114&gt;35,BY93+BX94-CG93,IF(A94&lt;'Données projet'!$A$114,$BV$205^A94,IF(A94='Données projet'!$A$114,'Données projet'!$B$114,BY93+BX94-CG93)))</f>
        <v>257.19999999999993</v>
      </c>
      <c r="BZ94" s="13">
        <f>BY94*VLOOKUP('Données projet'!$B$12,Paramètres!$A$1:$I$89,3,0)*VLOOKUP('Données projet'!$B$12,Paramètres!$A$1:$I$89,5,0)</f>
        <v>224.68991999999997</v>
      </c>
      <c r="CA94" s="13">
        <f t="shared" si="93"/>
        <v>55.132961900876232</v>
      </c>
      <c r="CB94" s="20">
        <f t="shared" si="64"/>
        <v>487.35818597735943</v>
      </c>
      <c r="CC94" s="59">
        <f t="shared" si="65"/>
        <v>762.04501282020442</v>
      </c>
      <c r="CD94" s="59">
        <f ca="1">AVERAGE(OFFSET($CC$3,0,0,'Données projet'!$E$12+1,1))-AVERAGE(OFFSET($H$3,0,0,'Données projet'!$E$12+1,1))</f>
        <v>411.67183422518411</v>
      </c>
      <c r="CE94" s="59">
        <f t="shared" si="94"/>
        <v>379.16642539721556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35.292393474794032</v>
      </c>
      <c r="CL94" s="21">
        <f>EXP(-LN(2)/25)*CL93+(1-EXP(-LN(2)/25))/(LN(2)/25)*Calculateur!CG94*Calculateur!CI94*VLOOKUP('Données projet'!$B$12,Paramètres!$A$1:$I$89,3,0)*0.475*44/12</f>
        <v>15.959674707959454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51.25206818275349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7.5784615384615392</v>
      </c>
      <c r="N95" s="13">
        <f>IF('Données projet'!$A$36&gt;35,N94+M95-V94,IF(A95&lt;'Données projet'!$A$36,$K$205^A95,IF(A95='Données projet'!$A$36,'Données projet'!$B$36,N94+M95-V94)))</f>
        <v>239.40153846153788</v>
      </c>
      <c r="O95" s="13">
        <f>N95*VLOOKUP('Données projet'!$B$9,Paramètres!$A$1:$I$89,3,0)*VLOOKUP('Données projet'!$B$9,Paramètres!$A$1:$I$89,5,0)</f>
        <v>112.03991999999973</v>
      </c>
      <c r="P95" s="13">
        <f t="shared" si="87"/>
        <v>29.811090444660106</v>
      </c>
      <c r="Q95" s="20">
        <f t="shared" si="54"/>
        <v>247.05717652444915</v>
      </c>
      <c r="R95" s="59">
        <f t="shared" si="55"/>
        <v>522.0674785675609</v>
      </c>
      <c r="S95" s="59">
        <f ca="1">AVERAGE(OFFSET($R$3,0,0,'Données projet'!$E$9+1,1))-AVERAGE(OFFSET($H$3,0,0,'Données projet'!$E$9+1,1))</f>
        <v>307.52968058891554</v>
      </c>
      <c r="T95" s="59">
        <f t="shared" si="88"/>
        <v>221.27527189662558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114.71518636553297</v>
      </c>
      <c r="AA95" s="21">
        <f>EXP(-LN(2)/25)*AA94+(1-EXP(-LN(2)/25))/(LN(2)/25)*Calculateur!V95*Calculateur!X95*VLOOKUP('Données projet'!$B$9,Paramètres!$A$1:$I$89,3,0)*0.475*44/12</f>
        <v>29.891396562434746</v>
      </c>
      <c r="AB95" s="21">
        <f>EXP(-LN(2)/2)*AB94+(1-EXP(-LN(2)/2))/(LN(2)/2)*V95*Y95*VLOOKUP('Données projet'!$B$9,Paramètres!$A$1:$I$89,3,0)*0.475*44/12</f>
        <v>11.624743907693757</v>
      </c>
      <c r="AC95" s="22">
        <f t="shared" si="57"/>
        <v>156.23132683566146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377.63545575155672</v>
      </c>
      <c r="AO95" s="59">
        <f t="shared" si="90"/>
        <v>339.1731538522788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1.7053025658242404E-13</v>
      </c>
      <c r="BE95" s="13">
        <f>BD95*VLOOKUP('Données projet'!$B$11,Paramètres!$A$1:$I$89,3,0)*VLOOKUP('Données projet'!$B$11,Paramètres!$A$1:$I$89,5,0)</f>
        <v>1.383341441396624E-13</v>
      </c>
      <c r="BF95" s="13">
        <f t="shared" si="91"/>
        <v>2.0011390722884082E-12</v>
      </c>
      <c r="BG95" s="20">
        <f t="shared" si="61"/>
        <v>3.7262491852788889E-12</v>
      </c>
      <c r="BH95" s="59">
        <f t="shared" si="62"/>
        <v>275.01030204311547</v>
      </c>
      <c r="BI95" s="59">
        <f ca="1">AVERAGE(OFFSET($BH$3,0,0,'Données projet'!$E$11+1,1))-AVERAGE(OFFSET($H$3,0,0,'Données projet'!$E$11+1,1))</f>
        <v>318.98630351938459</v>
      </c>
      <c r="BJ95" s="59">
        <f t="shared" si="92"/>
        <v>312.22190035638084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65.951097736299644</v>
      </c>
      <c r="BQ95" s="21">
        <f>EXP(-LN(2)/25)*BQ94+(1-EXP(-LN(2)/25))/(LN(2)/25)*Calculateur!BL95*Calculateur!BN95*VLOOKUP('Données projet'!$B$11,Paramètres!$A$1:$I$89,3,0)*0.475*44/12</f>
        <v>46.210246106787537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112.16134384308718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3.2</v>
      </c>
      <c r="BY95" s="12">
        <f>IF('Données projet'!$A$114&gt;35,BY94+BX95-CG94,IF(A95&lt;'Données projet'!$A$114,$BV$205^A95,IF(A95='Données projet'!$A$114,'Données projet'!$B$114,BY94+BX95-CG94)))</f>
        <v>260.39999999999992</v>
      </c>
      <c r="BZ95" s="13">
        <f>BY95*VLOOKUP('Données projet'!$B$12,Paramètres!$A$1:$I$89,3,0)*VLOOKUP('Données projet'!$B$12,Paramètres!$A$1:$I$89,5,0)</f>
        <v>227.48543999999993</v>
      </c>
      <c r="CA95" s="13">
        <f t="shared" si="93"/>
        <v>55.738627496252377</v>
      </c>
      <c r="CB95" s="20">
        <f t="shared" si="64"/>
        <v>493.28191755597277</v>
      </c>
      <c r="CC95" s="59">
        <f t="shared" si="65"/>
        <v>768.29221959908455</v>
      </c>
      <c r="CD95" s="59">
        <f ca="1">AVERAGE(OFFSET($CC$3,0,0,'Données projet'!$E$12+1,1))-AVERAGE(OFFSET($H$3,0,0,'Données projet'!$E$12+1,1))</f>
        <v>411.67183422518411</v>
      </c>
      <c r="CE95" s="59">
        <f t="shared" si="94"/>
        <v>379.16642539721556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34.6003311649878</v>
      </c>
      <c r="CL95" s="21">
        <f>EXP(-LN(2)/25)*CL94+(1-EXP(-LN(2)/25))/(LN(2)/25)*Calculateur!CG95*Calculateur!CI95*VLOOKUP('Données projet'!$B$12,Paramètres!$A$1:$I$89,3,0)*0.475*44/12</f>
        <v>15.523256563787486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50.123587728775284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7.5784615384615392</v>
      </c>
      <c r="N96" s="13">
        <f>IF('Données projet'!$A$36&gt;35,N95+M96-V95,IF(A96&lt;'Données projet'!$A$36,$K$205^A96,IF(A96='Données projet'!$A$36,'Données projet'!$B$36,N95+M96-V95)))</f>
        <v>246.97999999999942</v>
      </c>
      <c r="O96" s="13">
        <f>N96*VLOOKUP('Données projet'!$B$9,Paramètres!$A$1:$I$89,3,0)*VLOOKUP('Données projet'!$B$9,Paramètres!$A$1:$I$89,5,0)</f>
        <v>115.58663999999973</v>
      </c>
      <c r="P96" s="13">
        <f t="shared" si="87"/>
        <v>30.643421504922326</v>
      </c>
      <c r="Q96" s="20">
        <f t="shared" si="54"/>
        <v>254.68402378773919</v>
      </c>
      <c r="R96" s="59">
        <f t="shared" si="55"/>
        <v>530.01218945957521</v>
      </c>
      <c r="S96" s="59">
        <f ca="1">AVERAGE(OFFSET($R$3,0,0,'Données projet'!$E$9+1,1))-AVERAGE(OFFSET($H$3,0,0,'Données projet'!$E$9+1,1))</f>
        <v>307.52968058891554</v>
      </c>
      <c r="T96" s="59">
        <f t="shared" si="88"/>
        <v>221.27527189662558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112.46569153025965</v>
      </c>
      <c r="AA96" s="21">
        <f>EXP(-LN(2)/25)*AA95+(1-EXP(-LN(2)/25))/(LN(2)/25)*Calculateur!V96*Calculateur!X96*VLOOKUP('Données projet'!$B$9,Paramètres!$A$1:$I$89,3,0)*0.475*44/12</f>
        <v>29.074014751514742</v>
      </c>
      <c r="AB96" s="21">
        <f>EXP(-LN(2)/2)*AB95+(1-EXP(-LN(2)/2))/(LN(2)/2)*V96*Y96*VLOOKUP('Données projet'!$B$9,Paramètres!$A$1:$I$89,3,0)*0.475*44/12</f>
        <v>8.2199352466872622</v>
      </c>
      <c r="AC96" s="22">
        <f t="shared" si="57"/>
        <v>149.75964152846166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377.63545575155672</v>
      </c>
      <c r="AO96" s="59">
        <f t="shared" si="90"/>
        <v>339.1731538522788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1.7053025658242404E-13</v>
      </c>
      <c r="BE96" s="13">
        <f>BD96*VLOOKUP('Données projet'!$B$11,Paramètres!$A$1:$I$89,3,0)*VLOOKUP('Données projet'!$B$11,Paramètres!$A$1:$I$89,5,0)</f>
        <v>1.383341441396624E-13</v>
      </c>
      <c r="BF96" s="13">
        <f t="shared" si="91"/>
        <v>2.0011390722884082E-12</v>
      </c>
      <c r="BG96" s="20">
        <f t="shared" si="61"/>
        <v>3.7262491852788889E-12</v>
      </c>
      <c r="BH96" s="59">
        <f t="shared" si="62"/>
        <v>275.32816567183971</v>
      </c>
      <c r="BI96" s="59">
        <f ca="1">AVERAGE(OFFSET($BH$3,0,0,'Données projet'!$E$11+1,1))-AVERAGE(OFFSET($H$3,0,0,'Données projet'!$E$11+1,1))</f>
        <v>318.98630351938459</v>
      </c>
      <c r="BJ96" s="59">
        <f t="shared" si="92"/>
        <v>312.22190035638084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64.657836935888426</v>
      </c>
      <c r="BQ96" s="21">
        <f>EXP(-LN(2)/25)*BQ95+(1-EXP(-LN(2)/25))/(LN(2)/25)*Calculateur!BL96*Calculateur!BN96*VLOOKUP('Données projet'!$B$11,Paramètres!$A$1:$I$89,3,0)*0.475*44/12</f>
        <v>44.946624496906203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109.60446143279464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3.2</v>
      </c>
      <c r="BY96" s="12">
        <f>IF('Données projet'!$A$114&gt;35,BY95+BX96-CG95,IF(A96&lt;'Données projet'!$A$114,$BV$205^A96,IF(A96='Données projet'!$A$114,'Données projet'!$B$114,BY95+BX96-CG95)))</f>
        <v>263.59999999999991</v>
      </c>
      <c r="BZ96" s="13">
        <f>BY96*VLOOKUP('Données projet'!$B$12,Paramètres!$A$1:$I$89,3,0)*VLOOKUP('Données projet'!$B$12,Paramètres!$A$1:$I$89,5,0)</f>
        <v>230.28095999999994</v>
      </c>
      <c r="CA96" s="13">
        <f t="shared" si="93"/>
        <v>56.343427334913351</v>
      </c>
      <c r="CB96" s="20">
        <f t="shared" si="64"/>
        <v>499.20414127497389</v>
      </c>
      <c r="CC96" s="59">
        <f t="shared" si="65"/>
        <v>774.53230694680985</v>
      </c>
      <c r="CD96" s="59">
        <f ca="1">AVERAGE(OFFSET($CC$3,0,0,'Données projet'!$E$12+1,1))-AVERAGE(OFFSET($H$3,0,0,'Données projet'!$E$12+1,1))</f>
        <v>411.67183422518411</v>
      </c>
      <c r="CE96" s="59">
        <f t="shared" si="94"/>
        <v>379.16642539721556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33.921839774960539</v>
      </c>
      <c r="CL96" s="21">
        <f>EXP(-LN(2)/25)*CL95+(1-EXP(-LN(2)/25))/(LN(2)/25)*Calculateur!CG96*Calculateur!CI96*VLOOKUP('Données projet'!$B$12,Paramètres!$A$1:$I$89,3,0)*0.475*44/12</f>
        <v>15.098772296718133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49.02061207167867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7.5784615384615392</v>
      </c>
      <c r="N97" s="13">
        <f>IF('Données projet'!$A$36&gt;35,N96+M97-V96,IF(A97&lt;'Données projet'!$A$36,$K$205^A97,IF(A97='Données projet'!$A$36,'Données projet'!$B$36,N96+M97-V96)))</f>
        <v>254.55846153846096</v>
      </c>
      <c r="O97" s="13">
        <f>N97*VLOOKUP('Données projet'!$B$9,Paramètres!$A$1:$I$89,3,0)*VLOOKUP('Données projet'!$B$9,Paramètres!$A$1:$I$89,5,0)</f>
        <v>119.13335999999974</v>
      </c>
      <c r="P97" s="13">
        <f t="shared" si="87"/>
        <v>31.472784557586706</v>
      </c>
      <c r="Q97" s="20">
        <f t="shared" si="54"/>
        <v>262.30570177112975</v>
      </c>
      <c r="R97" s="59">
        <f t="shared" si="55"/>
        <v>537.94621684836829</v>
      </c>
      <c r="S97" s="59">
        <f ca="1">AVERAGE(OFFSET($R$3,0,0,'Données projet'!$E$9+1,1))-AVERAGE(OFFSET($H$3,0,0,'Données projet'!$E$9+1,1))</f>
        <v>307.52968058891554</v>
      </c>
      <c r="T97" s="59">
        <f t="shared" si="88"/>
        <v>221.27527189662558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110.26030791664967</v>
      </c>
      <c r="AA97" s="21">
        <f>EXP(-LN(2)/25)*AA96+(1-EXP(-LN(2)/25))/(LN(2)/25)*Calculateur!V97*Calculateur!X97*VLOOKUP('Données projet'!$B$9,Paramètres!$A$1:$I$89,3,0)*0.475*44/12</f>
        <v>28.278984289198586</v>
      </c>
      <c r="AB97" s="21">
        <f>EXP(-LN(2)/2)*AB96+(1-EXP(-LN(2)/2))/(LN(2)/2)*V97*Y97*VLOOKUP('Données projet'!$B$9,Paramètres!$A$1:$I$89,3,0)*0.475*44/12</f>
        <v>5.8123719538468794</v>
      </c>
      <c r="AC97" s="22">
        <f t="shared" si="57"/>
        <v>144.35166415969513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377.63545575155672</v>
      </c>
      <c r="AO97" s="59">
        <f t="shared" si="90"/>
        <v>339.1731538522788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1.7053025658242404E-13</v>
      </c>
      <c r="BE97" s="13">
        <f>BD97*VLOOKUP('Données projet'!$B$11,Paramètres!$A$1:$I$89,3,0)*VLOOKUP('Données projet'!$B$11,Paramètres!$A$1:$I$89,5,0)</f>
        <v>1.383341441396624E-13</v>
      </c>
      <c r="BF97" s="13">
        <f t="shared" si="91"/>
        <v>2.0011390722884082E-12</v>
      </c>
      <c r="BG97" s="20">
        <f t="shared" si="61"/>
        <v>3.7262491852788889E-12</v>
      </c>
      <c r="BH97" s="59">
        <f t="shared" si="62"/>
        <v>275.64051507724224</v>
      </c>
      <c r="BI97" s="59">
        <f ca="1">AVERAGE(OFFSET($BH$3,0,0,'Données projet'!$E$11+1,1))-AVERAGE(OFFSET($H$3,0,0,'Données projet'!$E$11+1,1))</f>
        <v>318.98630351938459</v>
      </c>
      <c r="BJ97" s="59">
        <f t="shared" si="92"/>
        <v>312.22190035638084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63.389936190962068</v>
      </c>
      <c r="BQ97" s="21">
        <f>EXP(-LN(2)/25)*BQ96+(1-EXP(-LN(2)/25))/(LN(2)/25)*Calculateur!BL97*Calculateur!BN97*VLOOKUP('Données projet'!$B$11,Paramètres!$A$1:$I$89,3,0)*0.475*44/12</f>
        <v>43.717556686398048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107.10749287736012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3.2</v>
      </c>
      <c r="BY97" s="12">
        <f>IF('Données projet'!$A$114&gt;35,BY96+BX97-CG96,IF(A97&lt;'Données projet'!$A$114,$BV$205^A97,IF(A97='Données projet'!$A$114,'Données projet'!$B$114,BY96+BX97-CG96)))</f>
        <v>266.7999999999999</v>
      </c>
      <c r="BZ97" s="13">
        <f>BY97*VLOOKUP('Données projet'!$B$12,Paramètres!$A$1:$I$89,3,0)*VLOOKUP('Données projet'!$B$12,Paramètres!$A$1:$I$89,5,0)</f>
        <v>233.07647999999995</v>
      </c>
      <c r="CA97" s="13">
        <f t="shared" si="93"/>
        <v>56.947373142454879</v>
      </c>
      <c r="CB97" s="20">
        <f t="shared" si="64"/>
        <v>505.12487755644207</v>
      </c>
      <c r="CC97" s="59">
        <f t="shared" si="65"/>
        <v>780.76539263368056</v>
      </c>
      <c r="CD97" s="59">
        <f ca="1">AVERAGE(OFFSET($CC$3,0,0,'Données projet'!$E$12+1,1))-AVERAGE(OFFSET($H$3,0,0,'Données projet'!$E$12+1,1))</f>
        <v>411.67183422518411</v>
      </c>
      <c r="CE97" s="59">
        <f t="shared" si="94"/>
        <v>379.16642539721556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33.25665318725283</v>
      </c>
      <c r="CL97" s="21">
        <f>EXP(-LN(2)/25)*CL96+(1-EXP(-LN(2)/25))/(LN(2)/25)*Calculateur!CG97*Calculateur!CI97*VLOOKUP('Données projet'!$B$12,Paramètres!$A$1:$I$89,3,0)*0.475*44/12</f>
        <v>14.685895574254449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47.942548761507283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7.5784615384615392</v>
      </c>
      <c r="N98" s="13">
        <f>IF('Données projet'!$A$36&gt;35,N97+M98-V97,IF(A98&lt;'Données projet'!$A$36,$K$205^A98,IF(A98='Données projet'!$A$36,'Données projet'!$B$36,N97+M98-V97)))</f>
        <v>262.13692307692247</v>
      </c>
      <c r="O98" s="13">
        <f>N98*VLOOKUP('Données projet'!$B$9,Paramètres!$A$1:$I$89,3,0)*VLOOKUP('Données projet'!$B$9,Paramètres!$A$1:$I$89,5,0)</f>
        <v>122.68007999999972</v>
      </c>
      <c r="P98" s="13">
        <f t="shared" si="87"/>
        <v>32.29927810717728</v>
      </c>
      <c r="Q98" s="20">
        <f t="shared" si="54"/>
        <v>269.92238203666665</v>
      </c>
      <c r="R98" s="59">
        <f t="shared" si="55"/>
        <v>545.86982795543258</v>
      </c>
      <c r="S98" s="59">
        <f ca="1">AVERAGE(OFFSET($R$3,0,0,'Données projet'!$E$9+1,1))-AVERAGE(OFFSET($H$3,0,0,'Données projet'!$E$9+1,1))</f>
        <v>307.52968058891554</v>
      </c>
      <c r="T98" s="59">
        <f t="shared" si="88"/>
        <v>221.27527189662558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108.0981705305514</v>
      </c>
      <c r="AA98" s="21">
        <f>EXP(-LN(2)/25)*AA97+(1-EXP(-LN(2)/25))/(LN(2)/25)*Calculateur!V98*Calculateur!X98*VLOOKUP('Données projet'!$B$9,Paramètres!$A$1:$I$89,3,0)*0.475*44/12</f>
        <v>27.5056939766833</v>
      </c>
      <c r="AB98" s="21">
        <f>EXP(-LN(2)/2)*AB97+(1-EXP(-LN(2)/2))/(LN(2)/2)*V98*Y98*VLOOKUP('Données projet'!$B$9,Paramètres!$A$1:$I$89,3,0)*0.475*44/12</f>
        <v>4.1099676233436311</v>
      </c>
      <c r="AC98" s="22">
        <f t="shared" si="57"/>
        <v>139.71383213057834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377.63545575155672</v>
      </c>
      <c r="AO98" s="59">
        <f t="shared" si="90"/>
        <v>339.1731538522788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1.7053025658242404E-13</v>
      </c>
      <c r="BE98" s="13">
        <f>BD98*VLOOKUP('Données projet'!$B$11,Paramètres!$A$1:$I$89,3,0)*VLOOKUP('Données projet'!$B$11,Paramètres!$A$1:$I$89,5,0)</f>
        <v>1.383341441396624E-13</v>
      </c>
      <c r="BF98" s="13">
        <f t="shared" si="91"/>
        <v>2.0011390722884082E-12</v>
      </c>
      <c r="BG98" s="20">
        <f t="shared" si="61"/>
        <v>3.7262491852788889E-12</v>
      </c>
      <c r="BH98" s="59">
        <f t="shared" si="62"/>
        <v>275.94744591876969</v>
      </c>
      <c r="BI98" s="59">
        <f ca="1">AVERAGE(OFFSET($BH$3,0,0,'Données projet'!$E$11+1,1))-AVERAGE(OFFSET($H$3,0,0,'Données projet'!$E$11+1,1))</f>
        <v>318.98630351938459</v>
      </c>
      <c r="BJ98" s="59">
        <f t="shared" si="92"/>
        <v>312.22190035638084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62.146898206300619</v>
      </c>
      <c r="BQ98" s="21">
        <f>EXP(-LN(2)/25)*BQ97+(1-EXP(-LN(2)/25))/(LN(2)/25)*Calculateur!BL98*Calculateur!BN98*VLOOKUP('Données projet'!$B$11,Paramètres!$A$1:$I$89,3,0)*0.475*44/12</f>
        <v>42.522097799802104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104.66899600610273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270</v>
      </c>
      <c r="BW98" s="12">
        <f>VLOOKUP(A98,'Données projet'!$A$113:$I$133,9,0)</f>
        <v>3.2</v>
      </c>
      <c r="BX98" s="12">
        <f t="array" ref="BX98">INDEX(BW:BW,MIN(IF(ISNUMBER(BW98:BW294),ROW(BW98:BW294),"")))</f>
        <v>3.2</v>
      </c>
      <c r="BY98" s="12">
        <f>IF('Données projet'!$A$114&gt;35,BY97+BX98-CG97,IF(A98&lt;'Données projet'!$A$114,$BV$205^A98,IF(A98='Données projet'!$A$114,'Données projet'!$B$114,BY97+BX98-CG97)))</f>
        <v>269.99999999999989</v>
      </c>
      <c r="BZ98" s="13">
        <f>BY98*VLOOKUP('Données projet'!$B$12,Paramètres!$A$1:$I$89,3,0)*VLOOKUP('Données projet'!$B$12,Paramètres!$A$1:$I$89,5,0)</f>
        <v>235.87199999999996</v>
      </c>
      <c r="CA98" s="13">
        <f t="shared" si="93"/>
        <v>57.550476347015277</v>
      </c>
      <c r="CB98" s="20">
        <f t="shared" si="64"/>
        <v>511.04414630438487</v>
      </c>
      <c r="CC98" s="59">
        <f t="shared" si="65"/>
        <v>786.99159222315075</v>
      </c>
      <c r="CD98" s="59">
        <f ca="1">AVERAGE(OFFSET($CC$3,0,0,'Données projet'!$E$12+1,1))-AVERAGE(OFFSET($H$3,0,0,'Données projet'!$E$12+1,1))</f>
        <v>411.67183422518411</v>
      </c>
      <c r="CE98" s="59">
        <f t="shared" si="94"/>
        <v>379.16642539721556</v>
      </c>
      <c r="CF98" s="15">
        <f>IF(ISNA(VLOOKUP(A98,'Données projet'!$A$113:$I$133,3,0)),0,VLOOKUP(A98,'Données projet'!$A$113:$I$133,3,0))</f>
        <v>16</v>
      </c>
      <c r="CG98" s="15" t="str">
        <f>IF(ISNA(VLOOKUP(A98,'Données projet'!$A$113:$I$133,4,0)),0,VLOOKUP(A98,'Données projet'!$A$113:$I$133,4,0))</f>
        <v>13</v>
      </c>
      <c r="CH98" s="16">
        <f>IF(ISNA(VLOOKUP(A98,'Données projet'!$A$113:$I$133,5,0)),0%,VLOOKUP(A98,'Données projet'!$A$113:$I$133,5,0)*VLOOKUP('Données projet'!$B$12,Paramètres!$A$1:$I$89,7,0))</f>
        <v>0.34400000000000003</v>
      </c>
      <c r="CI98" s="16">
        <f>IF(ISNA(VLOOKUP(A98,'Données projet'!$A$113:$I$133,6,0)),0%,VLOOKUP(A98,'Données projet'!$A$113:$I$133,6,0)*VLOOKUP('Données projet'!$B$12,Paramètres!$A$1:$I$89,7,0))</f>
        <v>4.3000000000000003E-2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36.923294968966566</v>
      </c>
      <c r="CL98" s="21">
        <f>EXP(-LN(2)/25)*CL97+(1-EXP(-LN(2)/25))/(LN(2)/25)*Calculateur!CG98*Calculateur!CI98*VLOOKUP('Données projet'!$B$12,Paramètres!$A$1:$I$89,3,0)*0.475*44/12</f>
        <v>14.822031458245164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51.745326427211729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7.5784615384615392</v>
      </c>
      <c r="N99" s="13">
        <f>IF('Données projet'!$A$36&gt;35,N98+M99-V98,IF(A99&lt;'Données projet'!$A$36,$K$205^A99,IF(A99='Données projet'!$A$36,'Données projet'!$B$36,N98+M99-V98)))</f>
        <v>269.71538461538398</v>
      </c>
      <c r="O99" s="13">
        <f>N99*VLOOKUP('Données projet'!$B$9,Paramètres!$A$1:$I$89,3,0)*VLOOKUP('Données projet'!$B$9,Paramètres!$A$1:$I$89,5,0)</f>
        <v>126.22679999999971</v>
      </c>
      <c r="P99" s="13">
        <f t="shared" si="87"/>
        <v>33.122994638732102</v>
      </c>
      <c r="Q99" s="20">
        <f t="shared" ref="Q99:Q130" si="107">(O99+P99)*0.475*44/12</f>
        <v>277.53422566245791</v>
      </c>
      <c r="R99" s="59">
        <f t="shared" si="55"/>
        <v>553.78327785884539</v>
      </c>
      <c r="S99" s="59">
        <f ca="1">AVERAGE(OFFSET($R$3,0,0,'Données projet'!$E$9+1,1))-AVERAGE(OFFSET($H$3,0,0,'Données projet'!$E$9+1,1))</f>
        <v>307.52968058891554</v>
      </c>
      <c r="T99" s="59">
        <f t="shared" si="88"/>
        <v>221.27527189662558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105.97843133982093</v>
      </c>
      <c r="AA99" s="21">
        <f>EXP(-LN(2)/25)*AA98+(1-EXP(-LN(2)/25))/(LN(2)/25)*Calculateur!V99*Calculateur!X99*VLOOKUP('Données projet'!$B$9,Paramètres!$A$1:$I$89,3,0)*0.475*44/12</f>
        <v>26.753549328429315</v>
      </c>
      <c r="AB99" s="21">
        <f>EXP(-LN(2)/2)*AB98+(1-EXP(-LN(2)/2))/(LN(2)/2)*V99*Y99*VLOOKUP('Données projet'!$B$9,Paramètres!$A$1:$I$89,3,0)*0.475*44/12</f>
        <v>2.9061859769234397</v>
      </c>
      <c r="AC99" s="22">
        <f t="shared" si="57"/>
        <v>135.63816664517367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377.63545575155672</v>
      </c>
      <c r="AO99" s="59">
        <f t="shared" si="90"/>
        <v>339.1731538522788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1.7053025658242404E-13</v>
      </c>
      <c r="BE99" s="13">
        <f>BD99*VLOOKUP('Données projet'!$B$11,Paramètres!$A$1:$I$89,3,0)*VLOOKUP('Données projet'!$B$11,Paramètres!$A$1:$I$89,5,0)</f>
        <v>1.383341441396624E-13</v>
      </c>
      <c r="BF99" s="13">
        <f t="shared" si="91"/>
        <v>2.0011390722884082E-12</v>
      </c>
      <c r="BG99" s="20">
        <f t="shared" si="61"/>
        <v>3.7262491852788889E-12</v>
      </c>
      <c r="BH99" s="59">
        <f t="shared" si="62"/>
        <v>276.24905219639118</v>
      </c>
      <c r="BI99" s="59">
        <f ca="1">AVERAGE(OFFSET($BH$3,0,0,'Données projet'!$E$11+1,1))-AVERAGE(OFFSET($H$3,0,0,'Données projet'!$E$11+1,1))</f>
        <v>318.98630351938459</v>
      </c>
      <c r="BJ99" s="59">
        <f t="shared" si="92"/>
        <v>312.22190035638084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60.928235438340074</v>
      </c>
      <c r="BQ99" s="21">
        <f>EXP(-LN(2)/25)*BQ98+(1-EXP(-LN(2)/25))/(LN(2)/25)*Calculateur!BL99*Calculateur!BN99*VLOOKUP('Données projet'!$B$11,Paramètres!$A$1:$I$89,3,0)*0.475*44/12</f>
        <v>41.359328799326576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102.28756423766666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3.2</v>
      </c>
      <c r="BY99" s="12">
        <f>IF('Données projet'!$A$114&gt;35,BY98+BX99-CG98,IF(A99&lt;'Données projet'!$A$114,$BV$205^A99,IF(A99='Données projet'!$A$114,'Données projet'!$B$114,BY98+BX99-CG98)))</f>
        <v>260.19999999999987</v>
      </c>
      <c r="BZ99" s="13">
        <f>BY99*VLOOKUP('Données projet'!$B$12,Paramètres!$A$1:$I$89,3,0)*VLOOKUP('Données projet'!$B$12,Paramètres!$A$1:$I$89,5,0)</f>
        <v>227.31071999999989</v>
      </c>
      <c r="CA99" s="13">
        <f t="shared" si="93"/>
        <v>55.700798883800765</v>
      </c>
      <c r="CB99" s="20">
        <f t="shared" si="64"/>
        <v>492.91172872261944</v>
      </c>
      <c r="CC99" s="59">
        <f t="shared" si="65"/>
        <v>769.16078091900681</v>
      </c>
      <c r="CD99" s="59">
        <f ca="1">AVERAGE(OFFSET($CC$3,0,0,'Données projet'!$E$12+1,1))-AVERAGE(OFFSET($H$3,0,0,'Données projet'!$E$12+1,1))</f>
        <v>411.67183422518411</v>
      </c>
      <c r="CE99" s="59">
        <f t="shared" si="94"/>
        <v>379.16642539721556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36.199251675611301</v>
      </c>
      <c r="CL99" s="21">
        <f>EXP(-LN(2)/25)*CL98+(1-EXP(-LN(2)/25))/(LN(2)/25)*Calculateur!CG99*Calculateur!CI99*VLOOKUP('Données projet'!$B$12,Paramètres!$A$1:$I$89,3,0)*0.475*44/12</f>
        <v>14.416722228562691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50.615973904173991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7.5784615384615392</v>
      </c>
      <c r="N100" s="13">
        <f>IF('Données projet'!$A$36&gt;35,N99+M100-V99,IF(A100&lt;'Données projet'!$A$36,$K$205^A100,IF(A100='Données projet'!$A$36,'Données projet'!$B$36,N99+M100-V99)))</f>
        <v>277.29384615384549</v>
      </c>
      <c r="O100" s="13">
        <f>N100*VLOOKUP('Données projet'!$B$9,Paramètres!$A$1:$I$89,3,0)*VLOOKUP('Données projet'!$B$9,Paramètres!$A$1:$I$89,5,0)</f>
        <v>129.77351999999971</v>
      </c>
      <c r="P100" s="13">
        <f t="shared" si="87"/>
        <v>33.944021144316821</v>
      </c>
      <c r="Q100" s="20">
        <f t="shared" si="107"/>
        <v>285.14138415968461</v>
      </c>
      <c r="R100" s="59">
        <f t="shared" si="55"/>
        <v>561.68681043906736</v>
      </c>
      <c r="S100" s="59">
        <f ca="1">AVERAGE(OFFSET($R$3,0,0,'Données projet'!$E$9+1,1))-AVERAGE(OFFSET($H$3,0,0,'Données projet'!$E$9+1,1))</f>
        <v>307.52968058891554</v>
      </c>
      <c r="T100" s="59">
        <f t="shared" si="88"/>
        <v>221.27527189662558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103.90025894170745</v>
      </c>
      <c r="AA100" s="21">
        <f>EXP(-LN(2)/25)*AA99+(1-EXP(-LN(2)/25))/(LN(2)/25)*Calculateur!V100*Calculateur!X100*VLOOKUP('Données projet'!$B$9,Paramètres!$A$1:$I$89,3,0)*0.475*44/12</f>
        <v>26.021972115135402</v>
      </c>
      <c r="AB100" s="21">
        <f>EXP(-LN(2)/2)*AB99+(1-EXP(-LN(2)/2))/(LN(2)/2)*V100*Y100*VLOOKUP('Données projet'!$B$9,Paramètres!$A$1:$I$89,3,0)*0.475*44/12</f>
        <v>2.0549838116718155</v>
      </c>
      <c r="AC100" s="22">
        <f t="shared" si="57"/>
        <v>131.97721486851466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377.63545575155672</v>
      </c>
      <c r="AO100" s="59">
        <f t="shared" si="90"/>
        <v>339.1731538522788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1.7053025658242404E-13</v>
      </c>
      <c r="BE100" s="13">
        <f>BD100*VLOOKUP('Données projet'!$B$11,Paramètres!$A$1:$I$89,3,0)*VLOOKUP('Données projet'!$B$11,Paramètres!$A$1:$I$89,5,0)</f>
        <v>1.383341441396624E-13</v>
      </c>
      <c r="BF100" s="13">
        <f t="shared" si="91"/>
        <v>2.0011390722884082E-12</v>
      </c>
      <c r="BG100" s="20">
        <f t="shared" si="61"/>
        <v>3.7262491852788889E-12</v>
      </c>
      <c r="BH100" s="59">
        <f t="shared" si="62"/>
        <v>276.54542627938656</v>
      </c>
      <c r="BI100" s="59">
        <f ca="1">AVERAGE(OFFSET($BH$3,0,0,'Données projet'!$E$11+1,1))-AVERAGE(OFFSET($H$3,0,0,'Données projet'!$E$11+1,1))</f>
        <v>318.98630351938459</v>
      </c>
      <c r="BJ100" s="59">
        <f t="shared" si="92"/>
        <v>312.22190035638084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59.733469903948347</v>
      </c>
      <c r="BQ100" s="21">
        <f>EXP(-LN(2)/25)*BQ99+(1-EXP(-LN(2)/25))/(LN(2)/25)*Calculateur!BL100*Calculateur!BN100*VLOOKUP('Données projet'!$B$11,Paramètres!$A$1:$I$89,3,0)*0.475*44/12</f>
        <v>40.22835577831642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99.96182568226476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3.2</v>
      </c>
      <c r="BY100" s="12">
        <f>IF('Données projet'!$A$114&gt;35,BY99+BX100-CG99,IF(A100&lt;'Données projet'!$A$114,$BV$205^A100,IF(A100='Données projet'!$A$114,'Données projet'!$B$114,BY99+BX100-CG99)))</f>
        <v>263.39999999999986</v>
      </c>
      <c r="BZ100" s="13">
        <f>BY100*VLOOKUP('Données projet'!$B$12,Paramètres!$A$1:$I$89,3,0)*VLOOKUP('Données projet'!$B$12,Paramètres!$A$1:$I$89,5,0)</f>
        <v>230.1062399999999</v>
      </c>
      <c r="CA100" s="13">
        <f t="shared" si="93"/>
        <v>56.30565248558618</v>
      </c>
      <c r="CB100" s="20">
        <f t="shared" si="64"/>
        <v>498.83404607906238</v>
      </c>
      <c r="CC100" s="59">
        <f t="shared" si="65"/>
        <v>775.37947235844513</v>
      </c>
      <c r="CD100" s="59">
        <f ca="1">AVERAGE(OFFSET($CC$3,0,0,'Données projet'!$E$12+1,1))-AVERAGE(OFFSET($H$3,0,0,'Données projet'!$E$12+1,1))</f>
        <v>411.67183422518411</v>
      </c>
      <c r="CE100" s="59">
        <f t="shared" si="94"/>
        <v>379.16642539721556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35.489406429615926</v>
      </c>
      <c r="CL100" s="21">
        <f>EXP(-LN(2)/25)*CL99+(1-EXP(-LN(2)/25))/(LN(2)/25)*Calculateur!CG100*Calculateur!CI100*VLOOKUP('Données projet'!$B$12,Paramètres!$A$1:$I$89,3,0)*0.475*44/12</f>
        <v>14.022496201080171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49.511902630696099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7.5784615384615392</v>
      </c>
      <c r="N101" s="13">
        <f>IF('Données projet'!$A$36&gt;35,N100+M101-V100,IF(A101&lt;'Données projet'!$A$36,$K$205^A101,IF(A101='Données projet'!$A$36,'Données projet'!$B$36,N100+M101-V100)))</f>
        <v>284.872307692307</v>
      </c>
      <c r="O101" s="13">
        <f>N101*VLOOKUP('Données projet'!$B$9,Paramètres!$A$1:$I$89,3,0)*VLOOKUP('Données projet'!$B$9,Paramètres!$A$1:$I$89,5,0)</f>
        <v>133.32023999999967</v>
      </c>
      <c r="P101" s="13">
        <f t="shared" si="87"/>
        <v>34.762439590361332</v>
      </c>
      <c r="Q101" s="20">
        <f t="shared" si="107"/>
        <v>292.74400028654537</v>
      </c>
      <c r="R101" s="59">
        <f t="shared" si="55"/>
        <v>569.5806592211768</v>
      </c>
      <c r="S101" s="59">
        <f ca="1">AVERAGE(OFFSET($R$3,0,0,'Données projet'!$E$9+1,1))-AVERAGE(OFFSET($H$3,0,0,'Données projet'!$E$9+1,1))</f>
        <v>307.52968058891554</v>
      </c>
      <c r="T101" s="59">
        <f t="shared" si="88"/>
        <v>221.27527189662558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101.86283823676096</v>
      </c>
      <c r="AA101" s="21">
        <f>EXP(-LN(2)/25)*AA100+(1-EXP(-LN(2)/25))/(LN(2)/25)*Calculateur!V101*Calculateur!X101*VLOOKUP('Données projet'!$B$9,Paramètres!$A$1:$I$89,3,0)*0.475*44/12</f>
        <v>25.310399919210983</v>
      </c>
      <c r="AB101" s="21">
        <f>EXP(-LN(2)/2)*AB100+(1-EXP(-LN(2)/2))/(LN(2)/2)*V101*Y101*VLOOKUP('Données projet'!$B$9,Paramètres!$A$1:$I$89,3,0)*0.475*44/12</f>
        <v>1.4530929884617199</v>
      </c>
      <c r="AC101" s="22">
        <f t="shared" si="57"/>
        <v>128.62633114443366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377.63545575155672</v>
      </c>
      <c r="AO101" s="59">
        <f t="shared" si="90"/>
        <v>339.1731538522788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1.7053025658242404E-13</v>
      </c>
      <c r="BE101" s="13">
        <f>BD101*VLOOKUP('Données projet'!$B$11,Paramètres!$A$1:$I$89,3,0)*VLOOKUP('Données projet'!$B$11,Paramètres!$A$1:$I$89,5,0)</f>
        <v>1.383341441396624E-13</v>
      </c>
      <c r="BF101" s="13">
        <f t="shared" si="91"/>
        <v>2.0011390722884082E-12</v>
      </c>
      <c r="BG101" s="20">
        <f t="shared" si="61"/>
        <v>3.7262491852788889E-12</v>
      </c>
      <c r="BH101" s="59">
        <f t="shared" si="62"/>
        <v>276.83665893463512</v>
      </c>
      <c r="BI101" s="59">
        <f ca="1">AVERAGE(OFFSET($BH$3,0,0,'Données projet'!$E$11+1,1))-AVERAGE(OFFSET($H$3,0,0,'Données projet'!$E$11+1,1))</f>
        <v>318.98630351938459</v>
      </c>
      <c r="BJ101" s="59">
        <f t="shared" si="92"/>
        <v>312.22190035638084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58.562132992951021</v>
      </c>
      <c r="BQ101" s="21">
        <f>EXP(-LN(2)/25)*BQ100+(1-EXP(-LN(2)/25))/(LN(2)/25)*Calculateur!BL101*Calculateur!BN101*VLOOKUP('Données projet'!$B$11,Paramètres!$A$1:$I$89,3,0)*0.475*44/12</f>
        <v>39.128309274041072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97.690442266992093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3.2</v>
      </c>
      <c r="BY101" s="12">
        <f>IF('Données projet'!$A$114&gt;35,BY100+BX101-CG100,IF(A101&lt;'Données projet'!$A$114,$BV$205^A101,IF(A101='Données projet'!$A$114,'Données projet'!$B$114,BY100+BX101-CG100)))</f>
        <v>266.59999999999985</v>
      </c>
      <c r="BZ101" s="13">
        <f>BY101*VLOOKUP('Données projet'!$B$12,Paramètres!$A$1:$I$89,3,0)*VLOOKUP('Données projet'!$B$12,Paramètres!$A$1:$I$89,5,0)</f>
        <v>232.90175999999991</v>
      </c>
      <c r="CA101" s="13">
        <f t="shared" si="93"/>
        <v>56.909651332233828</v>
      </c>
      <c r="CB101" s="20">
        <f t="shared" si="64"/>
        <v>504.7548747369737</v>
      </c>
      <c r="CC101" s="59">
        <f t="shared" si="65"/>
        <v>781.59153367160502</v>
      </c>
      <c r="CD101" s="59">
        <f ca="1">AVERAGE(OFFSET($CC$3,0,0,'Données projet'!$E$12+1,1))-AVERAGE(OFFSET($H$3,0,0,'Données projet'!$E$12+1,1))</f>
        <v>411.67183422518411</v>
      </c>
      <c r="CE101" s="59">
        <f t="shared" si="94"/>
        <v>379.16642539721556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34.793480815931673</v>
      </c>
      <c r="CL101" s="21">
        <f>EXP(-LN(2)/25)*CL100+(1-EXP(-LN(2)/25))/(LN(2)/25)*Calculateur!CG101*Calculateur!CI101*VLOOKUP('Données projet'!$B$12,Paramètres!$A$1:$I$89,3,0)*0.475*44/12</f>
        <v>13.639050305050608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48.432531120982283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7.5784615384615392</v>
      </c>
      <c r="N102" s="13">
        <f>IF('Données projet'!$A$36&gt;35,N101+M102-V101,IF(A102&lt;'Données projet'!$A$36,$K$205^A102,IF(A102='Données projet'!$A$36,'Données projet'!$B$36,N101+M102-V101)))</f>
        <v>292.45076923076851</v>
      </c>
      <c r="O102" s="13">
        <f>N102*VLOOKUP('Données projet'!$B$9,Paramètres!$A$1:$I$89,3,0)*VLOOKUP('Données projet'!$B$9,Paramètres!$A$1:$I$89,5,0)</f>
        <v>136.86695999999966</v>
      </c>
      <c r="P102" s="13">
        <f t="shared" si="87"/>
        <v>35.578327333867257</v>
      </c>
      <c r="Q102" s="20">
        <f t="shared" si="107"/>
        <v>300.34220877315158</v>
      </c>
      <c r="R102" s="59">
        <f t="shared" si="55"/>
        <v>577.46504812756166</v>
      </c>
      <c r="S102" s="59">
        <f ca="1">AVERAGE(OFFSET($R$3,0,0,'Données projet'!$E$9+1,1))-AVERAGE(OFFSET($H$3,0,0,'Données projet'!$E$9+1,1))</f>
        <v>307.52968058891554</v>
      </c>
      <c r="T102" s="59">
        <f t="shared" si="88"/>
        <v>221.27527189662558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99.86537010913456</v>
      </c>
      <c r="AA102" s="21">
        <f>EXP(-LN(2)/25)*AA101+(1-EXP(-LN(2)/25))/(LN(2)/25)*Calculateur!V102*Calculateur!X102*VLOOKUP('Données projet'!$B$9,Paramètres!$A$1:$I$89,3,0)*0.475*44/12</f>
        <v>24.618285702404076</v>
      </c>
      <c r="AB102" s="21">
        <f>EXP(-LN(2)/2)*AB101+(1-EXP(-LN(2)/2))/(LN(2)/2)*V102*Y102*VLOOKUP('Données projet'!$B$9,Paramètres!$A$1:$I$89,3,0)*0.475*44/12</f>
        <v>1.0274919058359078</v>
      </c>
      <c r="AC102" s="22">
        <f t="shared" si="57"/>
        <v>125.51114771737454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377.63545575155672</v>
      </c>
      <c r="AO102" s="59">
        <f t="shared" si="90"/>
        <v>339.1731538522788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1.7053025658242404E-13</v>
      </c>
      <c r="BE102" s="13">
        <f>BD102*VLOOKUP('Données projet'!$B$11,Paramètres!$A$1:$I$89,3,0)*VLOOKUP('Données projet'!$B$11,Paramètres!$A$1:$I$89,5,0)</f>
        <v>1.383341441396624E-13</v>
      </c>
      <c r="BF102" s="13">
        <f t="shared" si="91"/>
        <v>2.0011390722884082E-12</v>
      </c>
      <c r="BG102" s="20">
        <f t="shared" si="61"/>
        <v>3.7262491852788889E-12</v>
      </c>
      <c r="BH102" s="59">
        <f t="shared" si="62"/>
        <v>277.12283935441388</v>
      </c>
      <c r="BI102" s="59">
        <f ca="1">AVERAGE(OFFSET($BH$3,0,0,'Données projet'!$E$11+1,1))-AVERAGE(OFFSET($H$3,0,0,'Données projet'!$E$11+1,1))</f>
        <v>318.98630351938459</v>
      </c>
      <c r="BJ102" s="59">
        <f t="shared" si="92"/>
        <v>312.22190035638084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57.41376528433338</v>
      </c>
      <c r="BQ102" s="21">
        <f>EXP(-LN(2)/25)*BQ101+(1-EXP(-LN(2)/25))/(LN(2)/25)*Calculateur!BL102*Calculateur!BN102*VLOOKUP('Données projet'!$B$11,Paramètres!$A$1:$I$89,3,0)*0.475*44/12</f>
        <v>38.05834359927406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95.472108883607433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3.2</v>
      </c>
      <c r="BY102" s="12">
        <f>IF('Données projet'!$A$114&gt;35,BY101+BX102-CG101,IF(A102&lt;'Données projet'!$A$114,$BV$205^A102,IF(A102='Données projet'!$A$114,'Données projet'!$B$114,BY101+BX102-CG101)))</f>
        <v>269.79999999999984</v>
      </c>
      <c r="BZ102" s="13">
        <f>BY102*VLOOKUP('Données projet'!$B$12,Paramètres!$A$1:$I$89,3,0)*VLOOKUP('Données projet'!$B$12,Paramètres!$A$1:$I$89,5,0)</f>
        <v>235.69727999999992</v>
      </c>
      <c r="CA102" s="13">
        <f t="shared" si="93"/>
        <v>57.512806870145788</v>
      </c>
      <c r="CB102" s="20">
        <f t="shared" si="64"/>
        <v>510.67423463217045</v>
      </c>
      <c r="CC102" s="59">
        <f t="shared" si="65"/>
        <v>787.79707398658059</v>
      </c>
      <c r="CD102" s="59">
        <f ca="1">AVERAGE(OFFSET($CC$3,0,0,'Données projet'!$E$12+1,1))-AVERAGE(OFFSET($H$3,0,0,'Données projet'!$E$12+1,1))</f>
        <v>411.67183422518411</v>
      </c>
      <c r="CE102" s="59">
        <f t="shared" si="94"/>
        <v>379.16642539721556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34.11120187905906</v>
      </c>
      <c r="CL102" s="21">
        <f>EXP(-LN(2)/25)*CL101+(1-EXP(-LN(2)/25))/(LN(2)/25)*Calculateur!CG102*Calculateur!CI102*VLOOKUP('Données projet'!$B$12,Paramètres!$A$1:$I$89,3,0)*0.475*44/12</f>
        <v>13.266089757212516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47.377291636271579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7.5784615384615392</v>
      </c>
      <c r="N103" s="13">
        <f>IF('Données projet'!$A$36&gt;35,N102+M103-V102,IF(A103&lt;'Données projet'!$A$36,$K$205^A103,IF(A103='Données projet'!$A$36,'Données projet'!$B$36,N102+M103-V102)))</f>
        <v>300.02923076923003</v>
      </c>
      <c r="O103" s="13">
        <f>N103*VLOOKUP('Données projet'!$B$9,Paramètres!$A$1:$I$89,3,0)*VLOOKUP('Données projet'!$B$9,Paramètres!$A$1:$I$89,5,0)</f>
        <v>140.41367999999966</v>
      </c>
      <c r="P103" s="13">
        <f t="shared" si="87"/>
        <v>36.391757494259856</v>
      </c>
      <c r="Q103" s="20">
        <f t="shared" si="107"/>
        <v>307.93613696916861</v>
      </c>
      <c r="R103" s="59">
        <f t="shared" si="55"/>
        <v>585.34019215287776</v>
      </c>
      <c r="S103" s="59">
        <f ca="1">AVERAGE(OFFSET($R$3,0,0,'Données projet'!$E$9+1,1))-AVERAGE(OFFSET($H$3,0,0,'Données projet'!$E$9+1,1))</f>
        <v>307.52968058891554</v>
      </c>
      <c r="T103" s="59">
        <f t="shared" si="88"/>
        <v>221.27527189662558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97.907071113155652</v>
      </c>
      <c r="AA103" s="21">
        <f>EXP(-LN(2)/25)*AA102+(1-EXP(-LN(2)/25))/(LN(2)/25)*Calculateur!V103*Calculateur!X103*VLOOKUP('Données projet'!$B$9,Paramètres!$A$1:$I$89,3,0)*0.475*44/12</f>
        <v>23.945097385252456</v>
      </c>
      <c r="AB103" s="21">
        <f>EXP(-LN(2)/2)*AB102+(1-EXP(-LN(2)/2))/(LN(2)/2)*V103*Y103*VLOOKUP('Données projet'!$B$9,Paramètres!$A$1:$I$89,3,0)*0.475*44/12</f>
        <v>0.72654649423085993</v>
      </c>
      <c r="AC103" s="22">
        <f t="shared" si="57"/>
        <v>122.57871499263896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377.63545575155672</v>
      </c>
      <c r="AO103" s="59">
        <f t="shared" si="90"/>
        <v>339.1731538522788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1.7053025658242404E-13</v>
      </c>
      <c r="BE103" s="13">
        <f>BD103*VLOOKUP('Données projet'!$B$11,Paramètres!$A$1:$I$89,3,0)*VLOOKUP('Données projet'!$B$11,Paramètres!$A$1:$I$89,5,0)</f>
        <v>1.383341441396624E-13</v>
      </c>
      <c r="BF103" s="13">
        <f t="shared" si="91"/>
        <v>2.0011390722884082E-12</v>
      </c>
      <c r="BG103" s="20">
        <f t="shared" si="61"/>
        <v>3.7262491852788889E-12</v>
      </c>
      <c r="BH103" s="59">
        <f t="shared" si="62"/>
        <v>277.40405518371296</v>
      </c>
      <c r="BI103" s="59">
        <f ca="1">AVERAGE(OFFSET($BH$3,0,0,'Données projet'!$E$11+1,1))-AVERAGE(OFFSET($H$3,0,0,'Données projet'!$E$11+1,1))</f>
        <v>318.98630351938459</v>
      </c>
      <c r="BJ103" s="59">
        <f t="shared" si="92"/>
        <v>312.22190035638084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56.287916366046595</v>
      </c>
      <c r="BQ103" s="21">
        <f>EXP(-LN(2)/25)*BQ102+(1-EXP(-LN(2)/25))/(LN(2)/25)*Calculateur!BL103*Calculateur!BN103*VLOOKUP('Données projet'!$B$11,Paramètres!$A$1:$I$89,3,0)*0.475*44/12</f>
        <v>37.017636192150604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93.305552558197206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273</v>
      </c>
      <c r="BW103" s="12">
        <f>VLOOKUP(A103,'Données projet'!$A$113:$I$133,9,0)</f>
        <v>3.2</v>
      </c>
      <c r="BX103" s="12">
        <f t="array" ref="BX103">INDEX(BW:BW,MIN(IF(ISNUMBER(BW103:BW299),ROW(BW103:BW299),"")))</f>
        <v>3.2</v>
      </c>
      <c r="BY103" s="12">
        <f>IF('Données projet'!$A$114&gt;35,BY102+BX103-CG102,IF(A103&lt;'Données projet'!$A$114,$BV$205^A103,IF(A103='Données projet'!$A$114,'Données projet'!$B$114,BY102+BX103-CG102)))</f>
        <v>272.99999999999983</v>
      </c>
      <c r="BZ103" s="13">
        <f>BY103*VLOOKUP('Données projet'!$B$12,Paramètres!$A$1:$I$89,3,0)*VLOOKUP('Données projet'!$B$12,Paramètres!$A$1:$I$89,5,0)</f>
        <v>238.49279999999987</v>
      </c>
      <c r="CA103" s="13">
        <f t="shared" si="93"/>
        <v>58.115130258576542</v>
      </c>
      <c r="CB103" s="20">
        <f t="shared" si="64"/>
        <v>516.59214520035391</v>
      </c>
      <c r="CC103" s="59">
        <f t="shared" si="65"/>
        <v>793.99620038406306</v>
      </c>
      <c r="CD103" s="59">
        <f ca="1">AVERAGE(OFFSET($CC$3,0,0,'Données projet'!$E$12+1,1))-AVERAGE(OFFSET($H$3,0,0,'Données projet'!$E$12+1,1))</f>
        <v>411.67183422518411</v>
      </c>
      <c r="CE103" s="59">
        <f t="shared" si="94"/>
        <v>379.16642539721556</v>
      </c>
      <c r="CF103" s="15">
        <f>IF(ISNA(VLOOKUP(A103,'Données projet'!$A$113:$I$133,3,0)),0,VLOOKUP(A103,'Données projet'!$A$113:$I$133,3,0))</f>
        <v>17</v>
      </c>
      <c r="CG103" s="15" t="str">
        <f>IF(ISNA(VLOOKUP(A103,'Données projet'!$A$113:$I$133,4,0)),0,VLOOKUP(A103,'Données projet'!$A$113:$I$133,4,0))</f>
        <v>13</v>
      </c>
      <c r="CH103" s="16">
        <f>IF(ISNA(VLOOKUP(A103,'Données projet'!$A$113:$I$133,5,0)),0%,VLOOKUP(A103,'Données projet'!$A$113:$I$133,5,0)*VLOOKUP('Données projet'!$B$12,Paramètres!$A$1:$I$89,7,0))</f>
        <v>0.34400000000000003</v>
      </c>
      <c r="CI103" s="16">
        <f>IF(ISNA(VLOOKUP(A103,'Données projet'!$A$113:$I$133,6,0)),0%,VLOOKUP(A103,'Données projet'!$A$113:$I$133,6,0)*VLOOKUP('Données projet'!$B$12,Paramètres!$A$1:$I$89,7,0))</f>
        <v>4.3000000000000003E-2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37.761086482149707</v>
      </c>
      <c r="CL103" s="21">
        <f>EXP(-LN(2)/25)*CL102+(1-EXP(-LN(2)/25))/(LN(2)/25)*Calculateur!CG103*Calculateur!CI103*VLOOKUP('Données projet'!$B$12,Paramètres!$A$1:$I$89,3,0)*0.475*44/12</f>
        <v>13.441050305934585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51.202136788084289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>
        <f>VLOOKUP(A104,'Données projet'!$A$35:$I$55,2,0)</f>
        <v>307.60769230769228</v>
      </c>
      <c r="L104" s="12">
        <f>VLOOKUP(A104,'Données projet'!$A$35:$I$55,9,0)</f>
        <v>7.5784615384615392</v>
      </c>
      <c r="M104" s="12">
        <f t="array" ref="M104">INDEX(L:L,MIN(IF(ISNUMBER(L104:L300),ROW(L104:L300),"")))</f>
        <v>7.5784615384615392</v>
      </c>
      <c r="N104" s="13">
        <f>IF('Données projet'!$A$36&gt;35,N103+M104-V103,IF(A104&lt;'Données projet'!$A$36,$K$205^A104,IF(A104='Données projet'!$A$36,'Données projet'!$B$36,N103+M104-V103)))</f>
        <v>307.60769230769154</v>
      </c>
      <c r="O104" s="13">
        <f>N104*VLOOKUP('Données projet'!$B$9,Paramètres!$A$1:$I$89,3,0)*VLOOKUP('Données projet'!$B$9,Paramètres!$A$1:$I$89,5,0)</f>
        <v>143.96039999999965</v>
      </c>
      <c r="P104" s="13">
        <f t="shared" si="87"/>
        <v>37.202799286612169</v>
      </c>
      <c r="Q104" s="20">
        <f t="shared" si="107"/>
        <v>315.52590542418221</v>
      </c>
      <c r="R104" s="59">
        <f t="shared" si="55"/>
        <v>593.20629797125662</v>
      </c>
      <c r="S104" s="59">
        <f ca="1">AVERAGE(OFFSET($R$3,0,0,'Données projet'!$E$9+1,1))-AVERAGE(OFFSET($H$3,0,0,'Données projet'!$E$9+1,1))</f>
        <v>307.52968058891554</v>
      </c>
      <c r="T104" s="59">
        <f t="shared" si="88"/>
        <v>221.27527189662558</v>
      </c>
      <c r="U104" s="15">
        <f>IF(ISNA(VLOOKUP(A104,'Données projet'!$A$35:$I$55,3,0)),0,VLOOKUP(A104,'Données projet'!$A$35:$I$55,3,0))</f>
        <v>8</v>
      </c>
      <c r="V104" s="15">
        <f>IF(ISNA(VLOOKUP(A104,'Données projet'!$A$35:$I$55,4,0)),0,VLOOKUP(A104,'Données projet'!$A$35:$I$55,4,0))</f>
        <v>307.60769230769228</v>
      </c>
      <c r="W104" s="16">
        <f>IF(ISNA(VLOOKUP(A104,'Données projet'!$A$35:$I$55,5,0)),0%,VLOOKUP(A104,'Données projet'!$A$35:$I$55,5,0)*VLOOKUP('Données projet'!$B$9,Paramètres!$A$1:$I$89,7,0))</f>
        <v>0.38500000000000001</v>
      </c>
      <c r="X104" s="16">
        <f>IF(ISNA(VLOOKUP(A104,'Données projet'!$A$35:$I$55,6,0)),0%,VLOOKUP(A104,'Données projet'!$A$35:$I$55,6,0)*VLOOKUP('Données projet'!$B$9,Paramètres!$A$1:$I$89,7,0))</f>
        <v>9.240000000000001E-2</v>
      </c>
      <c r="Y104" s="16">
        <f>IF(ISNA(VLOOKUP(A104,'Données projet'!$A$35:$I$55,7,0)),0%,VLOOKUP(A104,'Données projet'!$A$35:$I$55,7,0))</f>
        <v>0.13200000000000001</v>
      </c>
      <c r="Z104" s="21">
        <f>EXP(-LN(2)/35)*Z103+(1-EXP(-LN(2)/35))/(LN(2)/35)*V104*W104*VLOOKUP('Données projet'!$B$9,Paramètres!$A$1:$I$89,3,0)*0.475*44/12</f>
        <v>169.51168177392393</v>
      </c>
      <c r="AA104" s="21">
        <f>EXP(-LN(2)/25)*AA103+(1-EXP(-LN(2)/25))/(LN(2)/25)*Calculateur!V104*Calculateur!X104*VLOOKUP('Données projet'!$B$9,Paramètres!$A$1:$I$89,3,0)*0.475*44/12</f>
        <v>40.866720942624497</v>
      </c>
      <c r="AB104" s="21">
        <f>EXP(-LN(2)/2)*AB103+(1-EXP(-LN(2)/2))/(LN(2)/2)*V104*Y104*VLOOKUP('Données projet'!$B$9,Paramètres!$A$1:$I$89,3,0)*0.475*44/12</f>
        <v>22.029299059635388</v>
      </c>
      <c r="AC104" s="22">
        <f t="shared" si="57"/>
        <v>232.40770177618379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377.63545575155672</v>
      </c>
      <c r="AO104" s="59">
        <f t="shared" si="90"/>
        <v>339.1731538522788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1.7053025658242404E-13</v>
      </c>
      <c r="BE104" s="13">
        <f>BD104*VLOOKUP('Données projet'!$B$11,Paramètres!$A$1:$I$89,3,0)*VLOOKUP('Données projet'!$B$11,Paramètres!$A$1:$I$89,5,0)</f>
        <v>1.383341441396624E-13</v>
      </c>
      <c r="BF104" s="13">
        <f t="shared" si="91"/>
        <v>2.0011390722884082E-12</v>
      </c>
      <c r="BG104" s="20">
        <f t="shared" si="61"/>
        <v>3.7262491852788889E-12</v>
      </c>
      <c r="BH104" s="59">
        <f t="shared" si="62"/>
        <v>277.68039254707816</v>
      </c>
      <c r="BI104" s="59">
        <f ca="1">AVERAGE(OFFSET($BH$3,0,0,'Données projet'!$E$11+1,1))-AVERAGE(OFFSET($H$3,0,0,'Données projet'!$E$11+1,1))</f>
        <v>318.98630351938459</v>
      </c>
      <c r="BJ104" s="59">
        <f t="shared" si="92"/>
        <v>312.22190035638084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55.184144658347378</v>
      </c>
      <c r="BQ104" s="21">
        <f>EXP(-LN(2)/25)*BQ103+(1-EXP(-LN(2)/25))/(LN(2)/25)*Calculateur!BL104*Calculateur!BN104*VLOOKUP('Données projet'!$B$11,Paramètres!$A$1:$I$89,3,0)*0.475*44/12</f>
        <v>36.005386983803362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91.18953164215074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259.99999999999983</v>
      </c>
      <c r="BZ104" s="13">
        <f>BY104*VLOOKUP('Données projet'!$B$12,Paramètres!$A$1:$I$89,3,0)*VLOOKUP('Données projet'!$B$12,Paramètres!$A$1:$I$89,5,0)</f>
        <v>227.13599999999985</v>
      </c>
      <c r="CA104" s="13">
        <f t="shared" si="93"/>
        <v>55.662966886685133</v>
      </c>
      <c r="CB104" s="20">
        <f t="shared" si="64"/>
        <v>492.5415339943097</v>
      </c>
      <c r="CC104" s="59">
        <f t="shared" si="65"/>
        <v>770.22192654138416</v>
      </c>
      <c r="CD104" s="59">
        <f ca="1">AVERAGE(OFFSET($CC$3,0,0,'Données projet'!$E$12+1,1))-AVERAGE(OFFSET($H$3,0,0,'Données projet'!$E$12+1,1))</f>
        <v>411.67183422518411</v>
      </c>
      <c r="CE104" s="59">
        <f t="shared" si="94"/>
        <v>379.16642539721556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37.020614608223283</v>
      </c>
      <c r="CL104" s="21">
        <f>EXP(-LN(2)/25)*CL103+(1-EXP(-LN(2)/25))/(LN(2)/25)*Calculateur!CG104*Calculateur!CI104*VLOOKUP('Données projet'!$B$12,Paramètres!$A$1:$I$89,3,0)*0.475*44/12</f>
        <v>13.073504078484689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50.094118686707972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-7.3896444519050419E-13</v>
      </c>
      <c r="O105" s="13">
        <f>N105*VLOOKUP('Données projet'!$B$9,Paramètres!$A$1:$I$89,3,0)*VLOOKUP('Données projet'!$B$9,Paramètres!$A$1:$I$89,5,0)</f>
        <v>-3.4583536034915594E-13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307.52968058891554</v>
      </c>
      <c r="T105" s="59">
        <f t="shared" si="88"/>
        <v>221.27527189662558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166.18766108625405</v>
      </c>
      <c r="AA105" s="21">
        <f>EXP(-LN(2)/25)*AA104+(1-EXP(-LN(2)/25))/(LN(2)/25)*Calculateur!V105*Calculateur!X105*VLOOKUP('Données projet'!$B$9,Paramètres!$A$1:$I$89,3,0)*0.475*44/12</f>
        <v>39.749218309360977</v>
      </c>
      <c r="AB105" s="21">
        <f>EXP(-LN(2)/2)*AB104+(1-EXP(-LN(2)/2))/(LN(2)/2)*V105*Y105*VLOOKUP('Données projet'!$B$9,Paramètres!$A$1:$I$89,3,0)*0.475*44/12</f>
        <v>15.577066749854618</v>
      </c>
      <c r="AC105" s="22">
        <f t="shared" si="57"/>
        <v>221.51394614546965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377.63545575155672</v>
      </c>
      <c r="AO105" s="59">
        <f t="shared" si="90"/>
        <v>339.1731538522788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1.7053025658242404E-13</v>
      </c>
      <c r="BE105" s="13">
        <f>BD105*VLOOKUP('Données projet'!$B$11,Paramètres!$A$1:$I$89,3,0)*VLOOKUP('Données projet'!$B$11,Paramètres!$A$1:$I$89,5,0)</f>
        <v>1.383341441396624E-13</v>
      </c>
      <c r="BF105" s="13">
        <f t="shared" si="91"/>
        <v>2.0011390722884082E-12</v>
      </c>
      <c r="BG105" s="20">
        <f t="shared" si="61"/>
        <v>3.7262491852788889E-12</v>
      </c>
      <c r="BH105" s="59">
        <f t="shared" si="62"/>
        <v>277.95193607498669</v>
      </c>
      <c r="BI105" s="59">
        <f ca="1">AVERAGE(OFFSET($BH$3,0,0,'Données projet'!$E$11+1,1))-AVERAGE(OFFSET($H$3,0,0,'Données projet'!$E$11+1,1))</f>
        <v>318.98630351938459</v>
      </c>
      <c r="BJ105" s="59">
        <f t="shared" si="92"/>
        <v>312.22190035638084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54.102017240601874</v>
      </c>
      <c r="BQ105" s="21">
        <f>EXP(-LN(2)/25)*BQ104+(1-EXP(-LN(2)/25))/(LN(2)/25)*Calculateur!BL105*Calculateur!BN105*VLOOKUP('Données projet'!$B$11,Paramètres!$A$1:$I$89,3,0)*0.475*44/12</f>
        <v>35.020817783290248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89.122835023892122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259.99999999999983</v>
      </c>
      <c r="BZ105" s="13">
        <f>BY105*VLOOKUP('Données projet'!$B$12,Paramètres!$A$1:$I$89,3,0)*VLOOKUP('Données projet'!$B$12,Paramètres!$A$1:$I$89,5,0)</f>
        <v>227.13599999999985</v>
      </c>
      <c r="CA105" s="13">
        <f t="shared" si="93"/>
        <v>55.662966886685133</v>
      </c>
      <c r="CB105" s="20">
        <f t="shared" si="64"/>
        <v>492.5415339943097</v>
      </c>
      <c r="CC105" s="59">
        <f t="shared" si="65"/>
        <v>770.4934700692927</v>
      </c>
      <c r="CD105" s="59">
        <f ca="1">AVERAGE(OFFSET($CC$3,0,0,'Données projet'!$E$12+1,1))-AVERAGE(OFFSET($H$3,0,0,'Données projet'!$E$12+1,1))</f>
        <v>411.67183422518411</v>
      </c>
      <c r="CE105" s="59">
        <f t="shared" si="94"/>
        <v>379.16642539721556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36.294662936101311</v>
      </c>
      <c r="CL105" s="21">
        <f>EXP(-LN(2)/25)*CL104+(1-EXP(-LN(2)/25))/(LN(2)/25)*Calculateur!CG105*Calculateur!CI105*VLOOKUP('Données projet'!$B$12,Paramètres!$A$1:$I$89,3,0)*0.475*44/12</f>
        <v>12.716008421952825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49.01067135805414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-7.3896444519050419E-13</v>
      </c>
      <c r="O106" s="13">
        <f>N106*VLOOKUP('Données projet'!$B$9,Paramètres!$A$1:$I$89,3,0)*VLOOKUP('Données projet'!$B$9,Paramètres!$A$1:$I$89,5,0)</f>
        <v>-3.4583536034915594E-13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307.52968058891554</v>
      </c>
      <c r="T106" s="59">
        <f t="shared" si="88"/>
        <v>221.27527189662558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162.92882241681696</v>
      </c>
      <c r="AA106" s="21">
        <f>EXP(-LN(2)/25)*AA105+(1-EXP(-LN(2)/25))/(LN(2)/25)*Calculateur!V106*Calculateur!X106*VLOOKUP('Données projet'!$B$9,Paramètres!$A$1:$I$89,3,0)*0.475*44/12</f>
        <v>38.662273844370958</v>
      </c>
      <c r="AB106" s="21">
        <f>EXP(-LN(2)/2)*AB105+(1-EXP(-LN(2)/2))/(LN(2)/2)*V106*Y106*VLOOKUP('Données projet'!$B$9,Paramètres!$A$1:$I$89,3,0)*0.475*44/12</f>
        <v>11.014649529817696</v>
      </c>
      <c r="AC106" s="22">
        <f t="shared" si="57"/>
        <v>212.6057457910056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377.63545575155672</v>
      </c>
      <c r="AO106" s="59">
        <f t="shared" si="90"/>
        <v>339.1731538522788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1.7053025658242404E-13</v>
      </c>
      <c r="BE106" s="13">
        <f>BD106*VLOOKUP('Données projet'!$B$11,Paramètres!$A$1:$I$89,3,0)*VLOOKUP('Données projet'!$B$11,Paramètres!$A$1:$I$89,5,0)</f>
        <v>1.383341441396624E-13</v>
      </c>
      <c r="BF106" s="13">
        <f t="shared" si="91"/>
        <v>2.0011390722884082E-12</v>
      </c>
      <c r="BG106" s="20">
        <f t="shared" si="61"/>
        <v>3.7262491852788889E-12</v>
      </c>
      <c r="BH106" s="59">
        <f t="shared" si="62"/>
        <v>278.21876892976644</v>
      </c>
      <c r="BI106" s="59">
        <f ca="1">AVERAGE(OFFSET($BH$3,0,0,'Données projet'!$E$11+1,1))-AVERAGE(OFFSET($H$3,0,0,'Données projet'!$E$11+1,1))</f>
        <v>318.98630351938459</v>
      </c>
      <c r="BJ106" s="59">
        <f t="shared" si="92"/>
        <v>312.22190035638084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53.041109681485814</v>
      </c>
      <c r="BQ106" s="21">
        <f>EXP(-LN(2)/25)*BQ105+(1-EXP(-LN(2)/25))/(LN(2)/25)*Calculateur!BL106*Calculateur!BN106*VLOOKUP('Données projet'!$B$11,Paramètres!$A$1:$I$89,3,0)*0.475*44/12</f>
        <v>34.063171679341409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87.10428136082723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259.99999999999983</v>
      </c>
      <c r="BZ106" s="13">
        <f>BY106*VLOOKUP('Données projet'!$B$12,Paramètres!$A$1:$I$89,3,0)*VLOOKUP('Données projet'!$B$12,Paramètres!$A$1:$I$89,5,0)</f>
        <v>227.13599999999985</v>
      </c>
      <c r="CA106" s="13">
        <f t="shared" si="93"/>
        <v>55.662966886685133</v>
      </c>
      <c r="CB106" s="20">
        <f t="shared" si="64"/>
        <v>492.5415339943097</v>
      </c>
      <c r="CC106" s="59">
        <f t="shared" si="65"/>
        <v>770.76030292407245</v>
      </c>
      <c r="CD106" s="59">
        <f ca="1">AVERAGE(OFFSET($CC$3,0,0,'Données projet'!$E$12+1,1))-AVERAGE(OFFSET($H$3,0,0,'Données projet'!$E$12+1,1))</f>
        <v>411.67183422518411</v>
      </c>
      <c r="CE106" s="59">
        <f t="shared" si="94"/>
        <v>379.16642539721556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35.582946733482856</v>
      </c>
      <c r="CL106" s="21">
        <f>EXP(-LN(2)/25)*CL105+(1-EXP(-LN(2)/25))/(LN(2)/25)*Calculateur!CG106*Calculateur!CI106*VLOOKUP('Données projet'!$B$12,Paramètres!$A$1:$I$89,3,0)*0.475*44/12</f>
        <v>12.368288502948705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47.951235236431557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-7.3896444519050419E-13</v>
      </c>
      <c r="O107" s="13">
        <f>N107*VLOOKUP('Données projet'!$B$9,Paramètres!$A$1:$I$89,3,0)*VLOOKUP('Données projet'!$B$9,Paramètres!$A$1:$I$89,5,0)</f>
        <v>-3.4583536034915594E-13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307.52968058891554</v>
      </c>
      <c r="T107" s="59">
        <f t="shared" si="88"/>
        <v>221.27527189662558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159.73388758599222</v>
      </c>
      <c r="AA107" s="21">
        <f>EXP(-LN(2)/25)*AA106+(1-EXP(-LN(2)/25))/(LN(2)/25)*Calculateur!V107*Calculateur!X107*VLOOKUP('Données projet'!$B$9,Paramètres!$A$1:$I$89,3,0)*0.475*44/12</f>
        <v>37.605051932936014</v>
      </c>
      <c r="AB107" s="21">
        <f>EXP(-LN(2)/2)*AB106+(1-EXP(-LN(2)/2))/(LN(2)/2)*V107*Y107*VLOOKUP('Données projet'!$B$9,Paramètres!$A$1:$I$89,3,0)*0.475*44/12</f>
        <v>7.7885333749273107</v>
      </c>
      <c r="AC107" s="22">
        <f t="shared" si="57"/>
        <v>205.12747289385555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377.63545575155672</v>
      </c>
      <c r="AO107" s="59">
        <f t="shared" si="90"/>
        <v>339.1731538522788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1.7053025658242404E-13</v>
      </c>
      <c r="BE107" s="13">
        <f>BD107*VLOOKUP('Données projet'!$B$11,Paramètres!$A$1:$I$89,3,0)*VLOOKUP('Données projet'!$B$11,Paramètres!$A$1:$I$89,5,0)</f>
        <v>1.383341441396624E-13</v>
      </c>
      <c r="BF107" s="13">
        <f t="shared" si="91"/>
        <v>2.0011390722884082E-12</v>
      </c>
      <c r="BG107" s="20">
        <f t="shared" si="61"/>
        <v>3.7262491852788889E-12</v>
      </c>
      <c r="BH107" s="59">
        <f t="shared" si="62"/>
        <v>278.48097283106466</v>
      </c>
      <c r="BI107" s="59">
        <f ca="1">AVERAGE(OFFSET($BH$3,0,0,'Données projet'!$E$11+1,1))-AVERAGE(OFFSET($H$3,0,0,'Données projet'!$E$11+1,1))</f>
        <v>318.98630351938459</v>
      </c>
      <c r="BJ107" s="59">
        <f t="shared" si="92"/>
        <v>312.22190035638084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52.001005872514298</v>
      </c>
      <c r="BQ107" s="21">
        <f>EXP(-LN(2)/25)*BQ106+(1-EXP(-LN(2)/25))/(LN(2)/25)*Calculateur!BL107*Calculateur!BN107*VLOOKUP('Données projet'!$B$11,Paramètres!$A$1:$I$89,3,0)*0.475*44/12</f>
        <v>33.131712458465472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85.13271833097977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259.99999999999983</v>
      </c>
      <c r="BZ107" s="13">
        <f>BY107*VLOOKUP('Données projet'!$B$12,Paramètres!$A$1:$I$89,3,0)*VLOOKUP('Données projet'!$B$12,Paramètres!$A$1:$I$89,5,0)</f>
        <v>227.13599999999985</v>
      </c>
      <c r="CA107" s="13">
        <f t="shared" si="93"/>
        <v>55.662966886685133</v>
      </c>
      <c r="CB107" s="20">
        <f t="shared" si="64"/>
        <v>492.5415339943097</v>
      </c>
      <c r="CC107" s="59">
        <f t="shared" si="65"/>
        <v>771.02250682537056</v>
      </c>
      <c r="CD107" s="59">
        <f ca="1">AVERAGE(OFFSET($CC$3,0,0,'Données projet'!$E$12+1,1))-AVERAGE(OFFSET($H$3,0,0,'Données projet'!$E$12+1,1))</f>
        <v>411.67183422518411</v>
      </c>
      <c r="CE107" s="59">
        <f t="shared" si="94"/>
        <v>379.16642539721556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34.885186851493728</v>
      </c>
      <c r="CL107" s="21">
        <f>EXP(-LN(2)/25)*CL106+(1-EXP(-LN(2)/25))/(LN(2)/25)*Calculateur!CG107*Calculateur!CI107*VLOOKUP('Données projet'!$B$12,Paramètres!$A$1:$I$89,3,0)*0.475*44/12</f>
        <v>12.030077003415547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46.915263854909277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-7.3896444519050419E-13</v>
      </c>
      <c r="O108" s="13">
        <f>N108*VLOOKUP('Données projet'!$B$9,Paramètres!$A$1:$I$89,3,0)*VLOOKUP('Données projet'!$B$9,Paramètres!$A$1:$I$89,5,0)</f>
        <v>-3.4583536034915594E-13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307.52968058891554</v>
      </c>
      <c r="T108" s="59">
        <f t="shared" si="88"/>
        <v>221.27527189662558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156.60160347848213</v>
      </c>
      <c r="AA108" s="21">
        <f>EXP(-LN(2)/25)*AA107+(1-EXP(-LN(2)/25))/(LN(2)/25)*Calculateur!V108*Calculateur!X108*VLOOKUP('Données projet'!$B$9,Paramètres!$A$1:$I$89,3,0)*0.475*44/12</f>
        <v>36.576739810266147</v>
      </c>
      <c r="AB108" s="21">
        <f>EXP(-LN(2)/2)*AB107+(1-EXP(-LN(2)/2))/(LN(2)/2)*V108*Y108*VLOOKUP('Données projet'!$B$9,Paramètres!$A$1:$I$89,3,0)*0.475*44/12</f>
        <v>5.5073247649088488</v>
      </c>
      <c r="AC108" s="22">
        <f t="shared" si="57"/>
        <v>198.68566805365714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377.63545575155672</v>
      </c>
      <c r="AO108" s="59">
        <f t="shared" si="90"/>
        <v>339.1731538522788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1.7053025658242404E-13</v>
      </c>
      <c r="BE108" s="13">
        <f>BD108*VLOOKUP('Données projet'!$B$11,Paramètres!$A$1:$I$89,3,0)*VLOOKUP('Données projet'!$B$11,Paramètres!$A$1:$I$89,5,0)</f>
        <v>1.383341441396624E-13</v>
      </c>
      <c r="BF108" s="13">
        <f t="shared" si="91"/>
        <v>2.0011390722884082E-12</v>
      </c>
      <c r="BG108" s="20">
        <f t="shared" si="61"/>
        <v>3.7262491852788889E-12</v>
      </c>
      <c r="BH108" s="59">
        <f t="shared" si="62"/>
        <v>278.73862808087551</v>
      </c>
      <c r="BI108" s="59">
        <f ca="1">AVERAGE(OFFSET($BH$3,0,0,'Données projet'!$E$11+1,1))-AVERAGE(OFFSET($H$3,0,0,'Données projet'!$E$11+1,1))</f>
        <v>318.98630351938459</v>
      </c>
      <c r="BJ108" s="59">
        <f t="shared" si="92"/>
        <v>312.22190035638084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50.981297864836037</v>
      </c>
      <c r="BQ108" s="21">
        <f>EXP(-LN(2)/25)*BQ107+(1-EXP(-LN(2)/25))/(LN(2)/25)*Calculateur!BL108*Calculateur!BN108*VLOOKUP('Données projet'!$B$11,Paramètres!$A$1:$I$89,3,0)*0.475*44/12</f>
        <v>32.225724038967698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83.207021903803735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259.99999999999983</v>
      </c>
      <c r="BZ108" s="13">
        <f>BY108*VLOOKUP('Données projet'!$B$12,Paramètres!$A$1:$I$89,3,0)*VLOOKUP('Données projet'!$B$12,Paramètres!$A$1:$I$89,5,0)</f>
        <v>227.13599999999985</v>
      </c>
      <c r="CA108" s="13">
        <f t="shared" si="93"/>
        <v>55.662966886685133</v>
      </c>
      <c r="CB108" s="20">
        <f t="shared" si="64"/>
        <v>492.5415339943097</v>
      </c>
      <c r="CC108" s="59">
        <f t="shared" si="65"/>
        <v>771.28016207518147</v>
      </c>
      <c r="CD108" s="59">
        <f ca="1">AVERAGE(OFFSET($CC$3,0,0,'Données projet'!$E$12+1,1))-AVERAGE(OFFSET($H$3,0,0,'Données projet'!$E$12+1,1))</f>
        <v>411.67183422518411</v>
      </c>
      <c r="CE108" s="59">
        <f t="shared" si="94"/>
        <v>379.16642539721556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34.201109615198902</v>
      </c>
      <c r="CL108" s="21">
        <f>EXP(-LN(2)/25)*CL107+(1-EXP(-LN(2)/25))/(LN(2)/25)*Calculateur!CG108*Calculateur!CI108*VLOOKUP('Données projet'!$B$12,Paramètres!$A$1:$I$89,3,0)*0.475*44/12</f>
        <v>11.701113915122894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45.902223530321798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-7.3896444519050419E-13</v>
      </c>
      <c r="O109" s="13">
        <f>N109*VLOOKUP('Données projet'!$B$9,Paramètres!$A$1:$I$89,3,0)*VLOOKUP('Données projet'!$B$9,Paramètres!$A$1:$I$89,5,0)</f>
        <v>-3.4583536034915594E-13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307.52968058891554</v>
      </c>
      <c r="T109" s="59">
        <f t="shared" si="88"/>
        <v>221.27527189662558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153.53074155181565</v>
      </c>
      <c r="AA109" s="21">
        <f>EXP(-LN(2)/25)*AA108+(1-EXP(-LN(2)/25))/(LN(2)/25)*Calculateur!V109*Calculateur!X109*VLOOKUP('Données projet'!$B$9,Paramètres!$A$1:$I$89,3,0)*0.475*44/12</f>
        <v>35.57654693666727</v>
      </c>
      <c r="AB109" s="21">
        <f>EXP(-LN(2)/2)*AB108+(1-EXP(-LN(2)/2))/(LN(2)/2)*V109*Y109*VLOOKUP('Données projet'!$B$9,Paramètres!$A$1:$I$89,3,0)*0.475*44/12</f>
        <v>3.8942666874636558</v>
      </c>
      <c r="AC109" s="22">
        <f t="shared" si="57"/>
        <v>193.00155517594658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377.63545575155672</v>
      </c>
      <c r="AO109" s="59">
        <f t="shared" si="90"/>
        <v>339.1731538522788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1.7053025658242404E-13</v>
      </c>
      <c r="BE109" s="13">
        <f>BD109*VLOOKUP('Données projet'!$B$11,Paramètres!$A$1:$I$89,3,0)*VLOOKUP('Données projet'!$B$11,Paramètres!$A$1:$I$89,5,0)</f>
        <v>1.383341441396624E-13</v>
      </c>
      <c r="BF109" s="13">
        <f t="shared" si="91"/>
        <v>2.0011390722884082E-12</v>
      </c>
      <c r="BG109" s="20">
        <f t="shared" si="61"/>
        <v>3.7262491852788889E-12</v>
      </c>
      <c r="BH109" s="59">
        <f t="shared" si="62"/>
        <v>278.99181358813286</v>
      </c>
      <c r="BI109" s="59">
        <f ca="1">AVERAGE(OFFSET($BH$3,0,0,'Données projet'!$E$11+1,1))-AVERAGE(OFFSET($H$3,0,0,'Données projet'!$E$11+1,1))</f>
        <v>318.98630351938459</v>
      </c>
      <c r="BJ109" s="59">
        <f t="shared" si="92"/>
        <v>312.22190035638084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49.981585709227872</v>
      </c>
      <c r="BQ109" s="21">
        <f>EXP(-LN(2)/25)*BQ108+(1-EXP(-LN(2)/25))/(LN(2)/25)*Calculateur!BL109*Calculateur!BN109*VLOOKUP('Données projet'!$B$11,Paramètres!$A$1:$I$89,3,0)*0.475*44/12</f>
        <v>31.344509920444953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81.326095629672821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259.99999999999983</v>
      </c>
      <c r="BZ109" s="13">
        <f>BY109*VLOOKUP('Données projet'!$B$12,Paramètres!$A$1:$I$89,3,0)*VLOOKUP('Données projet'!$B$12,Paramètres!$A$1:$I$89,5,0)</f>
        <v>227.13599999999985</v>
      </c>
      <c r="CA109" s="13">
        <f t="shared" si="93"/>
        <v>55.662966886685133</v>
      </c>
      <c r="CB109" s="20">
        <f t="shared" si="64"/>
        <v>492.5415339943097</v>
      </c>
      <c r="CC109" s="59">
        <f t="shared" si="65"/>
        <v>771.53334758243886</v>
      </c>
      <c r="CD109" s="59">
        <f ca="1">AVERAGE(OFFSET($CC$3,0,0,'Données projet'!$E$12+1,1))-AVERAGE(OFFSET($H$3,0,0,'Données projet'!$E$12+1,1))</f>
        <v>411.67183422518411</v>
      </c>
      <c r="CE109" s="59">
        <f t="shared" si="94"/>
        <v>379.16642539721556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33.530446716261899</v>
      </c>
      <c r="CL109" s="21">
        <f>EXP(-LN(2)/25)*CL108+(1-EXP(-LN(2)/25))/(LN(2)/25)*Calculateur!CG109*Calculateur!CI109*VLOOKUP('Données projet'!$B$12,Paramètres!$A$1:$I$89,3,0)*0.475*44/12</f>
        <v>11.381146339779022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44.911593056040921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-7.3896444519050419E-13</v>
      </c>
      <c r="O110" s="13">
        <f>N110*VLOOKUP('Données projet'!$B$9,Paramètres!$A$1:$I$89,3,0)*VLOOKUP('Données projet'!$B$9,Paramètres!$A$1:$I$89,5,0)</f>
        <v>-3.4583536034915594E-13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307.52968058891554</v>
      </c>
      <c r="T110" s="59">
        <f t="shared" si="88"/>
        <v>221.27527189662558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150.52009735449028</v>
      </c>
      <c r="AA110" s="21">
        <f>EXP(-LN(2)/25)*AA109+(1-EXP(-LN(2)/25))/(LN(2)/25)*Calculateur!V110*Calculateur!X110*VLOOKUP('Données projet'!$B$9,Paramètres!$A$1:$I$89,3,0)*0.475*44/12</f>
        <v>34.603704389794814</v>
      </c>
      <c r="AB110" s="21">
        <f>EXP(-LN(2)/2)*AB109+(1-EXP(-LN(2)/2))/(LN(2)/2)*V110*Y110*VLOOKUP('Données projet'!$B$9,Paramètres!$A$1:$I$89,3,0)*0.475*44/12</f>
        <v>2.7536623824544249</v>
      </c>
      <c r="AC110" s="22">
        <f t="shared" si="57"/>
        <v>187.87746412673951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377.63545575155672</v>
      </c>
      <c r="AO110" s="59">
        <f t="shared" si="90"/>
        <v>339.1731538522788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1.7053025658242404E-13</v>
      </c>
      <c r="BE110" s="13">
        <f>BD110*VLOOKUP('Données projet'!$B$11,Paramètres!$A$1:$I$89,3,0)*VLOOKUP('Données projet'!$B$11,Paramètres!$A$1:$I$89,5,0)</f>
        <v>1.383341441396624E-13</v>
      </c>
      <c r="BF110" s="13">
        <f t="shared" si="91"/>
        <v>2.0011390722884082E-12</v>
      </c>
      <c r="BG110" s="20">
        <f t="shared" si="61"/>
        <v>3.7262491852788889E-12</v>
      </c>
      <c r="BH110" s="59">
        <f t="shared" si="62"/>
        <v>279.24060689287739</v>
      </c>
      <c r="BI110" s="59">
        <f ca="1">AVERAGE(OFFSET($BH$3,0,0,'Données projet'!$E$11+1,1))-AVERAGE(OFFSET($H$3,0,0,'Données projet'!$E$11+1,1))</f>
        <v>318.98630351938459</v>
      </c>
      <c r="BJ110" s="59">
        <f t="shared" si="92"/>
        <v>312.22190035638084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49.001477299226977</v>
      </c>
      <c r="BQ110" s="21">
        <f>EXP(-LN(2)/25)*BQ109+(1-EXP(-LN(2)/25))/(LN(2)/25)*Calculateur!BL110*Calculateur!BN110*VLOOKUP('Données projet'!$B$11,Paramètres!$A$1:$I$89,3,0)*0.475*44/12</f>
        <v>30.487392648334247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79.488869947561227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259.99999999999983</v>
      </c>
      <c r="BZ110" s="13">
        <f>BY110*VLOOKUP('Données projet'!$B$12,Paramètres!$A$1:$I$89,3,0)*VLOOKUP('Données projet'!$B$12,Paramètres!$A$1:$I$89,5,0)</f>
        <v>227.13599999999985</v>
      </c>
      <c r="CA110" s="13">
        <f t="shared" si="93"/>
        <v>55.662966886685133</v>
      </c>
      <c r="CB110" s="20">
        <f t="shared" si="64"/>
        <v>492.5415339943097</v>
      </c>
      <c r="CC110" s="59">
        <f t="shared" si="65"/>
        <v>771.78214088718335</v>
      </c>
      <c r="CD110" s="59">
        <f ca="1">AVERAGE(OFFSET($CC$3,0,0,'Données projet'!$E$12+1,1))-AVERAGE(OFFSET($H$3,0,0,'Données projet'!$E$12+1,1))</f>
        <v>411.67183422518411</v>
      </c>
      <c r="CE110" s="59">
        <f t="shared" si="94"/>
        <v>379.16642539721556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32.872935107709075</v>
      </c>
      <c r="CL110" s="21">
        <f>EXP(-LN(2)/25)*CL109+(1-EXP(-LN(2)/25))/(LN(2)/25)*Calculateur!CG110*Calculateur!CI110*VLOOKUP('Données projet'!$B$12,Paramètres!$A$1:$I$89,3,0)*0.475*44/12</f>
        <v>11.069928294609291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43.942863402318366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-7.3896444519050419E-13</v>
      </c>
      <c r="O111" s="13">
        <f>N111*VLOOKUP('Données projet'!$B$9,Paramètres!$A$1:$I$89,3,0)*VLOOKUP('Données projet'!$B$9,Paramètres!$A$1:$I$89,5,0)</f>
        <v>-3.4583536034915594E-13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307.52968058891554</v>
      </c>
      <c r="T111" s="59">
        <f t="shared" si="88"/>
        <v>221.27527189662558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147.56849005356281</v>
      </c>
      <c r="AA111" s="21">
        <f>EXP(-LN(2)/25)*AA110+(1-EXP(-LN(2)/25))/(LN(2)/25)*Calculateur!V111*Calculateur!X111*VLOOKUP('Données projet'!$B$9,Paramètres!$A$1:$I$89,3,0)*0.475*44/12</f>
        <v>33.657464273526152</v>
      </c>
      <c r="AB111" s="21">
        <f>EXP(-LN(2)/2)*AB110+(1-EXP(-LN(2)/2))/(LN(2)/2)*V111*Y111*VLOOKUP('Données projet'!$B$9,Paramètres!$A$1:$I$89,3,0)*0.475*44/12</f>
        <v>1.9471333437318283</v>
      </c>
      <c r="AC111" s="22">
        <f t="shared" si="57"/>
        <v>183.17308767082079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377.63545575155672</v>
      </c>
      <c r="AO111" s="59">
        <f t="shared" si="90"/>
        <v>339.1731538522788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1.7053025658242404E-13</v>
      </c>
      <c r="BE111" s="13">
        <f>BD111*VLOOKUP('Données projet'!$B$11,Paramètres!$A$1:$I$89,3,0)*VLOOKUP('Données projet'!$B$11,Paramètres!$A$1:$I$89,5,0)</f>
        <v>1.383341441396624E-13</v>
      </c>
      <c r="BF111" s="13">
        <f t="shared" si="91"/>
        <v>2.0011390722884082E-12</v>
      </c>
      <c r="BG111" s="20">
        <f t="shared" si="61"/>
        <v>3.7262491852788889E-12</v>
      </c>
      <c r="BH111" s="59">
        <f t="shared" si="62"/>
        <v>279.48508419000308</v>
      </c>
      <c r="BI111" s="59">
        <f ca="1">AVERAGE(OFFSET($BH$3,0,0,'Données projet'!$E$11+1,1))-AVERAGE(OFFSET($H$3,0,0,'Données projet'!$E$11+1,1))</f>
        <v>318.98630351938459</v>
      </c>
      <c r="BJ111" s="59">
        <f t="shared" si="92"/>
        <v>312.22190035638084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48.040588217339099</v>
      </c>
      <c r="BQ111" s="21">
        <f>EXP(-LN(2)/25)*BQ110+(1-EXP(-LN(2)/25))/(LN(2)/25)*Calculateur!BL111*Calculateur!BN111*VLOOKUP('Données projet'!$B$11,Paramètres!$A$1:$I$89,3,0)*0.475*44/12</f>
        <v>29.653713293103248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77.694301510442344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259.99999999999983</v>
      </c>
      <c r="BZ111" s="13">
        <f>BY111*VLOOKUP('Données projet'!$B$12,Paramètres!$A$1:$I$89,3,0)*VLOOKUP('Données projet'!$B$12,Paramètres!$A$1:$I$89,5,0)</f>
        <v>227.13599999999985</v>
      </c>
      <c r="CA111" s="13">
        <f t="shared" si="93"/>
        <v>55.662966886685133</v>
      </c>
      <c r="CB111" s="20">
        <f t="shared" si="64"/>
        <v>492.5415339943097</v>
      </c>
      <c r="CC111" s="59">
        <f t="shared" si="65"/>
        <v>772.02661818430897</v>
      </c>
      <c r="CD111" s="59">
        <f ca="1">AVERAGE(OFFSET($CC$3,0,0,'Données projet'!$E$12+1,1))-AVERAGE(OFFSET($H$3,0,0,'Données projet'!$E$12+1,1))</f>
        <v>411.67183422518411</v>
      </c>
      <c r="CE111" s="59">
        <f t="shared" si="94"/>
        <v>379.16642539721556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32.228316900757491</v>
      </c>
      <c r="CL111" s="21">
        <f>EXP(-LN(2)/25)*CL110+(1-EXP(-LN(2)/25))/(LN(2)/25)*Calculateur!CG111*Calculateur!CI111*VLOOKUP('Données projet'!$B$12,Paramètres!$A$1:$I$89,3,0)*0.475*44/12</f>
        <v>10.767220523250971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42.995537424008461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-7.3896444519050419E-13</v>
      </c>
      <c r="O112" s="13">
        <f>N112*VLOOKUP('Données projet'!$B$9,Paramètres!$A$1:$I$89,3,0)*VLOOKUP('Données projet'!$B$9,Paramètres!$A$1:$I$89,5,0)</f>
        <v>-3.4583536034915594E-13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307.52968058891554</v>
      </c>
      <c r="T112" s="59">
        <f t="shared" si="88"/>
        <v>221.27527189662558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144.67476197150384</v>
      </c>
      <c r="AA112" s="21">
        <f>EXP(-LN(2)/25)*AA111+(1-EXP(-LN(2)/25))/(LN(2)/25)*Calculateur!V112*Calculateur!X112*VLOOKUP('Données projet'!$B$9,Paramètres!$A$1:$I$89,3,0)*0.475*44/12</f>
        <v>32.737099142997458</v>
      </c>
      <c r="AB112" s="21">
        <f>EXP(-LN(2)/2)*AB111+(1-EXP(-LN(2)/2))/(LN(2)/2)*V112*Y112*VLOOKUP('Données projet'!$B$9,Paramètres!$A$1:$I$89,3,0)*0.475*44/12</f>
        <v>1.3768311912272126</v>
      </c>
      <c r="AC112" s="22">
        <f t="shared" si="57"/>
        <v>178.78869230572852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377.63545575155672</v>
      </c>
      <c r="AO112" s="59">
        <f t="shared" si="90"/>
        <v>339.1731538522788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1.7053025658242404E-13</v>
      </c>
      <c r="BE112" s="13">
        <f>BD112*VLOOKUP('Données projet'!$B$11,Paramètres!$A$1:$I$89,3,0)*VLOOKUP('Données projet'!$B$11,Paramètres!$A$1:$I$89,5,0)</f>
        <v>1.383341441396624E-13</v>
      </c>
      <c r="BF112" s="13">
        <f t="shared" si="91"/>
        <v>2.0011390722884082E-12</v>
      </c>
      <c r="BG112" s="20">
        <f t="shared" si="61"/>
        <v>3.7262491852788889E-12</v>
      </c>
      <c r="BH112" s="59">
        <f t="shared" si="62"/>
        <v>279.72532035259303</v>
      </c>
      <c r="BI112" s="59">
        <f ca="1">AVERAGE(OFFSET($BH$3,0,0,'Données projet'!$E$11+1,1))-AVERAGE(OFFSET($H$3,0,0,'Données projet'!$E$11+1,1))</f>
        <v>318.98630351938459</v>
      </c>
      <c r="BJ112" s="59">
        <f t="shared" si="92"/>
        <v>312.22190035638084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47.09854158426257</v>
      </c>
      <c r="BQ112" s="21">
        <f>EXP(-LN(2)/25)*BQ111+(1-EXP(-LN(2)/25))/(LN(2)/25)*Calculateur!BL112*Calculateur!BN112*VLOOKUP('Données projet'!$B$11,Paramètres!$A$1:$I$89,3,0)*0.475*44/12</f>
        <v>28.842830943682333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75.941372527944907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259.99999999999983</v>
      </c>
      <c r="BZ112" s="13">
        <f>BY112*VLOOKUP('Données projet'!$B$12,Paramètres!$A$1:$I$89,3,0)*VLOOKUP('Données projet'!$B$12,Paramètres!$A$1:$I$89,5,0)</f>
        <v>227.13599999999985</v>
      </c>
      <c r="CA112" s="13">
        <f t="shared" si="93"/>
        <v>55.662966886685133</v>
      </c>
      <c r="CB112" s="20">
        <f t="shared" si="64"/>
        <v>492.5415339943097</v>
      </c>
      <c r="CC112" s="59">
        <f t="shared" si="65"/>
        <v>772.26685434689898</v>
      </c>
      <c r="CD112" s="59">
        <f ca="1">AVERAGE(OFFSET($CC$3,0,0,'Données projet'!$E$12+1,1))-AVERAGE(OFFSET($H$3,0,0,'Données projet'!$E$12+1,1))</f>
        <v>411.67183422518411</v>
      </c>
      <c r="CE112" s="59">
        <f t="shared" si="94"/>
        <v>379.16642539721556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31.596339263665946</v>
      </c>
      <c r="CL112" s="21">
        <f>EXP(-LN(2)/25)*CL111+(1-EXP(-LN(2)/25))/(LN(2)/25)*Calculateur!CG112*Calculateur!CI112*VLOOKUP('Données projet'!$B$12,Paramètres!$A$1:$I$89,3,0)*0.475*44/12</f>
        <v>10.472790311819155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42.0691295754851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-7.3896444519050419E-13</v>
      </c>
      <c r="O113" s="13">
        <f>N113*VLOOKUP('Données projet'!$B$9,Paramètres!$A$1:$I$89,3,0)*VLOOKUP('Données projet'!$B$9,Paramètres!$A$1:$I$89,5,0)</f>
        <v>-3.4583536034915594E-13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307.52968058891554</v>
      </c>
      <c r="T113" s="59">
        <f t="shared" si="88"/>
        <v>221.27527189662558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141.83777813213419</v>
      </c>
      <c r="AA113" s="21">
        <f>EXP(-LN(2)/25)*AA112+(1-EXP(-LN(2)/25))/(LN(2)/25)*Calculateur!V113*Calculateur!X113*VLOOKUP('Données projet'!$B$9,Paramètres!$A$1:$I$89,3,0)*0.475*44/12</f>
        <v>31.841901445362971</v>
      </c>
      <c r="AB113" s="21">
        <f>EXP(-LN(2)/2)*AB112+(1-EXP(-LN(2)/2))/(LN(2)/2)*V113*Y113*VLOOKUP('Données projet'!$B$9,Paramètres!$A$1:$I$89,3,0)*0.475*44/12</f>
        <v>0.97356667186591428</v>
      </c>
      <c r="AC113" s="22">
        <f t="shared" si="57"/>
        <v>174.65324624936306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377.63545575155672</v>
      </c>
      <c r="AO113" s="59">
        <f t="shared" si="90"/>
        <v>339.1731538522788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1.7053025658242404E-13</v>
      </c>
      <c r="BE113" s="13">
        <f>BD113*VLOOKUP('Données projet'!$B$11,Paramètres!$A$1:$I$89,3,0)*VLOOKUP('Données projet'!$B$11,Paramètres!$A$1:$I$89,5,0)</f>
        <v>1.383341441396624E-13</v>
      </c>
      <c r="BF113" s="13">
        <f t="shared" si="91"/>
        <v>2.0011390722884082E-12</v>
      </c>
      <c r="BG113" s="20">
        <f t="shared" si="61"/>
        <v>3.7262491852788889E-12</v>
      </c>
      <c r="BH113" s="59">
        <f t="shared" si="62"/>
        <v>279.96138895484961</v>
      </c>
      <c r="BI113" s="59">
        <f ca="1">AVERAGE(OFFSET($BH$3,0,0,'Données projet'!$E$11+1,1))-AVERAGE(OFFSET($H$3,0,0,'Données projet'!$E$11+1,1))</f>
        <v>318.98630351938459</v>
      </c>
      <c r="BJ113" s="59">
        <f t="shared" si="92"/>
        <v>312.22190035638084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46.174967911068961</v>
      </c>
      <c r="BQ113" s="21">
        <f>EXP(-LN(2)/25)*BQ112+(1-EXP(-LN(2)/25))/(LN(2)/25)*Calculateur!BL113*Calculateur!BN113*VLOOKUP('Données projet'!$B$11,Paramètres!$A$1:$I$89,3,0)*0.475*44/12</f>
        <v>28.05412221474878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74.229090125817748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259.99999999999983</v>
      </c>
      <c r="BZ113" s="13">
        <f>BY113*VLOOKUP('Données projet'!$B$12,Paramètres!$A$1:$I$89,3,0)*VLOOKUP('Données projet'!$B$12,Paramètres!$A$1:$I$89,5,0)</f>
        <v>227.13599999999985</v>
      </c>
      <c r="CA113" s="13">
        <f t="shared" si="93"/>
        <v>55.662966886685133</v>
      </c>
      <c r="CB113" s="20">
        <f t="shared" si="64"/>
        <v>492.5415339943097</v>
      </c>
      <c r="CC113" s="59">
        <f t="shared" si="65"/>
        <v>772.50292294915562</v>
      </c>
      <c r="CD113" s="59">
        <f ca="1">AVERAGE(OFFSET($CC$3,0,0,'Données projet'!$E$12+1,1))-AVERAGE(OFFSET($H$3,0,0,'Données projet'!$E$12+1,1))</f>
        <v>411.67183422518411</v>
      </c>
      <c r="CE113" s="59">
        <f t="shared" si="94"/>
        <v>379.16642539721556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30.976754322569469</v>
      </c>
      <c r="CL113" s="21">
        <f>EXP(-LN(2)/25)*CL112+(1-EXP(-LN(2)/25))/(LN(2)/25)*Calculateur!CG113*Calculateur!CI113*VLOOKUP('Données projet'!$B$12,Paramètres!$A$1:$I$89,3,0)*0.475*44/12</f>
        <v>10.186411310002354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41.163165632571825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-7.3896444519050419E-13</v>
      </c>
      <c r="O114" s="13">
        <f>N114*VLOOKUP('Données projet'!$B$9,Paramètres!$A$1:$I$89,3,0)*VLOOKUP('Données projet'!$B$9,Paramètres!$A$1:$I$89,5,0)</f>
        <v>-3.4583536034915594E-13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307.52968058891554</v>
      </c>
      <c r="T114" s="59">
        <f t="shared" si="88"/>
        <v>221.27527189662558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139.0564258154653</v>
      </c>
      <c r="AA114" s="21">
        <f>EXP(-LN(2)/25)*AA113+(1-EXP(-LN(2)/25))/(LN(2)/25)*Calculateur!V114*Calculateur!X114*VLOOKUP('Données projet'!$B$9,Paramètres!$A$1:$I$89,3,0)*0.475*44/12</f>
        <v>30.971182975846698</v>
      </c>
      <c r="AB114" s="21">
        <f>EXP(-LN(2)/2)*AB113+(1-EXP(-LN(2)/2))/(LN(2)/2)*V114*Y114*VLOOKUP('Données projet'!$B$9,Paramètres!$A$1:$I$89,3,0)*0.475*44/12</f>
        <v>0.68841559561360643</v>
      </c>
      <c r="AC114" s="22">
        <f t="shared" si="57"/>
        <v>170.7160243869256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377.63545575155672</v>
      </c>
      <c r="AO114" s="59">
        <f t="shared" si="90"/>
        <v>339.1731538522788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1.7053025658242404E-13</v>
      </c>
      <c r="BE114" s="13">
        <f>BD114*VLOOKUP('Données projet'!$B$11,Paramètres!$A$1:$I$89,3,0)*VLOOKUP('Données projet'!$B$11,Paramètres!$A$1:$I$89,5,0)</f>
        <v>1.383341441396624E-13</v>
      </c>
      <c r="BF114" s="13">
        <f t="shared" si="91"/>
        <v>2.0011390722884082E-12</v>
      </c>
      <c r="BG114" s="20">
        <f t="shared" si="61"/>
        <v>3.7262491852788889E-12</v>
      </c>
      <c r="BH114" s="59">
        <f t="shared" si="62"/>
        <v>280.19336229462732</v>
      </c>
      <c r="BI114" s="59">
        <f ca="1">AVERAGE(OFFSET($BH$3,0,0,'Données projet'!$E$11+1,1))-AVERAGE(OFFSET($H$3,0,0,'Données projet'!$E$11+1,1))</f>
        <v>318.98630351938459</v>
      </c>
      <c r="BJ114" s="59">
        <f t="shared" si="92"/>
        <v>312.22190035638084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45.269504954282368</v>
      </c>
      <c r="BQ114" s="21">
        <f>EXP(-LN(2)/25)*BQ113+(1-EXP(-LN(2)/25))/(LN(2)/25)*Calculateur!BL114*Calculateur!BN114*VLOOKUP('Données projet'!$B$11,Paramètres!$A$1:$I$89,3,0)*0.475*44/12</f>
        <v>27.286980767484305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72.556485721766677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259.99999999999983</v>
      </c>
      <c r="BZ114" s="13">
        <f>BY114*VLOOKUP('Données projet'!$B$12,Paramètres!$A$1:$I$89,3,0)*VLOOKUP('Données projet'!$B$12,Paramètres!$A$1:$I$89,5,0)</f>
        <v>227.13599999999985</v>
      </c>
      <c r="CA114" s="13">
        <f t="shared" si="93"/>
        <v>55.662966886685133</v>
      </c>
      <c r="CB114" s="20">
        <f t="shared" si="64"/>
        <v>492.5415339943097</v>
      </c>
      <c r="CC114" s="59">
        <f t="shared" si="65"/>
        <v>772.73489628893321</v>
      </c>
      <c r="CD114" s="59">
        <f ca="1">AVERAGE(OFFSET($CC$3,0,0,'Données projet'!$E$12+1,1))-AVERAGE(OFFSET($H$3,0,0,'Données projet'!$E$12+1,1))</f>
        <v>411.67183422518411</v>
      </c>
      <c r="CE114" s="59">
        <f t="shared" si="94"/>
        <v>379.16642539721556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30.369319064258395</v>
      </c>
      <c r="CL114" s="21">
        <f>EXP(-LN(2)/25)*CL113+(1-EXP(-LN(2)/25))/(LN(2)/25)*Calculateur!CG114*Calculateur!CI114*VLOOKUP('Données projet'!$B$12,Paramètres!$A$1:$I$89,3,0)*0.475*44/12</f>
        <v>9.9078633570502497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40.277182421308645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-7.3896444519050419E-13</v>
      </c>
      <c r="O115" s="13">
        <f>N115*VLOOKUP('Données projet'!$B$9,Paramètres!$A$1:$I$89,3,0)*VLOOKUP('Données projet'!$B$9,Paramètres!$A$1:$I$89,5,0)</f>
        <v>-3.4583536034915594E-13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307.52968058891554</v>
      </c>
      <c r="T115" s="59">
        <f t="shared" si="88"/>
        <v>221.27527189662558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136.32961412126889</v>
      </c>
      <c r="AA115" s="21">
        <f>EXP(-LN(2)/25)*AA114+(1-EXP(-LN(2)/25))/(LN(2)/25)*Calculateur!V115*Calculateur!X115*VLOOKUP('Données projet'!$B$9,Paramètres!$A$1:$I$89,3,0)*0.475*44/12</f>
        <v>30.124274348668443</v>
      </c>
      <c r="AB115" s="21">
        <f>EXP(-LN(2)/2)*AB114+(1-EXP(-LN(2)/2))/(LN(2)/2)*V115*Y115*VLOOKUP('Données projet'!$B$9,Paramètres!$A$1:$I$89,3,0)*0.475*44/12</f>
        <v>0.48678333593295725</v>
      </c>
      <c r="AC115" s="22">
        <f t="shared" si="57"/>
        <v>166.94067180587029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377.63545575155672</v>
      </c>
      <c r="AO115" s="59">
        <f t="shared" si="90"/>
        <v>339.1731538522788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1.7053025658242404E-13</v>
      </c>
      <c r="BE115" s="13">
        <f>BD115*VLOOKUP('Données projet'!$B$11,Paramètres!$A$1:$I$89,3,0)*VLOOKUP('Données projet'!$B$11,Paramètres!$A$1:$I$89,5,0)</f>
        <v>1.383341441396624E-13</v>
      </c>
      <c r="BF115" s="13">
        <f t="shared" si="91"/>
        <v>2.0011390722884082E-12</v>
      </c>
      <c r="BG115" s="20">
        <f t="shared" si="61"/>
        <v>3.7262491852788889E-12</v>
      </c>
      <c r="BH115" s="59">
        <f t="shared" si="62"/>
        <v>280.42131141557462</v>
      </c>
      <c r="BI115" s="59">
        <f ca="1">AVERAGE(OFFSET($BH$3,0,0,'Données projet'!$E$11+1,1))-AVERAGE(OFFSET($H$3,0,0,'Données projet'!$E$11+1,1))</f>
        <v>318.98630351938459</v>
      </c>
      <c r="BJ115" s="59">
        <f t="shared" si="92"/>
        <v>312.22190035638084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44.38179757380049</v>
      </c>
      <c r="BQ115" s="21">
        <f>EXP(-LN(2)/25)*BQ114+(1-EXP(-LN(2)/25))/(LN(2)/25)*Calculateur!BL115*Calculateur!BN115*VLOOKUP('Données projet'!$B$11,Paramètres!$A$1:$I$89,3,0)*0.475*44/12</f>
        <v>26.540816843437494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70.92261441723798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259.99999999999983</v>
      </c>
      <c r="BZ115" s="13">
        <f>BY115*VLOOKUP('Données projet'!$B$12,Paramètres!$A$1:$I$89,3,0)*VLOOKUP('Données projet'!$B$12,Paramètres!$A$1:$I$89,5,0)</f>
        <v>227.13599999999985</v>
      </c>
      <c r="CA115" s="13">
        <f t="shared" si="93"/>
        <v>55.662966886685133</v>
      </c>
      <c r="CB115" s="20">
        <f t="shared" si="64"/>
        <v>492.5415339943097</v>
      </c>
      <c r="CC115" s="59">
        <f t="shared" si="65"/>
        <v>772.96284540988063</v>
      </c>
      <c r="CD115" s="59">
        <f ca="1">AVERAGE(OFFSET($CC$3,0,0,'Données projet'!$E$12+1,1))-AVERAGE(OFFSET($H$3,0,0,'Données projet'!$E$12+1,1))</f>
        <v>411.67183422518411</v>
      </c>
      <c r="CE115" s="59">
        <f t="shared" si="94"/>
        <v>379.16642539721556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29.773795240863876</v>
      </c>
      <c r="CL115" s="21">
        <f>EXP(-LN(2)/25)*CL114+(1-EXP(-LN(2)/25))/(LN(2)/25)*Calculateur!CG115*Calculateur!CI115*VLOOKUP('Données projet'!$B$12,Paramètres!$A$1:$I$89,3,0)*0.475*44/12</f>
        <v>9.6369323125198214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39.410727553383694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-7.3896444519050419E-13</v>
      </c>
      <c r="O116" s="13">
        <f>N116*VLOOKUP('Données projet'!$B$9,Paramètres!$A$1:$I$89,3,0)*VLOOKUP('Données projet'!$B$9,Paramètres!$A$1:$I$89,5,0)</f>
        <v>-3.4583536034915594E-13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307.52968058891554</v>
      </c>
      <c r="T116" s="59">
        <f t="shared" si="88"/>
        <v>221.27527189662558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133.65627354120477</v>
      </c>
      <c r="AA116" s="21">
        <f>EXP(-LN(2)/25)*AA115+(1-EXP(-LN(2)/25))/(LN(2)/25)*Calculateur!V116*Calculateur!X116*VLOOKUP('Données projet'!$B$9,Paramètres!$A$1:$I$89,3,0)*0.475*44/12</f>
        <v>29.300524482437368</v>
      </c>
      <c r="AB116" s="21">
        <f>EXP(-LN(2)/2)*AB115+(1-EXP(-LN(2)/2))/(LN(2)/2)*V116*Y116*VLOOKUP('Données projet'!$B$9,Paramètres!$A$1:$I$89,3,0)*0.475*44/12</f>
        <v>0.34420779780680327</v>
      </c>
      <c r="AC116" s="22">
        <f t="shared" si="57"/>
        <v>163.30100582144894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377.63545575155672</v>
      </c>
      <c r="AO116" s="59">
        <f t="shared" si="90"/>
        <v>339.1731538522788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1.7053025658242404E-13</v>
      </c>
      <c r="BE116" s="13">
        <f>BD116*VLOOKUP('Données projet'!$B$11,Paramètres!$A$1:$I$89,3,0)*VLOOKUP('Données projet'!$B$11,Paramètres!$A$1:$I$89,5,0)</f>
        <v>1.383341441396624E-13</v>
      </c>
      <c r="BF116" s="13">
        <f t="shared" si="91"/>
        <v>2.0011390722884082E-12</v>
      </c>
      <c r="BG116" s="20">
        <f t="shared" si="61"/>
        <v>3.7262491852788889E-12</v>
      </c>
      <c r="BH116" s="59">
        <f t="shared" si="62"/>
        <v>280.64530612889138</v>
      </c>
      <c r="BI116" s="59">
        <f ca="1">AVERAGE(OFFSET($BH$3,0,0,'Données projet'!$E$11+1,1))-AVERAGE(OFFSET($H$3,0,0,'Données projet'!$E$11+1,1))</f>
        <v>318.98630351938459</v>
      </c>
      <c r="BJ116" s="59">
        <f t="shared" si="92"/>
        <v>312.22190035638084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43.511497593601817</v>
      </c>
      <c r="BQ116" s="21">
        <f>EXP(-LN(2)/25)*BQ115+(1-EXP(-LN(2)/25))/(LN(2)/25)*Calculateur!BL116*Calculateur!BN116*VLOOKUP('Données projet'!$B$11,Paramètres!$A$1:$I$89,3,0)*0.475*44/12</f>
        <v>25.815056811132798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69.326554404734622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259.99999999999983</v>
      </c>
      <c r="BZ116" s="13">
        <f>BY116*VLOOKUP('Données projet'!$B$12,Paramètres!$A$1:$I$89,3,0)*VLOOKUP('Données projet'!$B$12,Paramètres!$A$1:$I$89,5,0)</f>
        <v>227.13599999999985</v>
      </c>
      <c r="CA116" s="13">
        <f t="shared" si="93"/>
        <v>55.662966886685133</v>
      </c>
      <c r="CB116" s="20">
        <f t="shared" si="64"/>
        <v>492.5415339943097</v>
      </c>
      <c r="CC116" s="59">
        <f t="shared" si="65"/>
        <v>773.18684012319727</v>
      </c>
      <c r="CD116" s="59">
        <f ca="1">AVERAGE(OFFSET($CC$3,0,0,'Données projet'!$E$12+1,1))-AVERAGE(OFFSET($H$3,0,0,'Données projet'!$E$12+1,1))</f>
        <v>411.67183422518411</v>
      </c>
      <c r="CE116" s="59">
        <f t="shared" si="94"/>
        <v>379.16642539721556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29.18994927641246</v>
      </c>
      <c r="CL116" s="21">
        <f>EXP(-LN(2)/25)*CL115+(1-EXP(-LN(2)/25))/(LN(2)/25)*Calculateur!CG116*Calculateur!CI116*VLOOKUP('Données projet'!$B$12,Paramètres!$A$1:$I$89,3,0)*0.475*44/12</f>
        <v>9.3734098916497217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38.563359168062178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-7.3896444519050419E-13</v>
      </c>
      <c r="O117" s="13">
        <f>N117*VLOOKUP('Données projet'!$B$9,Paramètres!$A$1:$I$89,3,0)*VLOOKUP('Données projet'!$B$9,Paramètres!$A$1:$I$89,5,0)</f>
        <v>-3.4583536034915594E-13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307.52968058891554</v>
      </c>
      <c r="T117" s="59">
        <f t="shared" si="88"/>
        <v>221.27527189662558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131.03535553933895</v>
      </c>
      <c r="AA117" s="21">
        <f>EXP(-LN(2)/25)*AA116+(1-EXP(-LN(2)/25))/(LN(2)/25)*Calculateur!V117*Calculateur!X117*VLOOKUP('Données projet'!$B$9,Paramètres!$A$1:$I$89,3,0)*0.475*44/12</f>
        <v>28.499300099617503</v>
      </c>
      <c r="AB117" s="21">
        <f>EXP(-LN(2)/2)*AB116+(1-EXP(-LN(2)/2))/(LN(2)/2)*V117*Y117*VLOOKUP('Données projet'!$B$9,Paramètres!$A$1:$I$89,3,0)*0.475*44/12</f>
        <v>0.24339166796647865</v>
      </c>
      <c r="AC117" s="22">
        <f t="shared" si="57"/>
        <v>159.77804730692293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377.63545575155672</v>
      </c>
      <c r="AO117" s="59">
        <f t="shared" si="90"/>
        <v>339.1731538522788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1.7053025658242404E-13</v>
      </c>
      <c r="BE117" s="13">
        <f>BD117*VLOOKUP('Données projet'!$B$11,Paramètres!$A$1:$I$89,3,0)*VLOOKUP('Données projet'!$B$11,Paramètres!$A$1:$I$89,5,0)</f>
        <v>1.383341441396624E-13</v>
      </c>
      <c r="BF117" s="13">
        <f t="shared" si="91"/>
        <v>2.0011390722884082E-12</v>
      </c>
      <c r="BG117" s="20">
        <f t="shared" si="61"/>
        <v>3.7262491852788889E-12</v>
      </c>
      <c r="BH117" s="59">
        <f t="shared" si="62"/>
        <v>280.8654150347092</v>
      </c>
      <c r="BI117" s="59">
        <f ca="1">AVERAGE(OFFSET($BH$3,0,0,'Données projet'!$E$11+1,1))-AVERAGE(OFFSET($H$3,0,0,'Données projet'!$E$11+1,1))</f>
        <v>318.98630351938459</v>
      </c>
      <c r="BJ117" s="59">
        <f t="shared" si="92"/>
        <v>312.22190035638084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42.658263665184272</v>
      </c>
      <c r="BQ117" s="21">
        <f>EXP(-LN(2)/25)*BQ116+(1-EXP(-LN(2)/25))/(LN(2)/25)*Calculateur!BL117*Calculateur!BN117*VLOOKUP('Données projet'!$B$11,Paramètres!$A$1:$I$89,3,0)*0.475*44/12</f>
        <v>25.109142725077536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67.767406390261812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259.99999999999983</v>
      </c>
      <c r="BZ117" s="13">
        <f>BY117*VLOOKUP('Données projet'!$B$12,Paramètres!$A$1:$I$89,3,0)*VLOOKUP('Données projet'!$B$12,Paramètres!$A$1:$I$89,5,0)</f>
        <v>227.13599999999985</v>
      </c>
      <c r="CA117" s="13">
        <f t="shared" si="93"/>
        <v>55.662966886685133</v>
      </c>
      <c r="CB117" s="20">
        <f t="shared" si="64"/>
        <v>492.5415339943097</v>
      </c>
      <c r="CC117" s="59">
        <f t="shared" si="65"/>
        <v>773.4069490290151</v>
      </c>
      <c r="CD117" s="59">
        <f ca="1">AVERAGE(OFFSET($CC$3,0,0,'Données projet'!$E$12+1,1))-AVERAGE(OFFSET($H$3,0,0,'Données projet'!$E$12+1,1))</f>
        <v>411.67183422518411</v>
      </c>
      <c r="CE117" s="59">
        <f t="shared" si="94"/>
        <v>379.16642539721556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28.61755217521306</v>
      </c>
      <c r="CL117" s="21">
        <f>EXP(-LN(2)/25)*CL116+(1-EXP(-LN(2)/25))/(LN(2)/25)*Calculateur!CG117*Calculateur!CI117*VLOOKUP('Données projet'!$B$12,Paramètres!$A$1:$I$89,3,0)*0.475*44/12</f>
        <v>9.1170935052363564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37.734645680449418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-7.3896444519050419E-13</v>
      </c>
      <c r="O118" s="13">
        <f>N118*VLOOKUP('Données projet'!$B$9,Paramètres!$A$1:$I$89,3,0)*VLOOKUP('Données projet'!$B$9,Paramètres!$A$1:$I$89,5,0)</f>
        <v>-3.4583536034915594E-13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307.52968058891554</v>
      </c>
      <c r="T118" s="59">
        <f t="shared" si="88"/>
        <v>221.27527189662558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128.46583214088758</v>
      </c>
      <c r="AA118" s="21">
        <f>EXP(-LN(2)/25)*AA117+(1-EXP(-LN(2)/25))/(LN(2)/25)*Calculateur!V118*Calculateur!X118*VLOOKUP('Données projet'!$B$9,Paramètres!$A$1:$I$89,3,0)*0.475*44/12</f>
        <v>27.719985239680408</v>
      </c>
      <c r="AB118" s="21">
        <f>EXP(-LN(2)/2)*AB117+(1-EXP(-LN(2)/2))/(LN(2)/2)*V118*Y118*VLOOKUP('Données projet'!$B$9,Paramètres!$A$1:$I$89,3,0)*0.475*44/12</f>
        <v>0.17210389890340166</v>
      </c>
      <c r="AC118" s="22">
        <f t="shared" si="57"/>
        <v>156.35792127947138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377.63545575155672</v>
      </c>
      <c r="AO118" s="59">
        <f t="shared" si="90"/>
        <v>339.1731538522788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1.7053025658242404E-13</v>
      </c>
      <c r="BE118" s="13">
        <f>BD118*VLOOKUP('Données projet'!$B$11,Paramètres!$A$1:$I$89,3,0)*VLOOKUP('Données projet'!$B$11,Paramètres!$A$1:$I$89,5,0)</f>
        <v>1.383341441396624E-13</v>
      </c>
      <c r="BF118" s="13">
        <f t="shared" si="91"/>
        <v>2.0011390722884082E-12</v>
      </c>
      <c r="BG118" s="20">
        <f t="shared" si="61"/>
        <v>3.7262491852788889E-12</v>
      </c>
      <c r="BH118" s="59">
        <f t="shared" si="62"/>
        <v>281.08170554310101</v>
      </c>
      <c r="BI118" s="59">
        <f ca="1">AVERAGE(OFFSET($BH$3,0,0,'Données projet'!$E$11+1,1))-AVERAGE(OFFSET($H$3,0,0,'Données projet'!$E$11+1,1))</f>
        <v>318.98630351938459</v>
      </c>
      <c r="BJ118" s="59">
        <f t="shared" si="92"/>
        <v>312.22190035638084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41.821761133681683</v>
      </c>
      <c r="BQ118" s="21">
        <f>EXP(-LN(2)/25)*BQ117+(1-EXP(-LN(2)/25))/(LN(2)/25)*Calculateur!BL118*Calculateur!BN118*VLOOKUP('Données projet'!$B$11,Paramètres!$A$1:$I$89,3,0)*0.475*44/12</f>
        <v>24.422531896827863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66.244293030509539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259.99999999999983</v>
      </c>
      <c r="BZ118" s="13">
        <f>BY118*VLOOKUP('Données projet'!$B$12,Paramètres!$A$1:$I$89,3,0)*VLOOKUP('Données projet'!$B$12,Paramètres!$A$1:$I$89,5,0)</f>
        <v>227.13599999999985</v>
      </c>
      <c r="CA118" s="13">
        <f t="shared" si="93"/>
        <v>55.662966886685133</v>
      </c>
      <c r="CB118" s="20">
        <f t="shared" si="64"/>
        <v>492.5415339943097</v>
      </c>
      <c r="CC118" s="59">
        <f t="shared" si="65"/>
        <v>773.62323953740702</v>
      </c>
      <c r="CD118" s="59">
        <f ca="1">AVERAGE(OFFSET($CC$3,0,0,'Données projet'!$E$12+1,1))-AVERAGE(OFFSET($H$3,0,0,'Données projet'!$E$12+1,1))</f>
        <v>411.67183422518411</v>
      </c>
      <c r="CE118" s="59">
        <f t="shared" si="94"/>
        <v>379.16642539721556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28.056379432040423</v>
      </c>
      <c r="CL118" s="21">
        <f>EXP(-LN(2)/25)*CL117+(1-EXP(-LN(2)/25))/(LN(2)/25)*Calculateur!CG118*Calculateur!CI118*VLOOKUP('Données projet'!$B$12,Paramètres!$A$1:$I$89,3,0)*0.475*44/12</f>
        <v>8.8677861038885588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36.924165535928978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-7.3896444519050419E-13</v>
      </c>
      <c r="O119" s="13">
        <f>N119*VLOOKUP('Données projet'!$B$9,Paramètres!$A$1:$I$89,3,0)*VLOOKUP('Données projet'!$B$9,Paramètres!$A$1:$I$89,5,0)</f>
        <v>-3.4583536034915594E-13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307.52968058891554</v>
      </c>
      <c r="T119" s="59">
        <f t="shared" si="88"/>
        <v>221.27527189662558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125.94669552902533</v>
      </c>
      <c r="AA119" s="21">
        <f>EXP(-LN(2)/25)*AA118+(1-EXP(-LN(2)/25))/(LN(2)/25)*Calculateur!V119*Calculateur!X119*VLOOKUP('Données projet'!$B$9,Paramètres!$A$1:$I$89,3,0)*0.475*44/12</f>
        <v>26.961980785570677</v>
      </c>
      <c r="AB119" s="21">
        <f>EXP(-LN(2)/2)*AB118+(1-EXP(-LN(2)/2))/(LN(2)/2)*V119*Y119*VLOOKUP('Données projet'!$B$9,Paramètres!$A$1:$I$89,3,0)*0.475*44/12</f>
        <v>0.12169583398323934</v>
      </c>
      <c r="AC119" s="22">
        <f t="shared" si="57"/>
        <v>153.03037214857926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377.63545575155672</v>
      </c>
      <c r="AO119" s="59">
        <f t="shared" si="90"/>
        <v>339.1731538522788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1.7053025658242404E-13</v>
      </c>
      <c r="BE119" s="13">
        <f>BD119*VLOOKUP('Données projet'!$B$11,Paramètres!$A$1:$I$89,3,0)*VLOOKUP('Données projet'!$B$11,Paramètres!$A$1:$I$89,5,0)</f>
        <v>1.383341441396624E-13</v>
      </c>
      <c r="BF119" s="13">
        <f t="shared" si="91"/>
        <v>2.0011390722884082E-12</v>
      </c>
      <c r="BG119" s="20">
        <f t="shared" si="61"/>
        <v>3.7262491852788889E-12</v>
      </c>
      <c r="BH119" s="59">
        <f t="shared" si="62"/>
        <v>281.29424389472524</v>
      </c>
      <c r="BI119" s="59">
        <f ca="1">AVERAGE(OFFSET($BH$3,0,0,'Données projet'!$E$11+1,1))-AVERAGE(OFFSET($H$3,0,0,'Données projet'!$E$11+1,1))</f>
        <v>318.98630351938459</v>
      </c>
      <c r="BJ119" s="59">
        <f t="shared" si="92"/>
        <v>312.22190035638084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41.001661906605698</v>
      </c>
      <c r="BQ119" s="21">
        <f>EXP(-LN(2)/25)*BQ118+(1-EXP(-LN(2)/25))/(LN(2)/25)*Calculateur!BL119*Calculateur!BN119*VLOOKUP('Données projet'!$B$11,Paramètres!$A$1:$I$89,3,0)*0.475*44/12</f>
        <v>23.75469647778397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64.756358384389671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259.99999999999983</v>
      </c>
      <c r="BZ119" s="13">
        <f>BY119*VLOOKUP('Données projet'!$B$12,Paramètres!$A$1:$I$89,3,0)*VLOOKUP('Données projet'!$B$12,Paramètres!$A$1:$I$89,5,0)</f>
        <v>227.13599999999985</v>
      </c>
      <c r="CA119" s="13">
        <f t="shared" si="93"/>
        <v>55.662966886685133</v>
      </c>
      <c r="CB119" s="20">
        <f t="shared" si="64"/>
        <v>492.5415339943097</v>
      </c>
      <c r="CC119" s="59">
        <f t="shared" si="65"/>
        <v>773.83577788903119</v>
      </c>
      <c r="CD119" s="59">
        <f ca="1">AVERAGE(OFFSET($CC$3,0,0,'Données projet'!$E$12+1,1))-AVERAGE(OFFSET($H$3,0,0,'Données projet'!$E$12+1,1))</f>
        <v>411.67183422518411</v>
      </c>
      <c r="CE119" s="59">
        <f t="shared" si="94"/>
        <v>379.16642539721556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27.506210944079825</v>
      </c>
      <c r="CL119" s="21">
        <f>EXP(-LN(2)/25)*CL118+(1-EXP(-LN(2)/25))/(LN(2)/25)*Calculateur!CG119*Calculateur!CI119*VLOOKUP('Données projet'!$B$12,Paramètres!$A$1:$I$89,3,0)*0.475*44/12</f>
        <v>8.6252960265411218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36.131506970620947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-7.3896444519050419E-13</v>
      </c>
      <c r="O120" s="13">
        <f>N120*VLOOKUP('Données projet'!$B$9,Paramètres!$A$1:$I$89,3,0)*VLOOKUP('Données projet'!$B$9,Paramètres!$A$1:$I$89,5,0)</f>
        <v>-3.4583536034915594E-13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307.52968058891554</v>
      </c>
      <c r="T120" s="59">
        <f t="shared" si="88"/>
        <v>221.27527189662558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123.47695764960008</v>
      </c>
      <c r="AA120" s="21">
        <f>EXP(-LN(2)/25)*AA119+(1-EXP(-LN(2)/25))/(LN(2)/25)*Calculateur!V120*Calculateur!X120*VLOOKUP('Données projet'!$B$9,Paramètres!$A$1:$I$89,3,0)*0.475*44/12</f>
        <v>26.224704003120301</v>
      </c>
      <c r="AB120" s="21">
        <f>EXP(-LN(2)/2)*AB119+(1-EXP(-LN(2)/2))/(LN(2)/2)*V120*Y120*VLOOKUP('Données projet'!$B$9,Paramètres!$A$1:$I$89,3,0)*0.475*44/12</f>
        <v>8.6051949451700846E-2</v>
      </c>
      <c r="AC120" s="22">
        <f t="shared" si="57"/>
        <v>149.78771360217209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377.63545575155672</v>
      </c>
      <c r="AO120" s="59">
        <f t="shared" si="90"/>
        <v>339.1731538522788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1.7053025658242404E-13</v>
      </c>
      <c r="BE120" s="13">
        <f>BD120*VLOOKUP('Données projet'!$B$11,Paramètres!$A$1:$I$89,3,0)*VLOOKUP('Données projet'!$B$11,Paramètres!$A$1:$I$89,5,0)</f>
        <v>1.383341441396624E-13</v>
      </c>
      <c r="BF120" s="13">
        <f t="shared" si="91"/>
        <v>2.0011390722884082E-12</v>
      </c>
      <c r="BG120" s="20">
        <f t="shared" si="61"/>
        <v>3.7262491852788889E-12</v>
      </c>
      <c r="BH120" s="59">
        <f t="shared" si="62"/>
        <v>281.50309518111339</v>
      </c>
      <c r="BI120" s="59">
        <f ca="1">AVERAGE(OFFSET($BH$3,0,0,'Données projet'!$E$11+1,1))-AVERAGE(OFFSET($H$3,0,0,'Données projet'!$E$11+1,1))</f>
        <v>318.98630351938459</v>
      </c>
      <c r="BJ120" s="59">
        <f t="shared" si="92"/>
        <v>312.22190035638084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40.197644325161534</v>
      </c>
      <c r="BQ120" s="21">
        <f>EXP(-LN(2)/25)*BQ119+(1-EXP(-LN(2)/25))/(LN(2)/25)*Calculateur!BL120*Calculateur!BN120*VLOOKUP('Données projet'!$B$11,Paramètres!$A$1:$I$89,3,0)*0.475*44/12</f>
        <v>23.105123053393772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63.302767378555302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259.99999999999983</v>
      </c>
      <c r="BZ120" s="13">
        <f>BY120*VLOOKUP('Données projet'!$B$12,Paramètres!$A$1:$I$89,3,0)*VLOOKUP('Données projet'!$B$12,Paramètres!$A$1:$I$89,5,0)</f>
        <v>227.13599999999985</v>
      </c>
      <c r="CA120" s="13">
        <f t="shared" si="93"/>
        <v>55.662966886685133</v>
      </c>
      <c r="CB120" s="20">
        <f t="shared" si="64"/>
        <v>492.5415339943097</v>
      </c>
      <c r="CC120" s="59">
        <f t="shared" si="65"/>
        <v>774.04462917541935</v>
      </c>
      <c r="CD120" s="59">
        <f ca="1">AVERAGE(OFFSET($CC$3,0,0,'Données projet'!$E$12+1,1))-AVERAGE(OFFSET($H$3,0,0,'Données projet'!$E$12+1,1))</f>
        <v>411.67183422518411</v>
      </c>
      <c r="CE120" s="59">
        <f t="shared" si="94"/>
        <v>379.16642539721556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26.96683092459849</v>
      </c>
      <c r="CL120" s="21">
        <f>EXP(-LN(2)/25)*CL119+(1-EXP(-LN(2)/25))/(LN(2)/25)*Calculateur!CG120*Calculateur!CI120*VLOOKUP('Données projet'!$B$12,Paramètres!$A$1:$I$89,3,0)*0.475*44/12</f>
        <v>8.3894368531107499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35.356267777709242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-7.3896444519050419E-13</v>
      </c>
      <c r="O121" s="13">
        <f>N121*VLOOKUP('Données projet'!$B$9,Paramètres!$A$1:$I$89,3,0)*VLOOKUP('Données projet'!$B$9,Paramètres!$A$1:$I$89,5,0)</f>
        <v>-3.4583536034915594E-13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307.52968058891554</v>
      </c>
      <c r="T121" s="59">
        <f t="shared" si="88"/>
        <v>221.27527189662558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121.055649823599</v>
      </c>
      <c r="AA121" s="21">
        <f>EXP(-LN(2)/25)*AA120+(1-EXP(-LN(2)/25))/(LN(2)/25)*Calculateur!V121*Calculateur!X121*VLOOKUP('Données projet'!$B$9,Paramètres!$A$1:$I$89,3,0)*0.475*44/12</f>
        <v>25.507588093057731</v>
      </c>
      <c r="AB121" s="21">
        <f>EXP(-LN(2)/2)*AB120+(1-EXP(-LN(2)/2))/(LN(2)/2)*V121*Y121*VLOOKUP('Données projet'!$B$9,Paramètres!$A$1:$I$89,3,0)*0.475*44/12</f>
        <v>6.0847916991619684E-2</v>
      </c>
      <c r="AC121" s="22">
        <f t="shared" si="57"/>
        <v>146.62408583364837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377.63545575155672</v>
      </c>
      <c r="AO121" s="59">
        <f t="shared" si="90"/>
        <v>339.1731538522788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1.7053025658242404E-13</v>
      </c>
      <c r="BE121" s="13">
        <f>BD121*VLOOKUP('Données projet'!$B$11,Paramètres!$A$1:$I$89,3,0)*VLOOKUP('Données projet'!$B$11,Paramètres!$A$1:$I$89,5,0)</f>
        <v>1.383341441396624E-13</v>
      </c>
      <c r="BF121" s="13">
        <f t="shared" si="91"/>
        <v>2.0011390722884082E-12</v>
      </c>
      <c r="BG121" s="20">
        <f t="shared" si="61"/>
        <v>3.7262491852788889E-12</v>
      </c>
      <c r="BH121" s="59">
        <f t="shared" si="62"/>
        <v>281.70832336460415</v>
      </c>
      <c r="BI121" s="59">
        <f ca="1">AVERAGE(OFFSET($BH$3,0,0,'Données projet'!$E$11+1,1))-AVERAGE(OFFSET($H$3,0,0,'Données projet'!$E$11+1,1))</f>
        <v>318.98630351938459</v>
      </c>
      <c r="BJ121" s="59">
        <f t="shared" si="92"/>
        <v>312.22190035638084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39.409393038087188</v>
      </c>
      <c r="BQ121" s="21">
        <f>EXP(-LN(2)/25)*BQ120+(1-EXP(-LN(2)/25))/(LN(2)/25)*Calculateur!BL121*Calculateur!BN121*VLOOKUP('Données projet'!$B$11,Paramètres!$A$1:$I$89,3,0)*0.475*44/12</f>
        <v>22.473312248453105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61.882705286540293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259.99999999999983</v>
      </c>
      <c r="BZ121" s="13">
        <f>BY121*VLOOKUP('Données projet'!$B$12,Paramètres!$A$1:$I$89,3,0)*VLOOKUP('Données projet'!$B$12,Paramètres!$A$1:$I$89,5,0)</f>
        <v>227.13599999999985</v>
      </c>
      <c r="CA121" s="13">
        <f t="shared" si="93"/>
        <v>55.662966886685133</v>
      </c>
      <c r="CB121" s="20">
        <f t="shared" si="64"/>
        <v>492.5415339943097</v>
      </c>
      <c r="CC121" s="59">
        <f t="shared" si="65"/>
        <v>774.24985735891005</v>
      </c>
      <c r="CD121" s="59">
        <f ca="1">AVERAGE(OFFSET($CC$3,0,0,'Données projet'!$E$12+1,1))-AVERAGE(OFFSET($H$3,0,0,'Données projet'!$E$12+1,1))</f>
        <v>411.67183422518411</v>
      </c>
      <c r="CE121" s="59">
        <f t="shared" si="94"/>
        <v>379.16642539721556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26.438027818309859</v>
      </c>
      <c r="CL121" s="21">
        <f>EXP(-LN(2)/25)*CL120+(1-EXP(-LN(2)/25))/(LN(2)/25)*Calculateur!CG121*Calculateur!CI121*VLOOKUP('Données projet'!$B$12,Paramètres!$A$1:$I$89,3,0)*0.475*44/12</f>
        <v>8.160027261181126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34.598055079490983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-7.3896444519050419E-13</v>
      </c>
      <c r="O122" s="13">
        <f>N122*VLOOKUP('Données projet'!$B$9,Paramètres!$A$1:$I$89,3,0)*VLOOKUP('Données projet'!$B$9,Paramètres!$A$1:$I$89,5,0)</f>
        <v>-3.4583536034915594E-13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307.52968058891554</v>
      </c>
      <c r="T122" s="59">
        <f t="shared" si="88"/>
        <v>221.27527189662558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118.68182236721385</v>
      </c>
      <c r="AA122" s="21">
        <f>EXP(-LN(2)/25)*AA121+(1-EXP(-LN(2)/25))/(LN(2)/25)*Calculateur!V122*Calculateur!X122*VLOOKUP('Données projet'!$B$9,Paramètres!$A$1:$I$89,3,0)*0.475*44/12</f>
        <v>24.810081755267309</v>
      </c>
      <c r="AB122" s="21">
        <f>EXP(-LN(2)/2)*AB121+(1-EXP(-LN(2)/2))/(LN(2)/2)*V122*Y122*VLOOKUP('Données projet'!$B$9,Paramètres!$A$1:$I$89,3,0)*0.475*44/12</f>
        <v>4.302597472585043E-2</v>
      </c>
      <c r="AC122" s="22">
        <f t="shared" si="57"/>
        <v>143.53493009720702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377.63545575155672</v>
      </c>
      <c r="AO122" s="59">
        <f t="shared" si="90"/>
        <v>339.1731538522788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1.7053025658242404E-13</v>
      </c>
      <c r="BE122" s="13">
        <f>BD122*VLOOKUP('Données projet'!$B$11,Paramètres!$A$1:$I$89,3,0)*VLOOKUP('Données projet'!$B$11,Paramètres!$A$1:$I$89,5,0)</f>
        <v>1.383341441396624E-13</v>
      </c>
      <c r="BF122" s="13">
        <f t="shared" si="91"/>
        <v>2.0011390722884082E-12</v>
      </c>
      <c r="BG122" s="20">
        <f t="shared" si="61"/>
        <v>3.7262491852788889E-12</v>
      </c>
      <c r="BH122" s="59">
        <f t="shared" si="62"/>
        <v>281.90999129793289</v>
      </c>
      <c r="BI122" s="59">
        <f ca="1">AVERAGE(OFFSET($BH$3,0,0,'Données projet'!$E$11+1,1))-AVERAGE(OFFSET($H$3,0,0,'Données projet'!$E$11+1,1))</f>
        <v>318.98630351938459</v>
      </c>
      <c r="BJ122" s="59">
        <f t="shared" si="92"/>
        <v>312.22190035638084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38.636598877966563</v>
      </c>
      <c r="BQ122" s="21">
        <f>EXP(-LN(2)/25)*BQ121+(1-EXP(-LN(2)/25))/(LN(2)/25)*Calculateur!BL122*Calculateur!BN122*VLOOKUP('Données projet'!$B$11,Paramètres!$A$1:$I$89,3,0)*0.475*44/12</f>
        <v>21.858778343199027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60.49537722116559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259.99999999999983</v>
      </c>
      <c r="BZ122" s="13">
        <f>BY122*VLOOKUP('Données projet'!$B$12,Paramètres!$A$1:$I$89,3,0)*VLOOKUP('Données projet'!$B$12,Paramètres!$A$1:$I$89,5,0)</f>
        <v>227.13599999999985</v>
      </c>
      <c r="CA122" s="13">
        <f t="shared" si="93"/>
        <v>55.662966886685133</v>
      </c>
      <c r="CB122" s="20">
        <f t="shared" si="64"/>
        <v>492.5415339943097</v>
      </c>
      <c r="CC122" s="59">
        <f t="shared" si="65"/>
        <v>774.45152529223878</v>
      </c>
      <c r="CD122" s="59">
        <f ca="1">AVERAGE(OFFSET($CC$3,0,0,'Données projet'!$E$12+1,1))-AVERAGE(OFFSET($H$3,0,0,'Données projet'!$E$12+1,1))</f>
        <v>411.67183422518411</v>
      </c>
      <c r="CE122" s="59">
        <f t="shared" si="94"/>
        <v>379.16642539721556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25.919594218397499</v>
      </c>
      <c r="CL122" s="21">
        <f>EXP(-LN(2)/25)*CL121+(1-EXP(-LN(2)/25))/(LN(2)/25)*Calculateur!CG122*Calculateur!CI122*VLOOKUP('Données projet'!$B$12,Paramètres!$A$1:$I$89,3,0)*0.475*44/12</f>
        <v>7.9368908866069443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33.856485105004445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-7.3896444519050419E-13</v>
      </c>
      <c r="O123" s="13">
        <f>N123*VLOOKUP('Données projet'!$B$9,Paramètres!$A$1:$I$89,3,0)*VLOOKUP('Données projet'!$B$9,Paramètres!$A$1:$I$89,5,0)</f>
        <v>-3.4583536034915594E-13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307.52968058891554</v>
      </c>
      <c r="T123" s="59">
        <f t="shared" si="88"/>
        <v>221.27527189662558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116.35454421935664</v>
      </c>
      <c r="AA123" s="21">
        <f>EXP(-LN(2)/25)*AA122+(1-EXP(-LN(2)/25))/(LN(2)/25)*Calculateur!V123*Calculateur!X123*VLOOKUP('Données projet'!$B$9,Paramètres!$A$1:$I$89,3,0)*0.475*44/12</f>
        <v>24.13164876496403</v>
      </c>
      <c r="AB123" s="21">
        <f>EXP(-LN(2)/2)*AB122+(1-EXP(-LN(2)/2))/(LN(2)/2)*V123*Y123*VLOOKUP('Données projet'!$B$9,Paramètres!$A$1:$I$89,3,0)*0.475*44/12</f>
        <v>3.0423958495809846E-2</v>
      </c>
      <c r="AC123" s="22">
        <f t="shared" si="57"/>
        <v>140.51661694281648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377.63545575155672</v>
      </c>
      <c r="AO123" s="59">
        <f t="shared" si="90"/>
        <v>339.1731538522788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1.7053025658242404E-13</v>
      </c>
      <c r="BE123" s="13">
        <f>BD123*VLOOKUP('Données projet'!$B$11,Paramètres!$A$1:$I$89,3,0)*VLOOKUP('Données projet'!$B$11,Paramètres!$A$1:$I$89,5,0)</f>
        <v>1.383341441396624E-13</v>
      </c>
      <c r="BF123" s="13">
        <f t="shared" si="91"/>
        <v>2.0011390722884082E-12</v>
      </c>
      <c r="BG123" s="20">
        <f t="shared" si="61"/>
        <v>3.7262491852788889E-12</v>
      </c>
      <c r="BH123" s="59">
        <f t="shared" si="62"/>
        <v>282.10816074348037</v>
      </c>
      <c r="BI123" s="59">
        <f ca="1">AVERAGE(OFFSET($BH$3,0,0,'Données projet'!$E$11+1,1))-AVERAGE(OFFSET($H$3,0,0,'Données projet'!$E$11+1,1))</f>
        <v>318.98630351938459</v>
      </c>
      <c r="BJ123" s="59">
        <f t="shared" si="92"/>
        <v>312.22190035638084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37.878958739968006</v>
      </c>
      <c r="BQ123" s="21">
        <f>EXP(-LN(2)/25)*BQ122+(1-EXP(-LN(2)/25))/(LN(2)/25)*Calculateur!BL123*Calculateur!BN123*VLOOKUP('Données projet'!$B$11,Paramètres!$A$1:$I$89,3,0)*0.475*44/12</f>
        <v>21.261048899901056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59.140007639869062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259.99999999999983</v>
      </c>
      <c r="BZ123" s="13">
        <f>BY123*VLOOKUP('Données projet'!$B$12,Paramètres!$A$1:$I$89,3,0)*VLOOKUP('Données projet'!$B$12,Paramètres!$A$1:$I$89,5,0)</f>
        <v>227.13599999999985</v>
      </c>
      <c r="CA123" s="13">
        <f t="shared" si="93"/>
        <v>55.662966886685133</v>
      </c>
      <c r="CB123" s="20">
        <f t="shared" si="64"/>
        <v>492.5415339943097</v>
      </c>
      <c r="CC123" s="59">
        <f t="shared" si="65"/>
        <v>774.64969473778638</v>
      </c>
      <c r="CD123" s="59">
        <f ca="1">AVERAGE(OFFSET($CC$3,0,0,'Données projet'!$E$12+1,1))-AVERAGE(OFFSET($H$3,0,0,'Données projet'!$E$12+1,1))</f>
        <v>411.67183422518411</v>
      </c>
      <c r="CE123" s="59">
        <f t="shared" si="94"/>
        <v>379.16642539721556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25.41132678516615</v>
      </c>
      <c r="CL123" s="21">
        <f>EXP(-LN(2)/25)*CL122+(1-EXP(-LN(2)/25))/(LN(2)/25)*Calculateur!CG123*Calculateur!CI123*VLOOKUP('Données projet'!$B$12,Paramètres!$A$1:$I$89,3,0)*0.475*44/12</f>
        <v>7.7198561879297261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33.131182973095875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-7.3896444519050419E-13</v>
      </c>
      <c r="O124" s="13">
        <f>N124*VLOOKUP('Données projet'!$B$9,Paramètres!$A$1:$I$89,3,0)*VLOOKUP('Données projet'!$B$9,Paramètres!$A$1:$I$89,5,0)</f>
        <v>-3.4583536034915594E-13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307.52968058891554</v>
      </c>
      <c r="T124" s="59">
        <f t="shared" si="88"/>
        <v>221.27527189662558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114.07290257647939</v>
      </c>
      <c r="AA124" s="21">
        <f>EXP(-LN(2)/25)*AA123+(1-EXP(-LN(2)/25))/(LN(2)/25)*Calculateur!V124*Calculateur!X124*VLOOKUP('Données projet'!$B$9,Paramètres!$A$1:$I$89,3,0)*0.475*44/12</f>
        <v>23.471767560457835</v>
      </c>
      <c r="AB124" s="21">
        <f>EXP(-LN(2)/2)*AB123+(1-EXP(-LN(2)/2))/(LN(2)/2)*V124*Y124*VLOOKUP('Données projet'!$B$9,Paramètres!$A$1:$I$89,3,0)*0.475*44/12</f>
        <v>2.1512987362925218E-2</v>
      </c>
      <c r="AC124" s="22">
        <f t="shared" si="57"/>
        <v>137.56618312430015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377.63545575155672</v>
      </c>
      <c r="AO124" s="59">
        <f t="shared" si="90"/>
        <v>339.1731538522788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1.7053025658242404E-13</v>
      </c>
      <c r="BE124" s="13">
        <f>BD124*VLOOKUP('Données projet'!$B$11,Paramètres!$A$1:$I$89,3,0)*VLOOKUP('Données projet'!$B$11,Paramètres!$A$1:$I$89,5,0)</f>
        <v>1.383341441396624E-13</v>
      </c>
      <c r="BF124" s="13">
        <f t="shared" si="91"/>
        <v>2.0011390722884082E-12</v>
      </c>
      <c r="BG124" s="20">
        <f t="shared" si="61"/>
        <v>3.7262491852788889E-12</v>
      </c>
      <c r="BH124" s="59">
        <f t="shared" si="62"/>
        <v>282.30289239218814</v>
      </c>
      <c r="BI124" s="59">
        <f ca="1">AVERAGE(OFFSET($BH$3,0,0,'Données projet'!$E$11+1,1))-AVERAGE(OFFSET($H$3,0,0,'Données projet'!$E$11+1,1))</f>
        <v>318.98630351938459</v>
      </c>
      <c r="BJ124" s="59">
        <f t="shared" si="92"/>
        <v>312.22190035638084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37.136175462960743</v>
      </c>
      <c r="BQ124" s="21">
        <f>EXP(-LN(2)/25)*BQ123+(1-EXP(-LN(2)/25))/(LN(2)/25)*Calculateur!BL124*Calculateur!BN124*VLOOKUP('Données projet'!$B$11,Paramètres!$A$1:$I$89,3,0)*0.475*44/12</f>
        <v>20.679664399663292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57.815839862624031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259.99999999999983</v>
      </c>
      <c r="BZ124" s="13">
        <f>BY124*VLOOKUP('Données projet'!$B$12,Paramètres!$A$1:$I$89,3,0)*VLOOKUP('Données projet'!$B$12,Paramètres!$A$1:$I$89,5,0)</f>
        <v>227.13599999999985</v>
      </c>
      <c r="CA124" s="13">
        <f t="shared" si="93"/>
        <v>55.662966886685133</v>
      </c>
      <c r="CB124" s="20">
        <f t="shared" si="64"/>
        <v>492.5415339943097</v>
      </c>
      <c r="CC124" s="59">
        <f t="shared" si="65"/>
        <v>774.84442638649409</v>
      </c>
      <c r="CD124" s="59">
        <f ca="1">AVERAGE(OFFSET($CC$3,0,0,'Données projet'!$E$12+1,1))-AVERAGE(OFFSET($H$3,0,0,'Données projet'!$E$12+1,1))</f>
        <v>411.67183422518411</v>
      </c>
      <c r="CE124" s="59">
        <f t="shared" si="94"/>
        <v>379.16642539721556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24.913026166287946</v>
      </c>
      <c r="CL124" s="21">
        <f>EXP(-LN(2)/25)*CL123+(1-EXP(-LN(2)/25))/(LN(2)/25)*Calculateur!CG124*Calculateur!CI124*VLOOKUP('Données projet'!$B$12,Paramètres!$A$1:$I$89,3,0)*0.475*44/12</f>
        <v>7.5087563145011949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32.42178248078914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-7.3896444519050419E-13</v>
      </c>
      <c r="O125" s="13">
        <f>N125*VLOOKUP('Données projet'!$B$9,Paramètres!$A$1:$I$89,3,0)*VLOOKUP('Données projet'!$B$9,Paramètres!$A$1:$I$89,5,0)</f>
        <v>-3.4583536034915594E-13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307.52968058891554</v>
      </c>
      <c r="T125" s="59">
        <f t="shared" si="88"/>
        <v>221.27527189662558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111.83600253455499</v>
      </c>
      <c r="AA125" s="21">
        <f>EXP(-LN(2)/25)*AA124+(1-EXP(-LN(2)/25))/(LN(2)/25)*Calculateur!V125*Calculateur!X125*VLOOKUP('Données projet'!$B$9,Paramètres!$A$1:$I$89,3,0)*0.475*44/12</f>
        <v>22.829930842190503</v>
      </c>
      <c r="AB125" s="21">
        <f>EXP(-LN(2)/2)*AB124+(1-EXP(-LN(2)/2))/(LN(2)/2)*V125*Y125*VLOOKUP('Données projet'!$B$9,Paramètres!$A$1:$I$89,3,0)*0.475*44/12</f>
        <v>1.5211979247904926E-2</v>
      </c>
      <c r="AC125" s="22">
        <f t="shared" si="57"/>
        <v>134.68114535599341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377.63545575155672</v>
      </c>
      <c r="AO125" s="59">
        <f t="shared" si="90"/>
        <v>339.1731538522788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1.7053025658242404E-13</v>
      </c>
      <c r="BE125" s="13">
        <f>BD125*VLOOKUP('Données projet'!$B$11,Paramètres!$A$1:$I$89,3,0)*VLOOKUP('Données projet'!$B$11,Paramètres!$A$1:$I$89,5,0)</f>
        <v>1.383341441396624E-13</v>
      </c>
      <c r="BF125" s="13">
        <f t="shared" si="91"/>
        <v>2.0011390722884082E-12</v>
      </c>
      <c r="BG125" s="20">
        <f t="shared" si="61"/>
        <v>3.7262491852788889E-12</v>
      </c>
      <c r="BH125" s="59">
        <f t="shared" si="62"/>
        <v>282.49424588214555</v>
      </c>
      <c r="BI125" s="59">
        <f ca="1">AVERAGE(OFFSET($BH$3,0,0,'Données projet'!$E$11+1,1))-AVERAGE(OFFSET($H$3,0,0,'Données projet'!$E$11+1,1))</f>
        <v>318.98630351938459</v>
      </c>
      <c r="BJ125" s="59">
        <f t="shared" si="92"/>
        <v>312.22190035638084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36.407957712962535</v>
      </c>
      <c r="BQ125" s="21">
        <f>EXP(-LN(2)/25)*BQ124+(1-EXP(-LN(2)/25))/(LN(2)/25)*Calculateur!BL125*Calculateur!BN125*VLOOKUP('Données projet'!$B$11,Paramètres!$A$1:$I$89,3,0)*0.475*44/12</f>
        <v>20.114177889158213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56.522135602120748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259.99999999999983</v>
      </c>
      <c r="BZ125" s="13">
        <f>BY125*VLOOKUP('Données projet'!$B$12,Paramètres!$A$1:$I$89,3,0)*VLOOKUP('Données projet'!$B$12,Paramètres!$A$1:$I$89,5,0)</f>
        <v>227.13599999999985</v>
      </c>
      <c r="CA125" s="13">
        <f t="shared" si="93"/>
        <v>55.662966886685133</v>
      </c>
      <c r="CB125" s="20">
        <f t="shared" si="64"/>
        <v>492.5415339943097</v>
      </c>
      <c r="CC125" s="59">
        <f t="shared" si="65"/>
        <v>775.03577987645144</v>
      </c>
      <c r="CD125" s="59">
        <f ca="1">AVERAGE(OFFSET($CC$3,0,0,'Données projet'!$E$12+1,1))-AVERAGE(OFFSET($H$3,0,0,'Données projet'!$E$12+1,1))</f>
        <v>411.67183422518411</v>
      </c>
      <c r="CE125" s="59">
        <f t="shared" si="94"/>
        <v>379.16642539721556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24.424496918612576</v>
      </c>
      <c r="CL125" s="21">
        <f>EXP(-LN(2)/25)*CL124+(1-EXP(-LN(2)/25))/(LN(2)/25)*Calculateur!CG125*Calculateur!CI125*VLOOKUP('Données projet'!$B$12,Paramètres!$A$1:$I$89,3,0)*0.475*44/12</f>
        <v>7.3034289782128266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31.727925896825404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-7.3896444519050419E-13</v>
      </c>
      <c r="O126" s="13">
        <f>N126*VLOOKUP('Données projet'!$B$9,Paramètres!$A$1:$I$89,3,0)*VLOOKUP('Données projet'!$B$9,Paramètres!$A$1:$I$89,5,0)</f>
        <v>-3.4583536034915594E-13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307.52968058891554</v>
      </c>
      <c r="T126" s="59">
        <f t="shared" si="88"/>
        <v>221.27527189662558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109.64296673807841</v>
      </c>
      <c r="AA126" s="21">
        <f>EXP(-LN(2)/25)*AA125+(1-EXP(-LN(2)/25))/(LN(2)/25)*Calculateur!V126*Calculateur!X126*VLOOKUP('Données projet'!$B$9,Paramètres!$A$1:$I$89,3,0)*0.475*44/12</f>
        <v>22.205645182736919</v>
      </c>
      <c r="AB126" s="21">
        <f>EXP(-LN(2)/2)*AB125+(1-EXP(-LN(2)/2))/(LN(2)/2)*V126*Y126*VLOOKUP('Données projet'!$B$9,Paramètres!$A$1:$I$89,3,0)*0.475*44/12</f>
        <v>1.0756493681462611E-2</v>
      </c>
      <c r="AC126" s="22">
        <f t="shared" si="57"/>
        <v>131.8593684144968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377.63545575155672</v>
      </c>
      <c r="AO126" s="59">
        <f t="shared" si="90"/>
        <v>339.1731538522788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1.7053025658242404E-13</v>
      </c>
      <c r="BE126" s="13">
        <f>BD126*VLOOKUP('Données projet'!$B$11,Paramètres!$A$1:$I$89,3,0)*VLOOKUP('Données projet'!$B$11,Paramètres!$A$1:$I$89,5,0)</f>
        <v>1.383341441396624E-13</v>
      </c>
      <c r="BF126" s="13">
        <f t="shared" si="91"/>
        <v>2.0011390722884082E-12</v>
      </c>
      <c r="BG126" s="20">
        <f t="shared" si="61"/>
        <v>3.7262491852788889E-12</v>
      </c>
      <c r="BH126" s="59">
        <f t="shared" si="62"/>
        <v>282.68227981685442</v>
      </c>
      <c r="BI126" s="59">
        <f ca="1">AVERAGE(OFFSET($BH$3,0,0,'Données projet'!$E$11+1,1))-AVERAGE(OFFSET($H$3,0,0,'Données projet'!$E$11+1,1))</f>
        <v>318.98630351938459</v>
      </c>
      <c r="BJ126" s="59">
        <f t="shared" si="92"/>
        <v>312.22190035638084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35.694019868872822</v>
      </c>
      <c r="BQ126" s="21">
        <f>EXP(-LN(2)/25)*BQ125+(1-EXP(-LN(2)/25))/(LN(2)/25)*Calculateur!BL126*Calculateur!BN126*VLOOKUP('Données projet'!$B$11,Paramètres!$A$1:$I$89,3,0)*0.475*44/12</f>
        <v>19.56415463702054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55.258174505893365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259.99999999999983</v>
      </c>
      <c r="BZ126" s="13">
        <f>BY126*VLOOKUP('Données projet'!$B$12,Paramètres!$A$1:$I$89,3,0)*VLOOKUP('Données projet'!$B$12,Paramètres!$A$1:$I$89,5,0)</f>
        <v>227.13599999999985</v>
      </c>
      <c r="CA126" s="13">
        <f t="shared" si="93"/>
        <v>55.662966886685133</v>
      </c>
      <c r="CB126" s="20">
        <f t="shared" si="64"/>
        <v>492.5415339943097</v>
      </c>
      <c r="CC126" s="59">
        <f t="shared" si="65"/>
        <v>775.22381381116043</v>
      </c>
      <c r="CD126" s="59">
        <f ca="1">AVERAGE(OFFSET($CC$3,0,0,'Données projet'!$E$12+1,1))-AVERAGE(OFFSET($H$3,0,0,'Données projet'!$E$12+1,1))</f>
        <v>411.67183422518411</v>
      </c>
      <c r="CE126" s="59">
        <f t="shared" si="94"/>
        <v>379.16642539721556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23.9455474315107</v>
      </c>
      <c r="CL126" s="21">
        <f>EXP(-LN(2)/25)*CL125+(1-EXP(-LN(2)/25))/(LN(2)/25)*Calculateur!CG126*Calculateur!CI126*VLOOKUP('Données projet'!$B$12,Paramètres!$A$1:$I$89,3,0)*0.475*44/12</f>
        <v>7.1037163287329594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31.049263760243662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-7.3896444519050419E-13</v>
      </c>
      <c r="O127" s="13">
        <f>N127*VLOOKUP('Données projet'!$B$9,Paramètres!$A$1:$I$89,3,0)*VLOOKUP('Données projet'!$B$9,Paramètres!$A$1:$I$89,5,0)</f>
        <v>-3.4583536034915594E-13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307.52968058891554</v>
      </c>
      <c r="T127" s="59">
        <f t="shared" si="88"/>
        <v>221.27527189662558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107.49293503595099</v>
      </c>
      <c r="AA127" s="21">
        <f>EXP(-LN(2)/25)*AA126+(1-EXP(-LN(2)/25))/(LN(2)/25)*Calculateur!V127*Calculateur!X127*VLOOKUP('Données projet'!$B$9,Paramètres!$A$1:$I$89,3,0)*0.475*44/12</f>
        <v>21.598430647470849</v>
      </c>
      <c r="AB127" s="21">
        <f>EXP(-LN(2)/2)*AB126+(1-EXP(-LN(2)/2))/(LN(2)/2)*V127*Y127*VLOOKUP('Données projet'!$B$9,Paramètres!$A$1:$I$89,3,0)*0.475*44/12</f>
        <v>7.605989623952464E-3</v>
      </c>
      <c r="AC127" s="22">
        <f t="shared" si="57"/>
        <v>129.09897167304578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377.63545575155672</v>
      </c>
      <c r="AO127" s="59">
        <f t="shared" si="90"/>
        <v>339.1731538522788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1.7053025658242404E-13</v>
      </c>
      <c r="BE127" s="13">
        <f>BD127*VLOOKUP('Données projet'!$B$11,Paramètres!$A$1:$I$89,3,0)*VLOOKUP('Données projet'!$B$11,Paramètres!$A$1:$I$89,5,0)</f>
        <v>1.383341441396624E-13</v>
      </c>
      <c r="BF127" s="13">
        <f t="shared" si="91"/>
        <v>2.0011390722884082E-12</v>
      </c>
      <c r="BG127" s="20">
        <f t="shared" si="61"/>
        <v>3.7262491852788889E-12</v>
      </c>
      <c r="BH127" s="59">
        <f t="shared" si="62"/>
        <v>282.86705178317709</v>
      </c>
      <c r="BI127" s="59">
        <f ca="1">AVERAGE(OFFSET($BH$3,0,0,'Données projet'!$E$11+1,1))-AVERAGE(OFFSET($H$3,0,0,'Données projet'!$E$11+1,1))</f>
        <v>318.98630351938459</v>
      </c>
      <c r="BJ127" s="59">
        <f t="shared" si="92"/>
        <v>312.22190035638084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34.994081910446617</v>
      </c>
      <c r="BQ127" s="21">
        <f>EXP(-LN(2)/25)*BQ126+(1-EXP(-LN(2)/25))/(LN(2)/25)*Calculateur!BL127*Calculateur!BN127*VLOOKUP('Données projet'!$B$11,Paramètres!$A$1:$I$89,3,0)*0.475*44/12</f>
        <v>19.029171799637034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54.023253710083651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259.99999999999983</v>
      </c>
      <c r="BZ127" s="13">
        <f>BY127*VLOOKUP('Données projet'!$B$12,Paramètres!$A$1:$I$89,3,0)*VLOOKUP('Données projet'!$B$12,Paramètres!$A$1:$I$89,5,0)</f>
        <v>227.13599999999985</v>
      </c>
      <c r="CA127" s="13">
        <f t="shared" si="93"/>
        <v>55.662966886685133</v>
      </c>
      <c r="CB127" s="20">
        <f t="shared" si="64"/>
        <v>492.5415339943097</v>
      </c>
      <c r="CC127" s="59">
        <f t="shared" si="65"/>
        <v>775.40858577748304</v>
      </c>
      <c r="CD127" s="59">
        <f ca="1">AVERAGE(OFFSET($CC$3,0,0,'Données projet'!$E$12+1,1))-AVERAGE(OFFSET($H$3,0,0,'Données projet'!$E$12+1,1))</f>
        <v>411.67183422518411</v>
      </c>
      <c r="CE127" s="59">
        <f t="shared" si="94"/>
        <v>379.16642539721556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23.475989851720552</v>
      </c>
      <c r="CL127" s="21">
        <f>EXP(-LN(2)/25)*CL126+(1-EXP(-LN(2)/25))/(LN(2)/25)*Calculateur!CG127*Calculateur!CI127*VLOOKUP('Données projet'!$B$12,Paramètres!$A$1:$I$89,3,0)*0.475*44/12</f>
        <v>6.9094648321555505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30.385454683876102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-7.3896444519050419E-13</v>
      </c>
      <c r="O128" s="13">
        <f>N128*VLOOKUP('Données projet'!$B$9,Paramètres!$A$1:$I$89,3,0)*VLOOKUP('Données projet'!$B$9,Paramètres!$A$1:$I$89,5,0)</f>
        <v>-3.4583536034915594E-13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307.52968058891554</v>
      </c>
      <c r="T128" s="59">
        <f t="shared" si="88"/>
        <v>221.27527189662558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105.38506414411243</v>
      </c>
      <c r="AA128" s="21">
        <f>EXP(-LN(2)/25)*AA127+(1-EXP(-LN(2)/25))/(LN(2)/25)*Calculateur!V128*Calculateur!X128*VLOOKUP('Données projet'!$B$9,Paramètres!$A$1:$I$89,3,0)*0.475*44/12</f>
        <v>21.007820425603654</v>
      </c>
      <c r="AB128" s="21">
        <f>EXP(-LN(2)/2)*AB127+(1-EXP(-LN(2)/2))/(LN(2)/2)*V128*Y128*VLOOKUP('Données projet'!$B$9,Paramètres!$A$1:$I$89,3,0)*0.475*44/12</f>
        <v>5.3782468407313063E-3</v>
      </c>
      <c r="AC128" s="22">
        <f t="shared" si="57"/>
        <v>126.39826281655682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377.63545575155672</v>
      </c>
      <c r="AO128" s="59">
        <f t="shared" si="90"/>
        <v>339.1731538522788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1.7053025658242404E-13</v>
      </c>
      <c r="BE128" s="13">
        <f>BD128*VLOOKUP('Données projet'!$B$11,Paramètres!$A$1:$I$89,3,0)*VLOOKUP('Données projet'!$B$11,Paramètres!$A$1:$I$89,5,0)</f>
        <v>1.383341441396624E-13</v>
      </c>
      <c r="BF128" s="13">
        <f t="shared" si="91"/>
        <v>2.0011390722884082E-12</v>
      </c>
      <c r="BG128" s="20">
        <f t="shared" si="61"/>
        <v>3.7262491852788889E-12</v>
      </c>
      <c r="BH128" s="59">
        <f t="shared" si="62"/>
        <v>283.04861836897226</v>
      </c>
      <c r="BI128" s="59">
        <f ca="1">AVERAGE(OFFSET($BH$3,0,0,'Données projet'!$E$11+1,1))-AVERAGE(OFFSET($H$3,0,0,'Données projet'!$E$11+1,1))</f>
        <v>318.98630351938459</v>
      </c>
      <c r="BJ128" s="59">
        <f t="shared" si="92"/>
        <v>312.22190035638084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34.30786930846515</v>
      </c>
      <c r="BQ128" s="21">
        <f>EXP(-LN(2)/25)*BQ127+(1-EXP(-LN(2)/25))/(LN(2)/25)*Calculateur!BL128*Calculateur!BN128*VLOOKUP('Données projet'!$B$11,Paramètres!$A$1:$I$89,3,0)*0.475*44/12</f>
        <v>18.508818096075306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52.81668740454046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259.99999999999983</v>
      </c>
      <c r="BZ128" s="13">
        <f>BY128*VLOOKUP('Données projet'!$B$12,Paramètres!$A$1:$I$89,3,0)*VLOOKUP('Données projet'!$B$12,Paramètres!$A$1:$I$89,5,0)</f>
        <v>227.13599999999985</v>
      </c>
      <c r="CA128" s="13">
        <f t="shared" si="93"/>
        <v>55.662966886685133</v>
      </c>
      <c r="CB128" s="20">
        <f t="shared" si="64"/>
        <v>492.5415339943097</v>
      </c>
      <c r="CC128" s="59">
        <f t="shared" si="65"/>
        <v>775.59015236327821</v>
      </c>
      <c r="CD128" s="59">
        <f ca="1">AVERAGE(OFFSET($CC$3,0,0,'Données projet'!$E$12+1,1))-AVERAGE(OFFSET($H$3,0,0,'Données projet'!$E$12+1,1))</f>
        <v>411.67183422518411</v>
      </c>
      <c r="CE128" s="59">
        <f t="shared" si="94"/>
        <v>379.16642539721556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23.015640009668243</v>
      </c>
      <c r="CL128" s="21">
        <f>EXP(-LN(2)/25)*CL127+(1-EXP(-LN(2)/25))/(LN(2)/25)*Calculateur!CG128*Calculateur!CI128*VLOOKUP('Données projet'!$B$12,Paramètres!$A$1:$I$89,3,0)*0.475*44/12</f>
        <v>6.7205251529672934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29.736165162635537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-7.3896444519050419E-13</v>
      </c>
      <c r="O129" s="13">
        <f>N129*VLOOKUP('Données projet'!$B$9,Paramètres!$A$1:$I$89,3,0)*VLOOKUP('Données projet'!$B$9,Paramètres!$A$1:$I$89,5,0)</f>
        <v>-3.4583536034915594E-13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307.52968058891554</v>
      </c>
      <c r="T129" s="59">
        <f t="shared" si="88"/>
        <v>221.27527189662558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103.31852731478854</v>
      </c>
      <c r="AA129" s="21">
        <f>EXP(-LN(2)/25)*AA128+(1-EXP(-LN(2)/25))/(LN(2)/25)*Calculateur!V129*Calculateur!X129*VLOOKUP('Données projet'!$B$9,Paramètres!$A$1:$I$89,3,0)*0.475*44/12</f>
        <v>20.433360471312259</v>
      </c>
      <c r="AB129" s="21">
        <f>EXP(-LN(2)/2)*AB128+(1-EXP(-LN(2)/2))/(LN(2)/2)*V129*Y129*VLOOKUP('Données projet'!$B$9,Paramètres!$A$1:$I$89,3,0)*0.475*44/12</f>
        <v>3.8029948119762324E-3</v>
      </c>
      <c r="AC129" s="22">
        <f t="shared" si="57"/>
        <v>123.75569078091277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377.63545575155672</v>
      </c>
      <c r="AO129" s="59">
        <f t="shared" si="90"/>
        <v>339.1731538522788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1.7053025658242404E-13</v>
      </c>
      <c r="BE129" s="13">
        <f>BD129*VLOOKUP('Données projet'!$B$11,Paramètres!$A$1:$I$89,3,0)*VLOOKUP('Données projet'!$B$11,Paramètres!$A$1:$I$89,5,0)</f>
        <v>1.383341441396624E-13</v>
      </c>
      <c r="BF129" s="13">
        <f t="shared" si="91"/>
        <v>2.0011390722884082E-12</v>
      </c>
      <c r="BG129" s="20">
        <f t="shared" si="61"/>
        <v>3.7262491852788889E-12</v>
      </c>
      <c r="BH129" s="59">
        <f t="shared" si="62"/>
        <v>283.22703518042596</v>
      </c>
      <c r="BI129" s="59">
        <f ca="1">AVERAGE(OFFSET($BH$3,0,0,'Données projet'!$E$11+1,1))-AVERAGE(OFFSET($H$3,0,0,'Données projet'!$E$11+1,1))</f>
        <v>318.98630351938459</v>
      </c>
      <c r="BJ129" s="59">
        <f t="shared" si="92"/>
        <v>312.22190035638084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33.635112917060184</v>
      </c>
      <c r="BQ129" s="21">
        <f>EXP(-LN(2)/25)*BQ128+(1-EXP(-LN(2)/25))/(LN(2)/25)*Calculateur!BL129*Calculateur!BN129*VLOOKUP('Données projet'!$B$11,Paramètres!$A$1:$I$89,3,0)*0.475*44/12</f>
        <v>18.002693491901685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51.637806408961865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259.99999999999983</v>
      </c>
      <c r="BZ129" s="13">
        <f>BY129*VLOOKUP('Données projet'!$B$12,Paramètres!$A$1:$I$89,3,0)*VLOOKUP('Données projet'!$B$12,Paramètres!$A$1:$I$89,5,0)</f>
        <v>227.13599999999985</v>
      </c>
      <c r="CA129" s="13">
        <f t="shared" si="93"/>
        <v>55.662966886685133</v>
      </c>
      <c r="CB129" s="20">
        <f t="shared" si="64"/>
        <v>492.5415339943097</v>
      </c>
      <c r="CC129" s="59">
        <f t="shared" si="65"/>
        <v>775.76856917473197</v>
      </c>
      <c r="CD129" s="59">
        <f ca="1">AVERAGE(OFFSET($CC$3,0,0,'Données projet'!$E$12+1,1))-AVERAGE(OFFSET($H$3,0,0,'Données projet'!$E$12+1,1))</f>
        <v>411.67183422518411</v>
      </c>
      <c r="CE129" s="59">
        <f t="shared" si="94"/>
        <v>379.16642539721556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22.564317347232901</v>
      </c>
      <c r="CL129" s="21">
        <f>EXP(-LN(2)/25)*CL128+(1-EXP(-LN(2)/25))/(LN(2)/25)*Calculateur!CG129*Calculateur!CI129*VLOOKUP('Données projet'!$B$12,Paramètres!$A$1:$I$89,3,0)*0.475*44/12</f>
        <v>6.5367520392423453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29.101069386475245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-7.3896444519050419E-13</v>
      </c>
      <c r="O130" s="13">
        <f>N130*VLOOKUP('Données projet'!$B$9,Paramètres!$A$1:$I$89,3,0)*VLOOKUP('Données projet'!$B$9,Paramètres!$A$1:$I$89,5,0)</f>
        <v>-3.4583536034915594E-13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307.52968058891554</v>
      </c>
      <c r="T130" s="59">
        <f t="shared" si="88"/>
        <v>221.27527189662558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101.29251401222469</v>
      </c>
      <c r="AA130" s="21">
        <f>EXP(-LN(2)/25)*AA129+(1-EXP(-LN(2)/25))/(LN(2)/25)*Calculateur!V130*Calculateur!X130*VLOOKUP('Données projet'!$B$9,Paramètres!$A$1:$I$89,3,0)*0.475*44/12</f>
        <v>19.874609154680499</v>
      </c>
      <c r="AB130" s="21">
        <f>EXP(-LN(2)/2)*AB129+(1-EXP(-LN(2)/2))/(LN(2)/2)*V130*Y130*VLOOKUP('Données projet'!$B$9,Paramètres!$A$1:$I$89,3,0)*0.475*44/12</f>
        <v>2.6891234203656536E-3</v>
      </c>
      <c r="AC130" s="22">
        <f t="shared" si="57"/>
        <v>121.16981229032555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377.63545575155672</v>
      </c>
      <c r="AO130" s="59">
        <f t="shared" si="90"/>
        <v>339.1731538522788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1.7053025658242404E-13</v>
      </c>
      <c r="BE130" s="13">
        <f>BD130*VLOOKUP('Données projet'!$B$11,Paramètres!$A$1:$I$89,3,0)*VLOOKUP('Données projet'!$B$11,Paramètres!$A$1:$I$89,5,0)</f>
        <v>1.383341441396624E-13</v>
      </c>
      <c r="BF130" s="13">
        <f t="shared" si="91"/>
        <v>2.0011390722884082E-12</v>
      </c>
      <c r="BG130" s="20">
        <f t="shared" si="61"/>
        <v>3.7262491852788889E-12</v>
      </c>
      <c r="BH130" s="59">
        <f t="shared" si="62"/>
        <v>283.40235685908118</v>
      </c>
      <c r="BI130" s="59">
        <f ca="1">AVERAGE(OFFSET($BH$3,0,0,'Données projet'!$E$11+1,1))-AVERAGE(OFFSET($H$3,0,0,'Données projet'!$E$11+1,1))</f>
        <v>318.98630351938459</v>
      </c>
      <c r="BJ130" s="59">
        <f t="shared" si="92"/>
        <v>312.22190035638084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32.975548868149787</v>
      </c>
      <c r="BQ130" s="21">
        <f>EXP(-LN(2)/25)*BQ129+(1-EXP(-LN(2)/25))/(LN(2)/25)*Calculateur!BL130*Calculateur!BN130*VLOOKUP('Données projet'!$B$11,Paramètres!$A$1:$I$89,3,0)*0.475*44/12</f>
        <v>17.510408891645127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50.485957759794914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259.99999999999983</v>
      </c>
      <c r="BZ130" s="13">
        <f>BY130*VLOOKUP('Données projet'!$B$12,Paramètres!$A$1:$I$89,3,0)*VLOOKUP('Données projet'!$B$12,Paramètres!$A$1:$I$89,5,0)</f>
        <v>227.13599999999985</v>
      </c>
      <c r="CA130" s="13">
        <f t="shared" si="93"/>
        <v>55.662966886685133</v>
      </c>
      <c r="CB130" s="20">
        <f t="shared" si="64"/>
        <v>492.5415339943097</v>
      </c>
      <c r="CC130" s="59">
        <f t="shared" si="65"/>
        <v>775.94389085338707</v>
      </c>
      <c r="CD130" s="59">
        <f ca="1">AVERAGE(OFFSET($CC$3,0,0,'Données projet'!$E$12+1,1))-AVERAGE(OFFSET($H$3,0,0,'Données projet'!$E$12+1,1))</f>
        <v>411.67183422518411</v>
      </c>
      <c r="CE130" s="59">
        <f t="shared" si="94"/>
        <v>379.16642539721556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22.121844846928276</v>
      </c>
      <c r="CL130" s="21">
        <f>EXP(-LN(2)/25)*CL129+(1-EXP(-LN(2)/25))/(LN(2)/25)*Calculateur!CG130*Calculateur!CI130*VLOOKUP('Données projet'!$B$12,Paramètres!$A$1:$I$89,3,0)*0.475*44/12</f>
        <v>6.3580042109764134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28.479849057904691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-7.3896444519050419E-13</v>
      </c>
      <c r="O131" s="13">
        <f>N131*VLOOKUP('Données projet'!$B$9,Paramètres!$A$1:$I$89,3,0)*VLOOKUP('Données projet'!$B$9,Paramètres!$A$1:$I$89,5,0)</f>
        <v>-3.4583536034915594E-13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307.52968058891554</v>
      </c>
      <c r="T131" s="59">
        <f t="shared" si="88"/>
        <v>221.27527189662558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99.306229594778003</v>
      </c>
      <c r="AA131" s="21">
        <f>EXP(-LN(2)/25)*AA130+(1-EXP(-LN(2)/25))/(LN(2)/25)*Calculateur!V131*Calculateur!X131*VLOOKUP('Données projet'!$B$9,Paramètres!$A$1:$I$89,3,0)*0.475*44/12</f>
        <v>19.33113692218549</v>
      </c>
      <c r="AB131" s="21">
        <f>EXP(-LN(2)/2)*AB130+(1-EXP(-LN(2)/2))/(LN(2)/2)*V131*Y131*VLOOKUP('Données projet'!$B$9,Paramètres!$A$1:$I$89,3,0)*0.475*44/12</f>
        <v>1.9014974059881166E-3</v>
      </c>
      <c r="AC131" s="22">
        <f t="shared" si="57"/>
        <v>118.63926801436948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377.63545575155672</v>
      </c>
      <c r="AO131" s="59">
        <f t="shared" si="90"/>
        <v>339.1731538522788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1.7053025658242404E-13</v>
      </c>
      <c r="BE131" s="13">
        <f>BD131*VLOOKUP('Données projet'!$B$11,Paramètres!$A$1:$I$89,3,0)*VLOOKUP('Données projet'!$B$11,Paramètres!$A$1:$I$89,5,0)</f>
        <v>1.383341441396624E-13</v>
      </c>
      <c r="BF131" s="13">
        <f t="shared" si="91"/>
        <v>2.0011390722884082E-12</v>
      </c>
      <c r="BG131" s="20">
        <f t="shared" si="61"/>
        <v>3.7262491852788889E-12</v>
      </c>
      <c r="BH131" s="59">
        <f t="shared" si="62"/>
        <v>283.57463709857228</v>
      </c>
      <c r="BI131" s="59">
        <f ca="1">AVERAGE(OFFSET($BH$3,0,0,'Données projet'!$E$11+1,1))-AVERAGE(OFFSET($H$3,0,0,'Données projet'!$E$11+1,1))</f>
        <v>318.98630351938459</v>
      </c>
      <c r="BJ131" s="59">
        <f t="shared" si="92"/>
        <v>312.22190035638084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32.328918467944177</v>
      </c>
      <c r="BQ131" s="21">
        <f>EXP(-LN(2)/25)*BQ130+(1-EXP(-LN(2)/25))/(LN(2)/25)*Calculateur!BL131*Calculateur!BN131*VLOOKUP('Données projet'!$B$11,Paramètres!$A$1:$I$89,3,0)*0.475*44/12</f>
        <v>17.031585839670708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49.360504307614889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259.99999999999983</v>
      </c>
      <c r="BZ131" s="13">
        <f>BY131*VLOOKUP('Données projet'!$B$12,Paramètres!$A$1:$I$89,3,0)*VLOOKUP('Données projet'!$B$12,Paramètres!$A$1:$I$89,5,0)</f>
        <v>227.13599999999985</v>
      </c>
      <c r="CA131" s="13">
        <f t="shared" si="93"/>
        <v>55.662966886685133</v>
      </c>
      <c r="CB131" s="20">
        <f t="shared" si="64"/>
        <v>492.5415339943097</v>
      </c>
      <c r="CC131" s="59">
        <f t="shared" si="65"/>
        <v>776.11617109287818</v>
      </c>
      <c r="CD131" s="59">
        <f ca="1">AVERAGE(OFFSET($CC$3,0,0,'Données projet'!$E$12+1,1))-AVERAGE(OFFSET($H$3,0,0,'Données projet'!$E$12+1,1))</f>
        <v>411.67183422518411</v>
      </c>
      <c r="CE131" s="59">
        <f t="shared" si="94"/>
        <v>379.16642539721556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21.688048962473047</v>
      </c>
      <c r="CL131" s="21">
        <f>EXP(-LN(2)/25)*CL130+(1-EXP(-LN(2)/25))/(LN(2)/25)*Calculateur!CG131*Calculateur!CI131*VLOOKUP('Données projet'!$B$12,Paramètres!$A$1:$I$89,3,0)*0.475*44/12</f>
        <v>6.1841442514743532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27.872193213947401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-7.3896444519050419E-13</v>
      </c>
      <c r="O132" s="13">
        <f>N132*VLOOKUP('Données projet'!$B$9,Paramètres!$A$1:$I$89,3,0)*VLOOKUP('Données projet'!$B$9,Paramètres!$A$1:$I$89,5,0)</f>
        <v>-3.4583536034915594E-13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307.52968058891554</v>
      </c>
      <c r="T132" s="59">
        <f t="shared" si="88"/>
        <v>221.27527189662558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97.358895003243589</v>
      </c>
      <c r="AA132" s="21">
        <f>EXP(-LN(2)/25)*AA131+(1-EXP(-LN(2)/25))/(LN(2)/25)*Calculateur!V132*Calculateur!X132*VLOOKUP('Données projet'!$B$9,Paramètres!$A$1:$I$89,3,0)*0.475*44/12</f>
        <v>18.802525966468018</v>
      </c>
      <c r="AB132" s="21">
        <f>EXP(-LN(2)/2)*AB131+(1-EXP(-LN(2)/2))/(LN(2)/2)*V132*Y132*VLOOKUP('Données projet'!$B$9,Paramètres!$A$1:$I$89,3,0)*0.475*44/12</f>
        <v>1.344561710182827E-3</v>
      </c>
      <c r="AC132" s="22">
        <f t="shared" ref="AC132:AC153" si="111">SUM(Z132:AB132)</f>
        <v>116.16276553142178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377.63545575155672</v>
      </c>
      <c r="AO132" s="59">
        <f t="shared" si="90"/>
        <v>339.1731538522788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1.7053025658242404E-13</v>
      </c>
      <c r="BE132" s="13">
        <f>BD132*VLOOKUP('Données projet'!$B$11,Paramètres!$A$1:$I$89,3,0)*VLOOKUP('Données projet'!$B$11,Paramètres!$A$1:$I$89,5,0)</f>
        <v>1.383341441396624E-13</v>
      </c>
      <c r="BF132" s="13">
        <f t="shared" si="91"/>
        <v>2.0011390722884082E-12</v>
      </c>
      <c r="BG132" s="20">
        <f t="shared" ref="BG132:BG153" si="115">(BE132+BF132)*0.475*44/12</f>
        <v>3.7262491852788889E-12</v>
      </c>
      <c r="BH132" s="59">
        <f t="shared" ref="BH132:BH195" si="116">BG132+(AY132+AZ132)*44/12</f>
        <v>283.74392866106911</v>
      </c>
      <c r="BI132" s="59">
        <f ca="1">AVERAGE(OFFSET($BH$3,0,0,'Données projet'!$E$11+1,1))-AVERAGE(OFFSET($H$3,0,0,'Données projet'!$E$11+1,1))</f>
        <v>318.98630351938459</v>
      </c>
      <c r="BJ132" s="59">
        <f t="shared" si="92"/>
        <v>312.22190035638084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31.694968095480998</v>
      </c>
      <c r="BQ132" s="21">
        <f>EXP(-LN(2)/25)*BQ131+(1-EXP(-LN(2)/25))/(LN(2)/25)*Calculateur!BL132*Calculateur!BN132*VLOOKUP('Données projet'!$B$11,Paramètres!$A$1:$I$89,3,0)*0.475*44/12</f>
        <v>16.56585622923274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48.260824324713738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259.99999999999983</v>
      </c>
      <c r="BZ132" s="13">
        <f>BY132*VLOOKUP('Données projet'!$B$12,Paramètres!$A$1:$I$89,3,0)*VLOOKUP('Données projet'!$B$12,Paramètres!$A$1:$I$89,5,0)</f>
        <v>227.13599999999985</v>
      </c>
      <c r="CA132" s="13">
        <f t="shared" si="93"/>
        <v>55.662966886685133</v>
      </c>
      <c r="CB132" s="20">
        <f t="shared" ref="CB132:CB153" si="118">(BZ132+CA132)*0.475*44/12</f>
        <v>492.5415339943097</v>
      </c>
      <c r="CC132" s="59">
        <f t="shared" ref="CC132:CC195" si="119">CB132+(BT132+BU132)*44/12</f>
        <v>776.28546265537511</v>
      </c>
      <c r="CD132" s="59">
        <f ca="1">AVERAGE(OFFSET($CC$3,0,0,'Données projet'!$E$12+1,1))-AVERAGE(OFFSET($H$3,0,0,'Données projet'!$E$12+1,1))</f>
        <v>411.67183422518411</v>
      </c>
      <c r="CE132" s="59">
        <f t="shared" si="94"/>
        <v>379.16642539721556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21.26275955072262</v>
      </c>
      <c r="CL132" s="21">
        <f>EXP(-LN(2)/25)*CL131+(1-EXP(-LN(2)/25))/(LN(2)/25)*Calculateur!CG132*Calculateur!CI132*VLOOKUP('Données projet'!$B$12,Paramètres!$A$1:$I$89,3,0)*0.475*44/12</f>
        <v>6.0150385017077745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27.277798052430395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-7.3896444519050419E-13</v>
      </c>
      <c r="O133" s="13">
        <f>N133*VLOOKUP('Données projet'!$B$9,Paramètres!$A$1:$I$89,3,0)*VLOOKUP('Données projet'!$B$9,Paramètres!$A$1:$I$89,5,0)</f>
        <v>-3.4583536034915594E-13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307.52968058891554</v>
      </c>
      <c r="T133" s="59">
        <f t="shared" ref="T133:T196" si="142">$T$3</f>
        <v>221.27527189662558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95.449746455292342</v>
      </c>
      <c r="AA133" s="21">
        <f>EXP(-LN(2)/25)*AA132+(1-EXP(-LN(2)/25))/(LN(2)/25)*Calculateur!V133*Calculateur!X133*VLOOKUP('Données projet'!$B$9,Paramètres!$A$1:$I$89,3,0)*0.475*44/12</f>
        <v>18.288369905133084</v>
      </c>
      <c r="AB133" s="21">
        <f>EXP(-LN(2)/2)*AB132+(1-EXP(-LN(2)/2))/(LN(2)/2)*V133*Y133*VLOOKUP('Données projet'!$B$9,Paramètres!$A$1:$I$89,3,0)*0.475*44/12</f>
        <v>9.5074870299405843E-4</v>
      </c>
      <c r="AC133" s="22">
        <f t="shared" si="111"/>
        <v>113.73906710912841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377.63545575155672</v>
      </c>
      <c r="AO133" s="59">
        <f t="shared" ref="AO133:AO196" si="144">$AO$3</f>
        <v>339.1731538522788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1.7053025658242404E-13</v>
      </c>
      <c r="BE133" s="13">
        <f>BD133*VLOOKUP('Données projet'!$B$11,Paramètres!$A$1:$I$89,3,0)*VLOOKUP('Données projet'!$B$11,Paramètres!$A$1:$I$89,5,0)</f>
        <v>1.383341441396624E-13</v>
      </c>
      <c r="BF133" s="13">
        <f t="shared" ref="BF133:BF153" si="145">EXP(-1.0587+0.8836*LN(BE133)+0.284)</f>
        <v>2.0011390722884082E-12</v>
      </c>
      <c r="BG133" s="20">
        <f t="shared" si="115"/>
        <v>3.7262491852788889E-12</v>
      </c>
      <c r="BH133" s="59">
        <f t="shared" si="116"/>
        <v>283.91028339343586</v>
      </c>
      <c r="BI133" s="59">
        <f ca="1">AVERAGE(OFFSET($BH$3,0,0,'Données projet'!$E$11+1,1))-AVERAGE(OFFSET($H$3,0,0,'Données projet'!$E$11+1,1))</f>
        <v>318.98630351938459</v>
      </c>
      <c r="BJ133" s="59">
        <f t="shared" ref="BJ133:BJ196" si="146">$BJ$3</f>
        <v>312.22190035638084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31.073449103150274</v>
      </c>
      <c r="BQ133" s="21">
        <f>EXP(-LN(2)/25)*BQ132+(1-EXP(-LN(2)/25))/(LN(2)/25)*Calculateur!BL133*Calculateur!BN133*VLOOKUP('Données projet'!$B$11,Paramètres!$A$1:$I$89,3,0)*0.475*44/12</f>
        <v>16.112862019483853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47.186311122634123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259.99999999999983</v>
      </c>
      <c r="BZ133" s="13">
        <f>BY133*VLOOKUP('Données projet'!$B$12,Paramètres!$A$1:$I$89,3,0)*VLOOKUP('Données projet'!$B$12,Paramètres!$A$1:$I$89,5,0)</f>
        <v>227.13599999999985</v>
      </c>
      <c r="CA133" s="13">
        <f t="shared" ref="CA133:CA153" si="147">EXP(-1.0587+0.8836*LN(BZ133)+0.284)</f>
        <v>55.662966886685133</v>
      </c>
      <c r="CB133" s="20">
        <f t="shared" si="118"/>
        <v>492.5415339943097</v>
      </c>
      <c r="CC133" s="59">
        <f t="shared" si="119"/>
        <v>776.45181738774181</v>
      </c>
      <c r="CD133" s="59">
        <f ca="1">AVERAGE(OFFSET($CC$3,0,0,'Données projet'!$E$12+1,1))-AVERAGE(OFFSET($H$3,0,0,'Données projet'!$E$12+1,1))</f>
        <v>411.67183422518411</v>
      </c>
      <c r="CE133" s="59">
        <f t="shared" ref="CE133:CE196" si="148">$CE$3</f>
        <v>379.16642539721556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20.845809804935694</v>
      </c>
      <c r="CL133" s="21">
        <f>EXP(-LN(2)/25)*CL132+(1-EXP(-LN(2)/25))/(LN(2)/25)*Calculateur!CG133*Calculateur!CI133*VLOOKUP('Données projet'!$B$12,Paramètres!$A$1:$I$89,3,0)*0.475*44/12</f>
        <v>5.850556957561448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26.696366762497142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-7.3896444519050419E-13</v>
      </c>
      <c r="O134" s="13">
        <f>N134*VLOOKUP('Données projet'!$B$9,Paramètres!$A$1:$I$89,3,0)*VLOOKUP('Données projet'!$B$9,Paramètres!$A$1:$I$89,5,0)</f>
        <v>-3.4583536034915594E-13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307.52968058891554</v>
      </c>
      <c r="T134" s="59">
        <f t="shared" si="142"/>
        <v>221.27527189662558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93.578035145900785</v>
      </c>
      <c r="AA134" s="21">
        <f>EXP(-LN(2)/25)*AA133+(1-EXP(-LN(2)/25))/(LN(2)/25)*Calculateur!V134*Calculateur!X134*VLOOKUP('Données projet'!$B$9,Paramètres!$A$1:$I$89,3,0)*0.475*44/12</f>
        <v>17.788273468333646</v>
      </c>
      <c r="AB134" s="21">
        <f>EXP(-LN(2)/2)*AB133+(1-EXP(-LN(2)/2))/(LN(2)/2)*V134*Y134*VLOOKUP('Données projet'!$B$9,Paramètres!$A$1:$I$89,3,0)*0.475*44/12</f>
        <v>6.7228085509141362E-4</v>
      </c>
      <c r="AC134" s="22">
        <f t="shared" si="111"/>
        <v>111.36698089508951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377.63545575155672</v>
      </c>
      <c r="AO134" s="59">
        <f t="shared" si="144"/>
        <v>339.1731538522788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1.7053025658242404E-13</v>
      </c>
      <c r="BE134" s="13">
        <f>BD134*VLOOKUP('Données projet'!$B$11,Paramètres!$A$1:$I$89,3,0)*VLOOKUP('Données projet'!$B$11,Paramètres!$A$1:$I$89,5,0)</f>
        <v>1.383341441396624E-13</v>
      </c>
      <c r="BF134" s="13">
        <f t="shared" si="145"/>
        <v>2.0011390722884082E-12</v>
      </c>
      <c r="BG134" s="20">
        <f t="shared" si="115"/>
        <v>3.7262491852788889E-12</v>
      </c>
      <c r="BH134" s="59">
        <f t="shared" si="116"/>
        <v>284.07375224310948</v>
      </c>
      <c r="BI134" s="59">
        <f ca="1">AVERAGE(OFFSET($BH$3,0,0,'Données projet'!$E$11+1,1))-AVERAGE(OFFSET($H$3,0,0,'Données projet'!$E$11+1,1))</f>
        <v>318.98630351938459</v>
      </c>
      <c r="BJ134" s="59">
        <f t="shared" si="146"/>
        <v>312.22190035638084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30.464117719170005</v>
      </c>
      <c r="BQ134" s="21">
        <f>EXP(-LN(2)/25)*BQ133+(1-EXP(-LN(2)/25))/(LN(2)/25)*Calculateur!BL134*Calculateur!BN134*VLOOKUP('Données projet'!$B$11,Paramètres!$A$1:$I$89,3,0)*0.475*44/12</f>
        <v>15.67225496022248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46.136372679392487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259.99999999999983</v>
      </c>
      <c r="BZ134" s="13">
        <f>BY134*VLOOKUP('Données projet'!$B$12,Paramètres!$A$1:$I$89,3,0)*VLOOKUP('Données projet'!$B$12,Paramètres!$A$1:$I$89,5,0)</f>
        <v>227.13599999999985</v>
      </c>
      <c r="CA134" s="13">
        <f t="shared" si="147"/>
        <v>55.662966886685133</v>
      </c>
      <c r="CB134" s="20">
        <f t="shared" si="118"/>
        <v>492.5415339943097</v>
      </c>
      <c r="CC134" s="59">
        <f t="shared" si="119"/>
        <v>776.61528623741538</v>
      </c>
      <c r="CD134" s="59">
        <f ca="1">AVERAGE(OFFSET($CC$3,0,0,'Données projet'!$E$12+1,1))-AVERAGE(OFFSET($H$3,0,0,'Données projet'!$E$12+1,1))</f>
        <v>411.67183422518411</v>
      </c>
      <c r="CE134" s="59">
        <f t="shared" si="148"/>
        <v>379.16642539721556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20.437036189349413</v>
      </c>
      <c r="CL134" s="21">
        <f>EXP(-LN(2)/25)*CL133+(1-EXP(-LN(2)/25))/(LN(2)/25)*Calculateur!CG134*Calculateur!CI134*VLOOKUP('Données projet'!$B$12,Paramètres!$A$1:$I$89,3,0)*0.475*44/12</f>
        <v>5.690573169889511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26.127609359238924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-7.3896444519050419E-13</v>
      </c>
      <c r="O135" s="13">
        <f>N135*VLOOKUP('Données projet'!$B$9,Paramètres!$A$1:$I$89,3,0)*VLOOKUP('Données projet'!$B$9,Paramètres!$A$1:$I$89,5,0)</f>
        <v>-3.4583536034915594E-13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307.52968058891554</v>
      </c>
      <c r="T135" s="59">
        <f t="shared" si="142"/>
        <v>221.27527189662558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91.743026953655232</v>
      </c>
      <c r="AA135" s="21">
        <f>EXP(-LN(2)/25)*AA134+(1-EXP(-LN(2)/25))/(LN(2)/25)*Calculateur!V135*Calculateur!X135*VLOOKUP('Données projet'!$B$9,Paramètres!$A$1:$I$89,3,0)*0.475*44/12</f>
        <v>17.301852194897418</v>
      </c>
      <c r="AB135" s="21">
        <f>EXP(-LN(2)/2)*AB134+(1-EXP(-LN(2)/2))/(LN(2)/2)*V135*Y135*VLOOKUP('Données projet'!$B$9,Paramètres!$A$1:$I$89,3,0)*0.475*44/12</f>
        <v>4.7537435149702932E-4</v>
      </c>
      <c r="AC135" s="22">
        <f t="shared" si="111"/>
        <v>109.04535452290415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377.63545575155672</v>
      </c>
      <c r="AO135" s="59">
        <f t="shared" si="144"/>
        <v>339.1731538522788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1.7053025658242404E-13</v>
      </c>
      <c r="BE135" s="13">
        <f>BD135*VLOOKUP('Données projet'!$B$11,Paramètres!$A$1:$I$89,3,0)*VLOOKUP('Données projet'!$B$11,Paramètres!$A$1:$I$89,5,0)</f>
        <v>1.383341441396624E-13</v>
      </c>
      <c r="BF135" s="13">
        <f t="shared" si="145"/>
        <v>2.0011390722884082E-12</v>
      </c>
      <c r="BG135" s="20">
        <f t="shared" si="115"/>
        <v>3.7262491852788889E-12</v>
      </c>
      <c r="BH135" s="59">
        <f t="shared" si="116"/>
        <v>284.23438527370291</v>
      </c>
      <c r="BI135" s="59">
        <f ca="1">AVERAGE(OFFSET($BH$3,0,0,'Données projet'!$E$11+1,1))-AVERAGE(OFFSET($H$3,0,0,'Données projet'!$E$11+1,1))</f>
        <v>318.98630351938459</v>
      </c>
      <c r="BJ135" s="59">
        <f t="shared" si="146"/>
        <v>312.22190035638084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29.866734951974141</v>
      </c>
      <c r="BQ135" s="21">
        <f>EXP(-LN(2)/25)*BQ134+(1-EXP(-LN(2)/25))/(LN(2)/25)*Calculateur!BL135*Calculateur!BN135*VLOOKUP('Données projet'!$B$11,Paramètres!$A$1:$I$89,3,0)*0.475*44/12</f>
        <v>15.243696324167127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45.11043127614127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259.99999999999983</v>
      </c>
      <c r="BZ135" s="13">
        <f>BY135*VLOOKUP('Données projet'!$B$12,Paramètres!$A$1:$I$89,3,0)*VLOOKUP('Données projet'!$B$12,Paramètres!$A$1:$I$89,5,0)</f>
        <v>227.13599999999985</v>
      </c>
      <c r="CA135" s="13">
        <f t="shared" si="147"/>
        <v>55.662966886685133</v>
      </c>
      <c r="CB135" s="20">
        <f t="shared" si="118"/>
        <v>492.5415339943097</v>
      </c>
      <c r="CC135" s="59">
        <f t="shared" si="119"/>
        <v>776.77591926800892</v>
      </c>
      <c r="CD135" s="59">
        <f ca="1">AVERAGE(OFFSET($CC$3,0,0,'Données projet'!$E$12+1,1))-AVERAGE(OFFSET($H$3,0,0,'Données projet'!$E$12+1,1))</f>
        <v>411.67183422518411</v>
      </c>
      <c r="CE135" s="59">
        <f t="shared" si="148"/>
        <v>379.16642539721556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20.036278375037494</v>
      </c>
      <c r="CL135" s="21">
        <f>EXP(-LN(2)/25)*CL134+(1-EXP(-LN(2)/25))/(LN(2)/25)*Calculateur!CG135*Calculateur!CI135*VLOOKUP('Données projet'!$B$12,Paramètres!$A$1:$I$89,3,0)*0.475*44/12</f>
        <v>5.5349641473046454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25.571242522342139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-7.3896444519050419E-13</v>
      </c>
      <c r="O136" s="13">
        <f>N136*VLOOKUP('Données projet'!$B$9,Paramètres!$A$1:$I$89,3,0)*VLOOKUP('Données projet'!$B$9,Paramètres!$A$1:$I$89,5,0)</f>
        <v>-3.4583536034915594E-13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307.52968058891554</v>
      </c>
      <c r="T136" s="59">
        <f t="shared" si="142"/>
        <v>221.27527189662558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89.944002152815131</v>
      </c>
      <c r="AA136" s="21">
        <f>EXP(-LN(2)/25)*AA135+(1-EXP(-LN(2)/25))/(LN(2)/25)*Calculateur!V136*Calculateur!X136*VLOOKUP('Données projet'!$B$9,Paramètres!$A$1:$I$89,3,0)*0.475*44/12</f>
        <v>16.828732136763083</v>
      </c>
      <c r="AB136" s="21">
        <f>EXP(-LN(2)/2)*AB135+(1-EXP(-LN(2)/2))/(LN(2)/2)*V136*Y136*VLOOKUP('Données projet'!$B$9,Paramètres!$A$1:$I$89,3,0)*0.475*44/12</f>
        <v>3.3614042754570686E-4</v>
      </c>
      <c r="AC136" s="22">
        <f t="shared" si="111"/>
        <v>106.77307043000576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377.63545575155672</v>
      </c>
      <c r="AO136" s="59">
        <f t="shared" si="144"/>
        <v>339.1731538522788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1.7053025658242404E-13</v>
      </c>
      <c r="BE136" s="13">
        <f>BD136*VLOOKUP('Données projet'!$B$11,Paramètres!$A$1:$I$89,3,0)*VLOOKUP('Données projet'!$B$11,Paramètres!$A$1:$I$89,5,0)</f>
        <v>1.383341441396624E-13</v>
      </c>
      <c r="BF136" s="13">
        <f t="shared" si="145"/>
        <v>2.0011390722884082E-12</v>
      </c>
      <c r="BG136" s="20">
        <f t="shared" si="115"/>
        <v>3.7262491852788889E-12</v>
      </c>
      <c r="BH136" s="59">
        <f t="shared" si="116"/>
        <v>284.39223168033715</v>
      </c>
      <c r="BI136" s="59">
        <f ca="1">AVERAGE(OFFSET($BH$3,0,0,'Données projet'!$E$11+1,1))-AVERAGE(OFFSET($H$3,0,0,'Données projet'!$E$11+1,1))</f>
        <v>318.98630351938459</v>
      </c>
      <c r="BJ136" s="59">
        <f t="shared" si="146"/>
        <v>312.22190035638084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29.281066496475479</v>
      </c>
      <c r="BQ136" s="21">
        <f>EXP(-LN(2)/25)*BQ135+(1-EXP(-LN(2)/25))/(LN(2)/25)*Calculateur!BL136*Calculateur!BN136*VLOOKUP('Données projet'!$B$11,Paramètres!$A$1:$I$89,3,0)*0.475*44/12</f>
        <v>14.826856646551628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44.107923143027108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259.99999999999983</v>
      </c>
      <c r="BZ136" s="13">
        <f>BY136*VLOOKUP('Données projet'!$B$12,Paramètres!$A$1:$I$89,3,0)*VLOOKUP('Données projet'!$B$12,Paramètres!$A$1:$I$89,5,0)</f>
        <v>227.13599999999985</v>
      </c>
      <c r="CA136" s="13">
        <f t="shared" si="147"/>
        <v>55.662966886685133</v>
      </c>
      <c r="CB136" s="20">
        <f t="shared" si="118"/>
        <v>492.5415339943097</v>
      </c>
      <c r="CC136" s="59">
        <f t="shared" si="119"/>
        <v>776.93376567464315</v>
      </c>
      <c r="CD136" s="59">
        <f ca="1">AVERAGE(OFFSET($CC$3,0,0,'Données projet'!$E$12+1,1))-AVERAGE(OFFSET($H$3,0,0,'Données projet'!$E$12+1,1))</f>
        <v>411.67183422518411</v>
      </c>
      <c r="CE136" s="59">
        <f t="shared" si="148"/>
        <v>379.16642539721556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19.643379177026102</v>
      </c>
      <c r="CL136" s="21">
        <f>EXP(-LN(2)/25)*CL135+(1-EXP(-LN(2)/25))/(LN(2)/25)*Calculateur!CG136*Calculateur!CI136*VLOOKUP('Données projet'!$B$12,Paramètres!$A$1:$I$89,3,0)*0.475*44/12</f>
        <v>5.3836102616254857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25.026989438651587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-7.3896444519050419E-13</v>
      </c>
      <c r="O137" s="13">
        <f>N137*VLOOKUP('Données projet'!$B$9,Paramètres!$A$1:$I$89,3,0)*VLOOKUP('Données projet'!$B$9,Paramètres!$A$1:$I$89,5,0)</f>
        <v>-3.4583536034915594E-13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307.52968058891554</v>
      </c>
      <c r="T137" s="59">
        <f t="shared" si="142"/>
        <v>221.27527189662558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88.180255131022719</v>
      </c>
      <c r="AA137" s="21">
        <f>EXP(-LN(2)/25)*AA136+(1-EXP(-LN(2)/25))/(LN(2)/25)*Calculateur!V137*Calculateur!X137*VLOOKUP('Données projet'!$B$9,Paramètres!$A$1:$I$89,3,0)*0.475*44/12</f>
        <v>16.368549571498736</v>
      </c>
      <c r="AB137" s="21">
        <f>EXP(-LN(2)/2)*AB136+(1-EXP(-LN(2)/2))/(LN(2)/2)*V137*Y137*VLOOKUP('Données projet'!$B$9,Paramètres!$A$1:$I$89,3,0)*0.475*44/12</f>
        <v>2.3768717574851469E-4</v>
      </c>
      <c r="AC137" s="22">
        <f t="shared" si="111"/>
        <v>104.54904238969721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377.63545575155672</v>
      </c>
      <c r="AO137" s="59">
        <f t="shared" si="144"/>
        <v>339.1731538522788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1.7053025658242404E-13</v>
      </c>
      <c r="BE137" s="13">
        <f>BD137*VLOOKUP('Données projet'!$B$11,Paramètres!$A$1:$I$89,3,0)*VLOOKUP('Données projet'!$B$11,Paramètres!$A$1:$I$89,5,0)</f>
        <v>1.383341441396624E-13</v>
      </c>
      <c r="BF137" s="13">
        <f t="shared" si="145"/>
        <v>2.0011390722884082E-12</v>
      </c>
      <c r="BG137" s="20">
        <f t="shared" si="115"/>
        <v>3.7262491852788889E-12</v>
      </c>
      <c r="BH137" s="59">
        <f t="shared" si="116"/>
        <v>284.54733980470803</v>
      </c>
      <c r="BI137" s="59">
        <f ca="1">AVERAGE(OFFSET($BH$3,0,0,'Données projet'!$E$11+1,1))-AVERAGE(OFFSET($H$3,0,0,'Données projet'!$E$11+1,1))</f>
        <v>318.98630351938459</v>
      </c>
      <c r="BJ137" s="59">
        <f t="shared" si="146"/>
        <v>312.22190035638084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28.706882642166661</v>
      </c>
      <c r="BQ137" s="21">
        <f>EXP(-LN(2)/25)*BQ136+(1-EXP(-LN(2)/25))/(LN(2)/25)*Calculateur!BL137*Calculateur!BN137*VLOOKUP('Données projet'!$B$11,Paramètres!$A$1:$I$89,3,0)*0.475*44/12</f>
        <v>14.42141547184117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43.128298114007833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259.99999999999983</v>
      </c>
      <c r="BZ137" s="13">
        <f>BY137*VLOOKUP('Données projet'!$B$12,Paramètres!$A$1:$I$89,3,0)*VLOOKUP('Données projet'!$B$12,Paramètres!$A$1:$I$89,5,0)</f>
        <v>227.13599999999985</v>
      </c>
      <c r="CA137" s="13">
        <f t="shared" si="147"/>
        <v>55.662966886685133</v>
      </c>
      <c r="CB137" s="20">
        <f t="shared" si="118"/>
        <v>492.5415339943097</v>
      </c>
      <c r="CC137" s="59">
        <f t="shared" si="119"/>
        <v>777.08887379901398</v>
      </c>
      <c r="CD137" s="59">
        <f ca="1">AVERAGE(OFFSET($CC$3,0,0,'Données projet'!$E$12+1,1))-AVERAGE(OFFSET($H$3,0,0,'Données projet'!$E$12+1,1))</f>
        <v>411.67183422518411</v>
      </c>
      <c r="CE137" s="59">
        <f t="shared" si="148"/>
        <v>379.16642539721556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19.258184492642865</v>
      </c>
      <c r="CL137" s="21">
        <f>EXP(-LN(2)/25)*CL136+(1-EXP(-LN(2)/25))/(LN(2)/25)*Calculateur!CG137*Calculateur!CI137*VLOOKUP('Données projet'!$B$12,Paramètres!$A$1:$I$89,3,0)*0.475*44/12</f>
        <v>5.2363951559095776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24.494579648552442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-7.3896444519050419E-13</v>
      </c>
      <c r="O138" s="13">
        <f>N138*VLOOKUP('Données projet'!$B$9,Paramètres!$A$1:$I$89,3,0)*VLOOKUP('Données projet'!$B$9,Paramètres!$A$1:$I$89,5,0)</f>
        <v>-3.4583536034915594E-13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307.52968058891554</v>
      </c>
      <c r="T138" s="59">
        <f t="shared" si="142"/>
        <v>221.27527189662558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86.451094112548205</v>
      </c>
      <c r="AA138" s="21">
        <f>EXP(-LN(2)/25)*AA137+(1-EXP(-LN(2)/25))/(LN(2)/25)*Calculateur!V138*Calculateur!X138*VLOOKUP('Données projet'!$B$9,Paramètres!$A$1:$I$89,3,0)*0.475*44/12</f>
        <v>15.920950722681493</v>
      </c>
      <c r="AB138" s="21">
        <f>EXP(-LN(2)/2)*AB137+(1-EXP(-LN(2)/2))/(LN(2)/2)*V138*Y138*VLOOKUP('Données projet'!$B$9,Paramètres!$A$1:$I$89,3,0)*0.475*44/12</f>
        <v>1.6807021377285346E-4</v>
      </c>
      <c r="AC138" s="22">
        <f t="shared" si="111"/>
        <v>102.37221290544348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377.63545575155672</v>
      </c>
      <c r="AO138" s="59">
        <f t="shared" si="144"/>
        <v>339.1731538522788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1.7053025658242404E-13</v>
      </c>
      <c r="BE138" s="13">
        <f>BD138*VLOOKUP('Données projet'!$B$11,Paramètres!$A$1:$I$89,3,0)*VLOOKUP('Données projet'!$B$11,Paramètres!$A$1:$I$89,5,0)</f>
        <v>1.383341441396624E-13</v>
      </c>
      <c r="BF138" s="13">
        <f t="shared" si="145"/>
        <v>2.0011390722884082E-12</v>
      </c>
      <c r="BG138" s="20">
        <f t="shared" si="115"/>
        <v>3.7262491852788889E-12</v>
      </c>
      <c r="BH138" s="59">
        <f t="shared" si="116"/>
        <v>284.6997571498909</v>
      </c>
      <c r="BI138" s="59">
        <f ca="1">AVERAGE(OFFSET($BH$3,0,0,'Données projet'!$E$11+1,1))-AVERAGE(OFFSET($H$3,0,0,'Données projet'!$E$11+1,1))</f>
        <v>318.98630351938459</v>
      </c>
      <c r="BJ138" s="59">
        <f t="shared" si="146"/>
        <v>312.22190035638084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28.143958183023269</v>
      </c>
      <c r="BQ138" s="21">
        <f>EXP(-LN(2)/25)*BQ137+(1-EXP(-LN(2)/25))/(LN(2)/25)*Calculateur!BL138*Calculateur!BN138*VLOOKUP('Données projet'!$B$11,Paramètres!$A$1:$I$89,3,0)*0.475*44/12</f>
        <v>14.027061107374394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42.171019290397666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259.99999999999983</v>
      </c>
      <c r="BZ138" s="13">
        <f>BY138*VLOOKUP('Données projet'!$B$12,Paramètres!$A$1:$I$89,3,0)*VLOOKUP('Données projet'!$B$12,Paramètres!$A$1:$I$89,5,0)</f>
        <v>227.13599999999985</v>
      </c>
      <c r="CA138" s="13">
        <f t="shared" si="147"/>
        <v>55.662966886685133</v>
      </c>
      <c r="CB138" s="20">
        <f t="shared" si="118"/>
        <v>492.5415339943097</v>
      </c>
      <c r="CC138" s="59">
        <f t="shared" si="119"/>
        <v>777.24129114419679</v>
      </c>
      <c r="CD138" s="59">
        <f ca="1">AVERAGE(OFFSET($CC$3,0,0,'Données projet'!$E$12+1,1))-AVERAGE(OFFSET($H$3,0,0,'Données projet'!$E$12+1,1))</f>
        <v>411.67183422518411</v>
      </c>
      <c r="CE138" s="59">
        <f t="shared" si="148"/>
        <v>379.16642539721556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18.880543241074825</v>
      </c>
      <c r="CL138" s="21">
        <f>EXP(-LN(2)/25)*CL137+(1-EXP(-LN(2)/25))/(LN(2)/25)*Calculateur!CG138*Calculateur!CI138*VLOOKUP('Données projet'!$B$12,Paramètres!$A$1:$I$89,3,0)*0.475*44/12</f>
        <v>5.0932056550011771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23.973748896076003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-7.3896444519050419E-13</v>
      </c>
      <c r="O139" s="13">
        <f>N139*VLOOKUP('Données projet'!$B$9,Paramètres!$A$1:$I$89,3,0)*VLOOKUP('Données projet'!$B$9,Paramètres!$A$1:$I$89,5,0)</f>
        <v>-3.4583536034915594E-13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307.52968058891554</v>
      </c>
      <c r="T139" s="59">
        <f t="shared" si="142"/>
        <v>221.27527189662558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84.755840886961892</v>
      </c>
      <c r="AA139" s="21">
        <f>EXP(-LN(2)/25)*AA138+(1-EXP(-LN(2)/25))/(LN(2)/25)*Calculateur!V139*Calculateur!X139*VLOOKUP('Données projet'!$B$9,Paramètres!$A$1:$I$89,3,0)*0.475*44/12</f>
        <v>15.485591487923356</v>
      </c>
      <c r="AB139" s="21">
        <f>EXP(-LN(2)/2)*AB138+(1-EXP(-LN(2)/2))/(LN(2)/2)*V139*Y139*VLOOKUP('Données projet'!$B$9,Paramètres!$A$1:$I$89,3,0)*0.475*44/12</f>
        <v>1.1884358787425736E-4</v>
      </c>
      <c r="AC139" s="22">
        <f t="shared" si="111"/>
        <v>100.24155121847312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377.63545575155672</v>
      </c>
      <c r="AO139" s="59">
        <f t="shared" si="144"/>
        <v>339.1731538522788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1.7053025658242404E-13</v>
      </c>
      <c r="BE139" s="13">
        <f>BD139*VLOOKUP('Données projet'!$B$11,Paramètres!$A$1:$I$89,3,0)*VLOOKUP('Données projet'!$B$11,Paramètres!$A$1:$I$89,5,0)</f>
        <v>1.383341441396624E-13</v>
      </c>
      <c r="BF139" s="13">
        <f t="shared" si="145"/>
        <v>2.0011390722884082E-12</v>
      </c>
      <c r="BG139" s="20">
        <f t="shared" si="115"/>
        <v>3.7262491852788889E-12</v>
      </c>
      <c r="BH139" s="59">
        <f t="shared" si="116"/>
        <v>284.84953039488897</v>
      </c>
      <c r="BI139" s="59">
        <f ca="1">AVERAGE(OFFSET($BH$3,0,0,'Données projet'!$E$11+1,1))-AVERAGE(OFFSET($H$3,0,0,'Données projet'!$E$11+1,1))</f>
        <v>318.98630351938459</v>
      </c>
      <c r="BJ139" s="59">
        <f t="shared" si="146"/>
        <v>312.22190035638084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27.592072329173661</v>
      </c>
      <c r="BQ139" s="21">
        <f>EXP(-LN(2)/25)*BQ138+(1-EXP(-LN(2)/25))/(LN(2)/25)*Calculateur!BL139*Calculateur!BN139*VLOOKUP('Données projet'!$B$11,Paramètres!$A$1:$I$89,3,0)*0.475*44/12</f>
        <v>13.643490383742156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41.235562712915815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259.99999999999983</v>
      </c>
      <c r="BZ139" s="13">
        <f>BY139*VLOOKUP('Données projet'!$B$12,Paramètres!$A$1:$I$89,3,0)*VLOOKUP('Données projet'!$B$12,Paramètres!$A$1:$I$89,5,0)</f>
        <v>227.13599999999985</v>
      </c>
      <c r="CA139" s="13">
        <f t="shared" si="147"/>
        <v>55.662966886685133</v>
      </c>
      <c r="CB139" s="20">
        <f t="shared" si="118"/>
        <v>492.5415339943097</v>
      </c>
      <c r="CC139" s="59">
        <f t="shared" si="119"/>
        <v>777.39106438919498</v>
      </c>
      <c r="CD139" s="59">
        <f ca="1">AVERAGE(OFFSET($CC$3,0,0,'Données projet'!$E$12+1,1))-AVERAGE(OFFSET($H$3,0,0,'Données projet'!$E$12+1,1))</f>
        <v>411.67183422518411</v>
      </c>
      <c r="CE139" s="59">
        <f t="shared" si="148"/>
        <v>379.16642539721556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18.510307304111613</v>
      </c>
      <c r="CL139" s="21">
        <f>EXP(-LN(2)/25)*CL138+(1-EXP(-LN(2)/25))/(LN(2)/25)*Calculateur!CG139*Calculateur!CI139*VLOOKUP('Données projet'!$B$12,Paramètres!$A$1:$I$89,3,0)*0.475*44/12</f>
        <v>4.9539316785251248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23.464238982636736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-7.3896444519050419E-13</v>
      </c>
      <c r="O140" s="13">
        <f>N140*VLOOKUP('Données projet'!$B$9,Paramètres!$A$1:$I$89,3,0)*VLOOKUP('Données projet'!$B$9,Paramètres!$A$1:$I$89,5,0)</f>
        <v>-3.4583536034915594E-13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307.52968058891554</v>
      </c>
      <c r="T140" s="59">
        <f t="shared" si="142"/>
        <v>221.27527189662558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83.093830543126955</v>
      </c>
      <c r="AA140" s="21">
        <f>EXP(-LN(2)/25)*AA139+(1-EXP(-LN(2)/25))/(LN(2)/25)*Calculateur!V140*Calculateur!X140*VLOOKUP('Données projet'!$B$9,Paramètres!$A$1:$I$89,3,0)*0.475*44/12</f>
        <v>15.062137174334229</v>
      </c>
      <c r="AB140" s="21">
        <f>EXP(-LN(2)/2)*AB139+(1-EXP(-LN(2)/2))/(LN(2)/2)*V140*Y140*VLOOKUP('Données projet'!$B$9,Paramètres!$A$1:$I$89,3,0)*0.475*44/12</f>
        <v>8.4035106886426729E-5</v>
      </c>
      <c r="AC140" s="22">
        <f t="shared" si="111"/>
        <v>98.156051752568061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377.63545575155672</v>
      </c>
      <c r="AO140" s="59">
        <f t="shared" si="144"/>
        <v>339.1731538522788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1.7053025658242404E-13</v>
      </c>
      <c r="BE140" s="13">
        <f>BD140*VLOOKUP('Données projet'!$B$11,Paramètres!$A$1:$I$89,3,0)*VLOOKUP('Données projet'!$B$11,Paramètres!$A$1:$I$89,5,0)</f>
        <v>1.383341441396624E-13</v>
      </c>
      <c r="BF140" s="13">
        <f t="shared" si="145"/>
        <v>2.0011390722884082E-12</v>
      </c>
      <c r="BG140" s="20">
        <f t="shared" si="115"/>
        <v>3.7262491852788889E-12</v>
      </c>
      <c r="BH140" s="59">
        <f t="shared" si="116"/>
        <v>284.99670540892913</v>
      </c>
      <c r="BI140" s="59">
        <f ca="1">AVERAGE(OFFSET($BH$3,0,0,'Données projet'!$E$11+1,1))-AVERAGE(OFFSET($H$3,0,0,'Données projet'!$E$11+1,1))</f>
        <v>318.98630351938459</v>
      </c>
      <c r="BJ140" s="59">
        <f t="shared" si="146"/>
        <v>312.22190035638084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27.051008620300912</v>
      </c>
      <c r="BQ140" s="21">
        <f>EXP(-LN(2)/25)*BQ139+(1-EXP(-LN(2)/25))/(LN(2)/25)*Calculateur!BL140*Calculateur!BN140*VLOOKUP('Données projet'!$B$11,Paramètres!$A$1:$I$89,3,0)*0.475*44/12</f>
        <v>13.27040842171875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40.321417042019661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259.99999999999983</v>
      </c>
      <c r="BZ140" s="13">
        <f>BY140*VLOOKUP('Données projet'!$B$12,Paramètres!$A$1:$I$89,3,0)*VLOOKUP('Données projet'!$B$12,Paramètres!$A$1:$I$89,5,0)</f>
        <v>227.13599999999985</v>
      </c>
      <c r="CA140" s="13">
        <f t="shared" si="147"/>
        <v>55.662966886685133</v>
      </c>
      <c r="CB140" s="20">
        <f t="shared" si="118"/>
        <v>492.5415339943097</v>
      </c>
      <c r="CC140" s="59">
        <f t="shared" si="119"/>
        <v>777.53823940323514</v>
      </c>
      <c r="CD140" s="59">
        <f ca="1">AVERAGE(OFFSET($CC$3,0,0,'Données projet'!$E$12+1,1))-AVERAGE(OFFSET($H$3,0,0,'Données projet'!$E$12+1,1))</f>
        <v>411.67183422518411</v>
      </c>
      <c r="CE140" s="59">
        <f t="shared" si="148"/>
        <v>379.16642539721556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18.147331468050627</v>
      </c>
      <c r="CL140" s="21">
        <f>EXP(-LN(2)/25)*CL139+(1-EXP(-LN(2)/25))/(LN(2)/25)*Calculateur!CG140*Calculateur!CI140*VLOOKUP('Données projet'!$B$12,Paramètres!$A$1:$I$89,3,0)*0.475*44/12</f>
        <v>4.8184661562599107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22.96579762431054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-7.3896444519050419E-13</v>
      </c>
      <c r="O141" s="13">
        <f>N141*VLOOKUP('Données projet'!$B$9,Paramètres!$A$1:$I$89,3,0)*VLOOKUP('Données projet'!$B$9,Paramètres!$A$1:$I$89,5,0)</f>
        <v>-3.4583536034915594E-13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307.52968058891554</v>
      </c>
      <c r="T141" s="59">
        <f t="shared" si="142"/>
        <v>221.27527189662558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81.464411208408407</v>
      </c>
      <c r="AA141" s="21">
        <f>EXP(-LN(2)/25)*AA140+(1-EXP(-LN(2)/25))/(LN(2)/25)*Calculateur!V141*Calculateur!X141*VLOOKUP('Données projet'!$B$9,Paramètres!$A$1:$I$89,3,0)*0.475*44/12</f>
        <v>14.650262241218691</v>
      </c>
      <c r="AB141" s="21">
        <f>EXP(-LN(2)/2)*AB140+(1-EXP(-LN(2)/2))/(LN(2)/2)*V141*Y141*VLOOKUP('Données projet'!$B$9,Paramètres!$A$1:$I$89,3,0)*0.475*44/12</f>
        <v>5.9421793937128679E-5</v>
      </c>
      <c r="AC141" s="22">
        <f t="shared" si="111"/>
        <v>96.11473287142104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377.63545575155672</v>
      </c>
      <c r="AO141" s="59">
        <f t="shared" si="144"/>
        <v>339.1731538522788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1.7053025658242404E-13</v>
      </c>
      <c r="BE141" s="13">
        <f>BD141*VLOOKUP('Données projet'!$B$11,Paramètres!$A$1:$I$89,3,0)*VLOOKUP('Données projet'!$B$11,Paramètres!$A$1:$I$89,5,0)</f>
        <v>1.383341441396624E-13</v>
      </c>
      <c r="BF141" s="13">
        <f t="shared" si="145"/>
        <v>2.0011390722884082E-12</v>
      </c>
      <c r="BG141" s="20">
        <f t="shared" si="115"/>
        <v>3.7262491852788889E-12</v>
      </c>
      <c r="BH141" s="59">
        <f t="shared" si="116"/>
        <v>285.14132726550969</v>
      </c>
      <c r="BI141" s="59">
        <f ca="1">AVERAGE(OFFSET($BH$3,0,0,'Données projet'!$E$11+1,1))-AVERAGE(OFFSET($H$3,0,0,'Données projet'!$E$11+1,1))</f>
        <v>318.98630351938459</v>
      </c>
      <c r="BJ141" s="59">
        <f t="shared" si="146"/>
        <v>312.22190035638084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26.520554840742882</v>
      </c>
      <c r="BQ141" s="21">
        <f>EXP(-LN(2)/25)*BQ140+(1-EXP(-LN(2)/25))/(LN(2)/25)*Calculateur!BL141*Calculateur!BN141*VLOOKUP('Données projet'!$B$11,Paramètres!$A$1:$I$89,3,0)*0.475*44/12</f>
        <v>12.907528405566403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39.428083246309285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259.99999999999983</v>
      </c>
      <c r="BZ141" s="13">
        <f>BY141*VLOOKUP('Données projet'!$B$12,Paramètres!$A$1:$I$89,3,0)*VLOOKUP('Données projet'!$B$12,Paramètres!$A$1:$I$89,5,0)</f>
        <v>227.13599999999985</v>
      </c>
      <c r="CA141" s="13">
        <f t="shared" si="147"/>
        <v>55.662966886685133</v>
      </c>
      <c r="CB141" s="20">
        <f t="shared" si="118"/>
        <v>492.5415339943097</v>
      </c>
      <c r="CC141" s="59">
        <f t="shared" si="119"/>
        <v>777.68286125981558</v>
      </c>
      <c r="CD141" s="59">
        <f ca="1">AVERAGE(OFFSET($CC$3,0,0,'Données projet'!$E$12+1,1))-AVERAGE(OFFSET($H$3,0,0,'Données projet'!$E$12+1,1))</f>
        <v>411.67183422518411</v>
      </c>
      <c r="CE141" s="59">
        <f t="shared" si="148"/>
        <v>379.16642539721556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17.7914733667414</v>
      </c>
      <c r="CL141" s="21">
        <f>EXP(-LN(2)/25)*CL140+(1-EXP(-LN(2)/25))/(LN(2)/25)*Calculateur!CG141*Calculateur!CI141*VLOOKUP('Données projet'!$B$12,Paramètres!$A$1:$I$89,3,0)*0.475*44/12</f>
        <v>4.6867049458248609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22.478178312566261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-7.3896444519050419E-13</v>
      </c>
      <c r="O142" s="13">
        <f>N142*VLOOKUP('Données projet'!$B$9,Paramètres!$A$1:$I$89,3,0)*VLOOKUP('Données projet'!$B$9,Paramètres!$A$1:$I$89,5,0)</f>
        <v>-3.4583536034915594E-13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307.52968058891554</v>
      </c>
      <c r="T142" s="59">
        <f t="shared" si="142"/>
        <v>221.27527189662558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79.86694379299604</v>
      </c>
      <c r="AA142" s="21">
        <f>EXP(-LN(2)/25)*AA141+(1-EXP(-LN(2)/25))/(LN(2)/25)*Calculateur!V142*Calculateur!X142*VLOOKUP('Données projet'!$B$9,Paramètres!$A$1:$I$89,3,0)*0.475*44/12</f>
        <v>14.249650049808759</v>
      </c>
      <c r="AB142" s="21">
        <f>EXP(-LN(2)/2)*AB141+(1-EXP(-LN(2)/2))/(LN(2)/2)*V142*Y142*VLOOKUP('Données projet'!$B$9,Paramètres!$A$1:$I$89,3,0)*0.475*44/12</f>
        <v>4.2017553443213365E-5</v>
      </c>
      <c r="AC142" s="22">
        <f t="shared" si="111"/>
        <v>94.116635860358244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377.63545575155672</v>
      </c>
      <c r="AO142" s="59">
        <f t="shared" si="144"/>
        <v>339.1731538522788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1.7053025658242404E-13</v>
      </c>
      <c r="BE142" s="13">
        <f>BD142*VLOOKUP('Données projet'!$B$11,Paramètres!$A$1:$I$89,3,0)*VLOOKUP('Données projet'!$B$11,Paramètres!$A$1:$I$89,5,0)</f>
        <v>1.383341441396624E-13</v>
      </c>
      <c r="BF142" s="13">
        <f t="shared" si="145"/>
        <v>2.0011390722884082E-12</v>
      </c>
      <c r="BG142" s="20">
        <f t="shared" si="115"/>
        <v>3.7262491852788889E-12</v>
      </c>
      <c r="BH142" s="59">
        <f t="shared" si="116"/>
        <v>285.28344025620464</v>
      </c>
      <c r="BI142" s="59">
        <f ca="1">AVERAGE(OFFSET($BH$3,0,0,'Données projet'!$E$11+1,1))-AVERAGE(OFFSET($H$3,0,0,'Données projet'!$E$11+1,1))</f>
        <v>318.98630351938459</v>
      </c>
      <c r="BJ142" s="59">
        <f t="shared" si="146"/>
        <v>312.22190035638084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26.000502936257124</v>
      </c>
      <c r="BQ142" s="21">
        <f>EXP(-LN(2)/25)*BQ141+(1-EXP(-LN(2)/25))/(LN(2)/25)*Calculateur!BL142*Calculateur!BN142*VLOOKUP('Données projet'!$B$11,Paramètres!$A$1:$I$89,3,0)*0.475*44/12</f>
        <v>12.554571362538772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38.555074298795894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259.99999999999983</v>
      </c>
      <c r="BZ142" s="13">
        <f>BY142*VLOOKUP('Données projet'!$B$12,Paramètres!$A$1:$I$89,3,0)*VLOOKUP('Données projet'!$B$12,Paramètres!$A$1:$I$89,5,0)</f>
        <v>227.13599999999985</v>
      </c>
      <c r="CA142" s="13">
        <f t="shared" si="147"/>
        <v>55.662966886685133</v>
      </c>
      <c r="CB142" s="20">
        <f t="shared" si="118"/>
        <v>492.5415339943097</v>
      </c>
      <c r="CC142" s="59">
        <f t="shared" si="119"/>
        <v>777.82497425051065</v>
      </c>
      <c r="CD142" s="59">
        <f ca="1">AVERAGE(OFFSET($CC$3,0,0,'Données projet'!$E$12+1,1))-AVERAGE(OFFSET($H$3,0,0,'Données projet'!$E$12+1,1))</f>
        <v>411.67183422518411</v>
      </c>
      <c r="CE142" s="59">
        <f t="shared" si="148"/>
        <v>379.16642539721556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17.442593425746836</v>
      </c>
      <c r="CL142" s="21">
        <f>EXP(-LN(2)/25)*CL141+(1-EXP(-LN(2)/25))/(LN(2)/25)*Calculateur!CG142*Calculateur!CI142*VLOOKUP('Données projet'!$B$12,Paramètres!$A$1:$I$89,3,0)*0.475*44/12</f>
        <v>4.5585467526181782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22.001140178365013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-7.3896444519050419E-13</v>
      </c>
      <c r="O143" s="13">
        <f>N143*VLOOKUP('Données projet'!$B$9,Paramètres!$A$1:$I$89,3,0)*VLOOKUP('Données projet'!$B$9,Paramètres!$A$1:$I$89,5,0)</f>
        <v>-3.4583536034915594E-13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307.52968058891554</v>
      </c>
      <c r="T143" s="59">
        <f t="shared" si="142"/>
        <v>221.27527189662558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78.300801739240995</v>
      </c>
      <c r="AA143" s="21">
        <f>EXP(-LN(2)/25)*AA142+(1-EXP(-LN(2)/25))/(LN(2)/25)*Calculateur!V143*Calculateur!X143*VLOOKUP('Données projet'!$B$9,Paramètres!$A$1:$I$89,3,0)*0.475*44/12</f>
        <v>13.859992619840209</v>
      </c>
      <c r="AB143" s="21">
        <f>EXP(-LN(2)/2)*AB142+(1-EXP(-LN(2)/2))/(LN(2)/2)*V143*Y143*VLOOKUP('Données projet'!$B$9,Paramètres!$A$1:$I$89,3,0)*0.475*44/12</f>
        <v>2.971089696856434E-5</v>
      </c>
      <c r="AC143" s="22">
        <f t="shared" si="111"/>
        <v>92.160824069978176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377.63545575155672</v>
      </c>
      <c r="AO143" s="59">
        <f t="shared" si="144"/>
        <v>339.1731538522788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1.7053025658242404E-13</v>
      </c>
      <c r="BE143" s="13">
        <f>BD143*VLOOKUP('Données projet'!$B$11,Paramètres!$A$1:$I$89,3,0)*VLOOKUP('Données projet'!$B$11,Paramètres!$A$1:$I$89,5,0)</f>
        <v>1.383341441396624E-13</v>
      </c>
      <c r="BF143" s="13">
        <f t="shared" si="145"/>
        <v>2.0011390722884082E-12</v>
      </c>
      <c r="BG143" s="20">
        <f t="shared" si="115"/>
        <v>3.7262491852788889E-12</v>
      </c>
      <c r="BH143" s="59">
        <f t="shared" si="116"/>
        <v>285.42308790422811</v>
      </c>
      <c r="BI143" s="59">
        <f ca="1">AVERAGE(OFFSET($BH$3,0,0,'Données projet'!$E$11+1,1))-AVERAGE(OFFSET($H$3,0,0,'Données projet'!$E$11+1,1))</f>
        <v>318.98630351938459</v>
      </c>
      <c r="BJ143" s="59">
        <f t="shared" si="146"/>
        <v>312.22190035638084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25.490648932417994</v>
      </c>
      <c r="BQ143" s="21">
        <f>EXP(-LN(2)/25)*BQ142+(1-EXP(-LN(2)/25))/(LN(2)/25)*Calculateur!BL143*Calculateur!BN143*VLOOKUP('Données projet'!$B$11,Paramètres!$A$1:$I$89,3,0)*0.475*44/12</f>
        <v>12.211265948413935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37.701914880831929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259.99999999999983</v>
      </c>
      <c r="BZ143" s="13">
        <f>BY143*VLOOKUP('Données projet'!$B$12,Paramètres!$A$1:$I$89,3,0)*VLOOKUP('Données projet'!$B$12,Paramètres!$A$1:$I$89,5,0)</f>
        <v>227.13599999999985</v>
      </c>
      <c r="CA143" s="13">
        <f t="shared" si="147"/>
        <v>55.662966886685133</v>
      </c>
      <c r="CB143" s="20">
        <f t="shared" si="118"/>
        <v>492.5415339943097</v>
      </c>
      <c r="CC143" s="59">
        <f t="shared" si="119"/>
        <v>777.96462189853401</v>
      </c>
      <c r="CD143" s="59">
        <f ca="1">AVERAGE(OFFSET($CC$3,0,0,'Données projet'!$E$12+1,1))-AVERAGE(OFFSET($H$3,0,0,'Données projet'!$E$12+1,1))</f>
        <v>411.67183422518411</v>
      </c>
      <c r="CE143" s="59">
        <f t="shared" si="148"/>
        <v>379.16642539721556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17.100554807599423</v>
      </c>
      <c r="CL143" s="21">
        <f>EXP(-LN(2)/25)*CL142+(1-EXP(-LN(2)/25))/(LN(2)/25)*Calculateur!CG143*Calculateur!CI143*VLOOKUP('Données projet'!$B$12,Paramètres!$A$1:$I$89,3,0)*0.475*44/12</f>
        <v>4.4338930519442794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21.534447859543704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-7.3896444519050419E-13</v>
      </c>
      <c r="O144" s="13">
        <f>N144*VLOOKUP('Données projet'!$B$9,Paramètres!$A$1:$I$89,3,0)*VLOOKUP('Données projet'!$B$9,Paramètres!$A$1:$I$89,5,0)</f>
        <v>-3.4583536034915594E-13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307.52968058891554</v>
      </c>
      <c r="T144" s="59">
        <f t="shared" si="142"/>
        <v>221.27527189662558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76.765370775907755</v>
      </c>
      <c r="AA144" s="21">
        <f>EXP(-LN(2)/25)*AA143+(1-EXP(-LN(2)/25))/(LN(2)/25)*Calculateur!V144*Calculateur!X144*VLOOKUP('Données projet'!$B$9,Paramètres!$A$1:$I$89,3,0)*0.475*44/12</f>
        <v>13.480990392785344</v>
      </c>
      <c r="AB144" s="21">
        <f>EXP(-LN(2)/2)*AB143+(1-EXP(-LN(2)/2))/(LN(2)/2)*V144*Y144*VLOOKUP('Données projet'!$B$9,Paramètres!$A$1:$I$89,3,0)*0.475*44/12</f>
        <v>2.1008776721606682E-5</v>
      </c>
      <c r="AC144" s="22">
        <f t="shared" si="111"/>
        <v>90.246382177469826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377.63545575155672</v>
      </c>
      <c r="AO144" s="59">
        <f t="shared" si="144"/>
        <v>339.1731538522788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1.7053025658242404E-13</v>
      </c>
      <c r="BE144" s="13">
        <f>BD144*VLOOKUP('Données projet'!$B$11,Paramètres!$A$1:$I$89,3,0)*VLOOKUP('Données projet'!$B$11,Paramètres!$A$1:$I$89,5,0)</f>
        <v>1.383341441396624E-13</v>
      </c>
      <c r="BF144" s="13">
        <f t="shared" si="145"/>
        <v>2.0011390722884082E-12</v>
      </c>
      <c r="BG144" s="20">
        <f t="shared" si="115"/>
        <v>3.7262491852788889E-12</v>
      </c>
      <c r="BH144" s="59">
        <f t="shared" si="116"/>
        <v>285.56031297776377</v>
      </c>
      <c r="BI144" s="59">
        <f ca="1">AVERAGE(OFFSET($BH$3,0,0,'Données projet'!$E$11+1,1))-AVERAGE(OFFSET($H$3,0,0,'Données projet'!$E$11+1,1))</f>
        <v>318.98630351938459</v>
      </c>
      <c r="BJ144" s="59">
        <f t="shared" si="146"/>
        <v>312.22190035638084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24.990792854613911</v>
      </c>
      <c r="BQ144" s="21">
        <f>EXP(-LN(2)/25)*BQ143+(1-EXP(-LN(2)/25))/(LN(2)/25)*Calculateur!BL144*Calculateur!BN144*VLOOKUP('Données projet'!$B$11,Paramètres!$A$1:$I$89,3,0)*0.475*44/12</f>
        <v>11.877348238891988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36.868141093505898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259.99999999999983</v>
      </c>
      <c r="BZ144" s="13">
        <f>BY144*VLOOKUP('Données projet'!$B$12,Paramètres!$A$1:$I$89,3,0)*VLOOKUP('Données projet'!$B$12,Paramètres!$A$1:$I$89,5,0)</f>
        <v>227.13599999999985</v>
      </c>
      <c r="CA144" s="13">
        <f t="shared" si="147"/>
        <v>55.662966886685133</v>
      </c>
      <c r="CB144" s="20">
        <f t="shared" si="118"/>
        <v>492.5415339943097</v>
      </c>
      <c r="CC144" s="59">
        <f t="shared" si="119"/>
        <v>778.10184697206978</v>
      </c>
      <c r="CD144" s="59">
        <f ca="1">AVERAGE(OFFSET($CC$3,0,0,'Données projet'!$E$12+1,1))-AVERAGE(OFFSET($H$3,0,0,'Données projet'!$E$12+1,1))</f>
        <v>411.67183422518411</v>
      </c>
      <c r="CE144" s="59">
        <f t="shared" si="148"/>
        <v>379.16642539721556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16.765223358130925</v>
      </c>
      <c r="CL144" s="21">
        <f>EXP(-LN(2)/25)*CL143+(1-EXP(-LN(2)/25))/(LN(2)/25)*Calculateur!CG144*Calculateur!CI144*VLOOKUP('Données projet'!$B$12,Paramètres!$A$1:$I$89,3,0)*0.475*44/12</f>
        <v>4.3126480132705609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21.077871371401486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-7.3896444519050419E-13</v>
      </c>
      <c r="O145" s="13">
        <f>N145*VLOOKUP('Données projet'!$B$9,Paramètres!$A$1:$I$89,3,0)*VLOOKUP('Données projet'!$B$9,Paramètres!$A$1:$I$89,5,0)</f>
        <v>-3.4583536034915594E-13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307.52968058891554</v>
      </c>
      <c r="T145" s="59">
        <f t="shared" si="142"/>
        <v>221.27527189662558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75.260048677245067</v>
      </c>
      <c r="AA145" s="21">
        <f>EXP(-LN(2)/25)*AA144+(1-EXP(-LN(2)/25))/(LN(2)/25)*Calculateur!V145*Calculateur!X145*VLOOKUP('Données projet'!$B$9,Paramètres!$A$1:$I$89,3,0)*0.475*44/12</f>
        <v>13.112352001560156</v>
      </c>
      <c r="AB145" s="21">
        <f>EXP(-LN(2)/2)*AB144+(1-EXP(-LN(2)/2))/(LN(2)/2)*V145*Y145*VLOOKUP('Données projet'!$B$9,Paramètres!$A$1:$I$89,3,0)*0.475*44/12</f>
        <v>1.485544848428217E-5</v>
      </c>
      <c r="AC145" s="22">
        <f t="shared" si="111"/>
        <v>88.372415534253705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377.63545575155672</v>
      </c>
      <c r="AO145" s="59">
        <f t="shared" si="144"/>
        <v>339.1731538522788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1.7053025658242404E-13</v>
      </c>
      <c r="BE145" s="13">
        <f>BD145*VLOOKUP('Données projet'!$B$11,Paramètres!$A$1:$I$89,3,0)*VLOOKUP('Données projet'!$B$11,Paramètres!$A$1:$I$89,5,0)</f>
        <v>1.383341441396624E-13</v>
      </c>
      <c r="BF145" s="13">
        <f t="shared" si="145"/>
        <v>2.0011390722884082E-12</v>
      </c>
      <c r="BG145" s="20">
        <f t="shared" si="115"/>
        <v>3.7262491852788889E-12</v>
      </c>
      <c r="BH145" s="59">
        <f t="shared" si="116"/>
        <v>285.69515750306283</v>
      </c>
      <c r="BI145" s="59">
        <f ca="1">AVERAGE(OFFSET($BH$3,0,0,'Données projet'!$E$11+1,1))-AVERAGE(OFFSET($H$3,0,0,'Données projet'!$E$11+1,1))</f>
        <v>318.98630351938459</v>
      </c>
      <c r="BJ145" s="59">
        <f t="shared" si="146"/>
        <v>312.22190035638084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24.500738649613464</v>
      </c>
      <c r="BQ145" s="21">
        <f>EXP(-LN(2)/25)*BQ144+(1-EXP(-LN(2)/25))/(LN(2)/25)*Calculateur!BL145*Calculateur!BN145*VLOOKUP('Données projet'!$B$11,Paramètres!$A$1:$I$89,3,0)*0.475*44/12</f>
        <v>11.55256152669689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36.053300176310351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259.99999999999983</v>
      </c>
      <c r="BZ145" s="13">
        <f>BY145*VLOOKUP('Données projet'!$B$12,Paramètres!$A$1:$I$89,3,0)*VLOOKUP('Données projet'!$B$12,Paramètres!$A$1:$I$89,5,0)</f>
        <v>227.13599999999985</v>
      </c>
      <c r="CA145" s="13">
        <f t="shared" si="147"/>
        <v>55.662966886685133</v>
      </c>
      <c r="CB145" s="20">
        <f t="shared" si="118"/>
        <v>492.5415339943097</v>
      </c>
      <c r="CC145" s="59">
        <f t="shared" si="119"/>
        <v>778.23669149736884</v>
      </c>
      <c r="CD145" s="59">
        <f ca="1">AVERAGE(OFFSET($CC$3,0,0,'Données projet'!$E$12+1,1))-AVERAGE(OFFSET($H$3,0,0,'Données projet'!$E$12+1,1))</f>
        <v>411.67183422518411</v>
      </c>
      <c r="CE145" s="59">
        <f t="shared" si="148"/>
        <v>379.16642539721556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16.436467553854513</v>
      </c>
      <c r="CL145" s="21">
        <f>EXP(-LN(2)/25)*CL144+(1-EXP(-LN(2)/25))/(LN(2)/25)*Calculateur!CG145*Calculateur!CI145*VLOOKUP('Données projet'!$B$12,Paramètres!$A$1:$I$89,3,0)*0.475*44/12</f>
        <v>4.194718426555375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20.631185980409889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-7.3896444519050419E-13</v>
      </c>
      <c r="O146" s="13">
        <f>N146*VLOOKUP('Données projet'!$B$9,Paramètres!$A$1:$I$89,3,0)*VLOOKUP('Données projet'!$B$9,Paramètres!$A$1:$I$89,5,0)</f>
        <v>-3.4583536034915594E-13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307.52968058891554</v>
      </c>
      <c r="T146" s="59">
        <f t="shared" si="142"/>
        <v>221.27527189662558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73.784245026781335</v>
      </c>
      <c r="AA146" s="21">
        <f>EXP(-LN(2)/25)*AA145+(1-EXP(-LN(2)/25))/(LN(2)/25)*Calculateur!V146*Calculateur!X146*VLOOKUP('Données projet'!$B$9,Paramètres!$A$1:$I$89,3,0)*0.475*44/12</f>
        <v>12.753794046528871</v>
      </c>
      <c r="AB146" s="21">
        <f>EXP(-LN(2)/2)*AB145+(1-EXP(-LN(2)/2))/(LN(2)/2)*V146*Y146*VLOOKUP('Données projet'!$B$9,Paramètres!$A$1:$I$89,3,0)*0.475*44/12</f>
        <v>1.0504388360803341E-5</v>
      </c>
      <c r="AC146" s="22">
        <f t="shared" si="111"/>
        <v>86.538049577698558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377.63545575155672</v>
      </c>
      <c r="AO146" s="59">
        <f t="shared" si="144"/>
        <v>339.1731538522788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1.7053025658242404E-13</v>
      </c>
      <c r="BE146" s="13">
        <f>BD146*VLOOKUP('Données projet'!$B$11,Paramètres!$A$1:$I$89,3,0)*VLOOKUP('Données projet'!$B$11,Paramètres!$A$1:$I$89,5,0)</f>
        <v>1.383341441396624E-13</v>
      </c>
      <c r="BF146" s="13">
        <f t="shared" si="145"/>
        <v>2.0011390722884082E-12</v>
      </c>
      <c r="BG146" s="20">
        <f t="shared" si="115"/>
        <v>3.7262491852788889E-12</v>
      </c>
      <c r="BH146" s="59">
        <f t="shared" si="116"/>
        <v>285.8276627773152</v>
      </c>
      <c r="BI146" s="59">
        <f ca="1">AVERAGE(OFFSET($BH$3,0,0,'Données projet'!$E$11+1,1))-AVERAGE(OFFSET($H$3,0,0,'Données projet'!$E$11+1,1))</f>
        <v>318.98630351938459</v>
      </c>
      <c r="BJ146" s="59">
        <f t="shared" si="146"/>
        <v>312.22190035638084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24.020294108669525</v>
      </c>
      <c r="BQ146" s="21">
        <f>EXP(-LN(2)/25)*BQ145+(1-EXP(-LN(2)/25))/(LN(2)/25)*Calculateur!BL146*Calculateur!BN146*VLOOKUP('Données projet'!$B$11,Paramètres!$A$1:$I$89,3,0)*0.475*44/12</f>
        <v>11.236656124226556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35.256950232896081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259.99999999999983</v>
      </c>
      <c r="BZ146" s="13">
        <f>BY146*VLOOKUP('Données projet'!$B$12,Paramètres!$A$1:$I$89,3,0)*VLOOKUP('Données projet'!$B$12,Paramètres!$A$1:$I$89,5,0)</f>
        <v>227.13599999999985</v>
      </c>
      <c r="CA146" s="13">
        <f t="shared" si="147"/>
        <v>55.662966886685133</v>
      </c>
      <c r="CB146" s="20">
        <f t="shared" si="118"/>
        <v>492.5415339943097</v>
      </c>
      <c r="CC146" s="59">
        <f t="shared" si="119"/>
        <v>778.36919677162109</v>
      </c>
      <c r="CD146" s="59">
        <f ca="1">AVERAGE(OFFSET($CC$3,0,0,'Données projet'!$E$12+1,1))-AVERAGE(OFFSET($H$3,0,0,'Données projet'!$E$12+1,1))</f>
        <v>411.67183422518411</v>
      </c>
      <c r="CE146" s="59">
        <f t="shared" si="148"/>
        <v>379.16642539721556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16.114158450378721</v>
      </c>
      <c r="CL146" s="21">
        <f>EXP(-LN(2)/25)*CL145+(1-EXP(-LN(2)/25))/(LN(2)/25)*Calculateur!CG146*Calculateur!CI146*VLOOKUP('Données projet'!$B$12,Paramètres!$A$1:$I$89,3,0)*0.475*44/12</f>
        <v>4.080013630590563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20.194172080969285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-7.3896444519050419E-13</v>
      </c>
      <c r="O147" s="13">
        <f>N147*VLOOKUP('Données projet'!$B$9,Paramètres!$A$1:$I$89,3,0)*VLOOKUP('Données projet'!$B$9,Paramètres!$A$1:$I$89,5,0)</f>
        <v>-3.4583536034915594E-13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307.52968058891554</v>
      </c>
      <c r="T147" s="59">
        <f t="shared" si="142"/>
        <v>221.27527189662558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72.337380985751849</v>
      </c>
      <c r="AA147" s="21">
        <f>EXP(-LN(2)/25)*AA146+(1-EXP(-LN(2)/25))/(LN(2)/25)*Calculateur!V147*Calculateur!X147*VLOOKUP('Données projet'!$B$9,Paramètres!$A$1:$I$89,3,0)*0.475*44/12</f>
        <v>12.40504087763366</v>
      </c>
      <c r="AB147" s="21">
        <f>EXP(-LN(2)/2)*AB146+(1-EXP(-LN(2)/2))/(LN(2)/2)*V147*Y147*VLOOKUP('Données projet'!$B$9,Paramètres!$A$1:$I$89,3,0)*0.475*44/12</f>
        <v>7.4277242421410849E-6</v>
      </c>
      <c r="AC147" s="22">
        <f t="shared" si="111"/>
        <v>84.742429291109758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377.63545575155672</v>
      </c>
      <c r="AO147" s="59">
        <f t="shared" si="144"/>
        <v>339.1731538522788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1.7053025658242404E-13</v>
      </c>
      <c r="BE147" s="13">
        <f>BD147*VLOOKUP('Données projet'!$B$11,Paramètres!$A$1:$I$89,3,0)*VLOOKUP('Données projet'!$B$11,Paramètres!$A$1:$I$89,5,0)</f>
        <v>1.383341441396624E-13</v>
      </c>
      <c r="BF147" s="13">
        <f t="shared" si="145"/>
        <v>2.0011390722884082E-12</v>
      </c>
      <c r="BG147" s="20">
        <f t="shared" si="115"/>
        <v>3.7262491852788889E-12</v>
      </c>
      <c r="BH147" s="59">
        <f t="shared" si="116"/>
        <v>285.95786938129663</v>
      </c>
      <c r="BI147" s="59">
        <f ca="1">AVERAGE(OFFSET($BH$3,0,0,'Données projet'!$E$11+1,1))-AVERAGE(OFFSET($H$3,0,0,'Données projet'!$E$11+1,1))</f>
        <v>318.98630351938459</v>
      </c>
      <c r="BJ147" s="59">
        <f t="shared" si="146"/>
        <v>312.22190035638084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23.549270792131264</v>
      </c>
      <c r="BQ147" s="21">
        <f>EXP(-LN(2)/25)*BQ146+(1-EXP(-LN(2)/25))/(LN(2)/25)*Calculateur!BL147*Calculateur!BN147*VLOOKUP('Données projet'!$B$11,Paramètres!$A$1:$I$89,3,0)*0.475*44/12</f>
        <v>10.929389171599517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34.478659963730777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259.99999999999983</v>
      </c>
      <c r="BZ147" s="13">
        <f>BY147*VLOOKUP('Données projet'!$B$12,Paramètres!$A$1:$I$89,3,0)*VLOOKUP('Données projet'!$B$12,Paramètres!$A$1:$I$89,5,0)</f>
        <v>227.13599999999985</v>
      </c>
      <c r="CA147" s="13">
        <f t="shared" si="147"/>
        <v>55.662966886685133</v>
      </c>
      <c r="CB147" s="20">
        <f t="shared" si="118"/>
        <v>492.5415339943097</v>
      </c>
      <c r="CC147" s="59">
        <f t="shared" si="119"/>
        <v>778.49940337560258</v>
      </c>
      <c r="CD147" s="59">
        <f ca="1">AVERAGE(OFFSET($CC$3,0,0,'Données projet'!$E$12+1,1))-AVERAGE(OFFSET($H$3,0,0,'Données projet'!$E$12+1,1))</f>
        <v>411.67183422518411</v>
      </c>
      <c r="CE147" s="59">
        <f t="shared" si="148"/>
        <v>379.16642539721556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15.798169631832948</v>
      </c>
      <c r="CL147" s="21">
        <f>EXP(-LN(2)/25)*CL146+(1-EXP(-LN(2)/25))/(LN(2)/25)*Calculateur!CG147*Calculateur!CI147*VLOOKUP('Données projet'!$B$12,Paramètres!$A$1:$I$89,3,0)*0.475*44/12</f>
        <v>3.9684454433034722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19.766615075136421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-7.3896444519050419E-13</v>
      </c>
      <c r="O148" s="13">
        <f>N148*VLOOKUP('Données projet'!$B$9,Paramètres!$A$1:$I$89,3,0)*VLOOKUP('Données projet'!$B$9,Paramètres!$A$1:$I$89,5,0)</f>
        <v>-3.4583536034915594E-13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307.52968058891554</v>
      </c>
      <c r="T148" s="59">
        <f t="shared" si="142"/>
        <v>221.27527189662558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70.918889066067024</v>
      </c>
      <c r="AA148" s="21">
        <f>EXP(-LN(2)/25)*AA147+(1-EXP(-LN(2)/25))/(LN(2)/25)*Calculateur!V148*Calculateur!X148*VLOOKUP('Données projet'!$B$9,Paramètres!$A$1:$I$89,3,0)*0.475*44/12</f>
        <v>12.06582438248202</v>
      </c>
      <c r="AB148" s="21">
        <f>EXP(-LN(2)/2)*AB147+(1-EXP(-LN(2)/2))/(LN(2)/2)*V148*Y148*VLOOKUP('Données projet'!$B$9,Paramètres!$A$1:$I$89,3,0)*0.475*44/12</f>
        <v>5.2521941804016706E-6</v>
      </c>
      <c r="AC148" s="22">
        <f t="shared" si="111"/>
        <v>82.98471870074323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377.63545575155672</v>
      </c>
      <c r="AO148" s="59">
        <f t="shared" si="144"/>
        <v>339.1731538522788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1.7053025658242404E-13</v>
      </c>
      <c r="BE148" s="13">
        <f>BD148*VLOOKUP('Données projet'!$B$11,Paramètres!$A$1:$I$89,3,0)*VLOOKUP('Données projet'!$B$11,Paramètres!$A$1:$I$89,5,0)</f>
        <v>1.383341441396624E-13</v>
      </c>
      <c r="BF148" s="13">
        <f t="shared" si="145"/>
        <v>2.0011390722884082E-12</v>
      </c>
      <c r="BG148" s="20">
        <f t="shared" si="115"/>
        <v>3.7262491852788889E-12</v>
      </c>
      <c r="BH148" s="59">
        <f t="shared" si="116"/>
        <v>286.08581719179733</v>
      </c>
      <c r="BI148" s="59">
        <f ca="1">AVERAGE(OFFSET($BH$3,0,0,'Données projet'!$E$11+1,1))-AVERAGE(OFFSET($H$3,0,0,'Données projet'!$E$11+1,1))</f>
        <v>318.98630351938459</v>
      </c>
      <c r="BJ148" s="59">
        <f t="shared" si="146"/>
        <v>312.22190035638084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23.087483955534463</v>
      </c>
      <c r="BQ148" s="21">
        <f>EXP(-LN(2)/25)*BQ147+(1-EXP(-LN(2)/25))/(LN(2)/25)*Calculateur!BL148*Calculateur!BN148*VLOOKUP('Données projet'!$B$11,Paramètres!$A$1:$I$89,3,0)*0.475*44/12</f>
        <v>10.630524449950531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33.718008405484994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259.99999999999983</v>
      </c>
      <c r="BZ148" s="13">
        <f>BY148*VLOOKUP('Données projet'!$B$12,Paramètres!$A$1:$I$89,3,0)*VLOOKUP('Données projet'!$B$12,Paramètres!$A$1:$I$89,5,0)</f>
        <v>227.13599999999985</v>
      </c>
      <c r="CA148" s="13">
        <f t="shared" si="147"/>
        <v>55.662966886685133</v>
      </c>
      <c r="CB148" s="20">
        <f t="shared" si="118"/>
        <v>492.5415339943097</v>
      </c>
      <c r="CC148" s="59">
        <f t="shared" si="119"/>
        <v>778.62735118610328</v>
      </c>
      <c r="CD148" s="59">
        <f ca="1">AVERAGE(OFFSET($CC$3,0,0,'Données projet'!$E$12+1,1))-AVERAGE(OFFSET($H$3,0,0,'Données projet'!$E$12+1,1))</f>
        <v>411.67183422518411</v>
      </c>
      <c r="CE148" s="59">
        <f t="shared" si="148"/>
        <v>379.16642539721556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15.48837716128471</v>
      </c>
      <c r="CL148" s="21">
        <f>EXP(-LN(2)/25)*CL147+(1-EXP(-LN(2)/25))/(LN(2)/25)*Calculateur!CG148*Calculateur!CI148*VLOOKUP('Données projet'!$B$12,Paramètres!$A$1:$I$89,3,0)*0.475*44/12</f>
        <v>3.859928093964863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19.348305255249574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-7.3896444519050419E-13</v>
      </c>
      <c r="O149" s="13">
        <f>N149*VLOOKUP('Données projet'!$B$9,Paramètres!$A$1:$I$89,3,0)*VLOOKUP('Données projet'!$B$9,Paramètres!$A$1:$I$89,5,0)</f>
        <v>-3.4583536034915594E-13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307.52968058891554</v>
      </c>
      <c r="T149" s="59">
        <f t="shared" si="142"/>
        <v>221.27527189662558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69.528212907732581</v>
      </c>
      <c r="AA149" s="21">
        <f>EXP(-LN(2)/25)*AA148+(1-EXP(-LN(2)/25))/(LN(2)/25)*Calculateur!V149*Calculateur!X149*VLOOKUP('Données projet'!$B$9,Paramètres!$A$1:$I$89,3,0)*0.475*44/12</f>
        <v>11.735883780228923</v>
      </c>
      <c r="AB149" s="21">
        <f>EXP(-LN(2)/2)*AB148+(1-EXP(-LN(2)/2))/(LN(2)/2)*V149*Y149*VLOOKUP('Données projet'!$B$9,Paramètres!$A$1:$I$89,3,0)*0.475*44/12</f>
        <v>3.7138621210705424E-6</v>
      </c>
      <c r="AC149" s="22">
        <f t="shared" si="111"/>
        <v>81.264100401823626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377.63545575155672</v>
      </c>
      <c r="AO149" s="59">
        <f t="shared" si="144"/>
        <v>339.1731538522788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1.7053025658242404E-13</v>
      </c>
      <c r="BE149" s="13">
        <f>BD149*VLOOKUP('Données projet'!$B$11,Paramètres!$A$1:$I$89,3,0)*VLOOKUP('Données projet'!$B$11,Paramètres!$A$1:$I$89,5,0)</f>
        <v>1.383341441396624E-13</v>
      </c>
      <c r="BF149" s="13">
        <f t="shared" si="145"/>
        <v>2.0011390722884082E-12</v>
      </c>
      <c r="BG149" s="20">
        <f t="shared" si="115"/>
        <v>3.7262491852788889E-12</v>
      </c>
      <c r="BH149" s="59">
        <f t="shared" si="116"/>
        <v>286.2115453938344</v>
      </c>
      <c r="BI149" s="59">
        <f ca="1">AVERAGE(OFFSET($BH$3,0,0,'Données projet'!$E$11+1,1))-AVERAGE(OFFSET($H$3,0,0,'Données projet'!$E$11+1,1))</f>
        <v>318.98630351938459</v>
      </c>
      <c r="BJ149" s="59">
        <f t="shared" si="146"/>
        <v>312.22190035638084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22.634752477141166</v>
      </c>
      <c r="BQ149" s="21">
        <f>EXP(-LN(2)/25)*BQ148+(1-EXP(-LN(2)/25))/(LN(2)/25)*Calculateur!BL149*Calculateur!BN149*VLOOKUP('Données projet'!$B$11,Paramètres!$A$1:$I$89,3,0)*0.475*44/12</f>
        <v>10.339832199831649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32.974584676972817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259.99999999999983</v>
      </c>
      <c r="BZ149" s="13">
        <f>BY149*VLOOKUP('Données projet'!$B$12,Paramètres!$A$1:$I$89,3,0)*VLOOKUP('Données projet'!$B$12,Paramètres!$A$1:$I$89,5,0)</f>
        <v>227.13599999999985</v>
      </c>
      <c r="CA149" s="13">
        <f t="shared" si="147"/>
        <v>55.662966886685133</v>
      </c>
      <c r="CB149" s="20">
        <f t="shared" si="118"/>
        <v>492.5415339943097</v>
      </c>
      <c r="CC149" s="59">
        <f t="shared" si="119"/>
        <v>778.75307938814035</v>
      </c>
      <c r="CD149" s="59">
        <f ca="1">AVERAGE(OFFSET($CC$3,0,0,'Données projet'!$E$12+1,1))-AVERAGE(OFFSET($H$3,0,0,'Données projet'!$E$12+1,1))</f>
        <v>411.67183422518411</v>
      </c>
      <c r="CE149" s="59">
        <f t="shared" si="148"/>
        <v>379.16642539721556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15.184659532129174</v>
      </c>
      <c r="CL149" s="21">
        <f>EXP(-LN(2)/25)*CL148+(1-EXP(-LN(2)/25))/(LN(2)/25)*Calculateur!CG149*Calculateur!CI149*VLOOKUP('Données projet'!$B$12,Paramètres!$A$1:$I$89,3,0)*0.475*44/12</f>
        <v>3.7543781572505974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18.939037689379774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-7.3896444519050419E-13</v>
      </c>
      <c r="O150" s="13">
        <f>N150*VLOOKUP('Données projet'!$B$9,Paramètres!$A$1:$I$89,3,0)*VLOOKUP('Données projet'!$B$9,Paramètres!$A$1:$I$89,5,0)</f>
        <v>-3.4583536034915594E-13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307.52968058891554</v>
      </c>
      <c r="T150" s="59">
        <f t="shared" si="142"/>
        <v>221.27527189662558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68.164807060634374</v>
      </c>
      <c r="AA150" s="21">
        <f>EXP(-LN(2)/25)*AA149+(1-EXP(-LN(2)/25))/(LN(2)/25)*Calculateur!V150*Calculateur!X150*VLOOKUP('Données projet'!$B$9,Paramètres!$A$1:$I$89,3,0)*0.475*44/12</f>
        <v>11.414965421095257</v>
      </c>
      <c r="AB150" s="21">
        <f>EXP(-LN(2)/2)*AB149+(1-EXP(-LN(2)/2))/(LN(2)/2)*V150*Y150*VLOOKUP('Données projet'!$B$9,Paramètres!$A$1:$I$89,3,0)*0.475*44/12</f>
        <v>2.6260970902008353E-6</v>
      </c>
      <c r="AC150" s="22">
        <f t="shared" si="111"/>
        <v>79.57977510782672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377.63545575155672</v>
      </c>
      <c r="AO150" s="59">
        <f t="shared" si="144"/>
        <v>339.1731538522788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1.7053025658242404E-13</v>
      </c>
      <c r="BE150" s="13">
        <f>BD150*VLOOKUP('Données projet'!$B$11,Paramètres!$A$1:$I$89,3,0)*VLOOKUP('Données projet'!$B$11,Paramètres!$A$1:$I$89,5,0)</f>
        <v>1.383341441396624E-13</v>
      </c>
      <c r="BF150" s="13">
        <f t="shared" si="145"/>
        <v>2.0011390722884082E-12</v>
      </c>
      <c r="BG150" s="20">
        <f t="shared" si="115"/>
        <v>3.7262491852788889E-12</v>
      </c>
      <c r="BH150" s="59">
        <f t="shared" si="116"/>
        <v>286.33509249265217</v>
      </c>
      <c r="BI150" s="59">
        <f ca="1">AVERAGE(OFFSET($BH$3,0,0,'Données projet'!$E$11+1,1))-AVERAGE(OFFSET($H$3,0,0,'Données projet'!$E$11+1,1))</f>
        <v>318.98630351938459</v>
      </c>
      <c r="BJ150" s="59">
        <f t="shared" si="146"/>
        <v>312.22190035638084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22.190898786900227</v>
      </c>
      <c r="BQ150" s="21">
        <f>EXP(-LN(2)/25)*BQ149+(1-EXP(-LN(2)/25))/(LN(2)/25)*Calculateur!BL150*Calculateur!BN150*VLOOKUP('Données projet'!$B$11,Paramètres!$A$1:$I$89,3,0)*0.475*44/12</f>
        <v>10.05708894457911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32.247987731479341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259.99999999999983</v>
      </c>
      <c r="BZ150" s="13">
        <f>BY150*VLOOKUP('Données projet'!$B$12,Paramètres!$A$1:$I$89,3,0)*VLOOKUP('Données projet'!$B$12,Paramètres!$A$1:$I$89,5,0)</f>
        <v>227.13599999999985</v>
      </c>
      <c r="CA150" s="13">
        <f t="shared" si="147"/>
        <v>55.662966886685133</v>
      </c>
      <c r="CB150" s="20">
        <f t="shared" si="118"/>
        <v>492.5415339943097</v>
      </c>
      <c r="CC150" s="59">
        <f t="shared" si="119"/>
        <v>778.87662648695812</v>
      </c>
      <c r="CD150" s="59">
        <f ca="1">AVERAGE(OFFSET($CC$3,0,0,'Données projet'!$E$12+1,1))-AVERAGE(OFFSET($H$3,0,0,'Données projet'!$E$12+1,1))</f>
        <v>411.67183422518411</v>
      </c>
      <c r="CE150" s="59">
        <f t="shared" si="148"/>
        <v>379.16642539721556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14.886897620431917</v>
      </c>
      <c r="CL150" s="21">
        <f>EXP(-LN(2)/25)*CL149+(1-EXP(-LN(2)/25))/(LN(2)/25)*Calculateur!CG150*Calculateur!CI150*VLOOKUP('Données projet'!$B$12,Paramètres!$A$1:$I$89,3,0)*0.475*44/12</f>
        <v>3.6517144891064133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18.538612109538331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-7.3896444519050419E-13</v>
      </c>
      <c r="O151" s="13">
        <f>N151*VLOOKUP('Données projet'!$B$9,Paramètres!$A$1:$I$89,3,0)*VLOOKUP('Données projet'!$B$9,Paramètres!$A$1:$I$89,5,0)</f>
        <v>-3.4583536034915594E-13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307.52968058891554</v>
      </c>
      <c r="T151" s="59">
        <f t="shared" si="142"/>
        <v>221.27527189662558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66.828136770602313</v>
      </c>
      <c r="AA151" s="21">
        <f>EXP(-LN(2)/25)*AA150+(1-EXP(-LN(2)/25))/(LN(2)/25)*Calculateur!V151*Calculateur!X151*VLOOKUP('Données projet'!$B$9,Paramètres!$A$1:$I$89,3,0)*0.475*44/12</f>
        <v>11.102822591368465</v>
      </c>
      <c r="AB151" s="21">
        <f>EXP(-LN(2)/2)*AB150+(1-EXP(-LN(2)/2))/(LN(2)/2)*V151*Y151*VLOOKUP('Données projet'!$B$9,Paramètres!$A$1:$I$89,3,0)*0.475*44/12</f>
        <v>1.8569310605352712E-6</v>
      </c>
      <c r="AC151" s="22">
        <f t="shared" si="111"/>
        <v>77.930961218901842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377.63545575155672</v>
      </c>
      <c r="AO151" s="59">
        <f t="shared" si="144"/>
        <v>339.1731538522788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1.7053025658242404E-13</v>
      </c>
      <c r="BE151" s="13">
        <f>BD151*VLOOKUP('Données projet'!$B$11,Paramètres!$A$1:$I$89,3,0)*VLOOKUP('Données projet'!$B$11,Paramètres!$A$1:$I$89,5,0)</f>
        <v>1.383341441396624E-13</v>
      </c>
      <c r="BF151" s="13">
        <f t="shared" si="145"/>
        <v>2.0011390722884082E-12</v>
      </c>
      <c r="BG151" s="20">
        <f t="shared" si="115"/>
        <v>3.7262491852788889E-12</v>
      </c>
      <c r="BH151" s="59">
        <f t="shared" si="116"/>
        <v>286.45649632551545</v>
      </c>
      <c r="BI151" s="59">
        <f ca="1">AVERAGE(OFFSET($BH$3,0,0,'Données projet'!$E$11+1,1))-AVERAGE(OFFSET($H$3,0,0,'Données projet'!$E$11+1,1))</f>
        <v>318.98630351938459</v>
      </c>
      <c r="BJ151" s="59">
        <f t="shared" si="146"/>
        <v>312.22190035638084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21.755748796800894</v>
      </c>
      <c r="BQ151" s="21">
        <f>EXP(-LN(2)/25)*BQ150+(1-EXP(-LN(2)/25))/(LN(2)/25)*Calculateur!BL151*Calculateur!BN151*VLOOKUP('Données projet'!$B$11,Paramètres!$A$1:$I$89,3,0)*0.475*44/12</f>
        <v>9.7820773185102734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31.537826115311169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259.99999999999983</v>
      </c>
      <c r="BZ151" s="13">
        <f>BY151*VLOOKUP('Données projet'!$B$12,Paramètres!$A$1:$I$89,3,0)*VLOOKUP('Données projet'!$B$12,Paramètres!$A$1:$I$89,5,0)</f>
        <v>227.13599999999985</v>
      </c>
      <c r="CA151" s="13">
        <f t="shared" si="147"/>
        <v>55.662966886685133</v>
      </c>
      <c r="CB151" s="20">
        <f t="shared" si="118"/>
        <v>492.5415339943097</v>
      </c>
      <c r="CC151" s="59">
        <f t="shared" si="119"/>
        <v>778.9980303198214</v>
      </c>
      <c r="CD151" s="59">
        <f ca="1">AVERAGE(OFFSET($CC$3,0,0,'Données projet'!$E$12+1,1))-AVERAGE(OFFSET($H$3,0,0,'Données projet'!$E$12+1,1))</f>
        <v>411.67183422518411</v>
      </c>
      <c r="CE151" s="59">
        <f t="shared" si="148"/>
        <v>379.16642539721556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14.594974638206208</v>
      </c>
      <c r="CL151" s="21">
        <f>EXP(-LN(2)/25)*CL150+(1-EXP(-LN(2)/25))/(LN(2)/25)*Calculateur!CG151*Calculateur!CI151*VLOOKUP('Données projet'!$B$12,Paramètres!$A$1:$I$89,3,0)*0.475*44/12</f>
        <v>3.5518581643664797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18.146832802572689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-7.3896444519050419E-13</v>
      </c>
      <c r="O152" s="13">
        <f>N152*VLOOKUP('Données projet'!$B$9,Paramètres!$A$1:$I$89,3,0)*VLOOKUP('Données projet'!$B$9,Paramètres!$A$1:$I$89,5,0)</f>
        <v>-3.4583536034915594E-13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307.52968058891554</v>
      </c>
      <c r="T152" s="59">
        <f t="shared" si="142"/>
        <v>221.27527189662558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65.517677769669405</v>
      </c>
      <c r="AA152" s="21">
        <f>EXP(-LN(2)/25)*AA151+(1-EXP(-LN(2)/25))/(LN(2)/25)*Calculateur!V152*Calculateur!X152*VLOOKUP('Données projet'!$B$9,Paramètres!$A$1:$I$89,3,0)*0.475*44/12</f>
        <v>10.79921532373543</v>
      </c>
      <c r="AB152" s="21">
        <f>EXP(-LN(2)/2)*AB151+(1-EXP(-LN(2)/2))/(LN(2)/2)*V152*Y152*VLOOKUP('Données projet'!$B$9,Paramètres!$A$1:$I$89,3,0)*0.475*44/12</f>
        <v>1.3130485451004176E-6</v>
      </c>
      <c r="AC152" s="22">
        <f t="shared" si="111"/>
        <v>76.316894406453372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377.63545575155672</v>
      </c>
      <c r="AO152" s="59">
        <f t="shared" si="144"/>
        <v>339.1731538522788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1.7053025658242404E-13</v>
      </c>
      <c r="BE152" s="13">
        <f>BD152*VLOOKUP('Données projet'!$B$11,Paramètres!$A$1:$I$89,3,0)*VLOOKUP('Données projet'!$B$11,Paramètres!$A$1:$I$89,5,0)</f>
        <v>1.383341441396624E-13</v>
      </c>
      <c r="BF152" s="13">
        <f t="shared" si="145"/>
        <v>2.0011390722884082E-12</v>
      </c>
      <c r="BG152" s="20">
        <f t="shared" si="115"/>
        <v>3.7262491852788889E-12</v>
      </c>
      <c r="BH152" s="59">
        <f t="shared" si="116"/>
        <v>286.57579407329683</v>
      </c>
      <c r="BI152" s="59">
        <f ca="1">AVERAGE(OFFSET($BH$3,0,0,'Données projet'!$E$11+1,1))-AVERAGE(OFFSET($H$3,0,0,'Données projet'!$E$11+1,1))</f>
        <v>318.98630351938459</v>
      </c>
      <c r="BJ152" s="59">
        <f t="shared" si="146"/>
        <v>312.22190035638084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21.329131832592122</v>
      </c>
      <c r="BQ152" s="21">
        <f>EXP(-LN(2)/25)*BQ151+(1-EXP(-LN(2)/25))/(LN(2)/25)*Calculateur!BL152*Calculateur!BN152*VLOOKUP('Données projet'!$B$11,Paramètres!$A$1:$I$89,3,0)*0.475*44/12</f>
        <v>9.5145858998185204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30.843717732410642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259.99999999999983</v>
      </c>
      <c r="BZ152" s="13">
        <f>BY152*VLOOKUP('Données projet'!$B$12,Paramètres!$A$1:$I$89,3,0)*VLOOKUP('Données projet'!$B$12,Paramètres!$A$1:$I$89,5,0)</f>
        <v>227.13599999999985</v>
      </c>
      <c r="CA152" s="13">
        <f t="shared" si="147"/>
        <v>55.662966886685133</v>
      </c>
      <c r="CB152" s="20">
        <f t="shared" si="118"/>
        <v>492.5415339943097</v>
      </c>
      <c r="CC152" s="59">
        <f t="shared" si="119"/>
        <v>779.11732806760278</v>
      </c>
      <c r="CD152" s="59">
        <f ca="1">AVERAGE(OFFSET($CC$3,0,0,'Données projet'!$E$12+1,1))-AVERAGE(OFFSET($H$3,0,0,'Données projet'!$E$12+1,1))</f>
        <v>411.67183422518411</v>
      </c>
      <c r="CE152" s="59">
        <f t="shared" si="148"/>
        <v>379.16642539721556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14.308776087606509</v>
      </c>
      <c r="CL152" s="21">
        <f>EXP(-LN(2)/25)*CL151+(1-EXP(-LN(2)/25))/(LN(2)/25)*Calculateur!CG152*Calculateur!CI152*VLOOKUP('Données projet'!$B$12,Paramètres!$A$1:$I$89,3,0)*0.475*44/12</f>
        <v>3.4547324160777753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17.763508503684285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-7.3896444519050419E-13</v>
      </c>
      <c r="O153" s="13">
        <f>N153*VLOOKUP('Données projet'!$B$9,Paramètres!$A$1:$I$89,3,0)*VLOOKUP('Données projet'!$B$9,Paramètres!$A$1:$I$89,5,0)</f>
        <v>-3.4583536034915594E-13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307.52968058891554</v>
      </c>
      <c r="T153" s="59">
        <f t="shared" si="142"/>
        <v>221.27527189662558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64.232916070443721</v>
      </c>
      <c r="AA153" s="21">
        <f>EXP(-LN(2)/25)*AA152+(1-EXP(-LN(2)/25))/(LN(2)/25)*Calculateur!V153*Calculateur!X153*VLOOKUP('Données projet'!$B$9,Paramètres!$A$1:$I$89,3,0)*0.475*44/12</f>
        <v>10.503910212801832</v>
      </c>
      <c r="AB153" s="21">
        <f>EXP(-LN(2)/2)*AB152+(1-EXP(-LN(2)/2))/(LN(2)/2)*V153*Y153*VLOOKUP('Données projet'!$B$9,Paramètres!$A$1:$I$89,3,0)*0.475*44/12</f>
        <v>9.2846553026763561E-7</v>
      </c>
      <c r="AC153" s="22">
        <f t="shared" si="111"/>
        <v>74.736827211711073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377.63545575155672</v>
      </c>
      <c r="AO153" s="59">
        <f t="shared" si="144"/>
        <v>339.1731538522788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1.7053025658242404E-13</v>
      </c>
      <c r="BE153" s="13">
        <f>BD153*VLOOKUP('Données projet'!$B$11,Paramètres!$A$1:$I$89,3,0)*VLOOKUP('Données projet'!$B$11,Paramètres!$A$1:$I$89,5,0)</f>
        <v>1.383341441396624E-13</v>
      </c>
      <c r="BF153" s="13">
        <f t="shared" si="145"/>
        <v>2.0011390722884082E-12</v>
      </c>
      <c r="BG153" s="20">
        <f t="shared" si="115"/>
        <v>3.7262491852788889E-12</v>
      </c>
      <c r="BH153" s="59">
        <f t="shared" si="116"/>
        <v>286.69302227186409</v>
      </c>
      <c r="BI153" s="59">
        <f ca="1">AVERAGE(OFFSET($BH$3,0,0,'Données projet'!$E$11+1,1))-AVERAGE(OFFSET($H$3,0,0,'Données projet'!$E$11+1,1))</f>
        <v>318.98630351938459</v>
      </c>
      <c r="BJ153" s="59">
        <f t="shared" si="146"/>
        <v>312.22190035638084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20.910880566840827</v>
      </c>
      <c r="BQ153" s="21">
        <f>EXP(-LN(2)/25)*BQ152+(1-EXP(-LN(2)/25))/(LN(2)/25)*Calculateur!BL153*Calculateur!BN153*VLOOKUP('Données projet'!$B$11,Paramètres!$A$1:$I$89,3,0)*0.475*44/12</f>
        <v>9.2544090480376564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30.165289614878482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259.99999999999983</v>
      </c>
      <c r="BZ153" s="13">
        <f>BY153*VLOOKUP('Données projet'!$B$12,Paramètres!$A$1:$I$89,3,0)*VLOOKUP('Données projet'!$B$12,Paramètres!$A$1:$I$89,5,0)</f>
        <v>227.13599999999985</v>
      </c>
      <c r="CA153" s="13">
        <f t="shared" si="147"/>
        <v>55.662966886685133</v>
      </c>
      <c r="CB153" s="20">
        <f t="shared" si="118"/>
        <v>492.5415339943097</v>
      </c>
      <c r="CC153" s="59">
        <f t="shared" si="119"/>
        <v>779.2345562661701</v>
      </c>
      <c r="CD153" s="59">
        <f ca="1">AVERAGE(OFFSET($CC$3,0,0,'Données projet'!$E$12+1,1))-AVERAGE(OFFSET($H$3,0,0,'Données projet'!$E$12+1,1))</f>
        <v>411.67183422518411</v>
      </c>
      <c r="CE153" s="59">
        <f t="shared" si="148"/>
        <v>379.16642539721556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14.02818971602019</v>
      </c>
      <c r="CL153" s="21">
        <f>EXP(-LN(2)/25)*CL152+(1-EXP(-LN(2)/25))/(LN(2)/25)*Calculateur!CG153*Calculateur!CI153*VLOOKUP('Données projet'!$B$12,Paramètres!$A$1:$I$89,3,0)*0.475*44/12</f>
        <v>3.3602625764836467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17.388452292503835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-7.3896444519050419E-13</v>
      </c>
      <c r="O154" s="13">
        <f>N154*VLOOKUP('Données projet'!$B$9,Paramètres!$A$1:$I$89,3,0)*VLOOKUP('Données projet'!$B$9,Paramètres!$A$1:$I$89,5,0)</f>
        <v>-3.4583536034915594E-13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307.52968058891554</v>
      </c>
      <c r="T154" s="59">
        <f t="shared" si="142"/>
        <v>221.27527189662558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62.973347764512596</v>
      </c>
      <c r="AA154" s="21">
        <f>EXP(-LN(2)/25)*AA153+(1-EXP(-LN(2)/25))/(LN(2)/25)*Calculateur!V154*Calculateur!X154*VLOOKUP('Données projet'!$B$9,Paramètres!$A$1:$I$89,3,0)*0.475*44/12</f>
        <v>10.216680235656135</v>
      </c>
      <c r="AB154" s="21">
        <f>EXP(-LN(2)/2)*AB153+(1-EXP(-LN(2)/2))/(LN(2)/2)*V154*Y154*VLOOKUP('Données projet'!$B$9,Paramètres!$A$1:$I$89,3,0)*0.475*44/12</f>
        <v>6.5652427255020882E-7</v>
      </c>
      <c r="AC154" s="22">
        <f t="shared" ref="AC154:AC203" si="163">SUM(Z154:AB154)</f>
        <v>73.190028656693002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377.63545575155672</v>
      </c>
      <c r="AO154" s="59">
        <f t="shared" si="144"/>
        <v>339.1731538522788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1.7053025658242404E-13</v>
      </c>
      <c r="BE154" s="13">
        <f>BD154*VLOOKUP('Données projet'!$B$11,Paramètres!$A$1:$I$89,3,0)*VLOOKUP('Données projet'!$B$11,Paramètres!$A$1:$I$89,5,0)</f>
        <v>1.383341441396624E-13</v>
      </c>
      <c r="BF154" s="13">
        <f t="shared" ref="BF154:BF203" si="167">EXP(-1.0587+0.8836*LN(BE154)+0.284)</f>
        <v>2.0011390722884082E-12</v>
      </c>
      <c r="BG154" s="20">
        <f t="shared" ref="BG154:BG203" si="168">(BE154+BF154)*0.475*44/12</f>
        <v>3.7262491852788889E-12</v>
      </c>
      <c r="BH154" s="59">
        <f t="shared" si="116"/>
        <v>286.80821682326911</v>
      </c>
      <c r="BI154" s="59">
        <f ca="1">AVERAGE(OFFSET($BH$3,0,0,'Données projet'!$E$11+1,1))-AVERAGE(OFFSET($H$3,0,0,'Données projet'!$E$11+1,1))</f>
        <v>318.98630351938459</v>
      </c>
      <c r="BJ154" s="59">
        <f t="shared" si="146"/>
        <v>312.22190035638084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20.500830953302835</v>
      </c>
      <c r="BQ154" s="21">
        <f>EXP(-LN(2)/25)*BQ153+(1-EXP(-LN(2)/25))/(LN(2)/25)*Calculateur!BL154*Calculateur!BN154*VLOOKUP('Données projet'!$B$11,Paramètres!$A$1:$I$89,3,0)*0.475*44/12</f>
        <v>9.0013467459508458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29.502177699253679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259.99999999999983</v>
      </c>
      <c r="BZ154" s="13">
        <f>BY154*VLOOKUP('Données projet'!$B$12,Paramètres!$A$1:$I$89,3,0)*VLOOKUP('Données projet'!$B$12,Paramètres!$A$1:$I$89,5,0)</f>
        <v>227.13599999999985</v>
      </c>
      <c r="CA154" s="13">
        <f t="shared" ref="CA154:CA203" si="170">EXP(-1.0587+0.8836*LN(BZ154)+0.284)</f>
        <v>55.662966886685133</v>
      </c>
      <c r="CB154" s="20">
        <f t="shared" ref="CB154:CB203" si="171">(BZ154+CA154)*0.475*44/12</f>
        <v>492.5415339943097</v>
      </c>
      <c r="CC154" s="59">
        <f t="shared" si="119"/>
        <v>779.34975081757511</v>
      </c>
      <c r="CD154" s="59">
        <f ca="1">AVERAGE(OFFSET($CC$3,0,0,'Données projet'!$E$12+1,1))-AVERAGE(OFFSET($H$3,0,0,'Données projet'!$E$12+1,1))</f>
        <v>411.67183422518411</v>
      </c>
      <c r="CE154" s="59">
        <f t="shared" si="148"/>
        <v>379.16642539721556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13.753105472039891</v>
      </c>
      <c r="CL154" s="21">
        <f>EXP(-LN(2)/25)*CL153+(1-EXP(-LN(2)/25))/(LN(2)/25)*Calculateur!CG154*Calculateur!CI154*VLOOKUP('Données projet'!$B$12,Paramètres!$A$1:$I$89,3,0)*0.475*44/12</f>
        <v>3.2683760196211726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17.021481491661064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-7.3896444519050419E-13</v>
      </c>
      <c r="O155" s="13">
        <f>N155*VLOOKUP('Données projet'!$B$9,Paramètres!$A$1:$I$89,3,0)*VLOOKUP('Données projet'!$B$9,Paramètres!$A$1:$I$89,5,0)</f>
        <v>-3.4583536034915594E-13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307.52968058891554</v>
      </c>
      <c r="T155" s="59">
        <f t="shared" si="142"/>
        <v>221.27527189662558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61.738478824799969</v>
      </c>
      <c r="AA155" s="21">
        <f>EXP(-LN(2)/25)*AA154+(1-EXP(-LN(2)/25))/(LN(2)/25)*Calculateur!V155*Calculateur!X155*VLOOKUP('Données projet'!$B$9,Paramètres!$A$1:$I$89,3,0)*0.475*44/12</f>
        <v>9.9373045773402549</v>
      </c>
      <c r="AB155" s="21">
        <f>EXP(-LN(2)/2)*AB154+(1-EXP(-LN(2)/2))/(LN(2)/2)*V155*Y155*VLOOKUP('Données projet'!$B$9,Paramètres!$A$1:$I$89,3,0)*0.475*44/12</f>
        <v>4.6423276513381781E-7</v>
      </c>
      <c r="AC155" s="22">
        <f t="shared" si="163"/>
        <v>71.675783866372996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377.63545575155672</v>
      </c>
      <c r="AO155" s="59">
        <f t="shared" si="144"/>
        <v>339.1731538522788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1.7053025658242404E-13</v>
      </c>
      <c r="BE155" s="13">
        <f>BD155*VLOOKUP('Données projet'!$B$11,Paramètres!$A$1:$I$89,3,0)*VLOOKUP('Données projet'!$B$11,Paramètres!$A$1:$I$89,5,0)</f>
        <v>1.383341441396624E-13</v>
      </c>
      <c r="BF155" s="13">
        <f t="shared" si="167"/>
        <v>2.0011390722884082E-12</v>
      </c>
      <c r="BG155" s="20">
        <f t="shared" si="168"/>
        <v>3.7262491852788889E-12</v>
      </c>
      <c r="BH155" s="59">
        <f t="shared" si="116"/>
        <v>286.92141300674365</v>
      </c>
      <c r="BI155" s="59">
        <f ca="1">AVERAGE(OFFSET($BH$3,0,0,'Données projet'!$E$11+1,1))-AVERAGE(OFFSET($H$3,0,0,'Données projet'!$E$11+1,1))</f>
        <v>318.98630351938459</v>
      </c>
      <c r="BJ155" s="59">
        <f t="shared" si="146"/>
        <v>312.22190035638084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20.098822162580753</v>
      </c>
      <c r="BQ155" s="21">
        <f>EXP(-LN(2)/25)*BQ154+(1-EXP(-LN(2)/25))/(LN(2)/25)*Calculateur!BL155*Calculateur!BN155*VLOOKUP('Données projet'!$B$11,Paramètres!$A$1:$I$89,3,0)*0.475*44/12</f>
        <v>8.7552044458225673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28.85402660840332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259.99999999999983</v>
      </c>
      <c r="BZ155" s="13">
        <f>BY155*VLOOKUP('Données projet'!$B$12,Paramètres!$A$1:$I$89,3,0)*VLOOKUP('Données projet'!$B$12,Paramètres!$A$1:$I$89,5,0)</f>
        <v>227.13599999999985</v>
      </c>
      <c r="CA155" s="13">
        <f t="shared" si="170"/>
        <v>55.662966886685133</v>
      </c>
      <c r="CB155" s="20">
        <f t="shared" si="171"/>
        <v>492.5415339943097</v>
      </c>
      <c r="CC155" s="59">
        <f t="shared" si="119"/>
        <v>779.46294700104954</v>
      </c>
      <c r="CD155" s="59">
        <f ca="1">AVERAGE(OFFSET($CC$3,0,0,'Données projet'!$E$12+1,1))-AVERAGE(OFFSET($H$3,0,0,'Données projet'!$E$12+1,1))</f>
        <v>411.67183422518411</v>
      </c>
      <c r="CE155" s="59">
        <f t="shared" si="148"/>
        <v>379.16642539721556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13.483415462299225</v>
      </c>
      <c r="CL155" s="21">
        <f>EXP(-LN(2)/25)*CL154+(1-EXP(-LN(2)/25))/(LN(2)/25)*Calculateur!CG155*Calculateur!CI155*VLOOKUP('Données projet'!$B$12,Paramètres!$A$1:$I$89,3,0)*0.475*44/12</f>
        <v>3.1790021054882067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16.662417567787433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-7.3896444519050419E-13</v>
      </c>
      <c r="O156" s="13">
        <f>N156*VLOOKUP('Données projet'!$B$9,Paramètres!$A$1:$I$89,3,0)*VLOOKUP('Données projet'!$B$9,Paramètres!$A$1:$I$89,5,0)</f>
        <v>-3.4583536034915594E-13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307.52968058891554</v>
      </c>
      <c r="T156" s="59">
        <f t="shared" si="142"/>
        <v>221.27527189662558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60.527824911799428</v>
      </c>
      <c r="AA156" s="21">
        <f>EXP(-LN(2)/25)*AA155+(1-EXP(-LN(2)/25))/(LN(2)/25)*Calculateur!V156*Calculateur!X156*VLOOKUP('Données projet'!$B$9,Paramètres!$A$1:$I$89,3,0)*0.475*44/12</f>
        <v>9.6655684610927501</v>
      </c>
      <c r="AB156" s="21">
        <f>EXP(-LN(2)/2)*AB155+(1-EXP(-LN(2)/2))/(LN(2)/2)*V156*Y156*VLOOKUP('Données projet'!$B$9,Paramètres!$A$1:$I$89,3,0)*0.475*44/12</f>
        <v>3.2826213627510441E-7</v>
      </c>
      <c r="AC156" s="22">
        <f t="shared" si="163"/>
        <v>70.193393701154307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377.63545575155672</v>
      </c>
      <c r="AO156" s="59">
        <f t="shared" si="144"/>
        <v>339.1731538522788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1.7053025658242404E-13</v>
      </c>
      <c r="BE156" s="13">
        <f>BD156*VLOOKUP('Données projet'!$B$11,Paramètres!$A$1:$I$89,3,0)*VLOOKUP('Données projet'!$B$11,Paramètres!$A$1:$I$89,5,0)</f>
        <v>1.383341441396624E-13</v>
      </c>
      <c r="BF156" s="13">
        <f t="shared" si="167"/>
        <v>2.0011390722884082E-12</v>
      </c>
      <c r="BG156" s="20">
        <f t="shared" si="168"/>
        <v>3.7262491852788889E-12</v>
      </c>
      <c r="BH156" s="59">
        <f t="shared" si="116"/>
        <v>287.03264548950375</v>
      </c>
      <c r="BI156" s="59">
        <f ca="1">AVERAGE(OFFSET($BH$3,0,0,'Données projet'!$E$11+1,1))-AVERAGE(OFFSET($H$3,0,0,'Données projet'!$E$11+1,1))</f>
        <v>318.98630351938459</v>
      </c>
      <c r="BJ156" s="59">
        <f t="shared" si="146"/>
        <v>312.22190035638084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19.70469651904358</v>
      </c>
      <c r="BQ156" s="21">
        <f>EXP(-LN(2)/25)*BQ155+(1-EXP(-LN(2)/25))/(LN(2)/25)*Calculateur!BL156*Calculateur!BN156*VLOOKUP('Données projet'!$B$11,Paramètres!$A$1:$I$89,3,0)*0.475*44/12</f>
        <v>8.5157929198353575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28.220489438878936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259.99999999999983</v>
      </c>
      <c r="BZ156" s="13">
        <f>BY156*VLOOKUP('Données projet'!$B$12,Paramètres!$A$1:$I$89,3,0)*VLOOKUP('Données projet'!$B$12,Paramètres!$A$1:$I$89,5,0)</f>
        <v>227.13599999999985</v>
      </c>
      <c r="CA156" s="13">
        <f t="shared" si="170"/>
        <v>55.662966886685133</v>
      </c>
      <c r="CB156" s="20">
        <f t="shared" si="171"/>
        <v>492.5415339943097</v>
      </c>
      <c r="CC156" s="59">
        <f t="shared" si="119"/>
        <v>779.57417948380976</v>
      </c>
      <c r="CD156" s="59">
        <f ca="1">AVERAGE(OFFSET($CC$3,0,0,'Données projet'!$E$12+1,1))-AVERAGE(OFFSET($H$3,0,0,'Données projet'!$E$12+1,1))</f>
        <v>411.67183422518411</v>
      </c>
      <c r="CE156" s="59">
        <f t="shared" si="148"/>
        <v>379.16642539721556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13.21901390915491</v>
      </c>
      <c r="CL156" s="21">
        <f>EXP(-LN(2)/25)*CL155+(1-EXP(-LN(2)/25))/(LN(2)/25)*Calculateur!CG156*Calculateur!CI156*VLOOKUP('Données projet'!$B$12,Paramètres!$A$1:$I$89,3,0)*0.475*44/12</f>
        <v>3.0920721257371766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16.311086034892085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-7.3896444519050419E-13</v>
      </c>
      <c r="O157" s="13">
        <f>N157*VLOOKUP('Données projet'!$B$9,Paramètres!$A$1:$I$89,3,0)*VLOOKUP('Données projet'!$B$9,Paramètres!$A$1:$I$89,5,0)</f>
        <v>-3.4583536034915594E-13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307.52968058891554</v>
      </c>
      <c r="T157" s="59">
        <f t="shared" si="142"/>
        <v>221.27527189662558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59.340911183606856</v>
      </c>
      <c r="AA157" s="21">
        <f>EXP(-LN(2)/25)*AA156+(1-EXP(-LN(2)/25))/(LN(2)/25)*Calculateur!V157*Calculateur!X157*VLOOKUP('Données projet'!$B$9,Paramètres!$A$1:$I$89,3,0)*0.475*44/12</f>
        <v>9.4012629832340142</v>
      </c>
      <c r="AB157" s="21">
        <f>EXP(-LN(2)/2)*AB156+(1-EXP(-LN(2)/2))/(LN(2)/2)*V157*Y157*VLOOKUP('Données projet'!$B$9,Paramètres!$A$1:$I$89,3,0)*0.475*44/12</f>
        <v>2.321163825669089E-7</v>
      </c>
      <c r="AC157" s="22">
        <f t="shared" si="163"/>
        <v>68.742174398957246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377.63545575155672</v>
      </c>
      <c r="AO157" s="59">
        <f t="shared" si="144"/>
        <v>339.1731538522788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1.7053025658242404E-13</v>
      </c>
      <c r="BE157" s="13">
        <f>BD157*VLOOKUP('Données projet'!$B$11,Paramètres!$A$1:$I$89,3,0)*VLOOKUP('Données projet'!$B$11,Paramètres!$A$1:$I$89,5,0)</f>
        <v>1.383341441396624E-13</v>
      </c>
      <c r="BF157" s="13">
        <f t="shared" si="167"/>
        <v>2.0011390722884082E-12</v>
      </c>
      <c r="BG157" s="20">
        <f t="shared" si="168"/>
        <v>3.7262491852788889E-12</v>
      </c>
      <c r="BH157" s="59">
        <f t="shared" si="116"/>
        <v>287.1419483373665</v>
      </c>
      <c r="BI157" s="59">
        <f ca="1">AVERAGE(OFFSET($BH$3,0,0,'Données projet'!$E$11+1,1))-AVERAGE(OFFSET($H$3,0,0,'Données projet'!$E$11+1,1))</f>
        <v>318.98630351938459</v>
      </c>
      <c r="BJ157" s="59">
        <f t="shared" si="146"/>
        <v>312.22190035638084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19.318299438983267</v>
      </c>
      <c r="BQ157" s="21">
        <f>EXP(-LN(2)/25)*BQ156+(1-EXP(-LN(2)/25))/(LN(2)/25)*Calculateur!BL157*Calculateur!BN157*VLOOKUP('Données projet'!$B$11,Paramètres!$A$1:$I$89,3,0)*0.475*44/12</f>
        <v>8.2829281146163733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27.601227553599642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259.99999999999983</v>
      </c>
      <c r="BZ157" s="13">
        <f>BY157*VLOOKUP('Données projet'!$B$12,Paramètres!$A$1:$I$89,3,0)*VLOOKUP('Données projet'!$B$12,Paramètres!$A$1:$I$89,5,0)</f>
        <v>227.13599999999985</v>
      </c>
      <c r="CA157" s="13">
        <f t="shared" si="170"/>
        <v>55.662966886685133</v>
      </c>
      <c r="CB157" s="20">
        <f t="shared" si="171"/>
        <v>492.5415339943097</v>
      </c>
      <c r="CC157" s="59">
        <f t="shared" si="119"/>
        <v>779.68348233167239</v>
      </c>
      <c r="CD157" s="59">
        <f ca="1">AVERAGE(OFFSET($CC$3,0,0,'Données projet'!$E$12+1,1))-AVERAGE(OFFSET($H$3,0,0,'Données projet'!$E$12+1,1))</f>
        <v>411.67183422518411</v>
      </c>
      <c r="CE157" s="59">
        <f t="shared" si="148"/>
        <v>379.16642539721556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12.959797109198732</v>
      </c>
      <c r="CL157" s="21">
        <f>EXP(-LN(2)/25)*CL156+(1-EXP(-LN(2)/25))/(LN(2)/25)*Calculateur!CG157*Calculateur!CI157*VLOOKUP('Données projet'!$B$12,Paramètres!$A$1:$I$89,3,0)*0.475*44/12</f>
        <v>3.0075192508538873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15.967316360052619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-7.3896444519050419E-13</v>
      </c>
      <c r="O158" s="13">
        <f>N158*VLOOKUP('Données projet'!$B$9,Paramètres!$A$1:$I$89,3,0)*VLOOKUP('Données projet'!$B$9,Paramètres!$A$1:$I$89,5,0)</f>
        <v>-3.4583536034915594E-13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307.52968058891554</v>
      </c>
      <c r="T158" s="59">
        <f t="shared" si="142"/>
        <v>221.27527189662558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58.177272109678249</v>
      </c>
      <c r="AA158" s="21">
        <f>EXP(-LN(2)/25)*AA157+(1-EXP(-LN(2)/25))/(LN(2)/25)*Calculateur!V158*Calculateur!X158*VLOOKUP('Données projet'!$B$9,Paramètres!$A$1:$I$89,3,0)*0.475*44/12</f>
        <v>9.1441849525665475</v>
      </c>
      <c r="AB158" s="21">
        <f>EXP(-LN(2)/2)*AB157+(1-EXP(-LN(2)/2))/(LN(2)/2)*V158*Y158*VLOOKUP('Données projet'!$B$9,Paramètres!$A$1:$I$89,3,0)*0.475*44/12</f>
        <v>1.6413106813755221E-7</v>
      </c>
      <c r="AC158" s="22">
        <f t="shared" si="163"/>
        <v>67.32145722637587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377.63545575155672</v>
      </c>
      <c r="AO158" s="59">
        <f t="shared" si="144"/>
        <v>339.1731538522788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1.7053025658242404E-13</v>
      </c>
      <c r="BE158" s="13">
        <f>BD158*VLOOKUP('Données projet'!$B$11,Paramètres!$A$1:$I$89,3,0)*VLOOKUP('Données projet'!$B$11,Paramètres!$A$1:$I$89,5,0)</f>
        <v>1.383341441396624E-13</v>
      </c>
      <c r="BF158" s="13">
        <f t="shared" si="167"/>
        <v>2.0011390722884082E-12</v>
      </c>
      <c r="BG158" s="20">
        <f t="shared" si="168"/>
        <v>3.7262491852788889E-12</v>
      </c>
      <c r="BH158" s="59">
        <f t="shared" si="116"/>
        <v>287.24935502518343</v>
      </c>
      <c r="BI158" s="59">
        <f ca="1">AVERAGE(OFFSET($BH$3,0,0,'Données projet'!$E$11+1,1))-AVERAGE(OFFSET($H$3,0,0,'Données projet'!$E$11+1,1))</f>
        <v>318.98630351938459</v>
      </c>
      <c r="BJ158" s="59">
        <f t="shared" si="146"/>
        <v>312.22190035638084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18.939479369983989</v>
      </c>
      <c r="BQ158" s="21">
        <f>EXP(-LN(2)/25)*BQ157+(1-EXP(-LN(2)/25))/(LN(2)/25)*Calculateur!BL158*Calculateur!BN158*VLOOKUP('Données projet'!$B$11,Paramètres!$A$1:$I$89,3,0)*0.475*44/12</f>
        <v>8.0564310097419298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26.99591037972592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259.99999999999983</v>
      </c>
      <c r="BZ158" s="13">
        <f>BY158*VLOOKUP('Données projet'!$B$12,Paramètres!$A$1:$I$89,3,0)*VLOOKUP('Données projet'!$B$12,Paramètres!$A$1:$I$89,5,0)</f>
        <v>227.13599999999985</v>
      </c>
      <c r="CA158" s="13">
        <f t="shared" si="170"/>
        <v>55.662966886685133</v>
      </c>
      <c r="CB158" s="20">
        <f t="shared" si="171"/>
        <v>492.5415339943097</v>
      </c>
      <c r="CC158" s="59">
        <f t="shared" si="119"/>
        <v>779.79088901948944</v>
      </c>
      <c r="CD158" s="59">
        <f ca="1">AVERAGE(OFFSET($CC$3,0,0,'Données projet'!$E$12+1,1))-AVERAGE(OFFSET($H$3,0,0,'Données projet'!$E$12+1,1))</f>
        <v>411.67183422518411</v>
      </c>
      <c r="CE158" s="59">
        <f t="shared" si="148"/>
        <v>379.16642539721556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12.705663392583057</v>
      </c>
      <c r="CL158" s="21">
        <f>EXP(-LN(2)/25)*CL157+(1-EXP(-LN(2)/25))/(LN(2)/25)*Calculateur!CG158*Calculateur!CI158*VLOOKUP('Données projet'!$B$12,Paramètres!$A$1:$I$89,3,0)*0.475*44/12</f>
        <v>2.925278478780724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15.630941871363781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-7.3896444519050419E-13</v>
      </c>
      <c r="O159" s="13">
        <f>N159*VLOOKUP('Données projet'!$B$9,Paramètres!$A$1:$I$89,3,0)*VLOOKUP('Données projet'!$B$9,Paramètres!$A$1:$I$89,5,0)</f>
        <v>-3.4583536034915594E-13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307.52968058891554</v>
      </c>
      <c r="T159" s="59">
        <f t="shared" si="142"/>
        <v>221.27527189662558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57.036451288239626</v>
      </c>
      <c r="AA159" s="21">
        <f>EXP(-LN(2)/25)*AA158+(1-EXP(-LN(2)/25))/(LN(2)/25)*Calculateur!V159*Calculateur!X159*VLOOKUP('Données projet'!$B$9,Paramètres!$A$1:$I$89,3,0)*0.475*44/12</f>
        <v>8.8941367341668283</v>
      </c>
      <c r="AB159" s="21">
        <f>EXP(-LN(2)/2)*AB158+(1-EXP(-LN(2)/2))/(LN(2)/2)*V159*Y159*VLOOKUP('Données projet'!$B$9,Paramètres!$A$1:$I$89,3,0)*0.475*44/12</f>
        <v>1.1605819128345445E-7</v>
      </c>
      <c r="AC159" s="22">
        <f t="shared" si="163"/>
        <v>65.930588138464643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377.63545575155672</v>
      </c>
      <c r="AO159" s="59">
        <f t="shared" si="144"/>
        <v>339.1731538522788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1.7053025658242404E-13</v>
      </c>
      <c r="BE159" s="13">
        <f>BD159*VLOOKUP('Données projet'!$B$11,Paramètres!$A$1:$I$89,3,0)*VLOOKUP('Données projet'!$B$11,Paramètres!$A$1:$I$89,5,0)</f>
        <v>1.383341441396624E-13</v>
      </c>
      <c r="BF159" s="13">
        <f t="shared" si="167"/>
        <v>2.0011390722884082E-12</v>
      </c>
      <c r="BG159" s="20">
        <f t="shared" si="168"/>
        <v>3.7262491852788889E-12</v>
      </c>
      <c r="BH159" s="59">
        <f t="shared" si="116"/>
        <v>287.35489844709207</v>
      </c>
      <c r="BI159" s="59">
        <f ca="1">AVERAGE(OFFSET($BH$3,0,0,'Données projet'!$E$11+1,1))-AVERAGE(OFFSET($H$3,0,0,'Données projet'!$E$11+1,1))</f>
        <v>318.98630351938459</v>
      </c>
      <c r="BJ159" s="59">
        <f t="shared" si="146"/>
        <v>312.22190035638084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18.568087731480357</v>
      </c>
      <c r="BQ159" s="21">
        <f>EXP(-LN(2)/25)*BQ158+(1-EXP(-LN(2)/25))/(LN(2)/25)*Calculateur!BL159*Calculateur!BN159*VLOOKUP('Données projet'!$B$11,Paramètres!$A$1:$I$89,3,0)*0.475*44/12</f>
        <v>7.8361274801112435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26.404215211591602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259.99999999999983</v>
      </c>
      <c r="BZ159" s="13">
        <f>BY159*VLOOKUP('Données projet'!$B$12,Paramètres!$A$1:$I$89,3,0)*VLOOKUP('Données projet'!$B$12,Paramètres!$A$1:$I$89,5,0)</f>
        <v>227.13599999999985</v>
      </c>
      <c r="CA159" s="13">
        <f t="shared" si="170"/>
        <v>55.662966886685133</v>
      </c>
      <c r="CB159" s="20">
        <f t="shared" si="171"/>
        <v>492.5415339943097</v>
      </c>
      <c r="CC159" s="59">
        <f t="shared" si="119"/>
        <v>779.89643244139802</v>
      </c>
      <c r="CD159" s="59">
        <f ca="1">AVERAGE(OFFSET($CC$3,0,0,'Données projet'!$E$12+1,1))-AVERAGE(OFFSET($H$3,0,0,'Données projet'!$E$12+1,1))</f>
        <v>411.67183422518411</v>
      </c>
      <c r="CE159" s="59">
        <f t="shared" si="148"/>
        <v>379.16642539721556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12.456513083143955</v>
      </c>
      <c r="CL159" s="21">
        <f>EXP(-LN(2)/25)*CL158+(1-EXP(-LN(2)/25))/(LN(2)/25)*Calculateur!CG159*Calculateur!CI159*VLOOKUP('Données projet'!$B$12,Paramètres!$A$1:$I$89,3,0)*0.475*44/12</f>
        <v>2.8452865849447555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15.301799668088711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-7.3896444519050419E-13</v>
      </c>
      <c r="O160" s="13">
        <f>N160*VLOOKUP('Données projet'!$B$9,Paramètres!$A$1:$I$89,3,0)*VLOOKUP('Données projet'!$B$9,Paramètres!$A$1:$I$89,5,0)</f>
        <v>-3.4583536034915594E-13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307.52968058891554</v>
      </c>
      <c r="T160" s="59">
        <f t="shared" si="142"/>
        <v>221.27527189662558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55.918001267277425</v>
      </c>
      <c r="AA160" s="21">
        <f>EXP(-LN(2)/25)*AA159+(1-EXP(-LN(2)/25))/(LN(2)/25)*Calculateur!V160*Calculateur!X160*VLOOKUP('Données projet'!$B$9,Paramètres!$A$1:$I$89,3,0)*0.475*44/12</f>
        <v>8.6509260974487141</v>
      </c>
      <c r="AB160" s="21">
        <f>EXP(-LN(2)/2)*AB159+(1-EXP(-LN(2)/2))/(LN(2)/2)*V160*Y160*VLOOKUP('Données projet'!$B$9,Paramètres!$A$1:$I$89,3,0)*0.475*44/12</f>
        <v>8.2065534068776103E-8</v>
      </c>
      <c r="AC160" s="22">
        <f t="shared" si="163"/>
        <v>64.568927446791676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377.63545575155672</v>
      </c>
      <c r="AO160" s="59">
        <f t="shared" si="144"/>
        <v>339.1731538522788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1.7053025658242404E-13</v>
      </c>
      <c r="BE160" s="13">
        <f>BD160*VLOOKUP('Données projet'!$B$11,Paramètres!$A$1:$I$89,3,0)*VLOOKUP('Données projet'!$B$11,Paramètres!$A$1:$I$89,5,0)</f>
        <v>1.383341441396624E-13</v>
      </c>
      <c r="BF160" s="13">
        <f t="shared" si="167"/>
        <v>2.0011390722884082E-12</v>
      </c>
      <c r="BG160" s="20">
        <f t="shared" si="168"/>
        <v>3.7262491852788889E-12</v>
      </c>
      <c r="BH160" s="59">
        <f t="shared" si="116"/>
        <v>287.45861092659032</v>
      </c>
      <c r="BI160" s="59">
        <f ca="1">AVERAGE(OFFSET($BH$3,0,0,'Données projet'!$E$11+1,1))-AVERAGE(OFFSET($H$3,0,0,'Données projet'!$E$11+1,1))</f>
        <v>318.98630351938459</v>
      </c>
      <c r="BJ160" s="59">
        <f t="shared" si="146"/>
        <v>312.22190035638084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18.203978856481253</v>
      </c>
      <c r="BQ160" s="21">
        <f>EXP(-LN(2)/25)*BQ159+(1-EXP(-LN(2)/25))/(LN(2)/25)*Calculateur!BL160*Calculateur!BN160*VLOOKUP('Données projet'!$B$11,Paramètres!$A$1:$I$89,3,0)*0.475*44/12</f>
        <v>7.621848162083567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25.825827018564819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259.99999999999983</v>
      </c>
      <c r="BZ160" s="13">
        <f>BY160*VLOOKUP('Données projet'!$B$12,Paramètres!$A$1:$I$89,3,0)*VLOOKUP('Données projet'!$B$12,Paramètres!$A$1:$I$89,5,0)</f>
        <v>227.13599999999985</v>
      </c>
      <c r="CA160" s="13">
        <f t="shared" si="170"/>
        <v>55.662966886685133</v>
      </c>
      <c r="CB160" s="20">
        <f t="shared" si="171"/>
        <v>492.5415339943097</v>
      </c>
      <c r="CC160" s="59">
        <f t="shared" si="119"/>
        <v>780.00014492089622</v>
      </c>
      <c r="CD160" s="59">
        <f ca="1">AVERAGE(OFFSET($CC$3,0,0,'Données projet'!$E$12+1,1))-AVERAGE(OFFSET($H$3,0,0,'Données projet'!$E$12+1,1))</f>
        <v>411.67183422518411</v>
      </c>
      <c r="CE160" s="59">
        <f t="shared" si="148"/>
        <v>379.16642539721556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12.21224845930627</v>
      </c>
      <c r="CL160" s="21">
        <f>EXP(-LN(2)/25)*CL159+(1-EXP(-LN(2)/25))/(LN(2)/25)*Calculateur!CG160*Calculateur!CI160*VLOOKUP('Données projet'!$B$12,Paramètres!$A$1:$I$89,3,0)*0.475*44/12</f>
        <v>2.7674820736523227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14.979730532958593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-7.3896444519050419E-13</v>
      </c>
      <c r="O161" s="13">
        <f>N161*VLOOKUP('Données projet'!$B$9,Paramètres!$A$1:$I$89,3,0)*VLOOKUP('Données projet'!$B$9,Paramètres!$A$1:$I$89,5,0)</f>
        <v>-3.4583536034915594E-13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307.52968058891554</v>
      </c>
      <c r="T161" s="59">
        <f t="shared" si="142"/>
        <v>221.27527189662558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54.821483369039143</v>
      </c>
      <c r="AA161" s="21">
        <f>EXP(-LN(2)/25)*AA160+(1-EXP(-LN(2)/25))/(LN(2)/25)*Calculateur!V161*Calculateur!X161*VLOOKUP('Données projet'!$B$9,Paramètres!$A$1:$I$89,3,0)*0.475*44/12</f>
        <v>8.4143660683815469</v>
      </c>
      <c r="AB161" s="21">
        <f>EXP(-LN(2)/2)*AB160+(1-EXP(-LN(2)/2))/(LN(2)/2)*V161*Y161*VLOOKUP('Données projet'!$B$9,Paramètres!$A$1:$I$89,3,0)*0.475*44/12</f>
        <v>5.8029095641727226E-8</v>
      </c>
      <c r="AC161" s="22">
        <f t="shared" si="163"/>
        <v>63.235849495449784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377.63545575155672</v>
      </c>
      <c r="AO161" s="59">
        <f t="shared" si="144"/>
        <v>339.1731538522788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1.7053025658242404E-13</v>
      </c>
      <c r="BE161" s="13">
        <f>BD161*VLOOKUP('Données projet'!$B$11,Paramètres!$A$1:$I$89,3,0)*VLOOKUP('Données projet'!$B$11,Paramètres!$A$1:$I$89,5,0)</f>
        <v>1.383341441396624E-13</v>
      </c>
      <c r="BF161" s="13">
        <f t="shared" si="167"/>
        <v>2.0011390722884082E-12</v>
      </c>
      <c r="BG161" s="20">
        <f t="shared" si="168"/>
        <v>3.7262491852788889E-12</v>
      </c>
      <c r="BH161" s="59">
        <f t="shared" si="116"/>
        <v>287.56052422643575</v>
      </c>
      <c r="BI161" s="59">
        <f ca="1">AVERAGE(OFFSET($BH$3,0,0,'Données projet'!$E$11+1,1))-AVERAGE(OFFSET($H$3,0,0,'Données projet'!$E$11+1,1))</f>
        <v>318.98630351938459</v>
      </c>
      <c r="BJ161" s="59">
        <f t="shared" si="146"/>
        <v>312.22190035638084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17.847009934436397</v>
      </c>
      <c r="BQ161" s="21">
        <f>EXP(-LN(2)/25)*BQ160+(1-EXP(-LN(2)/25))/(LN(2)/25)*Calculateur!BL161*Calculateur!BN161*VLOOKUP('Données projet'!$B$11,Paramètres!$A$1:$I$89,3,0)*0.475*44/12</f>
        <v>7.4134283232758174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25.260438257712213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259.99999999999983</v>
      </c>
      <c r="BZ161" s="13">
        <f>BY161*VLOOKUP('Données projet'!$B$12,Paramètres!$A$1:$I$89,3,0)*VLOOKUP('Données projet'!$B$12,Paramètres!$A$1:$I$89,5,0)</f>
        <v>227.13599999999985</v>
      </c>
      <c r="CA161" s="13">
        <f t="shared" si="170"/>
        <v>55.662966886685133</v>
      </c>
      <c r="CB161" s="20">
        <f t="shared" si="171"/>
        <v>492.5415339943097</v>
      </c>
      <c r="CC161" s="59">
        <f t="shared" si="119"/>
        <v>780.1020582207417</v>
      </c>
      <c r="CD161" s="59">
        <f ca="1">AVERAGE(OFFSET($CC$3,0,0,'Données projet'!$E$12+1,1))-AVERAGE(OFFSET($H$3,0,0,'Données projet'!$E$12+1,1))</f>
        <v>411.67183422518411</v>
      </c>
      <c r="CE161" s="59">
        <f t="shared" si="148"/>
        <v>379.16642539721556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11.972773715755332</v>
      </c>
      <c r="CL161" s="21">
        <f>EXP(-LN(2)/25)*CL160+(1-EXP(-LN(2)/25))/(LN(2)/25)*Calculateur!CG161*Calculateur!CI161*VLOOKUP('Données projet'!$B$12,Paramètres!$A$1:$I$89,3,0)*0.475*44/12</f>
        <v>2.6918051308127429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14.664578846568075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-7.3896444519050419E-13</v>
      </c>
      <c r="O162" s="13">
        <f>N162*VLOOKUP('Données projet'!$B$9,Paramètres!$A$1:$I$89,3,0)*VLOOKUP('Données projet'!$B$9,Paramètres!$A$1:$I$89,5,0)</f>
        <v>-3.4583536034915594E-13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307.52968058891554</v>
      </c>
      <c r="T162" s="59">
        <f t="shared" si="142"/>
        <v>221.27527189662558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53.746467517975432</v>
      </c>
      <c r="AA162" s="21">
        <f>EXP(-LN(2)/25)*AA161+(1-EXP(-LN(2)/25))/(LN(2)/25)*Calculateur!V162*Calculateur!X162*VLOOKUP('Données projet'!$B$9,Paramètres!$A$1:$I$89,3,0)*0.475*44/12</f>
        <v>8.1842747857493734</v>
      </c>
      <c r="AB162" s="21">
        <f>EXP(-LN(2)/2)*AB161+(1-EXP(-LN(2)/2))/(LN(2)/2)*V162*Y162*VLOOKUP('Données projet'!$B$9,Paramètres!$A$1:$I$89,3,0)*0.475*44/12</f>
        <v>4.1032767034388051E-8</v>
      </c>
      <c r="AC162" s="22">
        <f t="shared" si="163"/>
        <v>61.930742344757576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377.63545575155672</v>
      </c>
      <c r="AO162" s="59">
        <f t="shared" si="144"/>
        <v>339.1731538522788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1.7053025658242404E-13</v>
      </c>
      <c r="BE162" s="13">
        <f>BD162*VLOOKUP('Données projet'!$B$11,Paramètres!$A$1:$I$89,3,0)*VLOOKUP('Données projet'!$B$11,Paramètres!$A$1:$I$89,5,0)</f>
        <v>1.383341441396624E-13</v>
      </c>
      <c r="BF162" s="13">
        <f t="shared" si="167"/>
        <v>2.0011390722884082E-12</v>
      </c>
      <c r="BG162" s="20">
        <f t="shared" si="168"/>
        <v>3.7262491852788889E-12</v>
      </c>
      <c r="BH162" s="59">
        <f t="shared" si="116"/>
        <v>287.66066955837272</v>
      </c>
      <c r="BI162" s="59">
        <f ca="1">AVERAGE(OFFSET($BH$3,0,0,'Données projet'!$E$11+1,1))-AVERAGE(OFFSET($H$3,0,0,'Données projet'!$E$11+1,1))</f>
        <v>318.98630351938459</v>
      </c>
      <c r="BJ162" s="59">
        <f t="shared" si="146"/>
        <v>312.22190035638084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17.497040955223294</v>
      </c>
      <c r="BQ162" s="21">
        <f>EXP(-LN(2)/25)*BQ161+(1-EXP(-LN(2)/25))/(LN(2)/25)*Calculateur!BL162*Calculateur!BN162*VLOOKUP('Données projet'!$B$11,Paramètres!$A$1:$I$89,3,0)*0.475*44/12</f>
        <v>7.2107077359205887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24.707748691143884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259.99999999999983</v>
      </c>
      <c r="BZ162" s="13">
        <f>BY162*VLOOKUP('Données projet'!$B$12,Paramètres!$A$1:$I$89,3,0)*VLOOKUP('Données projet'!$B$12,Paramètres!$A$1:$I$89,5,0)</f>
        <v>227.13599999999985</v>
      </c>
      <c r="CA162" s="13">
        <f t="shared" si="170"/>
        <v>55.662966886685133</v>
      </c>
      <c r="CB162" s="20">
        <f t="shared" si="171"/>
        <v>492.5415339943097</v>
      </c>
      <c r="CC162" s="59">
        <f t="shared" si="119"/>
        <v>780.20220355267861</v>
      </c>
      <c r="CD162" s="59">
        <f ca="1">AVERAGE(OFFSET($CC$3,0,0,'Données projet'!$E$12+1,1))-AVERAGE(OFFSET($H$3,0,0,'Données projet'!$E$12+1,1))</f>
        <v>411.67183422518411</v>
      </c>
      <c r="CE162" s="59">
        <f t="shared" si="148"/>
        <v>379.16642539721556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11.737994925860258</v>
      </c>
      <c r="CL162" s="21">
        <f>EXP(-LN(2)/25)*CL161+(1-EXP(-LN(2)/25))/(LN(2)/25)*Calculateur!CG162*Calculateur!CI162*VLOOKUP('Données projet'!$B$12,Paramètres!$A$1:$I$89,3,0)*0.475*44/12</f>
        <v>2.6181975779547888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14.356192503815047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-7.3896444519050419E-13</v>
      </c>
      <c r="O163" s="13">
        <f>N163*VLOOKUP('Données projet'!$B$9,Paramètres!$A$1:$I$89,3,0)*VLOOKUP('Données projet'!$B$9,Paramètres!$A$1:$I$89,5,0)</f>
        <v>-3.4583536034915594E-13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307.52968058891554</v>
      </c>
      <c r="T163" s="59">
        <f t="shared" si="142"/>
        <v>221.27527189662558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52.692532072056153</v>
      </c>
      <c r="AA163" s="21">
        <f>EXP(-LN(2)/25)*AA162+(1-EXP(-LN(2)/25))/(LN(2)/25)*Calculateur!V163*Calculateur!X163*VLOOKUP('Données projet'!$B$9,Paramètres!$A$1:$I$89,3,0)*0.475*44/12</f>
        <v>7.9604753613407508</v>
      </c>
      <c r="AB163" s="21">
        <f>EXP(-LN(2)/2)*AB162+(1-EXP(-LN(2)/2))/(LN(2)/2)*V163*Y163*VLOOKUP('Données projet'!$B$9,Paramètres!$A$1:$I$89,3,0)*0.475*44/12</f>
        <v>2.9014547820863613E-8</v>
      </c>
      <c r="AC163" s="22">
        <f t="shared" si="163"/>
        <v>60.653007462411452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377.63545575155672</v>
      </c>
      <c r="AO163" s="59">
        <f t="shared" si="144"/>
        <v>339.1731538522788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1.7053025658242404E-13</v>
      </c>
      <c r="BE163" s="13">
        <f>BD163*VLOOKUP('Données projet'!$B$11,Paramètres!$A$1:$I$89,3,0)*VLOOKUP('Données projet'!$B$11,Paramètres!$A$1:$I$89,5,0)</f>
        <v>1.383341441396624E-13</v>
      </c>
      <c r="BF163" s="13">
        <f t="shared" si="167"/>
        <v>2.0011390722884082E-12</v>
      </c>
      <c r="BG163" s="20">
        <f t="shared" si="168"/>
        <v>3.7262491852788889E-12</v>
      </c>
      <c r="BH163" s="59">
        <f t="shared" si="116"/>
        <v>287.75907759269211</v>
      </c>
      <c r="BI163" s="59">
        <f ca="1">AVERAGE(OFFSET($BH$3,0,0,'Données projet'!$E$11+1,1))-AVERAGE(OFFSET($H$3,0,0,'Données projet'!$E$11+1,1))</f>
        <v>318.98630351938459</v>
      </c>
      <c r="BJ163" s="59">
        <f t="shared" si="146"/>
        <v>312.22190035638084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17.153934654232561</v>
      </c>
      <c r="BQ163" s="21">
        <f>EXP(-LN(2)/25)*BQ162+(1-EXP(-LN(2)/25))/(LN(2)/25)*Calculateur!BL163*Calculateur!BN163*VLOOKUP('Données projet'!$B$11,Paramètres!$A$1:$I$89,3,0)*0.475*44/12</f>
        <v>7.0135305536872004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24.167465207919761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259.99999999999983</v>
      </c>
      <c r="BZ163" s="13">
        <f>BY163*VLOOKUP('Données projet'!$B$12,Paramètres!$A$1:$I$89,3,0)*VLOOKUP('Données projet'!$B$12,Paramètres!$A$1:$I$89,5,0)</f>
        <v>227.13599999999985</v>
      </c>
      <c r="CA163" s="13">
        <f t="shared" si="170"/>
        <v>55.662966886685133</v>
      </c>
      <c r="CB163" s="20">
        <f t="shared" si="171"/>
        <v>492.5415339943097</v>
      </c>
      <c r="CC163" s="59">
        <f t="shared" si="119"/>
        <v>780.300611586998</v>
      </c>
      <c r="CD163" s="59">
        <f ca="1">AVERAGE(OFFSET($CC$3,0,0,'Données projet'!$E$12+1,1))-AVERAGE(OFFSET($H$3,0,0,'Données projet'!$E$12+1,1))</f>
        <v>411.67183422518411</v>
      </c>
      <c r="CE163" s="59">
        <f t="shared" si="148"/>
        <v>379.16642539721556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11.507820004834105</v>
      </c>
      <c r="CL163" s="21">
        <f>EXP(-LN(2)/25)*CL162+(1-EXP(-LN(2)/25))/(LN(2)/25)*Calculateur!CG163*Calculateur!CI163*VLOOKUP('Données projet'!$B$12,Paramètres!$A$1:$I$89,3,0)*0.475*44/12</f>
        <v>2.5466028275005885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14.054422832334694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-7.3896444519050419E-13</v>
      </c>
      <c r="O164" s="13">
        <f>N164*VLOOKUP('Données projet'!$B$9,Paramètres!$A$1:$I$89,3,0)*VLOOKUP('Données projet'!$B$9,Paramètres!$A$1:$I$89,5,0)</f>
        <v>-3.4583536034915594E-13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307.52968058891554</v>
      </c>
      <c r="T164" s="59">
        <f t="shared" si="142"/>
        <v>221.27527189662558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51.659263657394206</v>
      </c>
      <c r="AA164" s="21">
        <f>EXP(-LN(2)/25)*AA163+(1-EXP(-LN(2)/25))/(LN(2)/25)*Calculateur!V164*Calculateur!X164*VLOOKUP('Données projet'!$B$9,Paramètres!$A$1:$I$89,3,0)*0.475*44/12</f>
        <v>7.7427957439616826</v>
      </c>
      <c r="AB164" s="21">
        <f>EXP(-LN(2)/2)*AB163+(1-EXP(-LN(2)/2))/(LN(2)/2)*V164*Y164*VLOOKUP('Données projet'!$B$9,Paramètres!$A$1:$I$89,3,0)*0.475*44/12</f>
        <v>2.0516383517194026E-8</v>
      </c>
      <c r="AC164" s="22">
        <f t="shared" si="163"/>
        <v>59.402059421872266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377.63545575155672</v>
      </c>
      <c r="AO164" s="59">
        <f t="shared" si="144"/>
        <v>339.1731538522788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1.7053025658242404E-13</v>
      </c>
      <c r="BE164" s="13">
        <f>BD164*VLOOKUP('Données projet'!$B$11,Paramètres!$A$1:$I$89,3,0)*VLOOKUP('Données projet'!$B$11,Paramètres!$A$1:$I$89,5,0)</f>
        <v>1.383341441396624E-13</v>
      </c>
      <c r="BF164" s="13">
        <f t="shared" si="167"/>
        <v>2.0011390722884082E-12</v>
      </c>
      <c r="BG164" s="20">
        <f t="shared" si="168"/>
        <v>3.7262491852788889E-12</v>
      </c>
      <c r="BH164" s="59">
        <f t="shared" si="116"/>
        <v>287.85577846762345</v>
      </c>
      <c r="BI164" s="59">
        <f ca="1">AVERAGE(OFFSET($BH$3,0,0,'Données projet'!$E$11+1,1))-AVERAGE(OFFSET($H$3,0,0,'Données projet'!$E$11+1,1))</f>
        <v>318.98630351938459</v>
      </c>
      <c r="BJ164" s="59">
        <f t="shared" si="146"/>
        <v>312.22190035638084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16.817556458530078</v>
      </c>
      <c r="BQ164" s="21">
        <f>EXP(-LN(2)/25)*BQ163+(1-EXP(-LN(2)/25))/(LN(2)/25)*Calculateur!BL164*Calculateur!BN164*VLOOKUP('Données projet'!$B$11,Paramètres!$A$1:$I$89,3,0)*0.475*44/12</f>
        <v>6.8217451918710816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23.639301650401158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259.99999999999983</v>
      </c>
      <c r="BZ164" s="13">
        <f>BY164*VLOOKUP('Données projet'!$B$12,Paramètres!$A$1:$I$89,3,0)*VLOOKUP('Données projet'!$B$12,Paramètres!$A$1:$I$89,5,0)</f>
        <v>227.13599999999985</v>
      </c>
      <c r="CA164" s="13">
        <f t="shared" si="170"/>
        <v>55.662966886685133</v>
      </c>
      <c r="CB164" s="20">
        <f t="shared" si="171"/>
        <v>492.5415339943097</v>
      </c>
      <c r="CC164" s="59">
        <f t="shared" si="119"/>
        <v>780.39731246192946</v>
      </c>
      <c r="CD164" s="59">
        <f ca="1">AVERAGE(OFFSET($CC$3,0,0,'Données projet'!$E$12+1,1))-AVERAGE(OFFSET($H$3,0,0,'Données projet'!$E$12+1,1))</f>
        <v>411.67183422518411</v>
      </c>
      <c r="CE164" s="59">
        <f t="shared" si="148"/>
        <v>379.16642539721556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11.282158673616435</v>
      </c>
      <c r="CL164" s="21">
        <f>EXP(-LN(2)/25)*CL163+(1-EXP(-LN(2)/25))/(LN(2)/25)*Calculateur!CG164*Calculateur!CI164*VLOOKUP('Données projet'!$B$12,Paramètres!$A$1:$I$89,3,0)*0.475*44/12</f>
        <v>2.4769658392625624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13.759124512878998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-7.3896444519050419E-13</v>
      </c>
      <c r="O165" s="13">
        <f>N165*VLOOKUP('Données projet'!$B$9,Paramètres!$A$1:$I$89,3,0)*VLOOKUP('Données projet'!$B$9,Paramètres!$A$1:$I$89,5,0)</f>
        <v>-3.4583536034915594E-13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307.52968058891554</v>
      </c>
      <c r="T165" s="59">
        <f t="shared" si="142"/>
        <v>221.27527189662558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50.646257006112279</v>
      </c>
      <c r="AA165" s="21">
        <f>EXP(-LN(2)/25)*AA164+(1-EXP(-LN(2)/25))/(LN(2)/25)*Calculateur!V165*Calculateur!X165*VLOOKUP('Données projet'!$B$9,Paramètres!$A$1:$I$89,3,0)*0.475*44/12</f>
        <v>7.5310685871671188</v>
      </c>
      <c r="AB165" s="21">
        <f>EXP(-LN(2)/2)*AB164+(1-EXP(-LN(2)/2))/(LN(2)/2)*V165*Y165*VLOOKUP('Données projet'!$B$9,Paramètres!$A$1:$I$89,3,0)*0.475*44/12</f>
        <v>1.4507273910431806E-8</v>
      </c>
      <c r="AC165" s="22">
        <f t="shared" si="163"/>
        <v>58.177325607786671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377.63545575155672</v>
      </c>
      <c r="AO165" s="59">
        <f t="shared" si="144"/>
        <v>339.1731538522788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1.7053025658242404E-13</v>
      </c>
      <c r="BE165" s="13">
        <f>BD165*VLOOKUP('Données projet'!$B$11,Paramètres!$A$1:$I$89,3,0)*VLOOKUP('Données projet'!$B$11,Paramètres!$A$1:$I$89,5,0)</f>
        <v>1.383341441396624E-13</v>
      </c>
      <c r="BF165" s="13">
        <f t="shared" si="167"/>
        <v>2.0011390722884082E-12</v>
      </c>
      <c r="BG165" s="20">
        <f t="shared" si="168"/>
        <v>3.7262491852788889E-12</v>
      </c>
      <c r="BH165" s="59">
        <f t="shared" si="116"/>
        <v>287.95080179856546</v>
      </c>
      <c r="BI165" s="59">
        <f ca="1">AVERAGE(OFFSET($BH$3,0,0,'Données projet'!$E$11+1,1))-AVERAGE(OFFSET($H$3,0,0,'Données projet'!$E$11+1,1))</f>
        <v>318.98630351938459</v>
      </c>
      <c r="BJ165" s="59">
        <f t="shared" si="146"/>
        <v>312.22190035638084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16.487774434074879</v>
      </c>
      <c r="BQ165" s="21">
        <f>EXP(-LN(2)/25)*BQ164+(1-EXP(-LN(2)/25))/(LN(2)/25)*Calculateur!BL165*Calculateur!BN165*VLOOKUP('Données projet'!$B$11,Paramètres!$A$1:$I$89,3,0)*0.475*44/12</f>
        <v>6.6352042108593787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23.122978644934257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259.99999999999983</v>
      </c>
      <c r="BZ165" s="13">
        <f>BY165*VLOOKUP('Données projet'!$B$12,Paramètres!$A$1:$I$89,3,0)*VLOOKUP('Données projet'!$B$12,Paramètres!$A$1:$I$89,5,0)</f>
        <v>227.13599999999985</v>
      </c>
      <c r="CA165" s="13">
        <f t="shared" si="170"/>
        <v>55.662966886685133</v>
      </c>
      <c r="CB165" s="20">
        <f t="shared" si="171"/>
        <v>492.5415339943097</v>
      </c>
      <c r="CC165" s="59">
        <f t="shared" si="119"/>
        <v>780.49233579287147</v>
      </c>
      <c r="CD165" s="59">
        <f ca="1">AVERAGE(OFFSET($CC$3,0,0,'Données projet'!$E$12+1,1))-AVERAGE(OFFSET($H$3,0,0,'Données projet'!$E$12+1,1))</f>
        <v>411.67183422518411</v>
      </c>
      <c r="CE165" s="59">
        <f t="shared" si="148"/>
        <v>379.16642539721556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11.060922423464122</v>
      </c>
      <c r="CL165" s="21">
        <f>EXP(-LN(2)/25)*CL164+(1-EXP(-LN(2)/25))/(LN(2)/25)*Calculateur!CG165*Calculateur!CI165*VLOOKUP('Données projet'!$B$12,Paramètres!$A$1:$I$89,3,0)*0.475*44/12</f>
        <v>2.4092330781299554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13.470155501594078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-7.3896444519050419E-13</v>
      </c>
      <c r="O166" s="13">
        <f>N166*VLOOKUP('Données projet'!$B$9,Paramètres!$A$1:$I$89,3,0)*VLOOKUP('Données projet'!$B$9,Paramètres!$A$1:$I$89,5,0)</f>
        <v>-3.4583536034915594E-13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307.52968058891554</v>
      </c>
      <c r="T166" s="59">
        <f t="shared" si="142"/>
        <v>221.27527189662558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49.653114797388945</v>
      </c>
      <c r="AA166" s="21">
        <f>EXP(-LN(2)/25)*AA165+(1-EXP(-LN(2)/25))/(LN(2)/25)*Calculateur!V166*Calculateur!X166*VLOOKUP('Données projet'!$B$9,Paramètres!$A$1:$I$89,3,0)*0.475*44/12</f>
        <v>7.325131120609349</v>
      </c>
      <c r="AB166" s="21">
        <f>EXP(-LN(2)/2)*AB165+(1-EXP(-LN(2)/2))/(LN(2)/2)*V166*Y166*VLOOKUP('Données projet'!$B$9,Paramètres!$A$1:$I$89,3,0)*0.475*44/12</f>
        <v>1.0258191758597013E-8</v>
      </c>
      <c r="AC166" s="22">
        <f t="shared" si="163"/>
        <v>56.978245928256484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377.63545575155672</v>
      </c>
      <c r="AO166" s="59">
        <f t="shared" si="144"/>
        <v>339.1731538522788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1.7053025658242404E-13</v>
      </c>
      <c r="BE166" s="13">
        <f>BD166*VLOOKUP('Données projet'!$B$11,Paramètres!$A$1:$I$89,3,0)*VLOOKUP('Données projet'!$B$11,Paramètres!$A$1:$I$89,5,0)</f>
        <v>1.383341441396624E-13</v>
      </c>
      <c r="BF166" s="13">
        <f t="shared" si="167"/>
        <v>2.0011390722884082E-12</v>
      </c>
      <c r="BG166" s="20">
        <f t="shared" si="168"/>
        <v>3.7262491852788889E-12</v>
      </c>
      <c r="BH166" s="59">
        <f t="shared" si="116"/>
        <v>288.04417668715598</v>
      </c>
      <c r="BI166" s="59">
        <f ca="1">AVERAGE(OFFSET($BH$3,0,0,'Données projet'!$E$11+1,1))-AVERAGE(OFFSET($H$3,0,0,'Données projet'!$E$11+1,1))</f>
        <v>318.98630351938459</v>
      </c>
      <c r="BJ166" s="59">
        <f t="shared" si="146"/>
        <v>312.22190035638084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16.164459233972075</v>
      </c>
      <c r="BQ166" s="21">
        <f>EXP(-LN(2)/25)*BQ165+(1-EXP(-LN(2)/25))/(LN(2)/25)*Calculateur!BL166*Calculateur!BN166*VLOOKUP('Données projet'!$B$11,Paramètres!$A$1:$I$89,3,0)*0.475*44/12</f>
        <v>6.453764202783205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22.618223436755279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259.99999999999983</v>
      </c>
      <c r="BZ166" s="13">
        <f>BY166*VLOOKUP('Données projet'!$B$12,Paramètres!$A$1:$I$89,3,0)*VLOOKUP('Données projet'!$B$12,Paramètres!$A$1:$I$89,5,0)</f>
        <v>227.13599999999985</v>
      </c>
      <c r="CA166" s="13">
        <f t="shared" si="170"/>
        <v>55.662966886685133</v>
      </c>
      <c r="CB166" s="20">
        <f t="shared" si="171"/>
        <v>492.5415339943097</v>
      </c>
      <c r="CC166" s="59">
        <f t="shared" si="119"/>
        <v>780.58571068146193</v>
      </c>
      <c r="CD166" s="59">
        <f ca="1">AVERAGE(OFFSET($CC$3,0,0,'Données projet'!$E$12+1,1))-AVERAGE(OFFSET($H$3,0,0,'Données projet'!$E$12+1,1))</f>
        <v>411.67183422518411</v>
      </c>
      <c r="CE166" s="59">
        <f t="shared" si="148"/>
        <v>379.16642539721556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10.844024481236508</v>
      </c>
      <c r="CL166" s="21">
        <f>EXP(-LN(2)/25)*CL165+(1-EXP(-LN(2)/25))/(LN(2)/25)*Calculateur!CG166*Calculateur!CI166*VLOOKUP('Données projet'!$B$12,Paramètres!$A$1:$I$89,3,0)*0.475*44/12</f>
        <v>2.3433524729124304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13.187376954148938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-7.3896444519050419E-13</v>
      </c>
      <c r="O167" s="13">
        <f>N167*VLOOKUP('Données projet'!$B$9,Paramètres!$A$1:$I$89,3,0)*VLOOKUP('Données projet'!$B$9,Paramètres!$A$1:$I$89,5,0)</f>
        <v>-3.4583536034915594E-13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307.52968058891554</v>
      </c>
      <c r="T167" s="59">
        <f t="shared" si="142"/>
        <v>221.27527189662558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48.679447501621738</v>
      </c>
      <c r="AA167" s="21">
        <f>EXP(-LN(2)/25)*AA166+(1-EXP(-LN(2)/25))/(LN(2)/25)*Calculateur!V167*Calculateur!X167*VLOOKUP('Données projet'!$B$9,Paramètres!$A$1:$I$89,3,0)*0.475*44/12</f>
        <v>7.124825024904383</v>
      </c>
      <c r="AB167" s="21">
        <f>EXP(-LN(2)/2)*AB166+(1-EXP(-LN(2)/2))/(LN(2)/2)*V167*Y167*VLOOKUP('Données projet'!$B$9,Paramètres!$A$1:$I$89,3,0)*0.475*44/12</f>
        <v>7.2536369552159032E-9</v>
      </c>
      <c r="AC167" s="22">
        <f t="shared" si="163"/>
        <v>55.804272533779759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377.63545575155672</v>
      </c>
      <c r="AO167" s="59">
        <f t="shared" si="144"/>
        <v>339.1731538522788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1.7053025658242404E-13</v>
      </c>
      <c r="BE167" s="13">
        <f>BD167*VLOOKUP('Données projet'!$B$11,Paramètres!$A$1:$I$89,3,0)*VLOOKUP('Données projet'!$B$11,Paramètres!$A$1:$I$89,5,0)</f>
        <v>1.383341441396624E-13</v>
      </c>
      <c r="BF167" s="13">
        <f t="shared" si="167"/>
        <v>2.0011390722884082E-12</v>
      </c>
      <c r="BG167" s="20">
        <f t="shared" si="168"/>
        <v>3.7262491852788889E-12</v>
      </c>
      <c r="BH167" s="59">
        <f t="shared" si="116"/>
        <v>288.13593173018444</v>
      </c>
      <c r="BI167" s="59">
        <f ca="1">AVERAGE(OFFSET($BH$3,0,0,'Données projet'!$E$11+1,1))-AVERAGE(OFFSET($H$3,0,0,'Données projet'!$E$11+1,1))</f>
        <v>318.98630351938459</v>
      </c>
      <c r="BJ167" s="59">
        <f t="shared" si="146"/>
        <v>312.22190035638084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15.847484047740485</v>
      </c>
      <c r="BQ167" s="21">
        <f>EXP(-LN(2)/25)*BQ166+(1-EXP(-LN(2)/25))/(LN(2)/25)*Calculateur!BL167*Calculateur!BN167*VLOOKUP('Données projet'!$B$11,Paramètres!$A$1:$I$89,3,0)*0.475*44/12</f>
        <v>6.2772856812693894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22.124769729009873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259.99999999999983</v>
      </c>
      <c r="BZ167" s="13">
        <f>BY167*VLOOKUP('Données projet'!$B$12,Paramètres!$A$1:$I$89,3,0)*VLOOKUP('Données projet'!$B$12,Paramètres!$A$1:$I$89,5,0)</f>
        <v>227.13599999999985</v>
      </c>
      <c r="CA167" s="13">
        <f t="shared" si="170"/>
        <v>55.662966886685133</v>
      </c>
      <c r="CB167" s="20">
        <f t="shared" si="171"/>
        <v>492.5415339943097</v>
      </c>
      <c r="CC167" s="59">
        <f t="shared" si="119"/>
        <v>780.67746572449039</v>
      </c>
      <c r="CD167" s="59">
        <f ca="1">AVERAGE(OFFSET($CC$3,0,0,'Données projet'!$E$12+1,1))-AVERAGE(OFFSET($H$3,0,0,'Données projet'!$E$12+1,1))</f>
        <v>411.67183422518411</v>
      </c>
      <c r="CE167" s="59">
        <f t="shared" si="148"/>
        <v>379.16642539721556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10.631379775361296</v>
      </c>
      <c r="CL167" s="21">
        <f>EXP(-LN(2)/25)*CL166+(1-EXP(-LN(2)/25))/(LN(2)/25)*Calculateur!CG167*Calculateur!CI167*VLOOKUP('Données projet'!$B$12,Paramètres!$A$1:$I$89,3,0)*0.475*44/12</f>
        <v>2.2792733763090891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12.910653151670385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-7.3896444519050419E-13</v>
      </c>
      <c r="O168" s="13">
        <f>N168*VLOOKUP('Données projet'!$B$9,Paramètres!$A$1:$I$89,3,0)*VLOOKUP('Données projet'!$B$9,Paramètres!$A$1:$I$89,5,0)</f>
        <v>-3.4583536034915594E-13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307.52968058891554</v>
      </c>
      <c r="T168" s="59">
        <f t="shared" si="142"/>
        <v>221.27527189662558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47.724873227646114</v>
      </c>
      <c r="AA168" s="21">
        <f>EXP(-LN(2)/25)*AA167+(1-EXP(-LN(2)/25))/(LN(2)/25)*Calculateur!V168*Calculateur!X168*VLOOKUP('Données projet'!$B$9,Paramètres!$A$1:$I$89,3,0)*0.475*44/12</f>
        <v>6.9299963099201083</v>
      </c>
      <c r="AB168" s="21">
        <f>EXP(-LN(2)/2)*AB167+(1-EXP(-LN(2)/2))/(LN(2)/2)*V168*Y168*VLOOKUP('Données projet'!$B$9,Paramètres!$A$1:$I$89,3,0)*0.475*44/12</f>
        <v>5.1290958792985064E-9</v>
      </c>
      <c r="AC168" s="22">
        <f t="shared" si="163"/>
        <v>54.654869542695316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377.63545575155672</v>
      </c>
      <c r="AO168" s="59">
        <f t="shared" si="144"/>
        <v>339.1731538522788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1.7053025658242404E-13</v>
      </c>
      <c r="BE168" s="13">
        <f>BD168*VLOOKUP('Données projet'!$B$11,Paramètres!$A$1:$I$89,3,0)*VLOOKUP('Données projet'!$B$11,Paramètres!$A$1:$I$89,5,0)</f>
        <v>1.383341441396624E-13</v>
      </c>
      <c r="BF168" s="13">
        <f t="shared" si="167"/>
        <v>2.0011390722884082E-12</v>
      </c>
      <c r="BG168" s="20">
        <f t="shared" si="168"/>
        <v>3.7262491852788889E-12</v>
      </c>
      <c r="BH168" s="59">
        <f t="shared" si="116"/>
        <v>288.2260950283499</v>
      </c>
      <c r="BI168" s="59">
        <f ca="1">AVERAGE(OFFSET($BH$3,0,0,'Données projet'!$E$11+1,1))-AVERAGE(OFFSET($H$3,0,0,'Données projet'!$E$11+1,1))</f>
        <v>318.98630351938459</v>
      </c>
      <c r="BJ168" s="59">
        <f t="shared" si="146"/>
        <v>312.22190035638084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15.536724551575125</v>
      </c>
      <c r="BQ168" s="21">
        <f>EXP(-LN(2)/25)*BQ167+(1-EXP(-LN(2)/25))/(LN(2)/25)*Calculateur!BL168*Calculateur!BN168*VLOOKUP('Données projet'!$B$11,Paramètres!$A$1:$I$89,3,0)*0.475*44/12</f>
        <v>6.105632974206971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21.642357525782096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259.99999999999983</v>
      </c>
      <c r="BZ168" s="13">
        <f>BY168*VLOOKUP('Données projet'!$B$12,Paramètres!$A$1:$I$89,3,0)*VLOOKUP('Données projet'!$B$12,Paramètres!$A$1:$I$89,5,0)</f>
        <v>227.13599999999985</v>
      </c>
      <c r="CA168" s="13">
        <f t="shared" si="170"/>
        <v>55.662966886685133</v>
      </c>
      <c r="CB168" s="20">
        <f t="shared" si="171"/>
        <v>492.5415339943097</v>
      </c>
      <c r="CC168" s="59">
        <f t="shared" si="119"/>
        <v>780.76762902265591</v>
      </c>
      <c r="CD168" s="59">
        <f ca="1">AVERAGE(OFFSET($CC$3,0,0,'Données projet'!$E$12+1,1))-AVERAGE(OFFSET($H$3,0,0,'Données projet'!$E$12+1,1))</f>
        <v>411.67183422518411</v>
      </c>
      <c r="CE168" s="59">
        <f t="shared" si="148"/>
        <v>379.16642539721556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10.422904902467833</v>
      </c>
      <c r="CL168" s="21">
        <f>EXP(-LN(2)/25)*CL167+(1-EXP(-LN(2)/25))/(LN(2)/25)*Calculateur!CG168*Calculateur!CI168*VLOOKUP('Données projet'!$B$12,Paramètres!$A$1:$I$89,3,0)*0.475*44/12</f>
        <v>2.2169465259721397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12.639851428439972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-7.3896444519050419E-13</v>
      </c>
      <c r="O169" s="13">
        <f>N169*VLOOKUP('Données projet'!$B$9,Paramètres!$A$1:$I$89,3,0)*VLOOKUP('Données projet'!$B$9,Paramètres!$A$1:$I$89,5,0)</f>
        <v>-3.4583536034915594E-13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307.52968058891554</v>
      </c>
      <c r="T169" s="59">
        <f t="shared" si="142"/>
        <v>221.27527189662558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46.789017572950335</v>
      </c>
      <c r="AA169" s="21">
        <f>EXP(-LN(2)/25)*AA168+(1-EXP(-LN(2)/25))/(LN(2)/25)*Calculateur!V169*Calculateur!X169*VLOOKUP('Données projet'!$B$9,Paramètres!$A$1:$I$89,3,0)*0.475*44/12</f>
        <v>6.7404951963926756</v>
      </c>
      <c r="AB169" s="21">
        <f>EXP(-LN(2)/2)*AB168+(1-EXP(-LN(2)/2))/(LN(2)/2)*V169*Y169*VLOOKUP('Données projet'!$B$9,Paramètres!$A$1:$I$89,3,0)*0.475*44/12</f>
        <v>3.6268184776079516E-9</v>
      </c>
      <c r="AC169" s="22">
        <f t="shared" si="163"/>
        <v>53.529512772969831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377.63545575155672</v>
      </c>
      <c r="AO169" s="59">
        <f t="shared" si="144"/>
        <v>339.1731538522788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1.7053025658242404E-13</v>
      </c>
      <c r="BE169" s="13">
        <f>BD169*VLOOKUP('Données projet'!$B$11,Paramètres!$A$1:$I$89,3,0)*VLOOKUP('Données projet'!$B$11,Paramètres!$A$1:$I$89,5,0)</f>
        <v>1.383341441396624E-13</v>
      </c>
      <c r="BF169" s="13">
        <f t="shared" si="167"/>
        <v>2.0011390722884082E-12</v>
      </c>
      <c r="BG169" s="20">
        <f t="shared" si="168"/>
        <v>3.7262491852788889E-12</v>
      </c>
      <c r="BH169" s="59">
        <f t="shared" si="116"/>
        <v>288.31469419486717</v>
      </c>
      <c r="BI169" s="59">
        <f ca="1">AVERAGE(OFFSET($BH$3,0,0,'Données projet'!$E$11+1,1))-AVERAGE(OFFSET($H$3,0,0,'Données projet'!$E$11+1,1))</f>
        <v>318.98630351938459</v>
      </c>
      <c r="BJ169" s="59">
        <f t="shared" si="146"/>
        <v>312.22190035638084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15.23205885958499</v>
      </c>
      <c r="BQ169" s="21">
        <f>EXP(-LN(2)/25)*BQ168+(1-EXP(-LN(2)/25))/(LN(2)/25)*Calculateur!BL169*Calculateur!BN169*VLOOKUP('Données projet'!$B$11,Paramètres!$A$1:$I$89,3,0)*0.475*44/12</f>
        <v>5.9386741194459978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21.170732979030987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259.99999999999983</v>
      </c>
      <c r="BZ169" s="13">
        <f>BY169*VLOOKUP('Données projet'!$B$12,Paramètres!$A$1:$I$89,3,0)*VLOOKUP('Données projet'!$B$12,Paramètres!$A$1:$I$89,5,0)</f>
        <v>227.13599999999985</v>
      </c>
      <c r="CA169" s="13">
        <f t="shared" si="170"/>
        <v>55.662966886685133</v>
      </c>
      <c r="CB169" s="20">
        <f t="shared" si="171"/>
        <v>492.5415339943097</v>
      </c>
      <c r="CC169" s="59">
        <f t="shared" si="119"/>
        <v>780.85622818917318</v>
      </c>
      <c r="CD169" s="59">
        <f ca="1">AVERAGE(OFFSET($CC$3,0,0,'Données projet'!$E$12+1,1))-AVERAGE(OFFSET($H$3,0,0,'Données projet'!$E$12+1,1))</f>
        <v>411.67183422518411</v>
      </c>
      <c r="CE169" s="59">
        <f t="shared" si="148"/>
        <v>379.16642539721556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10.218518094674694</v>
      </c>
      <c r="CL169" s="21">
        <f>EXP(-LN(2)/25)*CL168+(1-EXP(-LN(2)/25))/(LN(2)/25)*Calculateur!CG169*Calculateur!CI169*VLOOKUP('Données projet'!$B$12,Paramètres!$A$1:$I$89,3,0)*0.475*44/12</f>
        <v>2.1563240066352805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12.374842101309975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-7.3896444519050419E-13</v>
      </c>
      <c r="O170" s="13">
        <f>N170*VLOOKUP('Données projet'!$B$9,Paramètres!$A$1:$I$89,3,0)*VLOOKUP('Données projet'!$B$9,Paramètres!$A$1:$I$89,5,0)</f>
        <v>-3.4583536034915594E-13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307.52968058891554</v>
      </c>
      <c r="T170" s="59">
        <f t="shared" si="142"/>
        <v>221.27527189662558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45.871513476827559</v>
      </c>
      <c r="AA170" s="21">
        <f>EXP(-LN(2)/25)*AA169+(1-EXP(-LN(2)/25))/(LN(2)/25)*Calculateur!V170*Calculateur!X170*VLOOKUP('Données projet'!$B$9,Paramètres!$A$1:$I$89,3,0)*0.475*44/12</f>
        <v>6.5561760007800807</v>
      </c>
      <c r="AB170" s="21">
        <f>EXP(-LN(2)/2)*AB169+(1-EXP(-LN(2)/2))/(LN(2)/2)*V170*Y170*VLOOKUP('Données projet'!$B$9,Paramètres!$A$1:$I$89,3,0)*0.475*44/12</f>
        <v>2.5645479396492532E-9</v>
      </c>
      <c r="AC170" s="22">
        <f t="shared" si="163"/>
        <v>52.427689480172191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377.63545575155672</v>
      </c>
      <c r="AO170" s="59">
        <f t="shared" si="144"/>
        <v>339.1731538522788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1.7053025658242404E-13</v>
      </c>
      <c r="BE170" s="13">
        <f>BD170*VLOOKUP('Données projet'!$B$11,Paramètres!$A$1:$I$89,3,0)*VLOOKUP('Données projet'!$B$11,Paramètres!$A$1:$I$89,5,0)</f>
        <v>1.383341441396624E-13</v>
      </c>
      <c r="BF170" s="13">
        <f t="shared" si="167"/>
        <v>2.0011390722884082E-12</v>
      </c>
      <c r="BG170" s="20">
        <f t="shared" si="168"/>
        <v>3.7262491852788889E-12</v>
      </c>
      <c r="BH170" s="59">
        <f t="shared" si="116"/>
        <v>288.40175636392337</v>
      </c>
      <c r="BI170" s="59">
        <f ca="1">AVERAGE(OFFSET($BH$3,0,0,'Données projet'!$E$11+1,1))-AVERAGE(OFFSET($H$3,0,0,'Données projet'!$E$11+1,1))</f>
        <v>318.98630351938459</v>
      </c>
      <c r="BJ170" s="59">
        <f t="shared" si="146"/>
        <v>312.22190035638084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14.933367475987058</v>
      </c>
      <c r="BQ170" s="21">
        <f>EXP(-LN(2)/25)*BQ169+(1-EXP(-LN(2)/25))/(LN(2)/25)*Calculateur!BL170*Calculateur!BN170*VLOOKUP('Données projet'!$B$11,Paramètres!$A$1:$I$89,3,0)*0.475*44/12</f>
        <v>5.7762807633484483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20.709648239335507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259.99999999999983</v>
      </c>
      <c r="BZ170" s="13">
        <f>BY170*VLOOKUP('Données projet'!$B$12,Paramètres!$A$1:$I$89,3,0)*VLOOKUP('Données projet'!$B$12,Paramètres!$A$1:$I$89,5,0)</f>
        <v>227.13599999999985</v>
      </c>
      <c r="CA170" s="13">
        <f t="shared" si="170"/>
        <v>55.662966886685133</v>
      </c>
      <c r="CB170" s="20">
        <f t="shared" si="171"/>
        <v>492.5415339943097</v>
      </c>
      <c r="CC170" s="59">
        <f t="shared" si="119"/>
        <v>780.94329035822932</v>
      </c>
      <c r="CD170" s="59">
        <f ca="1">AVERAGE(OFFSET($CC$3,0,0,'Données projet'!$E$12+1,1))-AVERAGE(OFFSET($H$3,0,0,'Données projet'!$E$12+1,1))</f>
        <v>411.67183422518411</v>
      </c>
      <c r="CE170" s="59">
        <f t="shared" si="148"/>
        <v>379.16642539721556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10.018139187518734</v>
      </c>
      <c r="CL170" s="21">
        <f>EXP(-LN(2)/25)*CL169+(1-EXP(-LN(2)/25))/(LN(2)/25)*Calculateur!CG170*Calculateur!CI170*VLOOKUP('Données projet'!$B$12,Paramètres!$A$1:$I$89,3,0)*0.475*44/12</f>
        <v>2.0973592132776875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12.115498400796422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-7.3896444519050419E-13</v>
      </c>
      <c r="O171" s="13">
        <f>N171*VLOOKUP('Données projet'!$B$9,Paramètres!$A$1:$I$89,3,0)*VLOOKUP('Données projet'!$B$9,Paramètres!$A$1:$I$89,5,0)</f>
        <v>-3.4583536034915594E-13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307.52968058891554</v>
      </c>
      <c r="T171" s="59">
        <f t="shared" si="142"/>
        <v>221.27527189662558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44.972001076407508</v>
      </c>
      <c r="AA171" s="21">
        <f>EXP(-LN(2)/25)*AA170+(1-EXP(-LN(2)/25))/(LN(2)/25)*Calculateur!V171*Calculateur!X171*VLOOKUP('Données projet'!$B$9,Paramètres!$A$1:$I$89,3,0)*0.475*44/12</f>
        <v>6.376897023264438</v>
      </c>
      <c r="AB171" s="21">
        <f>EXP(-LN(2)/2)*AB170+(1-EXP(-LN(2)/2))/(LN(2)/2)*V171*Y171*VLOOKUP('Données projet'!$B$9,Paramètres!$A$1:$I$89,3,0)*0.475*44/12</f>
        <v>1.8134092388039758E-9</v>
      </c>
      <c r="AC171" s="22">
        <f t="shared" si="163"/>
        <v>51.348898101485361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377.63545575155672</v>
      </c>
      <c r="AO171" s="59">
        <f t="shared" si="144"/>
        <v>339.1731538522788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1.7053025658242404E-13</v>
      </c>
      <c r="BE171" s="13">
        <f>BD171*VLOOKUP('Données projet'!$B$11,Paramètres!$A$1:$I$89,3,0)*VLOOKUP('Données projet'!$B$11,Paramètres!$A$1:$I$89,5,0)</f>
        <v>1.383341441396624E-13</v>
      </c>
      <c r="BF171" s="13">
        <f t="shared" si="167"/>
        <v>2.0011390722884082E-12</v>
      </c>
      <c r="BG171" s="20">
        <f t="shared" si="168"/>
        <v>3.7262491852788889E-12</v>
      </c>
      <c r="BH171" s="59">
        <f t="shared" si="116"/>
        <v>288.48730819898827</v>
      </c>
      <c r="BI171" s="59">
        <f ca="1">AVERAGE(OFFSET($BH$3,0,0,'Données projet'!$E$11+1,1))-AVERAGE(OFFSET($H$3,0,0,'Données projet'!$E$11+1,1))</f>
        <v>318.98630351938459</v>
      </c>
      <c r="BJ171" s="59">
        <f t="shared" si="146"/>
        <v>312.22190035638084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14.640533248237727</v>
      </c>
      <c r="BQ171" s="21">
        <f>EXP(-LN(2)/25)*BQ170+(1-EXP(-LN(2)/25))/(LN(2)/25)*Calculateur!BL171*Calculateur!BN171*VLOOKUP('Données projet'!$B$11,Paramètres!$A$1:$I$89,3,0)*0.475*44/12</f>
        <v>5.6183280621132816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20.258861310351008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259.99999999999983</v>
      </c>
      <c r="BZ171" s="13">
        <f>BY171*VLOOKUP('Données projet'!$B$12,Paramètres!$A$1:$I$89,3,0)*VLOOKUP('Données projet'!$B$12,Paramètres!$A$1:$I$89,5,0)</f>
        <v>227.13599999999985</v>
      </c>
      <c r="CA171" s="13">
        <f t="shared" si="170"/>
        <v>55.662966886685133</v>
      </c>
      <c r="CB171" s="20">
        <f t="shared" si="171"/>
        <v>492.5415339943097</v>
      </c>
      <c r="CC171" s="59">
        <f t="shared" si="119"/>
        <v>781.02884219329417</v>
      </c>
      <c r="CD171" s="59">
        <f ca="1">AVERAGE(OFFSET($CC$3,0,0,'Données projet'!$E$12+1,1))-AVERAGE(OFFSET($H$3,0,0,'Données projet'!$E$12+1,1))</f>
        <v>411.67183422518411</v>
      </c>
      <c r="CE171" s="59">
        <f t="shared" si="148"/>
        <v>379.16642539721556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9.8216895885130384</v>
      </c>
      <c r="CL171" s="21">
        <f>EXP(-LN(2)/25)*CL170+(1-EXP(-LN(2)/25))/(LN(2)/25)*Calculateur!CG171*Calculateur!CI171*VLOOKUP('Données projet'!$B$12,Paramètres!$A$1:$I$89,3,0)*0.475*44/12</f>
        <v>2.0400068152952815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11.86169640380832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-7.3896444519050419E-13</v>
      </c>
      <c r="O172" s="13">
        <f>N172*VLOOKUP('Données projet'!$B$9,Paramètres!$A$1:$I$89,3,0)*VLOOKUP('Données projet'!$B$9,Paramètres!$A$1:$I$89,5,0)</f>
        <v>-3.4583536034915594E-13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307.52968058891554</v>
      </c>
      <c r="T172" s="59">
        <f t="shared" si="142"/>
        <v>221.27527189662558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44.090127565511303</v>
      </c>
      <c r="AA172" s="21">
        <f>EXP(-LN(2)/25)*AA171+(1-EXP(-LN(2)/25))/(LN(2)/25)*Calculateur!V172*Calculateur!X172*VLOOKUP('Données projet'!$B$9,Paramètres!$A$1:$I$89,3,0)*0.475*44/12</f>
        <v>6.2025204388168325</v>
      </c>
      <c r="AB172" s="21">
        <f>EXP(-LN(2)/2)*AB171+(1-EXP(-LN(2)/2))/(LN(2)/2)*V172*Y172*VLOOKUP('Données projet'!$B$9,Paramètres!$A$1:$I$89,3,0)*0.475*44/12</f>
        <v>1.2822739698246266E-9</v>
      </c>
      <c r="AC172" s="22">
        <f t="shared" si="163"/>
        <v>50.29264800561041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377.63545575155672</v>
      </c>
      <c r="AO172" s="59">
        <f t="shared" si="144"/>
        <v>339.1731538522788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1.7053025658242404E-13</v>
      </c>
      <c r="BE172" s="13">
        <f>BD172*VLOOKUP('Données projet'!$B$11,Paramètres!$A$1:$I$89,3,0)*VLOOKUP('Données projet'!$B$11,Paramètres!$A$1:$I$89,5,0)</f>
        <v>1.383341441396624E-13</v>
      </c>
      <c r="BF172" s="13">
        <f t="shared" si="167"/>
        <v>2.0011390722884082E-12</v>
      </c>
      <c r="BG172" s="20">
        <f t="shared" si="168"/>
        <v>3.7262491852788889E-12</v>
      </c>
      <c r="BH172" s="59">
        <f t="shared" si="116"/>
        <v>288.57137590098017</v>
      </c>
      <c r="BI172" s="59">
        <f ca="1">AVERAGE(OFFSET($BH$3,0,0,'Données projet'!$E$11+1,1))-AVERAGE(OFFSET($H$3,0,0,'Données projet'!$E$11+1,1))</f>
        <v>318.98630351938459</v>
      </c>
      <c r="BJ172" s="59">
        <f t="shared" si="146"/>
        <v>312.22190035638084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14.353441321083318</v>
      </c>
      <c r="BQ172" s="21">
        <f>EXP(-LN(2)/25)*BQ171+(1-EXP(-LN(2)/25))/(LN(2)/25)*Calculateur!BL172*Calculateur!BN172*VLOOKUP('Données projet'!$B$11,Paramètres!$A$1:$I$89,3,0)*0.475*44/12</f>
        <v>5.4646945857997622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19.818135906883079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259.99999999999983</v>
      </c>
      <c r="BZ172" s="13">
        <f>BY172*VLOOKUP('Données projet'!$B$12,Paramètres!$A$1:$I$89,3,0)*VLOOKUP('Données projet'!$B$12,Paramètres!$A$1:$I$89,5,0)</f>
        <v>227.13599999999985</v>
      </c>
      <c r="CA172" s="13">
        <f t="shared" si="170"/>
        <v>55.662966886685133</v>
      </c>
      <c r="CB172" s="20">
        <f t="shared" si="171"/>
        <v>492.5415339943097</v>
      </c>
      <c r="CC172" s="59">
        <f t="shared" si="119"/>
        <v>781.11290989528607</v>
      </c>
      <c r="CD172" s="59">
        <f ca="1">AVERAGE(OFFSET($CC$3,0,0,'Données projet'!$E$12+1,1))-AVERAGE(OFFSET($H$3,0,0,'Données projet'!$E$12+1,1))</f>
        <v>411.67183422518411</v>
      </c>
      <c r="CE172" s="59">
        <f t="shared" si="148"/>
        <v>379.16642539721556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9.6290922463214201</v>
      </c>
      <c r="CL172" s="21">
        <f>EXP(-LN(2)/25)*CL171+(1-EXP(-LN(2)/25))/(LN(2)/25)*Calculateur!CG172*Calculateur!CI172*VLOOKUP('Données projet'!$B$12,Paramètres!$A$1:$I$89,3,0)*0.475*44/12</f>
        <v>1.9842227216517361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11.613314967973157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-7.3896444519050419E-13</v>
      </c>
      <c r="O173" s="13">
        <f>N173*VLOOKUP('Données projet'!$B$9,Paramètres!$A$1:$I$89,3,0)*VLOOKUP('Données projet'!$B$9,Paramètres!$A$1:$I$89,5,0)</f>
        <v>-3.4583536034915594E-13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307.52968058891554</v>
      </c>
      <c r="T173" s="59">
        <f t="shared" si="142"/>
        <v>221.27527189662558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43.225547056274046</v>
      </c>
      <c r="AA173" s="21">
        <f>EXP(-LN(2)/25)*AA172+(1-EXP(-LN(2)/25))/(LN(2)/25)*Calculateur!V173*Calculateur!X173*VLOOKUP('Données projet'!$B$9,Paramètres!$A$1:$I$89,3,0)*0.475*44/12</f>
        <v>6.032912191241012</v>
      </c>
      <c r="AB173" s="21">
        <f>EXP(-LN(2)/2)*AB172+(1-EXP(-LN(2)/2))/(LN(2)/2)*V173*Y173*VLOOKUP('Données projet'!$B$9,Paramètres!$A$1:$I$89,3,0)*0.475*44/12</f>
        <v>9.067046194019879E-10</v>
      </c>
      <c r="AC173" s="22">
        <f t="shared" si="163"/>
        <v>49.258459248421758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377.63545575155672</v>
      </c>
      <c r="AO173" s="59">
        <f t="shared" si="144"/>
        <v>339.1731538522788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1.7053025658242404E-13</v>
      </c>
      <c r="BE173" s="13">
        <f>BD173*VLOOKUP('Données projet'!$B$11,Paramètres!$A$1:$I$89,3,0)*VLOOKUP('Données projet'!$B$11,Paramètres!$A$1:$I$89,5,0)</f>
        <v>1.383341441396624E-13</v>
      </c>
      <c r="BF173" s="13">
        <f t="shared" si="167"/>
        <v>2.0011390722884082E-12</v>
      </c>
      <c r="BG173" s="20">
        <f t="shared" si="168"/>
        <v>3.7262491852788889E-12</v>
      </c>
      <c r="BH173" s="59">
        <f t="shared" si="116"/>
        <v>288.65398521628964</v>
      </c>
      <c r="BI173" s="59">
        <f ca="1">AVERAGE(OFFSET($BH$3,0,0,'Données projet'!$E$11+1,1))-AVERAGE(OFFSET($H$3,0,0,'Données projet'!$E$11+1,1))</f>
        <v>318.98630351938459</v>
      </c>
      <c r="BJ173" s="59">
        <f t="shared" si="146"/>
        <v>312.22190035638084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14.071979091511622</v>
      </c>
      <c r="BQ173" s="21">
        <f>EXP(-LN(2)/25)*BQ172+(1-EXP(-LN(2)/25))/(LN(2)/25)*Calculateur!BL173*Calculateur!BN173*VLOOKUP('Données projet'!$B$11,Paramètres!$A$1:$I$89,3,0)*0.475*44/12</f>
        <v>5.3152622249752692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19.387241316486893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259.99999999999983</v>
      </c>
      <c r="BZ173" s="13">
        <f>BY173*VLOOKUP('Données projet'!$B$12,Paramètres!$A$1:$I$89,3,0)*VLOOKUP('Données projet'!$B$12,Paramètres!$A$1:$I$89,5,0)</f>
        <v>227.13599999999985</v>
      </c>
      <c r="CA173" s="13">
        <f t="shared" si="170"/>
        <v>55.662966886685133</v>
      </c>
      <c r="CB173" s="20">
        <f t="shared" si="171"/>
        <v>492.5415339943097</v>
      </c>
      <c r="CC173" s="59">
        <f t="shared" si="119"/>
        <v>781.19551921059565</v>
      </c>
      <c r="CD173" s="59">
        <f ca="1">AVERAGE(OFFSET($CC$3,0,0,'Données projet'!$E$12+1,1))-AVERAGE(OFFSET($H$3,0,0,'Données projet'!$E$12+1,1))</f>
        <v>411.67183422518411</v>
      </c>
      <c r="CE173" s="59">
        <f t="shared" si="148"/>
        <v>379.16642539721556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9.4402716205374002</v>
      </c>
      <c r="CL173" s="21">
        <f>EXP(-LN(2)/25)*CL172+(1-EXP(-LN(2)/25))/(LN(2)/25)*Calculateur!CG173*Calculateur!CI173*VLOOKUP('Données projet'!$B$12,Paramètres!$A$1:$I$89,3,0)*0.475*44/12</f>
        <v>1.9299640469824315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11.370235667519832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-7.3896444519050419E-13</v>
      </c>
      <c r="O174" s="13">
        <f>N174*VLOOKUP('Données projet'!$B$9,Paramètres!$A$1:$I$89,3,0)*VLOOKUP('Données projet'!$B$9,Paramètres!$A$1:$I$89,5,0)</f>
        <v>-3.4583536034915594E-13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307.52968058891554</v>
      </c>
      <c r="T174" s="59">
        <f t="shared" si="142"/>
        <v>221.27527189662558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42.377920443480889</v>
      </c>
      <c r="AA174" s="21">
        <f>EXP(-LN(2)/25)*AA173+(1-EXP(-LN(2)/25))/(LN(2)/25)*Calculateur!V174*Calculateur!X174*VLOOKUP('Données projet'!$B$9,Paramètres!$A$1:$I$89,3,0)*0.475*44/12</f>
        <v>5.8679418901144631</v>
      </c>
      <c r="AB174" s="21">
        <f>EXP(-LN(2)/2)*AB173+(1-EXP(-LN(2)/2))/(LN(2)/2)*V174*Y174*VLOOKUP('Données projet'!$B$9,Paramètres!$A$1:$I$89,3,0)*0.475*44/12</f>
        <v>6.411369849123133E-10</v>
      </c>
      <c r="AC174" s="22">
        <f t="shared" si="163"/>
        <v>48.245862334236492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377.63545575155672</v>
      </c>
      <c r="AO174" s="59">
        <f t="shared" si="144"/>
        <v>339.1731538522788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1.7053025658242404E-13</v>
      </c>
      <c r="BE174" s="13">
        <f>BD174*VLOOKUP('Données projet'!$B$11,Paramètres!$A$1:$I$89,3,0)*VLOOKUP('Données projet'!$B$11,Paramètres!$A$1:$I$89,5,0)</f>
        <v>1.383341441396624E-13</v>
      </c>
      <c r="BF174" s="13">
        <f t="shared" si="167"/>
        <v>2.0011390722884082E-12</v>
      </c>
      <c r="BG174" s="20">
        <f t="shared" si="168"/>
        <v>3.7262491852788889E-12</v>
      </c>
      <c r="BH174" s="59">
        <f t="shared" si="116"/>
        <v>288.73516144466527</v>
      </c>
      <c r="BI174" s="59">
        <f ca="1">AVERAGE(OFFSET($BH$3,0,0,'Données projet'!$E$11+1,1))-AVERAGE(OFFSET($H$3,0,0,'Données projet'!$E$11+1,1))</f>
        <v>318.98630351938459</v>
      </c>
      <c r="BJ174" s="59">
        <f t="shared" si="146"/>
        <v>312.22190035638084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13.796036164586818</v>
      </c>
      <c r="BQ174" s="21">
        <f>EXP(-LN(2)/25)*BQ173+(1-EXP(-LN(2)/25))/(LN(2)/25)*Calculateur!BL174*Calculateur!BN174*VLOOKUP('Données projet'!$B$11,Paramètres!$A$1:$I$89,3,0)*0.475*44/12</f>
        <v>5.1699160999158282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18.965952264502647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259.99999999999983</v>
      </c>
      <c r="BZ174" s="13">
        <f>BY174*VLOOKUP('Données projet'!$B$12,Paramètres!$A$1:$I$89,3,0)*VLOOKUP('Données projet'!$B$12,Paramètres!$A$1:$I$89,5,0)</f>
        <v>227.13599999999985</v>
      </c>
      <c r="CA174" s="13">
        <f t="shared" si="170"/>
        <v>55.662966886685133</v>
      </c>
      <c r="CB174" s="20">
        <f t="shared" si="171"/>
        <v>492.5415339943097</v>
      </c>
      <c r="CC174" s="59">
        <f t="shared" si="119"/>
        <v>781.27669543897127</v>
      </c>
      <c r="CD174" s="59">
        <f ca="1">AVERAGE(OFFSET($CC$3,0,0,'Données projet'!$E$12+1,1))-AVERAGE(OFFSET($H$3,0,0,'Données projet'!$E$12+1,1))</f>
        <v>411.67183422518411</v>
      </c>
      <c r="CE174" s="59">
        <f t="shared" si="148"/>
        <v>379.16642539721556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9.255153652055796</v>
      </c>
      <c r="CL174" s="21">
        <f>EXP(-LN(2)/25)*CL173+(1-EXP(-LN(2)/25))/(LN(2)/25)*Calculateur!CG174*Calculateur!CI174*VLOOKUP('Données projet'!$B$12,Paramètres!$A$1:$I$89,3,0)*0.475*44/12</f>
        <v>1.8771890786252987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11.132342730681096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-7.3896444519050419E-13</v>
      </c>
      <c r="O175" s="13">
        <f>N175*VLOOKUP('Données projet'!$B$9,Paramètres!$A$1:$I$89,3,0)*VLOOKUP('Données projet'!$B$9,Paramètres!$A$1:$I$89,5,0)</f>
        <v>-3.4583536034915594E-13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307.52968058891554</v>
      </c>
      <c r="T175" s="59">
        <f t="shared" si="142"/>
        <v>221.27527189662558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41.546915271563421</v>
      </c>
      <c r="AA175" s="21">
        <f>EXP(-LN(2)/25)*AA174+(1-EXP(-LN(2)/25))/(LN(2)/25)*Calculateur!V175*Calculateur!X175*VLOOKUP('Données projet'!$B$9,Paramètres!$A$1:$I$89,3,0)*0.475*44/12</f>
        <v>5.7074827105476302</v>
      </c>
      <c r="AB175" s="21">
        <f>EXP(-LN(2)/2)*AB174+(1-EXP(-LN(2)/2))/(LN(2)/2)*V175*Y175*VLOOKUP('Données projet'!$B$9,Paramètres!$A$1:$I$89,3,0)*0.475*44/12</f>
        <v>4.5335230970099395E-10</v>
      </c>
      <c r="AC175" s="22">
        <f t="shared" si="163"/>
        <v>47.254397982564406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377.63545575155672</v>
      </c>
      <c r="AO175" s="59">
        <f t="shared" si="144"/>
        <v>339.1731538522788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1.7053025658242404E-13</v>
      </c>
      <c r="BE175" s="13">
        <f>BD175*VLOOKUP('Données projet'!$B$11,Paramètres!$A$1:$I$89,3,0)*VLOOKUP('Données projet'!$B$11,Paramètres!$A$1:$I$89,5,0)</f>
        <v>1.383341441396624E-13</v>
      </c>
      <c r="BF175" s="13">
        <f t="shared" si="167"/>
        <v>2.0011390722884082E-12</v>
      </c>
      <c r="BG175" s="20">
        <f t="shared" si="168"/>
        <v>3.7262491852788889E-12</v>
      </c>
      <c r="BH175" s="59">
        <f t="shared" si="116"/>
        <v>288.8149294469614</v>
      </c>
      <c r="BI175" s="59">
        <f ca="1">AVERAGE(OFFSET($BH$3,0,0,'Données projet'!$E$11+1,1))-AVERAGE(OFFSET($H$3,0,0,'Données projet'!$E$11+1,1))</f>
        <v>318.98630351938459</v>
      </c>
      <c r="BJ175" s="59">
        <f t="shared" si="146"/>
        <v>312.22190035638084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13.525504310150444</v>
      </c>
      <c r="BQ175" s="21">
        <f>EXP(-LN(2)/25)*BQ174+(1-EXP(-LN(2)/25))/(LN(2)/25)*Calculateur!BL175*Calculateur!BN175*VLOOKUP('Données projet'!$B$11,Paramètres!$A$1:$I$89,3,0)*0.475*44/12</f>
        <v>5.0285444722895578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18.554048782440002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259.99999999999983</v>
      </c>
      <c r="BZ175" s="13">
        <f>BY175*VLOOKUP('Données projet'!$B$12,Paramètres!$A$1:$I$89,3,0)*VLOOKUP('Données projet'!$B$12,Paramètres!$A$1:$I$89,5,0)</f>
        <v>227.13599999999985</v>
      </c>
      <c r="CA175" s="13">
        <f t="shared" si="170"/>
        <v>55.662966886685133</v>
      </c>
      <c r="CB175" s="20">
        <f t="shared" si="171"/>
        <v>492.5415339943097</v>
      </c>
      <c r="CC175" s="59">
        <f t="shared" si="119"/>
        <v>781.35646344126735</v>
      </c>
      <c r="CD175" s="59">
        <f ca="1">AVERAGE(OFFSET($CC$3,0,0,'Données projet'!$E$12+1,1))-AVERAGE(OFFSET($H$3,0,0,'Données projet'!$E$12+1,1))</f>
        <v>411.67183422518411</v>
      </c>
      <c r="CE175" s="59">
        <f t="shared" si="148"/>
        <v>379.16642539721556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9.0736657340253029</v>
      </c>
      <c r="CL175" s="21">
        <f>EXP(-LN(2)/25)*CL174+(1-EXP(-LN(2)/25))/(LN(2)/25)*Calculateur!CG175*Calculateur!CI175*VLOOKUP('Données projet'!$B$12,Paramètres!$A$1:$I$89,3,0)*0.475*44/12</f>
        <v>1.8258572445532066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10.89952297857851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-7.3896444519050419E-13</v>
      </c>
      <c r="O176" s="13">
        <f>N176*VLOOKUP('Données projet'!$B$9,Paramètres!$A$1:$I$89,3,0)*VLOOKUP('Données projet'!$B$9,Paramètres!$A$1:$I$89,5,0)</f>
        <v>-3.4583536034915594E-13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307.52968058891554</v>
      </c>
      <c r="T176" s="59">
        <f t="shared" si="142"/>
        <v>221.27527189662558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40.732205604204154</v>
      </c>
      <c r="AA176" s="21">
        <f>EXP(-LN(2)/25)*AA175+(1-EXP(-LN(2)/25))/(LN(2)/25)*Calculateur!V176*Calculateur!X176*VLOOKUP('Données projet'!$B$9,Paramètres!$A$1:$I$89,3,0)*0.475*44/12</f>
        <v>5.5514112956842343</v>
      </c>
      <c r="AB176" s="21">
        <f>EXP(-LN(2)/2)*AB175+(1-EXP(-LN(2)/2))/(LN(2)/2)*V176*Y176*VLOOKUP('Données projet'!$B$9,Paramètres!$A$1:$I$89,3,0)*0.475*44/12</f>
        <v>3.2056849245615665E-10</v>
      </c>
      <c r="AC176" s="22">
        <f t="shared" si="163"/>
        <v>46.283616900208955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377.63545575155672</v>
      </c>
      <c r="AO176" s="59">
        <f t="shared" si="144"/>
        <v>339.1731538522788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1.7053025658242404E-13</v>
      </c>
      <c r="BE176" s="13">
        <f>BD176*VLOOKUP('Données projet'!$B$11,Paramètres!$A$1:$I$89,3,0)*VLOOKUP('Données projet'!$B$11,Paramètres!$A$1:$I$89,5,0)</f>
        <v>1.383341441396624E-13</v>
      </c>
      <c r="BF176" s="13">
        <f t="shared" si="167"/>
        <v>2.0011390722884082E-12</v>
      </c>
      <c r="BG176" s="20">
        <f t="shared" si="168"/>
        <v>3.7262491852788889E-12</v>
      </c>
      <c r="BH176" s="59">
        <f t="shared" si="116"/>
        <v>288.89331365275223</v>
      </c>
      <c r="BI176" s="59">
        <f ca="1">AVERAGE(OFFSET($BH$3,0,0,'Données projet'!$E$11+1,1))-AVERAGE(OFFSET($H$3,0,0,'Données projet'!$E$11+1,1))</f>
        <v>318.98630351938459</v>
      </c>
      <c r="BJ176" s="59">
        <f t="shared" si="146"/>
        <v>312.22190035638084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13.260277420371429</v>
      </c>
      <c r="BQ176" s="21">
        <f>EXP(-LN(2)/25)*BQ175+(1-EXP(-LN(2)/25))/(LN(2)/25)*Calculateur!BL176*Calculateur!BN176*VLOOKUP('Données projet'!$B$11,Paramètres!$A$1:$I$89,3,0)*0.475*44/12</f>
        <v>4.8910386592551394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18.151316079626568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259.99999999999983</v>
      </c>
      <c r="BZ176" s="13">
        <f>BY176*VLOOKUP('Données projet'!$B$12,Paramètres!$A$1:$I$89,3,0)*VLOOKUP('Données projet'!$B$12,Paramètres!$A$1:$I$89,5,0)</f>
        <v>227.13599999999985</v>
      </c>
      <c r="CA176" s="13">
        <f t="shared" si="170"/>
        <v>55.662966886685133</v>
      </c>
      <c r="CB176" s="20">
        <f t="shared" si="171"/>
        <v>492.5415339943097</v>
      </c>
      <c r="CC176" s="59">
        <f t="shared" si="119"/>
        <v>781.43484764705818</v>
      </c>
      <c r="CD176" s="59">
        <f ca="1">AVERAGE(OFFSET($CC$3,0,0,'Données projet'!$E$12+1,1))-AVERAGE(OFFSET($H$3,0,0,'Données projet'!$E$12+1,1))</f>
        <v>411.67183422518411</v>
      </c>
      <c r="CE176" s="59">
        <f t="shared" si="148"/>
        <v>379.16642539721556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8.8957366833706892</v>
      </c>
      <c r="CL176" s="21">
        <f>EXP(-LN(2)/25)*CL175+(1-EXP(-LN(2)/25))/(LN(2)/25)*Calculateur!CG176*Calculateur!CI176*VLOOKUP('Données projet'!$B$12,Paramètres!$A$1:$I$89,3,0)*0.475*44/12</f>
        <v>1.7759290821832399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10.671665765553929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-7.3896444519050419E-13</v>
      </c>
      <c r="O177" s="13">
        <f>N177*VLOOKUP('Données projet'!$B$9,Paramètres!$A$1:$I$89,3,0)*VLOOKUP('Données projet'!$B$9,Paramètres!$A$1:$I$89,5,0)</f>
        <v>-3.4583536034915594E-13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307.52968058891554</v>
      </c>
      <c r="T177" s="59">
        <f t="shared" si="142"/>
        <v>221.27527189662558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39.93347189649797</v>
      </c>
      <c r="AA177" s="21">
        <f>EXP(-LN(2)/25)*AA176+(1-EXP(-LN(2)/25))/(LN(2)/25)*Calculateur!V177*Calculateur!X177*VLOOKUP('Données projet'!$B$9,Paramètres!$A$1:$I$89,3,0)*0.475*44/12</f>
        <v>5.3996076618677167</v>
      </c>
      <c r="AB177" s="21">
        <f>EXP(-LN(2)/2)*AB176+(1-EXP(-LN(2)/2))/(LN(2)/2)*V177*Y177*VLOOKUP('Données projet'!$B$9,Paramètres!$A$1:$I$89,3,0)*0.475*44/12</f>
        <v>2.2667615485049698E-10</v>
      </c>
      <c r="AC177" s="22">
        <f t="shared" si="163"/>
        <v>45.333079558592367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377.63545575155672</v>
      </c>
      <c r="AO177" s="59">
        <f t="shared" si="144"/>
        <v>339.1731538522788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1.7053025658242404E-13</v>
      </c>
      <c r="BE177" s="13">
        <f>BD177*VLOOKUP('Données projet'!$B$11,Paramètres!$A$1:$I$89,3,0)*VLOOKUP('Données projet'!$B$11,Paramètres!$A$1:$I$89,5,0)</f>
        <v>1.383341441396624E-13</v>
      </c>
      <c r="BF177" s="13">
        <f t="shared" si="167"/>
        <v>2.0011390722884082E-12</v>
      </c>
      <c r="BG177" s="20">
        <f t="shared" si="168"/>
        <v>3.7262491852788889E-12</v>
      </c>
      <c r="BH177" s="59">
        <f t="shared" si="116"/>
        <v>288.97033806781349</v>
      </c>
      <c r="BI177" s="59">
        <f ca="1">AVERAGE(OFFSET($BH$3,0,0,'Données projet'!$E$11+1,1))-AVERAGE(OFFSET($H$3,0,0,'Données projet'!$E$11+1,1))</f>
        <v>318.98630351938459</v>
      </c>
      <c r="BJ177" s="59">
        <f t="shared" si="146"/>
        <v>312.22190035638084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13.000251468128551</v>
      </c>
      <c r="BQ177" s="21">
        <f>EXP(-LN(2)/25)*BQ176+(1-EXP(-LN(2)/25))/(LN(2)/25)*Calculateur!BL177*Calculateur!BN177*VLOOKUP('Données projet'!$B$11,Paramètres!$A$1:$I$89,3,0)*0.475*44/12</f>
        <v>4.7572929499092629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17.757544418037813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259.99999999999983</v>
      </c>
      <c r="BZ177" s="13">
        <f>BY177*VLOOKUP('Données projet'!$B$12,Paramètres!$A$1:$I$89,3,0)*VLOOKUP('Données projet'!$B$12,Paramètres!$A$1:$I$89,5,0)</f>
        <v>227.13599999999985</v>
      </c>
      <c r="CA177" s="13">
        <f t="shared" si="170"/>
        <v>55.662966886685133</v>
      </c>
      <c r="CB177" s="20">
        <f t="shared" si="171"/>
        <v>492.5415339943097</v>
      </c>
      <c r="CC177" s="59">
        <f t="shared" si="119"/>
        <v>781.51187206211944</v>
      </c>
      <c r="CD177" s="59">
        <f ca="1">AVERAGE(OFFSET($CC$3,0,0,'Données projet'!$E$12+1,1))-AVERAGE(OFFSET($H$3,0,0,'Données projet'!$E$12+1,1))</f>
        <v>411.67183422518411</v>
      </c>
      <c r="CE177" s="59">
        <f t="shared" si="148"/>
        <v>379.16642539721556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8.7212967128734071</v>
      </c>
      <c r="CL177" s="21">
        <f>EXP(-LN(2)/25)*CL176+(1-EXP(-LN(2)/25))/(LN(2)/25)*Calculateur!CG177*Calculateur!CI177*VLOOKUP('Données projet'!$B$12,Paramètres!$A$1:$I$89,3,0)*0.475*44/12</f>
        <v>1.7273662080388876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10.448662920912295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-7.3896444519050419E-13</v>
      </c>
      <c r="O178" s="13">
        <f>N178*VLOOKUP('Données projet'!$B$9,Paramètres!$A$1:$I$89,3,0)*VLOOKUP('Données projet'!$B$9,Paramètres!$A$1:$I$89,5,0)</f>
        <v>-3.4583536034915594E-13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307.52968058891554</v>
      </c>
      <c r="T178" s="59">
        <f t="shared" si="142"/>
        <v>221.27527189662558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39.150400869620448</v>
      </c>
      <c r="AA178" s="21">
        <f>EXP(-LN(2)/25)*AA177+(1-EXP(-LN(2)/25))/(LN(2)/25)*Calculateur!V178*Calculateur!X178*VLOOKUP('Données projet'!$B$9,Paramètres!$A$1:$I$89,3,0)*0.475*44/12</f>
        <v>5.251955106400918</v>
      </c>
      <c r="AB178" s="21">
        <f>EXP(-LN(2)/2)*AB177+(1-EXP(-LN(2)/2))/(LN(2)/2)*V178*Y178*VLOOKUP('Données projet'!$B$9,Paramètres!$A$1:$I$89,3,0)*0.475*44/12</f>
        <v>1.6028424622807833E-10</v>
      </c>
      <c r="AC178" s="22">
        <f t="shared" si="163"/>
        <v>44.402355976181653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377.63545575155672</v>
      </c>
      <c r="AO178" s="59">
        <f t="shared" si="144"/>
        <v>339.1731538522788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1.7053025658242404E-13</v>
      </c>
      <c r="BE178" s="13">
        <f>BD178*VLOOKUP('Données projet'!$B$11,Paramètres!$A$1:$I$89,3,0)*VLOOKUP('Données projet'!$B$11,Paramètres!$A$1:$I$89,5,0)</f>
        <v>1.383341441396624E-13</v>
      </c>
      <c r="BF178" s="13">
        <f t="shared" si="167"/>
        <v>2.0011390722884082E-12</v>
      </c>
      <c r="BG178" s="20">
        <f t="shared" si="168"/>
        <v>3.7262491852788889E-12</v>
      </c>
      <c r="BH178" s="59">
        <f t="shared" si="116"/>
        <v>289.04602628147416</v>
      </c>
      <c r="BI178" s="59">
        <f ca="1">AVERAGE(OFFSET($BH$3,0,0,'Données projet'!$E$11+1,1))-AVERAGE(OFFSET($H$3,0,0,'Données projet'!$E$11+1,1))</f>
        <v>318.98630351938459</v>
      </c>
      <c r="BJ178" s="59">
        <f t="shared" si="146"/>
        <v>312.22190035638084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12.745324466208986</v>
      </c>
      <c r="BQ178" s="21">
        <f>EXP(-LN(2)/25)*BQ177+(1-EXP(-LN(2)/25))/(LN(2)/25)*Calculateur!BL178*Calculateur!BN178*VLOOKUP('Données projet'!$B$11,Paramètres!$A$1:$I$89,3,0)*0.475*44/12</f>
        <v>4.6272045240188309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17.372528990227817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259.99999999999983</v>
      </c>
      <c r="BZ178" s="13">
        <f>BY178*VLOOKUP('Données projet'!$B$12,Paramètres!$A$1:$I$89,3,0)*VLOOKUP('Données projet'!$B$12,Paramètres!$A$1:$I$89,5,0)</f>
        <v>227.13599999999985</v>
      </c>
      <c r="CA178" s="13">
        <f t="shared" si="170"/>
        <v>55.662966886685133</v>
      </c>
      <c r="CB178" s="20">
        <f t="shared" si="171"/>
        <v>492.5415339943097</v>
      </c>
      <c r="CC178" s="59">
        <f t="shared" si="119"/>
        <v>781.58756027578011</v>
      </c>
      <c r="CD178" s="59">
        <f ca="1">AVERAGE(OFFSET($CC$3,0,0,'Données projet'!$E$12+1,1))-AVERAGE(OFFSET($H$3,0,0,'Données projet'!$E$12+1,1))</f>
        <v>411.67183422518411</v>
      </c>
      <c r="CE178" s="59">
        <f t="shared" si="148"/>
        <v>379.16642539721556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8.5502774037997007</v>
      </c>
      <c r="CL178" s="21">
        <f>EXP(-LN(2)/25)*CL177+(1-EXP(-LN(2)/25))/(LN(2)/25)*Calculateur!CG178*Calculateur!CI178*VLOOKUP('Données projet'!$B$12,Paramètres!$A$1:$I$89,3,0)*0.475*44/12</f>
        <v>1.6801312882418233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10.230408692041523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-7.3896444519050419E-13</v>
      </c>
      <c r="O179" s="13">
        <f>N179*VLOOKUP('Données projet'!$B$9,Paramètres!$A$1:$I$89,3,0)*VLOOKUP('Données projet'!$B$9,Paramètres!$A$1:$I$89,5,0)</f>
        <v>-3.4583536034915594E-13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307.52968058891554</v>
      </c>
      <c r="T179" s="59">
        <f t="shared" si="142"/>
        <v>221.27527189662558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38.382685387953828</v>
      </c>
      <c r="AA179" s="21">
        <f>EXP(-LN(2)/25)*AA178+(1-EXP(-LN(2)/25))/(LN(2)/25)*Calculateur!V179*Calculateur!X179*VLOOKUP('Données projet'!$B$9,Paramètres!$A$1:$I$89,3,0)*0.475*44/12</f>
        <v>5.1083401178280692</v>
      </c>
      <c r="AB179" s="21">
        <f>EXP(-LN(2)/2)*AB178+(1-EXP(-LN(2)/2))/(LN(2)/2)*V179*Y179*VLOOKUP('Données projet'!$B$9,Paramètres!$A$1:$I$89,3,0)*0.475*44/12</f>
        <v>1.1333807742524849E-10</v>
      </c>
      <c r="AC179" s="22">
        <f t="shared" si="163"/>
        <v>43.491025505895237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377.63545575155672</v>
      </c>
      <c r="AO179" s="59">
        <f t="shared" si="144"/>
        <v>339.1731538522788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1.7053025658242404E-13</v>
      </c>
      <c r="BE179" s="13">
        <f>BD179*VLOOKUP('Données projet'!$B$11,Paramètres!$A$1:$I$89,3,0)*VLOOKUP('Données projet'!$B$11,Paramètres!$A$1:$I$89,5,0)</f>
        <v>1.383341441396624E-13</v>
      </c>
      <c r="BF179" s="13">
        <f t="shared" si="167"/>
        <v>2.0011390722884082E-12</v>
      </c>
      <c r="BG179" s="20">
        <f t="shared" si="168"/>
        <v>3.7262491852788889E-12</v>
      </c>
      <c r="BH179" s="59">
        <f t="shared" si="116"/>
        <v>289.12040147384135</v>
      </c>
      <c r="BI179" s="59">
        <f ca="1">AVERAGE(OFFSET($BH$3,0,0,'Données projet'!$E$11+1,1))-AVERAGE(OFFSET($H$3,0,0,'Données projet'!$E$11+1,1))</f>
        <v>318.98630351938459</v>
      </c>
      <c r="BJ179" s="59">
        <f t="shared" si="146"/>
        <v>312.22190035638084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12.495396427306945</v>
      </c>
      <c r="BQ179" s="21">
        <f>EXP(-LN(2)/25)*BQ178+(1-EXP(-LN(2)/25))/(LN(2)/25)*Calculateur!BL179*Calculateur!BN179*VLOOKUP('Données projet'!$B$11,Paramètres!$A$1:$I$89,3,0)*0.475*44/12</f>
        <v>4.5006733729754256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16.99606980028237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259.99999999999983</v>
      </c>
      <c r="BZ179" s="13">
        <f>BY179*VLOOKUP('Données projet'!$B$12,Paramètres!$A$1:$I$89,3,0)*VLOOKUP('Données projet'!$B$12,Paramètres!$A$1:$I$89,5,0)</f>
        <v>227.13599999999985</v>
      </c>
      <c r="CA179" s="13">
        <f t="shared" si="170"/>
        <v>55.662966886685133</v>
      </c>
      <c r="CB179" s="20">
        <f t="shared" si="171"/>
        <v>492.5415339943097</v>
      </c>
      <c r="CC179" s="59">
        <f t="shared" si="119"/>
        <v>781.66193546814725</v>
      </c>
      <c r="CD179" s="59">
        <f ca="1">AVERAGE(OFFSET($CC$3,0,0,'Données projet'!$E$12+1,1))-AVERAGE(OFFSET($H$3,0,0,'Données projet'!$E$12+1,1))</f>
        <v>411.67183422518411</v>
      </c>
      <c r="CE179" s="59">
        <f t="shared" si="148"/>
        <v>379.16642539721556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8.3826116790654517</v>
      </c>
      <c r="CL179" s="21">
        <f>EXP(-LN(2)/25)*CL178+(1-EXP(-LN(2)/25))/(LN(2)/25)*Calculateur!CG179*Calculateur!CI179*VLOOKUP('Données projet'!$B$12,Paramètres!$A$1:$I$89,3,0)*0.475*44/12</f>
        <v>1.6341880098105863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10.016799688876038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-7.3896444519050419E-13</v>
      </c>
      <c r="O180" s="13">
        <f>N180*VLOOKUP('Données projet'!$B$9,Paramètres!$A$1:$I$89,3,0)*VLOOKUP('Données projet'!$B$9,Paramètres!$A$1:$I$89,5,0)</f>
        <v>-3.4583536034915594E-13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307.52968058891554</v>
      </c>
      <c r="T180" s="59">
        <f t="shared" si="142"/>
        <v>221.27527189662558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37.630024338622484</v>
      </c>
      <c r="AA180" s="21">
        <f>EXP(-LN(2)/25)*AA179+(1-EXP(-LN(2)/25))/(LN(2)/25)*Calculateur!V180*Calculateur!X180*VLOOKUP('Données projet'!$B$9,Paramètres!$A$1:$I$89,3,0)*0.475*44/12</f>
        <v>4.9686522886701292</v>
      </c>
      <c r="AB180" s="21">
        <f>EXP(-LN(2)/2)*AB179+(1-EXP(-LN(2)/2))/(LN(2)/2)*V180*Y180*VLOOKUP('Données projet'!$B$9,Paramètres!$A$1:$I$89,3,0)*0.475*44/12</f>
        <v>8.0142123114039163E-11</v>
      </c>
      <c r="AC180" s="22">
        <f t="shared" si="163"/>
        <v>42.598676627372754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377.63545575155672</v>
      </c>
      <c r="AO180" s="59">
        <f t="shared" si="144"/>
        <v>339.1731538522788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1.7053025658242404E-13</v>
      </c>
      <c r="BE180" s="13">
        <f>BD180*VLOOKUP('Données projet'!$B$11,Paramètres!$A$1:$I$89,3,0)*VLOOKUP('Données projet'!$B$11,Paramètres!$A$1:$I$89,5,0)</f>
        <v>1.383341441396624E-13</v>
      </c>
      <c r="BF180" s="13">
        <f t="shared" si="167"/>
        <v>2.0011390722884082E-12</v>
      </c>
      <c r="BG180" s="20">
        <f t="shared" si="168"/>
        <v>3.7262491852788889E-12</v>
      </c>
      <c r="BH180" s="59">
        <f t="shared" si="116"/>
        <v>289.19348642289901</v>
      </c>
      <c r="BI180" s="59">
        <f ca="1">AVERAGE(OFFSET($BH$3,0,0,'Données projet'!$E$11+1,1))-AVERAGE(OFFSET($H$3,0,0,'Données projet'!$E$11+1,1))</f>
        <v>318.98630351938459</v>
      </c>
      <c r="BJ180" s="59">
        <f t="shared" si="146"/>
        <v>312.22190035638084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12.250369324806721</v>
      </c>
      <c r="BQ180" s="21">
        <f>EXP(-LN(2)/25)*BQ179+(1-EXP(-LN(2)/25))/(LN(2)/25)*Calculateur!BL180*Calculateur!BN180*VLOOKUP('Données projet'!$B$11,Paramètres!$A$1:$I$89,3,0)*0.475*44/12</f>
        <v>4.3776022229112863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16.627971547718008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259.99999999999983</v>
      </c>
      <c r="BZ180" s="13">
        <f>BY180*VLOOKUP('Données projet'!$B$12,Paramètres!$A$1:$I$89,3,0)*VLOOKUP('Données projet'!$B$12,Paramètres!$A$1:$I$89,5,0)</f>
        <v>227.13599999999985</v>
      </c>
      <c r="CA180" s="13">
        <f t="shared" si="170"/>
        <v>55.662966886685133</v>
      </c>
      <c r="CB180" s="20">
        <f t="shared" si="171"/>
        <v>492.5415339943097</v>
      </c>
      <c r="CC180" s="59">
        <f t="shared" si="119"/>
        <v>781.73502041720496</v>
      </c>
      <c r="CD180" s="59">
        <f ca="1">AVERAGE(OFFSET($CC$3,0,0,'Données projet'!$E$12+1,1))-AVERAGE(OFFSET($H$3,0,0,'Données projet'!$E$12+1,1))</f>
        <v>411.67183422518411</v>
      </c>
      <c r="CE180" s="59">
        <f t="shared" si="148"/>
        <v>379.16642539721556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8.2182337769272458</v>
      </c>
      <c r="CL180" s="21">
        <f>EXP(-LN(2)/25)*CL179+(1-EXP(-LN(2)/25))/(LN(2)/25)*Calculateur!CG180*Calculateur!CI180*VLOOKUP('Données projet'!$B$12,Paramètres!$A$1:$I$89,3,0)*0.475*44/12</f>
        <v>1.5895010527441034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9.8077348296713485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-7.3896444519050419E-13</v>
      </c>
      <c r="O181" s="13">
        <f>N181*VLOOKUP('Données projet'!$B$9,Paramètres!$A$1:$I$89,3,0)*VLOOKUP('Données projet'!$B$9,Paramètres!$A$1:$I$89,5,0)</f>
        <v>-3.4583536034915594E-13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307.52968058891554</v>
      </c>
      <c r="T181" s="59">
        <f t="shared" si="142"/>
        <v>221.27527189662558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36.892122513390618</v>
      </c>
      <c r="AA181" s="21">
        <f>EXP(-LN(2)/25)*AA180+(1-EXP(-LN(2)/25))/(LN(2)/25)*Calculateur!V181*Calculateur!X181*VLOOKUP('Données projet'!$B$9,Paramètres!$A$1:$I$89,3,0)*0.475*44/12</f>
        <v>4.8327842305463768</v>
      </c>
      <c r="AB181" s="21">
        <f>EXP(-LN(2)/2)*AB180+(1-EXP(-LN(2)/2))/(LN(2)/2)*V181*Y181*VLOOKUP('Données projet'!$B$9,Paramètres!$A$1:$I$89,3,0)*0.475*44/12</f>
        <v>5.6669038712624244E-11</v>
      </c>
      <c r="AC181" s="22">
        <f t="shared" si="163"/>
        <v>41.724906743993664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377.63545575155672</v>
      </c>
      <c r="AO181" s="59">
        <f t="shared" si="144"/>
        <v>339.1731538522788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1.7053025658242404E-13</v>
      </c>
      <c r="BE181" s="13">
        <f>BD181*VLOOKUP('Données projet'!$B$11,Paramètres!$A$1:$I$89,3,0)*VLOOKUP('Données projet'!$B$11,Paramètres!$A$1:$I$89,5,0)</f>
        <v>1.383341441396624E-13</v>
      </c>
      <c r="BF181" s="13">
        <f t="shared" si="167"/>
        <v>2.0011390722884082E-12</v>
      </c>
      <c r="BG181" s="20">
        <f t="shared" si="168"/>
        <v>3.7262491852788889E-12</v>
      </c>
      <c r="BH181" s="59">
        <f t="shared" si="116"/>
        <v>289.26530351148392</v>
      </c>
      <c r="BI181" s="59">
        <f ca="1">AVERAGE(OFFSET($BH$3,0,0,'Données projet'!$E$11+1,1))-AVERAGE(OFFSET($H$3,0,0,'Données projet'!$E$11+1,1))</f>
        <v>318.98630351938459</v>
      </c>
      <c r="BJ181" s="59">
        <f t="shared" si="146"/>
        <v>312.22190035638084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12.010147054334752</v>
      </c>
      <c r="BQ181" s="21">
        <f>EXP(-LN(2)/25)*BQ180+(1-EXP(-LN(2)/25))/(LN(2)/25)*Calculateur!BL181*Calculateur!BN181*VLOOKUP('Données projet'!$B$11,Paramètres!$A$1:$I$89,3,0)*0.475*44/12</f>
        <v>4.2578964599176814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16.268043514252433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259.99999999999983</v>
      </c>
      <c r="BZ181" s="13">
        <f>BY181*VLOOKUP('Données projet'!$B$12,Paramètres!$A$1:$I$89,3,0)*VLOOKUP('Données projet'!$B$12,Paramètres!$A$1:$I$89,5,0)</f>
        <v>227.13599999999985</v>
      </c>
      <c r="CA181" s="13">
        <f t="shared" si="170"/>
        <v>55.662966886685133</v>
      </c>
      <c r="CB181" s="20">
        <f t="shared" si="171"/>
        <v>492.5415339943097</v>
      </c>
      <c r="CC181" s="59">
        <f t="shared" si="119"/>
        <v>781.80683750578987</v>
      </c>
      <c r="CD181" s="59">
        <f ca="1">AVERAGE(OFFSET($CC$3,0,0,'Données projet'!$E$12+1,1))-AVERAGE(OFFSET($H$3,0,0,'Données projet'!$E$12+1,1))</f>
        <v>411.67183422518411</v>
      </c>
      <c r="CE181" s="59">
        <f t="shared" si="148"/>
        <v>379.16642539721556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8.0570792251893497</v>
      </c>
      <c r="CL181" s="21">
        <f>EXP(-LN(2)/25)*CL180+(1-EXP(-LN(2)/25))/(LN(2)/25)*Calculateur!CG181*Calculateur!CI181*VLOOKUP('Données projet'!$B$12,Paramètres!$A$1:$I$89,3,0)*0.475*44/12</f>
        <v>1.5460360628685883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9.6031152880579373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-7.3896444519050419E-13</v>
      </c>
      <c r="O182" s="13">
        <f>N182*VLOOKUP('Données projet'!$B$9,Paramètres!$A$1:$I$89,3,0)*VLOOKUP('Données projet'!$B$9,Paramètres!$A$1:$I$89,5,0)</f>
        <v>-3.4583536034915594E-13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307.52968058891554</v>
      </c>
      <c r="T182" s="59">
        <f t="shared" si="142"/>
        <v>221.27527189662558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36.168690492875875</v>
      </c>
      <c r="AA182" s="21">
        <f>EXP(-LN(2)/25)*AA181+(1-EXP(-LN(2)/25))/(LN(2)/25)*Calculateur!V182*Calculateur!X182*VLOOKUP('Données projet'!$B$9,Paramètres!$A$1:$I$89,3,0)*0.475*44/12</f>
        <v>4.7006314916170089</v>
      </c>
      <c r="AB182" s="21">
        <f>EXP(-LN(2)/2)*AB181+(1-EXP(-LN(2)/2))/(LN(2)/2)*V182*Y182*VLOOKUP('Données projet'!$B$9,Paramètres!$A$1:$I$89,3,0)*0.475*44/12</f>
        <v>4.0071061557019581E-11</v>
      </c>
      <c r="AC182" s="22">
        <f t="shared" si="163"/>
        <v>40.869321984532959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377.63545575155672</v>
      </c>
      <c r="AO182" s="59">
        <f t="shared" si="144"/>
        <v>339.1731538522788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1.7053025658242404E-13</v>
      </c>
      <c r="BE182" s="13">
        <f>BD182*VLOOKUP('Données projet'!$B$11,Paramètres!$A$1:$I$89,3,0)*VLOOKUP('Données projet'!$B$11,Paramètres!$A$1:$I$89,5,0)</f>
        <v>1.383341441396624E-13</v>
      </c>
      <c r="BF182" s="13">
        <f t="shared" si="167"/>
        <v>2.0011390722884082E-12</v>
      </c>
      <c r="BG182" s="20">
        <f t="shared" si="168"/>
        <v>3.7262491852788889E-12</v>
      </c>
      <c r="BH182" s="59">
        <f t="shared" si="116"/>
        <v>289.33587473414087</v>
      </c>
      <c r="BI182" s="59">
        <f ca="1">AVERAGE(OFFSET($BH$3,0,0,'Données projet'!$E$11+1,1))-AVERAGE(OFFSET($H$3,0,0,'Données projet'!$E$11+1,1))</f>
        <v>318.98630351938459</v>
      </c>
      <c r="BJ182" s="59">
        <f t="shared" si="146"/>
        <v>312.22190035638084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11.774635396065621</v>
      </c>
      <c r="BQ182" s="21">
        <f>EXP(-LN(2)/25)*BQ181+(1-EXP(-LN(2)/25))/(LN(2)/25)*Calculateur!BL182*Calculateur!BN182*VLOOKUP('Données projet'!$B$11,Paramètres!$A$1:$I$89,3,0)*0.475*44/12</f>
        <v>4.1414640573081893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15.91609945337381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259.99999999999983</v>
      </c>
      <c r="BZ182" s="13">
        <f>BY182*VLOOKUP('Données projet'!$B$12,Paramètres!$A$1:$I$89,3,0)*VLOOKUP('Données projet'!$B$12,Paramètres!$A$1:$I$89,5,0)</f>
        <v>227.13599999999985</v>
      </c>
      <c r="CA182" s="13">
        <f t="shared" si="170"/>
        <v>55.662966886685133</v>
      </c>
      <c r="CB182" s="20">
        <f t="shared" si="171"/>
        <v>492.5415339943097</v>
      </c>
      <c r="CC182" s="59">
        <f t="shared" si="119"/>
        <v>781.87740872844688</v>
      </c>
      <c r="CD182" s="59">
        <f ca="1">AVERAGE(OFFSET($CC$3,0,0,'Données projet'!$E$12+1,1))-AVERAGE(OFFSET($H$3,0,0,'Données projet'!$E$12+1,1))</f>
        <v>411.67183422518411</v>
      </c>
      <c r="CE182" s="59">
        <f t="shared" si="148"/>
        <v>379.16642539721556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7.8990848159164635</v>
      </c>
      <c r="CL182" s="21">
        <f>EXP(-LN(2)/25)*CL181+(1-EXP(-LN(2)/25))/(LN(2)/25)*Calculateur!CG182*Calculateur!CI182*VLOOKUP('Données projet'!$B$12,Paramètres!$A$1:$I$89,3,0)*0.475*44/12</f>
        <v>1.5037596254269436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9.402844441343408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-7.3896444519050419E-13</v>
      </c>
      <c r="O183" s="13">
        <f>N183*VLOOKUP('Données projet'!$B$9,Paramètres!$A$1:$I$89,3,0)*VLOOKUP('Données projet'!$B$9,Paramètres!$A$1:$I$89,5,0)</f>
        <v>-3.4583536034915594E-13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307.52968058891554</v>
      </c>
      <c r="T183" s="59">
        <f t="shared" si="142"/>
        <v>221.27527189662558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35.459444533033462</v>
      </c>
      <c r="AA183" s="21">
        <f>EXP(-LN(2)/25)*AA182+(1-EXP(-LN(2)/25))/(LN(2)/25)*Calculateur!V183*Calculateur!X183*VLOOKUP('Données projet'!$B$9,Paramètres!$A$1:$I$89,3,0)*0.475*44/12</f>
        <v>4.5720924762832746</v>
      </c>
      <c r="AB183" s="21">
        <f>EXP(-LN(2)/2)*AB182+(1-EXP(-LN(2)/2))/(LN(2)/2)*V183*Y183*VLOOKUP('Données projet'!$B$9,Paramètres!$A$1:$I$89,3,0)*0.475*44/12</f>
        <v>2.8334519356312122E-11</v>
      </c>
      <c r="AC183" s="22">
        <f t="shared" si="163"/>
        <v>40.031537009345072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377.63545575155672</v>
      </c>
      <c r="AO183" s="59">
        <f t="shared" si="144"/>
        <v>339.1731538522788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1.7053025658242404E-13</v>
      </c>
      <c r="BE183" s="13">
        <f>BD183*VLOOKUP('Données projet'!$B$11,Paramètres!$A$1:$I$89,3,0)*VLOOKUP('Données projet'!$B$11,Paramètres!$A$1:$I$89,5,0)</f>
        <v>1.383341441396624E-13</v>
      </c>
      <c r="BF183" s="13">
        <f t="shared" si="167"/>
        <v>2.0011390722884082E-12</v>
      </c>
      <c r="BG183" s="20">
        <f t="shared" si="168"/>
        <v>3.7262491852788889E-12</v>
      </c>
      <c r="BH183" s="59">
        <f t="shared" si="116"/>
        <v>289.40522170385839</v>
      </c>
      <c r="BI183" s="59">
        <f ca="1">AVERAGE(OFFSET($BH$3,0,0,'Données projet'!$E$11+1,1))-AVERAGE(OFFSET($H$3,0,0,'Données projet'!$E$11+1,1))</f>
        <v>318.98630351938459</v>
      </c>
      <c r="BJ183" s="59">
        <f t="shared" si="146"/>
        <v>312.22190035638084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11.543741977767221</v>
      </c>
      <c r="BQ183" s="21">
        <f>EXP(-LN(2)/25)*BQ182+(1-EXP(-LN(2)/25))/(LN(2)/25)*Calculateur!BL183*Calculateur!BN183*VLOOKUP('Données projet'!$B$11,Paramètres!$A$1:$I$89,3,0)*0.475*44/12</f>
        <v>4.0282155048709676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15.571957482638188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259.99999999999983</v>
      </c>
      <c r="BZ183" s="13">
        <f>BY183*VLOOKUP('Données projet'!$B$12,Paramètres!$A$1:$I$89,3,0)*VLOOKUP('Données projet'!$B$12,Paramètres!$A$1:$I$89,5,0)</f>
        <v>227.13599999999985</v>
      </c>
      <c r="CA183" s="13">
        <f t="shared" si="170"/>
        <v>55.662966886685133</v>
      </c>
      <c r="CB183" s="20">
        <f t="shared" si="171"/>
        <v>492.5415339943097</v>
      </c>
      <c r="CC183" s="59">
        <f t="shared" si="119"/>
        <v>781.94675569816434</v>
      </c>
      <c r="CD183" s="59">
        <f ca="1">AVERAGE(OFFSET($CC$3,0,0,'Données projet'!$E$12+1,1))-AVERAGE(OFFSET($H$3,0,0,'Données projet'!$E$12+1,1))</f>
        <v>411.67183422518411</v>
      </c>
      <c r="CE183" s="59">
        <f t="shared" si="148"/>
        <v>379.16642539721556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7.7441885806423452</v>
      </c>
      <c r="CL183" s="21">
        <f>EXP(-LN(2)/25)*CL182+(1-EXP(-LN(2)/25))/(LN(2)/25)*Calculateur!CG183*Calculateur!CI183*VLOOKUP('Données projet'!$B$12,Paramètres!$A$1:$I$89,3,0)*0.475*44/12</f>
        <v>1.462639239390362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9.2068278200327072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-7.3896444519050419E-13</v>
      </c>
      <c r="O184" s="13">
        <f>N184*VLOOKUP('Données projet'!$B$9,Paramètres!$A$1:$I$89,3,0)*VLOOKUP('Données projet'!$B$9,Paramètres!$A$1:$I$89,5,0)</f>
        <v>-3.4583536034915594E-13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307.52968058891554</v>
      </c>
      <c r="T184" s="59">
        <f t="shared" si="142"/>
        <v>221.27527189662558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34.764106453866241</v>
      </c>
      <c r="AA184" s="21">
        <f>EXP(-LN(2)/25)*AA183+(1-EXP(-LN(2)/25))/(LN(2)/25)*Calculateur!V184*Calculateur!X184*VLOOKUP('Données projet'!$B$9,Paramètres!$A$1:$I$89,3,0)*0.475*44/12</f>
        <v>4.447068367083415</v>
      </c>
      <c r="AB184" s="21">
        <f>EXP(-LN(2)/2)*AB183+(1-EXP(-LN(2)/2))/(LN(2)/2)*V184*Y184*VLOOKUP('Données projet'!$B$9,Paramètres!$A$1:$I$89,3,0)*0.475*44/12</f>
        <v>2.0035530778509791E-11</v>
      </c>
      <c r="AC184" s="22">
        <f t="shared" si="163"/>
        <v>39.211174820969696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377.63545575155672</v>
      </c>
      <c r="AO184" s="59">
        <f t="shared" si="144"/>
        <v>339.1731538522788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1.7053025658242404E-13</v>
      </c>
      <c r="BE184" s="13">
        <f>BD184*VLOOKUP('Données projet'!$B$11,Paramètres!$A$1:$I$89,3,0)*VLOOKUP('Données projet'!$B$11,Paramètres!$A$1:$I$89,5,0)</f>
        <v>1.383341441396624E-13</v>
      </c>
      <c r="BF184" s="13">
        <f t="shared" si="167"/>
        <v>2.0011390722884082E-12</v>
      </c>
      <c r="BG184" s="20">
        <f t="shared" si="168"/>
        <v>3.7262491852788889E-12</v>
      </c>
      <c r="BH184" s="59">
        <f t="shared" si="116"/>
        <v>289.47336565868784</v>
      </c>
      <c r="BI184" s="59">
        <f ca="1">AVERAGE(OFFSET($BH$3,0,0,'Données projet'!$E$11+1,1))-AVERAGE(OFFSET($H$3,0,0,'Données projet'!$E$11+1,1))</f>
        <v>318.98630351938459</v>
      </c>
      <c r="BJ184" s="59">
        <f t="shared" si="146"/>
        <v>312.22190035638084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11.317376238570573</v>
      </c>
      <c r="BQ184" s="21">
        <f>EXP(-LN(2)/25)*BQ183+(1-EXP(-LN(2)/25))/(LN(2)/25)*Calculateur!BL184*Calculateur!BN184*VLOOKUP('Données projet'!$B$11,Paramètres!$A$1:$I$89,3,0)*0.475*44/12</f>
        <v>3.918063740055624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15.235439978626196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259.99999999999983</v>
      </c>
      <c r="BZ184" s="13">
        <f>BY184*VLOOKUP('Données projet'!$B$12,Paramètres!$A$1:$I$89,3,0)*VLOOKUP('Données projet'!$B$12,Paramètres!$A$1:$I$89,5,0)</f>
        <v>227.13599999999985</v>
      </c>
      <c r="CA184" s="13">
        <f t="shared" si="170"/>
        <v>55.662966886685133</v>
      </c>
      <c r="CB184" s="20">
        <f t="shared" si="171"/>
        <v>492.5415339943097</v>
      </c>
      <c r="CC184" s="59">
        <f t="shared" si="119"/>
        <v>782.01489965299379</v>
      </c>
      <c r="CD184" s="59">
        <f ca="1">AVERAGE(OFFSET($CC$3,0,0,'Données projet'!$E$12+1,1))-AVERAGE(OFFSET($H$3,0,0,'Données projet'!$E$12+1,1))</f>
        <v>411.67183422518411</v>
      </c>
      <c r="CE184" s="59">
        <f t="shared" si="148"/>
        <v>379.16642539721556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7.5923297660645774</v>
      </c>
      <c r="CL184" s="21">
        <f>EXP(-LN(2)/25)*CL183+(1-EXP(-LN(2)/25))/(LN(2)/25)*Calculateur!CG184*Calculateur!CI184*VLOOKUP('Données projet'!$B$12,Paramètres!$A$1:$I$89,3,0)*0.475*44/12</f>
        <v>1.4226432924723778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9.0149730585369561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-7.3896444519050419E-13</v>
      </c>
      <c r="O185" s="13">
        <f>N185*VLOOKUP('Données projet'!$B$9,Paramètres!$A$1:$I$89,3,0)*VLOOKUP('Données projet'!$B$9,Paramètres!$A$1:$I$89,5,0)</f>
        <v>-3.4583536034915594E-13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307.52968058891554</v>
      </c>
      <c r="T185" s="59">
        <f t="shared" si="142"/>
        <v>221.27527189662558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34.082403530317137</v>
      </c>
      <c r="AA185" s="21">
        <f>EXP(-LN(2)/25)*AA184+(1-EXP(-LN(2)/25))/(LN(2)/25)*Calculateur!V185*Calculateur!X185*VLOOKUP('Données projet'!$B$9,Paramètres!$A$1:$I$89,3,0)*0.475*44/12</f>
        <v>4.3254630487243579</v>
      </c>
      <c r="AB185" s="21">
        <f>EXP(-LN(2)/2)*AB184+(1-EXP(-LN(2)/2))/(LN(2)/2)*V185*Y185*VLOOKUP('Données projet'!$B$9,Paramètres!$A$1:$I$89,3,0)*0.475*44/12</f>
        <v>1.4167259678156061E-11</v>
      </c>
      <c r="AC185" s="22">
        <f t="shared" si="163"/>
        <v>38.407866579055664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377.63545575155672</v>
      </c>
      <c r="AO185" s="59">
        <f t="shared" si="144"/>
        <v>339.1731538522788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1.7053025658242404E-13</v>
      </c>
      <c r="BE185" s="13">
        <f>BD185*VLOOKUP('Données projet'!$B$11,Paramètres!$A$1:$I$89,3,0)*VLOOKUP('Données projet'!$B$11,Paramètres!$A$1:$I$89,5,0)</f>
        <v>1.383341441396624E-13</v>
      </c>
      <c r="BF185" s="13">
        <f t="shared" si="167"/>
        <v>2.0011390722884082E-12</v>
      </c>
      <c r="BG185" s="20">
        <f t="shared" si="168"/>
        <v>3.7262491852788889E-12</v>
      </c>
      <c r="BH185" s="59">
        <f t="shared" si="116"/>
        <v>289.54032746824817</v>
      </c>
      <c r="BI185" s="59">
        <f ca="1">AVERAGE(OFFSET($BH$3,0,0,'Données projet'!$E$11+1,1))-AVERAGE(OFFSET($H$3,0,0,'Données projet'!$E$11+1,1))</f>
        <v>318.98630351938459</v>
      </c>
      <c r="BJ185" s="59">
        <f t="shared" si="146"/>
        <v>312.22190035638084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11.095449393450103</v>
      </c>
      <c r="BQ185" s="21">
        <f>EXP(-LN(2)/25)*BQ184+(1-EXP(-LN(2)/25))/(LN(2)/25)*Calculateur!BL185*Calculateur!BN185*VLOOKUP('Données projet'!$B$11,Paramètres!$A$1:$I$89,3,0)*0.475*44/12</f>
        <v>3.8109240810417857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14.90637347449189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259.99999999999983</v>
      </c>
      <c r="BZ185" s="13">
        <f>BY185*VLOOKUP('Données projet'!$B$12,Paramètres!$A$1:$I$89,3,0)*VLOOKUP('Données projet'!$B$12,Paramètres!$A$1:$I$89,5,0)</f>
        <v>227.13599999999985</v>
      </c>
      <c r="CA185" s="13">
        <f t="shared" si="170"/>
        <v>55.662966886685133</v>
      </c>
      <c r="CB185" s="20">
        <f t="shared" si="171"/>
        <v>492.5415339943097</v>
      </c>
      <c r="CC185" s="59">
        <f t="shared" si="119"/>
        <v>782.08186146255412</v>
      </c>
      <c r="CD185" s="59">
        <f ca="1">AVERAGE(OFFSET($CC$3,0,0,'Données projet'!$E$12+1,1))-AVERAGE(OFFSET($H$3,0,0,'Données projet'!$E$12+1,1))</f>
        <v>411.67183422518411</v>
      </c>
      <c r="CE185" s="59">
        <f t="shared" si="148"/>
        <v>379.16642539721556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7.4434488102159486</v>
      </c>
      <c r="CL185" s="21">
        <f>EXP(-LN(2)/25)*CL184+(1-EXP(-LN(2)/25))/(LN(2)/25)*Calculateur!CG185*Calculateur!CI185*VLOOKUP('Données projet'!$B$12,Paramètres!$A$1:$I$89,3,0)*0.475*44/12</f>
        <v>1.3837410368261613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8.82718984704211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-7.3896444519050419E-13</v>
      </c>
      <c r="O186" s="13">
        <f>N186*VLOOKUP('Données projet'!$B$9,Paramètres!$A$1:$I$89,3,0)*VLOOKUP('Données projet'!$B$9,Paramètres!$A$1:$I$89,5,0)</f>
        <v>-3.4583536034915594E-13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307.52968058891554</v>
      </c>
      <c r="T186" s="59">
        <f t="shared" si="142"/>
        <v>221.27527189662558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33.414068385301107</v>
      </c>
      <c r="AA186" s="21">
        <f>EXP(-LN(2)/25)*AA185+(1-EXP(-LN(2)/25))/(LN(2)/25)*Calculateur!V186*Calculateur!X186*VLOOKUP('Données projet'!$B$9,Paramètres!$A$1:$I$89,3,0)*0.475*44/12</f>
        <v>4.2071830341907743</v>
      </c>
      <c r="AB186" s="21">
        <f>EXP(-LN(2)/2)*AB185+(1-EXP(-LN(2)/2))/(LN(2)/2)*V186*Y186*VLOOKUP('Données projet'!$B$9,Paramètres!$A$1:$I$89,3,0)*0.475*44/12</f>
        <v>1.0017765389254895E-11</v>
      </c>
      <c r="AC186" s="22">
        <f t="shared" si="163"/>
        <v>37.621251419501903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377.63545575155672</v>
      </c>
      <c r="AO186" s="59">
        <f t="shared" si="144"/>
        <v>339.1731538522788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1.7053025658242404E-13</v>
      </c>
      <c r="BE186" s="13">
        <f>BD186*VLOOKUP('Données projet'!$B$11,Paramètres!$A$1:$I$89,3,0)*VLOOKUP('Données projet'!$B$11,Paramètres!$A$1:$I$89,5,0)</f>
        <v>1.383341441396624E-13</v>
      </c>
      <c r="BF186" s="13">
        <f t="shared" si="167"/>
        <v>2.0011390722884082E-12</v>
      </c>
      <c r="BG186" s="20">
        <f t="shared" si="168"/>
        <v>3.7262491852788889E-12</v>
      </c>
      <c r="BH186" s="59">
        <f t="shared" si="116"/>
        <v>289.60612764011671</v>
      </c>
      <c r="BI186" s="59">
        <f ca="1">AVERAGE(OFFSET($BH$3,0,0,'Données projet'!$E$11+1,1))-AVERAGE(OFFSET($H$3,0,0,'Données projet'!$E$11+1,1))</f>
        <v>318.98630351938459</v>
      </c>
      <c r="BJ186" s="59">
        <f t="shared" si="146"/>
        <v>312.22190035638084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10.877874398400436</v>
      </c>
      <c r="BQ186" s="21">
        <f>EXP(-LN(2)/25)*BQ185+(1-EXP(-LN(2)/25))/(LN(2)/25)*Calculateur!BL186*Calculateur!BN186*VLOOKUP('Données projet'!$B$11,Paramètres!$A$1:$I$89,3,0)*0.475*44/12</f>
        <v>3.7067141616379105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14.584588560038346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259.99999999999983</v>
      </c>
      <c r="BZ186" s="13">
        <f>BY186*VLOOKUP('Données projet'!$B$12,Paramètres!$A$1:$I$89,3,0)*VLOOKUP('Données projet'!$B$12,Paramètres!$A$1:$I$89,5,0)</f>
        <v>227.13599999999985</v>
      </c>
      <c r="CA186" s="13">
        <f t="shared" si="170"/>
        <v>55.662966886685133</v>
      </c>
      <c r="CB186" s="20">
        <f t="shared" si="171"/>
        <v>492.5415339943097</v>
      </c>
      <c r="CC186" s="59">
        <f t="shared" si="119"/>
        <v>782.14766163442266</v>
      </c>
      <c r="CD186" s="59">
        <f ca="1">AVERAGE(OFFSET($CC$3,0,0,'Données projet'!$E$12+1,1))-AVERAGE(OFFSET($H$3,0,0,'Données projet'!$E$12+1,1))</f>
        <v>411.67183422518411</v>
      </c>
      <c r="CE186" s="59">
        <f t="shared" si="148"/>
        <v>379.16642539721556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7.2974873191030944</v>
      </c>
      <c r="CL186" s="21">
        <f>EXP(-LN(2)/25)*CL185+(1-EXP(-LN(2)/25))/(LN(2)/25)*Calculateur!CG186*Calculateur!CI186*VLOOKUP('Données projet'!$B$12,Paramètres!$A$1:$I$89,3,0)*0.475*44/12</f>
        <v>1.3459025654063714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8.6433898845094657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-7.3896444519050419E-13</v>
      </c>
      <c r="O187" s="13">
        <f>N187*VLOOKUP('Données projet'!$B$9,Paramètres!$A$1:$I$89,3,0)*VLOOKUP('Données projet'!$B$9,Paramètres!$A$1:$I$89,5,0)</f>
        <v>-3.4583536034915594E-13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307.52968058891554</v>
      </c>
      <c r="T187" s="59">
        <f t="shared" si="142"/>
        <v>221.27527189662558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32.758838884834653</v>
      </c>
      <c r="AA187" s="21">
        <f>EXP(-LN(2)/25)*AA186+(1-EXP(-LN(2)/25))/(LN(2)/25)*Calculateur!V187*Calculateur!X187*VLOOKUP('Données projet'!$B$9,Paramètres!$A$1:$I$89,3,0)*0.475*44/12</f>
        <v>4.0921373928746876</v>
      </c>
      <c r="AB187" s="21">
        <f>EXP(-LN(2)/2)*AB186+(1-EXP(-LN(2)/2))/(LN(2)/2)*V187*Y187*VLOOKUP('Données projet'!$B$9,Paramètres!$A$1:$I$89,3,0)*0.475*44/12</f>
        <v>7.0836298390780305E-12</v>
      </c>
      <c r="AC187" s="22">
        <f t="shared" si="163"/>
        <v>36.850976277716427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377.63545575155672</v>
      </c>
      <c r="AO187" s="59">
        <f t="shared" si="144"/>
        <v>339.1731538522788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1.7053025658242404E-13</v>
      </c>
      <c r="BE187" s="13">
        <f>BD187*VLOOKUP('Données projet'!$B$11,Paramètres!$A$1:$I$89,3,0)*VLOOKUP('Données projet'!$B$11,Paramètres!$A$1:$I$89,5,0)</f>
        <v>1.383341441396624E-13</v>
      </c>
      <c r="BF187" s="13">
        <f t="shared" si="167"/>
        <v>2.0011390722884082E-12</v>
      </c>
      <c r="BG187" s="20">
        <f t="shared" si="168"/>
        <v>3.7262491852788889E-12</v>
      </c>
      <c r="BH187" s="59">
        <f t="shared" si="116"/>
        <v>289.67078632611049</v>
      </c>
      <c r="BI187" s="59">
        <f ca="1">AVERAGE(OFFSET($BH$3,0,0,'Données projet'!$E$11+1,1))-AVERAGE(OFFSET($H$3,0,0,'Données projet'!$E$11+1,1))</f>
        <v>318.98630351938459</v>
      </c>
      <c r="BJ187" s="59">
        <f t="shared" si="146"/>
        <v>312.22190035638084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10.66456591629605</v>
      </c>
      <c r="BQ187" s="21">
        <f>EXP(-LN(2)/25)*BQ186+(1-EXP(-LN(2)/25))/(LN(2)/25)*Calculateur!BL187*Calculateur!BN187*VLOOKUP('Données projet'!$B$11,Paramètres!$A$1:$I$89,3,0)*0.475*44/12</f>
        <v>3.6053538679602957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14.269919784256345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259.99999999999983</v>
      </c>
      <c r="BZ187" s="13">
        <f>BY187*VLOOKUP('Données projet'!$B$12,Paramètres!$A$1:$I$89,3,0)*VLOOKUP('Données projet'!$B$12,Paramètres!$A$1:$I$89,5,0)</f>
        <v>227.13599999999985</v>
      </c>
      <c r="CA187" s="13">
        <f t="shared" si="170"/>
        <v>55.662966886685133</v>
      </c>
      <c r="CB187" s="20">
        <f t="shared" si="171"/>
        <v>492.5415339943097</v>
      </c>
      <c r="CC187" s="59">
        <f t="shared" si="119"/>
        <v>782.21232032041644</v>
      </c>
      <c r="CD187" s="59">
        <f ca="1">AVERAGE(OFFSET($CC$3,0,0,'Données projet'!$E$12+1,1))-AVERAGE(OFFSET($H$3,0,0,'Données projet'!$E$12+1,1))</f>
        <v>411.67183422518411</v>
      </c>
      <c r="CE187" s="59">
        <f t="shared" si="148"/>
        <v>379.16642539721556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7.1543880438032446</v>
      </c>
      <c r="CL187" s="21">
        <f>EXP(-LN(2)/25)*CL186+(1-EXP(-LN(2)/25))/(LN(2)/25)*Calculateur!CG187*Calculateur!CI187*VLOOKUP('Données projet'!$B$12,Paramètres!$A$1:$I$89,3,0)*0.475*44/12</f>
        <v>1.3090987889773944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8.4634868327806387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-7.3896444519050419E-13</v>
      </c>
      <c r="O188" s="13">
        <f>N188*VLOOKUP('Données projet'!$B$9,Paramètres!$A$1:$I$89,3,0)*VLOOKUP('Données projet'!$B$9,Paramètres!$A$1:$I$89,5,0)</f>
        <v>-3.4583536034915594E-13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307.52968058891554</v>
      </c>
      <c r="T188" s="59">
        <f t="shared" si="142"/>
        <v>221.27527189662558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32.116458035221811</v>
      </c>
      <c r="AA188" s="21">
        <f>EXP(-LN(2)/25)*AA187+(1-EXP(-LN(2)/25))/(LN(2)/25)*Calculateur!V188*Calculateur!X188*VLOOKUP('Données projet'!$B$9,Paramètres!$A$1:$I$89,3,0)*0.475*44/12</f>
        <v>3.9802376806703763</v>
      </c>
      <c r="AB188" s="21">
        <f>EXP(-LN(2)/2)*AB187+(1-EXP(-LN(2)/2))/(LN(2)/2)*V188*Y188*VLOOKUP('Données projet'!$B$9,Paramètres!$A$1:$I$89,3,0)*0.475*44/12</f>
        <v>5.0088826946274477E-12</v>
      </c>
      <c r="AC188" s="22">
        <f t="shared" si="163"/>
        <v>36.096695715897198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377.63545575155672</v>
      </c>
      <c r="AO188" s="59">
        <f t="shared" si="144"/>
        <v>339.1731538522788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1.7053025658242404E-13</v>
      </c>
      <c r="BE188" s="13">
        <f>BD188*VLOOKUP('Données projet'!$B$11,Paramètres!$A$1:$I$89,3,0)*VLOOKUP('Données projet'!$B$11,Paramètres!$A$1:$I$89,5,0)</f>
        <v>1.383341441396624E-13</v>
      </c>
      <c r="BF188" s="13">
        <f t="shared" si="167"/>
        <v>2.0011390722884082E-12</v>
      </c>
      <c r="BG188" s="20">
        <f t="shared" si="168"/>
        <v>3.7262491852788889E-12</v>
      </c>
      <c r="BH188" s="59">
        <f t="shared" si="116"/>
        <v>289.73432332845749</v>
      </c>
      <c r="BI188" s="59">
        <f ca="1">AVERAGE(OFFSET($BH$3,0,0,'Données projet'!$E$11+1,1))-AVERAGE(OFFSET($H$3,0,0,'Données projet'!$E$11+1,1))</f>
        <v>318.98630351938459</v>
      </c>
      <c r="BJ188" s="59">
        <f t="shared" si="146"/>
        <v>312.22190035638084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10.455440283420403</v>
      </c>
      <c r="BQ188" s="21">
        <f>EXP(-LN(2)/25)*BQ187+(1-EXP(-LN(2)/25))/(LN(2)/25)*Calculateur!BL188*Calculateur!BN188*VLOOKUP('Données projet'!$B$11,Paramètres!$A$1:$I$89,3,0)*0.475*44/12</f>
        <v>3.5067652768436015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13.962205560264005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259.99999999999983</v>
      </c>
      <c r="BZ188" s="13">
        <f>BY188*VLOOKUP('Données projet'!$B$12,Paramètres!$A$1:$I$89,3,0)*VLOOKUP('Données projet'!$B$12,Paramètres!$A$1:$I$89,5,0)</f>
        <v>227.13599999999985</v>
      </c>
      <c r="CA188" s="13">
        <f t="shared" si="170"/>
        <v>55.662966886685133</v>
      </c>
      <c r="CB188" s="20">
        <f t="shared" si="171"/>
        <v>492.5415339943097</v>
      </c>
      <c r="CC188" s="59">
        <f t="shared" si="119"/>
        <v>782.27585732276339</v>
      </c>
      <c r="CD188" s="59">
        <f ca="1">AVERAGE(OFFSET($CC$3,0,0,'Données projet'!$E$12+1,1))-AVERAGE(OFFSET($H$3,0,0,'Données projet'!$E$12+1,1))</f>
        <v>411.67183422518411</v>
      </c>
      <c r="CE188" s="59">
        <f t="shared" si="148"/>
        <v>379.16642539721556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7.0140948580100853</v>
      </c>
      <c r="CL188" s="21">
        <f>EXP(-LN(2)/25)*CL187+(1-EXP(-LN(2)/25))/(LN(2)/25)*Calculateur!CG188*Calculateur!CI188*VLOOKUP('Données projet'!$B$12,Paramètres!$A$1:$I$89,3,0)*0.475*44/12</f>
        <v>1.2733014137502943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8.2873962717603789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-7.3896444519050419E-13</v>
      </c>
      <c r="O189" s="13">
        <f>N189*VLOOKUP('Données projet'!$B$9,Paramètres!$A$1:$I$89,3,0)*VLOOKUP('Données projet'!$B$9,Paramètres!$A$1:$I$89,5,0)</f>
        <v>-3.4583536034915594E-13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307.52968058891554</v>
      </c>
      <c r="T189" s="59">
        <f t="shared" si="142"/>
        <v>221.27527189662558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31.486673882256248</v>
      </c>
      <c r="AA189" s="21">
        <f>EXP(-LN(2)/25)*AA188+(1-EXP(-LN(2)/25))/(LN(2)/25)*Calculateur!V189*Calculateur!X189*VLOOKUP('Données projet'!$B$9,Paramètres!$A$1:$I$89,3,0)*0.475*44/12</f>
        <v>3.8713978719808422</v>
      </c>
      <c r="AB189" s="21">
        <f>EXP(-LN(2)/2)*AB188+(1-EXP(-LN(2)/2))/(LN(2)/2)*V189*Y189*VLOOKUP('Données projet'!$B$9,Paramètres!$A$1:$I$89,3,0)*0.475*44/12</f>
        <v>3.5418149195390152E-12</v>
      </c>
      <c r="AC189" s="22">
        <f t="shared" si="163"/>
        <v>35.358071754240626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377.63545575155672</v>
      </c>
      <c r="AO189" s="59">
        <f t="shared" si="144"/>
        <v>339.1731538522788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1.7053025658242404E-13</v>
      </c>
      <c r="BE189" s="13">
        <f>BD189*VLOOKUP('Données projet'!$B$11,Paramètres!$A$1:$I$89,3,0)*VLOOKUP('Données projet'!$B$11,Paramètres!$A$1:$I$89,5,0)</f>
        <v>1.383341441396624E-13</v>
      </c>
      <c r="BF189" s="13">
        <f t="shared" si="167"/>
        <v>2.0011390722884082E-12</v>
      </c>
      <c r="BG189" s="20">
        <f t="shared" si="168"/>
        <v>3.7262491852788889E-12</v>
      </c>
      <c r="BH189" s="59">
        <f t="shared" si="116"/>
        <v>289.79675810586116</v>
      </c>
      <c r="BI189" s="59">
        <f ca="1">AVERAGE(OFFSET($BH$3,0,0,'Données projet'!$E$11+1,1))-AVERAGE(OFFSET($H$3,0,0,'Données projet'!$E$11+1,1))</f>
        <v>318.98630351938459</v>
      </c>
      <c r="BJ189" s="59">
        <f t="shared" si="146"/>
        <v>312.22190035638084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10.250415476651407</v>
      </c>
      <c r="BQ189" s="21">
        <f>EXP(-LN(2)/25)*BQ188+(1-EXP(-LN(2)/25))/(LN(2)/25)*Calculateur!BL189*Calculateur!BN189*VLOOKUP('Données projet'!$B$11,Paramètres!$A$1:$I$89,3,0)*0.475*44/12</f>
        <v>3.4108725959355422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13.661288072586949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259.99999999999983</v>
      </c>
      <c r="BZ189" s="13">
        <f>BY189*VLOOKUP('Données projet'!$B$12,Paramètres!$A$1:$I$89,3,0)*VLOOKUP('Données projet'!$B$12,Paramètres!$A$1:$I$89,5,0)</f>
        <v>227.13599999999985</v>
      </c>
      <c r="CA189" s="13">
        <f t="shared" si="170"/>
        <v>55.662966886685133</v>
      </c>
      <c r="CB189" s="20">
        <f t="shared" si="171"/>
        <v>492.5415339943097</v>
      </c>
      <c r="CC189" s="59">
        <f t="shared" si="119"/>
        <v>782.33829210016711</v>
      </c>
      <c r="CD189" s="59">
        <f ca="1">AVERAGE(OFFSET($CC$3,0,0,'Données projet'!$E$12+1,1))-AVERAGE(OFFSET($H$3,0,0,'Données projet'!$E$12+1,1))</f>
        <v>411.67183422518411</v>
      </c>
      <c r="CE189" s="59">
        <f t="shared" si="148"/>
        <v>379.16642539721556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6.8765527360199359</v>
      </c>
      <c r="CL189" s="21">
        <f>EXP(-LN(2)/25)*CL188+(1-EXP(-LN(2)/25))/(LN(2)/25)*Calculateur!CG189*Calculateur!CI189*VLOOKUP('Données projet'!$B$12,Paramètres!$A$1:$I$89,3,0)*0.475*44/12</f>
        <v>1.2384829196312812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8.1150356556512175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-7.3896444519050419E-13</v>
      </c>
      <c r="O190" s="13">
        <f>N190*VLOOKUP('Données projet'!$B$9,Paramètres!$A$1:$I$89,3,0)*VLOOKUP('Données projet'!$B$9,Paramètres!$A$1:$I$89,5,0)</f>
        <v>-3.4583536034915594E-13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307.52968058891554</v>
      </c>
      <c r="T190" s="59">
        <f t="shared" si="142"/>
        <v>221.27527189662558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30.869239412399939</v>
      </c>
      <c r="AA190" s="21">
        <f>EXP(-LN(2)/25)*AA189+(1-EXP(-LN(2)/25))/(LN(2)/25)*Calculateur!V190*Calculateur!X190*VLOOKUP('Données projet'!$B$9,Paramètres!$A$1:$I$89,3,0)*0.475*44/12</f>
        <v>3.7655342935835603</v>
      </c>
      <c r="AB190" s="21">
        <f>EXP(-LN(2)/2)*AB189+(1-EXP(-LN(2)/2))/(LN(2)/2)*V190*Y190*VLOOKUP('Données projet'!$B$9,Paramètres!$A$1:$I$89,3,0)*0.475*44/12</f>
        <v>2.5044413473137238E-12</v>
      </c>
      <c r="AC190" s="22">
        <f t="shared" si="163"/>
        <v>34.634773705985999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377.63545575155672</v>
      </c>
      <c r="AO190" s="59">
        <f t="shared" si="144"/>
        <v>339.1731538522788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1.7053025658242404E-13</v>
      </c>
      <c r="BE190" s="13">
        <f>BD190*VLOOKUP('Données projet'!$B$11,Paramètres!$A$1:$I$89,3,0)*VLOOKUP('Données projet'!$B$11,Paramètres!$A$1:$I$89,5,0)</f>
        <v>1.383341441396624E-13</v>
      </c>
      <c r="BF190" s="13">
        <f t="shared" si="167"/>
        <v>2.0011390722884082E-12</v>
      </c>
      <c r="BG190" s="20">
        <f t="shared" si="168"/>
        <v>3.7262491852788889E-12</v>
      </c>
      <c r="BH190" s="59">
        <f t="shared" si="116"/>
        <v>289.85810977946016</v>
      </c>
      <c r="BI190" s="59">
        <f ca="1">AVERAGE(OFFSET($BH$3,0,0,'Données projet'!$E$11+1,1))-AVERAGE(OFFSET($H$3,0,0,'Données projet'!$E$11+1,1))</f>
        <v>318.98630351938459</v>
      </c>
      <c r="BJ190" s="59">
        <f t="shared" si="146"/>
        <v>312.22190035638084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10.049411081290366</v>
      </c>
      <c r="BQ190" s="21">
        <f>EXP(-LN(2)/25)*BQ189+(1-EXP(-LN(2)/25))/(LN(2)/25)*Calculateur!BL190*Calculateur!BN190*VLOOKUP('Données projet'!$B$11,Paramètres!$A$1:$I$89,3,0)*0.475*44/12</f>
        <v>3.3176021054296907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13.367013186720056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259.99999999999983</v>
      </c>
      <c r="BZ190" s="13">
        <f>BY190*VLOOKUP('Données projet'!$B$12,Paramètres!$A$1:$I$89,3,0)*VLOOKUP('Données projet'!$B$12,Paramètres!$A$1:$I$89,5,0)</f>
        <v>227.13599999999985</v>
      </c>
      <c r="CA190" s="13">
        <f t="shared" si="170"/>
        <v>55.662966886685133</v>
      </c>
      <c r="CB190" s="20">
        <f t="shared" si="171"/>
        <v>492.5415339943097</v>
      </c>
      <c r="CC190" s="59">
        <f t="shared" si="119"/>
        <v>782.39964377376612</v>
      </c>
      <c r="CD190" s="59">
        <f ca="1">AVERAGE(OFFSET($CC$3,0,0,'Données projet'!$E$12+1,1))-AVERAGE(OFFSET($H$3,0,0,'Données projet'!$E$12+1,1))</f>
        <v>411.67183422518411</v>
      </c>
      <c r="CE190" s="59">
        <f t="shared" si="148"/>
        <v>379.16642539721556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6.741707731149603</v>
      </c>
      <c r="CL190" s="21">
        <f>EXP(-LN(2)/25)*CL189+(1-EXP(-LN(2)/25))/(LN(2)/25)*Calculateur!CG190*Calculateur!CI190*VLOOKUP('Données projet'!$B$12,Paramètres!$A$1:$I$89,3,0)*0.475*44/12</f>
        <v>1.2046165390649777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7.9463242702145802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-7.3896444519050419E-13</v>
      </c>
      <c r="O191" s="13">
        <f>N191*VLOOKUP('Données projet'!$B$9,Paramètres!$A$1:$I$89,3,0)*VLOOKUP('Données projet'!$B$9,Paramètres!$A$1:$I$89,5,0)</f>
        <v>-3.4583536034915594E-13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307.52968058891554</v>
      </c>
      <c r="T191" s="59">
        <f t="shared" si="142"/>
        <v>221.27527189662558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30.263912455899668</v>
      </c>
      <c r="AA191" s="21">
        <f>EXP(-LN(2)/25)*AA190+(1-EXP(-LN(2)/25))/(LN(2)/25)*Calculateur!V191*Calculateur!X191*VLOOKUP('Données projet'!$B$9,Paramètres!$A$1:$I$89,3,0)*0.475*44/12</f>
        <v>3.6625655603046754</v>
      </c>
      <c r="AB191" s="21">
        <f>EXP(-LN(2)/2)*AB190+(1-EXP(-LN(2)/2))/(LN(2)/2)*V191*Y191*VLOOKUP('Données projet'!$B$9,Paramètres!$A$1:$I$89,3,0)*0.475*44/12</f>
        <v>1.7709074597695076E-12</v>
      </c>
      <c r="AC191" s="22">
        <f t="shared" si="163"/>
        <v>33.926478016206111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377.63545575155672</v>
      </c>
      <c r="AO191" s="59">
        <f t="shared" si="144"/>
        <v>339.1731538522788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1.7053025658242404E-13</v>
      </c>
      <c r="BE191" s="13">
        <f>BD191*VLOOKUP('Données projet'!$B$11,Paramètres!$A$1:$I$89,3,0)*VLOOKUP('Données projet'!$B$11,Paramètres!$A$1:$I$89,5,0)</f>
        <v>1.383341441396624E-13</v>
      </c>
      <c r="BF191" s="13">
        <f t="shared" si="167"/>
        <v>2.0011390722884082E-12</v>
      </c>
      <c r="BG191" s="20">
        <f t="shared" si="168"/>
        <v>3.7262491852788889E-12</v>
      </c>
      <c r="BH191" s="59">
        <f t="shared" si="116"/>
        <v>289.91839713868399</v>
      </c>
      <c r="BI191" s="59">
        <f ca="1">AVERAGE(OFFSET($BH$3,0,0,'Données projet'!$E$11+1,1))-AVERAGE(OFFSET($H$3,0,0,'Données projet'!$E$11+1,1))</f>
        <v>318.98630351938459</v>
      </c>
      <c r="BJ191" s="59">
        <f t="shared" si="146"/>
        <v>312.22190035638084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9.8523482595217793</v>
      </c>
      <c r="BQ191" s="21">
        <f>EXP(-LN(2)/25)*BQ190+(1-EXP(-LN(2)/25))/(LN(2)/25)*Calculateur!BL191*Calculateur!BN191*VLOOKUP('Données projet'!$B$11,Paramètres!$A$1:$I$89,3,0)*0.475*44/12</f>
        <v>3.2268821013916034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13.079230360913382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259.99999999999983</v>
      </c>
      <c r="BZ191" s="13">
        <f>BY191*VLOOKUP('Données projet'!$B$12,Paramètres!$A$1:$I$89,3,0)*VLOOKUP('Données projet'!$B$12,Paramètres!$A$1:$I$89,5,0)</f>
        <v>227.13599999999985</v>
      </c>
      <c r="CA191" s="13">
        <f t="shared" si="170"/>
        <v>55.662966886685133</v>
      </c>
      <c r="CB191" s="20">
        <f t="shared" si="171"/>
        <v>492.5415339943097</v>
      </c>
      <c r="CC191" s="59">
        <f t="shared" si="119"/>
        <v>782.45993113298994</v>
      </c>
      <c r="CD191" s="59">
        <f ca="1">AVERAGE(OFFSET($CC$3,0,0,'Données projet'!$E$12+1,1))-AVERAGE(OFFSET($H$3,0,0,'Données projet'!$E$12+1,1))</f>
        <v>411.67183422518411</v>
      </c>
      <c r="CE191" s="59">
        <f t="shared" si="148"/>
        <v>379.16642539721556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6.6095069545774452</v>
      </c>
      <c r="CL191" s="21">
        <f>EXP(-LN(2)/25)*CL190+(1-EXP(-LN(2)/25))/(LN(2)/25)*Calculateur!CG191*Calculateur!CI191*VLOOKUP('Données projet'!$B$12,Paramètres!$A$1:$I$89,3,0)*0.475*44/12</f>
        <v>1.1716762364562152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7.7811831910336604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-7.3896444519050419E-13</v>
      </c>
      <c r="O192" s="13">
        <f>N192*VLOOKUP('Données projet'!$B$9,Paramètres!$A$1:$I$89,3,0)*VLOOKUP('Données projet'!$B$9,Paramètres!$A$1:$I$89,5,0)</f>
        <v>-3.4583536034915594E-13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307.52968058891554</v>
      </c>
      <c r="T192" s="59">
        <f t="shared" si="142"/>
        <v>221.27527189662558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29.670455591803382</v>
      </c>
      <c r="AA192" s="21">
        <f>EXP(-LN(2)/25)*AA191+(1-EXP(-LN(2)/25))/(LN(2)/25)*Calculateur!V192*Calculateur!X192*VLOOKUP('Données projet'!$B$9,Paramètres!$A$1:$I$89,3,0)*0.475*44/12</f>
        <v>3.5624125124521919</v>
      </c>
      <c r="AB192" s="21">
        <f>EXP(-LN(2)/2)*AB191+(1-EXP(-LN(2)/2))/(LN(2)/2)*V192*Y192*VLOOKUP('Données projet'!$B$9,Paramètres!$A$1:$I$89,3,0)*0.475*44/12</f>
        <v>1.2522206736568619E-12</v>
      </c>
      <c r="AC192" s="22">
        <f t="shared" si="163"/>
        <v>33.232868104256823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377.63545575155672</v>
      </c>
      <c r="AO192" s="59">
        <f t="shared" si="144"/>
        <v>339.1731538522788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1.7053025658242404E-13</v>
      </c>
      <c r="BE192" s="13">
        <f>BD192*VLOOKUP('Données projet'!$B$11,Paramètres!$A$1:$I$89,3,0)*VLOOKUP('Données projet'!$B$11,Paramètres!$A$1:$I$89,5,0)</f>
        <v>1.383341441396624E-13</v>
      </c>
      <c r="BF192" s="13">
        <f t="shared" si="167"/>
        <v>2.0011390722884082E-12</v>
      </c>
      <c r="BG192" s="20">
        <f t="shared" si="168"/>
        <v>3.7262491852788889E-12</v>
      </c>
      <c r="BH192" s="59">
        <f t="shared" si="116"/>
        <v>289.97763864700761</v>
      </c>
      <c r="BI192" s="59">
        <f ca="1">AVERAGE(OFFSET($BH$3,0,0,'Données projet'!$E$11+1,1))-AVERAGE(OFFSET($H$3,0,0,'Données projet'!$E$11+1,1))</f>
        <v>318.98630351938459</v>
      </c>
      <c r="BJ192" s="59">
        <f t="shared" si="146"/>
        <v>312.22190035638084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9.6591497194916229</v>
      </c>
      <c r="BQ192" s="21">
        <f>EXP(-LN(2)/25)*BQ191+(1-EXP(-LN(2)/25))/(LN(2)/25)*Calculateur!BL192*Calculateur!BN192*VLOOKUP('Données projet'!$B$11,Paramètres!$A$1:$I$89,3,0)*0.475*44/12</f>
        <v>3.1386428406346956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12.797792560126318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259.99999999999983</v>
      </c>
      <c r="BZ192" s="13">
        <f>BY192*VLOOKUP('Données projet'!$B$12,Paramètres!$A$1:$I$89,3,0)*VLOOKUP('Données projet'!$B$12,Paramètres!$A$1:$I$89,5,0)</f>
        <v>227.13599999999985</v>
      </c>
      <c r="CA192" s="13">
        <f t="shared" si="170"/>
        <v>55.662966886685133</v>
      </c>
      <c r="CB192" s="20">
        <f t="shared" si="171"/>
        <v>492.5415339943097</v>
      </c>
      <c r="CC192" s="59">
        <f t="shared" si="119"/>
        <v>782.51917264131362</v>
      </c>
      <c r="CD192" s="59">
        <f ca="1">AVERAGE(OFFSET($CC$3,0,0,'Données projet'!$E$12+1,1))-AVERAGE(OFFSET($H$3,0,0,'Données projet'!$E$12+1,1))</f>
        <v>411.67183422518411</v>
      </c>
      <c r="CE192" s="59">
        <f t="shared" si="148"/>
        <v>379.16642539721556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6.4798985545993562</v>
      </c>
      <c r="CL192" s="21">
        <f>EXP(-LN(2)/25)*CL191+(1-EXP(-LN(2)/25))/(LN(2)/25)*Calculateur!CG192*Calculateur!CI192*VLOOKUP('Données projet'!$B$12,Paramètres!$A$1:$I$89,3,0)*0.475*44/12</f>
        <v>1.1396366881545446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7.6195352427539005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-7.3896444519050419E-13</v>
      </c>
      <c r="O193" s="13">
        <f>N193*VLOOKUP('Données projet'!$B$9,Paramètres!$A$1:$I$89,3,0)*VLOOKUP('Données projet'!$B$9,Paramètres!$A$1:$I$89,5,0)</f>
        <v>-3.4583536034915594E-13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307.52968058891554</v>
      </c>
      <c r="T193" s="59">
        <f t="shared" si="142"/>
        <v>221.27527189662558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29.088636054839078</v>
      </c>
      <c r="AA193" s="21">
        <f>EXP(-LN(2)/25)*AA192+(1-EXP(-LN(2)/25))/(LN(2)/25)*Calculateur!V193*Calculateur!X193*VLOOKUP('Données projet'!$B$9,Paramètres!$A$1:$I$89,3,0)*0.475*44/12</f>
        <v>3.4649981549600546</v>
      </c>
      <c r="AB193" s="21">
        <f>EXP(-LN(2)/2)*AB192+(1-EXP(-LN(2)/2))/(LN(2)/2)*V193*Y193*VLOOKUP('Données projet'!$B$9,Paramètres!$A$1:$I$89,3,0)*0.475*44/12</f>
        <v>8.8545372988475381E-13</v>
      </c>
      <c r="AC193" s="22">
        <f t="shared" si="163"/>
        <v>32.553634209800023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377.63545575155672</v>
      </c>
      <c r="AO193" s="59">
        <f t="shared" si="144"/>
        <v>339.1731538522788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1.7053025658242404E-13</v>
      </c>
      <c r="BE193" s="13">
        <f>BD193*VLOOKUP('Données projet'!$B$11,Paramètres!$A$1:$I$89,3,0)*VLOOKUP('Données projet'!$B$11,Paramètres!$A$1:$I$89,5,0)</f>
        <v>1.383341441396624E-13</v>
      </c>
      <c r="BF193" s="13">
        <f t="shared" si="167"/>
        <v>2.0011390722884082E-12</v>
      </c>
      <c r="BG193" s="20">
        <f t="shared" si="168"/>
        <v>3.7262491852788889E-12</v>
      </c>
      <c r="BH193" s="59">
        <f t="shared" si="116"/>
        <v>290.03585244760603</v>
      </c>
      <c r="BI193" s="59">
        <f ca="1">AVERAGE(OFFSET($BH$3,0,0,'Données projet'!$E$11+1,1))-AVERAGE(OFFSET($H$3,0,0,'Données projet'!$E$11+1,1))</f>
        <v>318.98630351938459</v>
      </c>
      <c r="BJ193" s="59">
        <f t="shared" si="146"/>
        <v>312.22190035638084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9.4697396849919837</v>
      </c>
      <c r="BQ193" s="21">
        <f>EXP(-LN(2)/25)*BQ192+(1-EXP(-LN(2)/25))/(LN(2)/25)*Calculateur!BL193*Calculateur!BN193*VLOOKUP('Données projet'!$B$11,Paramètres!$A$1:$I$89,3,0)*0.475*44/12</f>
        <v>3.0528164871034864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12.52255617209547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259.99999999999983</v>
      </c>
      <c r="BZ193" s="13">
        <f>BY193*VLOOKUP('Données projet'!$B$12,Paramètres!$A$1:$I$89,3,0)*VLOOKUP('Données projet'!$B$12,Paramètres!$A$1:$I$89,5,0)</f>
        <v>227.13599999999985</v>
      </c>
      <c r="CA193" s="13">
        <f t="shared" si="170"/>
        <v>55.662966886685133</v>
      </c>
      <c r="CB193" s="20">
        <f t="shared" si="171"/>
        <v>492.5415339943097</v>
      </c>
      <c r="CC193" s="59">
        <f t="shared" si="119"/>
        <v>782.57738644191204</v>
      </c>
      <c r="CD193" s="59">
        <f ca="1">AVERAGE(OFFSET($CC$3,0,0,'Données projet'!$E$12+1,1))-AVERAGE(OFFSET($H$3,0,0,'Données projet'!$E$12+1,1))</f>
        <v>411.67183422518411</v>
      </c>
      <c r="CE193" s="59">
        <f t="shared" si="148"/>
        <v>379.16642539721556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6.3528316962915188</v>
      </c>
      <c r="CL193" s="21">
        <f>EXP(-LN(2)/25)*CL192+(1-EXP(-LN(2)/25))/(LN(2)/25)*Calculateur!CG193*Calculateur!CI193*VLOOKUP('Données projet'!$B$12,Paramètres!$A$1:$I$89,3,0)*0.475*44/12</f>
        <v>1.1084732629860699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7.4613049592775891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-7.3896444519050419E-13</v>
      </c>
      <c r="O194" s="13">
        <f>N194*VLOOKUP('Données projet'!$B$9,Paramètres!$A$1:$I$89,3,0)*VLOOKUP('Données projet'!$B$9,Paramètres!$A$1:$I$89,5,0)</f>
        <v>-3.4583536034915594E-13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307.52968058891554</v>
      </c>
      <c r="T194" s="59">
        <f t="shared" si="142"/>
        <v>221.27527189662558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28.51822564411977</v>
      </c>
      <c r="AA194" s="21">
        <f>EXP(-LN(2)/25)*AA193+(1-EXP(-LN(2)/25))/(LN(2)/25)*Calculateur!V194*Calculateur!X194*VLOOKUP('Données projet'!$B$9,Paramètres!$A$1:$I$89,3,0)*0.475*44/12</f>
        <v>3.3702475981963382</v>
      </c>
      <c r="AB194" s="21">
        <f>EXP(-LN(2)/2)*AB193+(1-EXP(-LN(2)/2))/(LN(2)/2)*V194*Y194*VLOOKUP('Données projet'!$B$9,Paramètres!$A$1:$I$89,3,0)*0.475*44/12</f>
        <v>6.2611033682843096E-13</v>
      </c>
      <c r="AC194" s="22">
        <f t="shared" si="163"/>
        <v>31.888473242316735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377.63545575155672</v>
      </c>
      <c r="AO194" s="59">
        <f t="shared" si="144"/>
        <v>339.1731538522788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1.7053025658242404E-13</v>
      </c>
      <c r="BE194" s="13">
        <f>BD194*VLOOKUP('Données projet'!$B$11,Paramètres!$A$1:$I$89,3,0)*VLOOKUP('Données projet'!$B$11,Paramètres!$A$1:$I$89,5,0)</f>
        <v>1.383341441396624E-13</v>
      </c>
      <c r="BF194" s="13">
        <f t="shared" si="167"/>
        <v>2.0011390722884082E-12</v>
      </c>
      <c r="BG194" s="20">
        <f t="shared" si="168"/>
        <v>3.7262491852788889E-12</v>
      </c>
      <c r="BH194" s="59">
        <f t="shared" si="116"/>
        <v>290.0930563689106</v>
      </c>
      <c r="BI194" s="59">
        <f ca="1">AVERAGE(OFFSET($BH$3,0,0,'Données projet'!$E$11+1,1))-AVERAGE(OFFSET($H$3,0,0,'Données projet'!$E$11+1,1))</f>
        <v>318.98630351938459</v>
      </c>
      <c r="BJ194" s="59">
        <f t="shared" si="146"/>
        <v>312.22190035638084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9.2840438657401698</v>
      </c>
      <c r="BQ194" s="21">
        <f>EXP(-LN(2)/25)*BQ193+(1-EXP(-LN(2)/25))/(LN(2)/25)*Calculateur!BL194*Calculateur!BN194*VLOOKUP('Données projet'!$B$11,Paramètres!$A$1:$I$89,3,0)*0.475*44/12</f>
        <v>2.9693370597229998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12.253380925463169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259.99999999999983</v>
      </c>
      <c r="BZ194" s="13">
        <f>BY194*VLOOKUP('Données projet'!$B$12,Paramètres!$A$1:$I$89,3,0)*VLOOKUP('Données projet'!$B$12,Paramètres!$A$1:$I$89,5,0)</f>
        <v>227.13599999999985</v>
      </c>
      <c r="CA194" s="13">
        <f t="shared" si="170"/>
        <v>55.662966886685133</v>
      </c>
      <c r="CB194" s="20">
        <f t="shared" si="171"/>
        <v>492.5415339943097</v>
      </c>
      <c r="CC194" s="59">
        <f t="shared" si="119"/>
        <v>782.6345903632166</v>
      </c>
      <c r="CD194" s="59">
        <f ca="1">AVERAGE(OFFSET($CC$3,0,0,'Données projet'!$E$12+1,1))-AVERAGE(OFFSET($H$3,0,0,'Données projet'!$E$12+1,1))</f>
        <v>411.67183422518411</v>
      </c>
      <c r="CE194" s="59">
        <f t="shared" si="148"/>
        <v>379.16642539721556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6.2282565415719677</v>
      </c>
      <c r="CL194" s="21">
        <f>EXP(-LN(2)/25)*CL193+(1-EXP(-LN(2)/25))/(LN(2)/25)*Calculateur!CG194*Calculateur!CI194*VLOOKUP('Données projet'!$B$12,Paramètres!$A$1:$I$89,3,0)*0.475*44/12</f>
        <v>1.0781620033176402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7.306418544889608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-7.3896444519050419E-13</v>
      </c>
      <c r="O195" s="13">
        <f>N195*VLOOKUP('Données projet'!$B$9,Paramètres!$A$1:$I$89,3,0)*VLOOKUP('Données projet'!$B$9,Paramètres!$A$1:$I$89,5,0)</f>
        <v>-3.4583536034915594E-13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307.52968058891554</v>
      </c>
      <c r="T195" s="59">
        <f t="shared" si="142"/>
        <v>221.27527189662558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27.95900063363867</v>
      </c>
      <c r="AA195" s="21">
        <f>EXP(-LN(2)/25)*AA194+(1-EXP(-LN(2)/25))/(LN(2)/25)*Calculateur!V195*Calculateur!X195*VLOOKUP('Données projet'!$B$9,Paramètres!$A$1:$I$89,3,0)*0.475*44/12</f>
        <v>3.2780880003900408</v>
      </c>
      <c r="AB195" s="21">
        <f>EXP(-LN(2)/2)*AB194+(1-EXP(-LN(2)/2))/(LN(2)/2)*V195*Y195*VLOOKUP('Données projet'!$B$9,Paramètres!$A$1:$I$89,3,0)*0.475*44/12</f>
        <v>4.427268649423769E-13</v>
      </c>
      <c r="AC195" s="22">
        <f t="shared" si="163"/>
        <v>31.237088634029156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377.63545575155672</v>
      </c>
      <c r="AO195" s="59">
        <f t="shared" si="144"/>
        <v>339.1731538522788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1.7053025658242404E-13</v>
      </c>
      <c r="BE195" s="13">
        <f>BD195*VLOOKUP('Données projet'!$B$11,Paramètres!$A$1:$I$89,3,0)*VLOOKUP('Données projet'!$B$11,Paramètres!$A$1:$I$89,5,0)</f>
        <v>1.383341441396624E-13</v>
      </c>
      <c r="BF195" s="13">
        <f t="shared" si="167"/>
        <v>2.0011390722884082E-12</v>
      </c>
      <c r="BG195" s="20">
        <f t="shared" si="168"/>
        <v>3.7262491852788889E-12</v>
      </c>
      <c r="BH195" s="59">
        <f t="shared" si="116"/>
        <v>290.14926793006941</v>
      </c>
      <c r="BI195" s="59">
        <f ca="1">AVERAGE(OFFSET($BH$3,0,0,'Données projet'!$E$11+1,1))-AVERAGE(OFFSET($H$3,0,0,'Données projet'!$E$11+1,1))</f>
        <v>318.98630351938459</v>
      </c>
      <c r="BJ195" s="59">
        <f t="shared" si="146"/>
        <v>312.22190035638084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9.1019894282406177</v>
      </c>
      <c r="BQ195" s="21">
        <f>EXP(-LN(2)/25)*BQ194+(1-EXP(-LN(2)/25))/(LN(2)/25)*Calculateur!BL195*Calculateur!BN195*VLOOKUP('Données projet'!$B$11,Paramètres!$A$1:$I$89,3,0)*0.475*44/12</f>
        <v>2.888140381674225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11.990129809914842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259.99999999999983</v>
      </c>
      <c r="BZ195" s="13">
        <f>BY195*VLOOKUP('Données projet'!$B$12,Paramètres!$A$1:$I$89,3,0)*VLOOKUP('Données projet'!$B$12,Paramètres!$A$1:$I$89,5,0)</f>
        <v>227.13599999999985</v>
      </c>
      <c r="CA195" s="13">
        <f t="shared" si="170"/>
        <v>55.662966886685133</v>
      </c>
      <c r="CB195" s="20">
        <f t="shared" si="171"/>
        <v>492.5415339943097</v>
      </c>
      <c r="CC195" s="59">
        <f t="shared" si="119"/>
        <v>782.69080192437536</v>
      </c>
      <c r="CD195" s="59">
        <f ca="1">AVERAGE(OFFSET($CC$3,0,0,'Données projet'!$E$12+1,1))-AVERAGE(OFFSET($H$3,0,0,'Données projet'!$E$12+1,1))</f>
        <v>411.67183422518411</v>
      </c>
      <c r="CE195" s="59">
        <f t="shared" si="148"/>
        <v>379.16642539721556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6.1061242296531253</v>
      </c>
      <c r="CL195" s="21">
        <f>EXP(-LN(2)/25)*CL194+(1-EXP(-LN(2)/25))/(LN(2)/25)*Calculateur!CG195*Calculateur!CI195*VLOOKUP('Données projet'!$B$12,Paramètres!$A$1:$I$89,3,0)*0.475*44/12</f>
        <v>1.0486796066388437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7.1548038362919693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-7.3896444519050419E-13</v>
      </c>
      <c r="O196" s="13">
        <f>N196*VLOOKUP('Données projet'!$B$9,Paramètres!$A$1:$I$89,3,0)*VLOOKUP('Données projet'!$B$9,Paramètres!$A$1:$I$89,5,0)</f>
        <v>-3.4583536034915594E-13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307.52968058891554</v>
      </c>
      <c r="T196" s="59">
        <f t="shared" si="142"/>
        <v>221.27527189662558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27.410741684519529</v>
      </c>
      <c r="AA196" s="21">
        <f>EXP(-LN(2)/25)*AA195+(1-EXP(-LN(2)/25))/(LN(2)/25)*Calculateur!V196*Calculateur!X196*VLOOKUP('Données projet'!$B$9,Paramètres!$A$1:$I$89,3,0)*0.475*44/12</f>
        <v>3.1884485116322194</v>
      </c>
      <c r="AB196" s="21">
        <f>EXP(-LN(2)/2)*AB195+(1-EXP(-LN(2)/2))/(LN(2)/2)*V196*Y196*VLOOKUP('Données projet'!$B$9,Paramètres!$A$1:$I$89,3,0)*0.475*44/12</f>
        <v>3.1305516841421548E-13</v>
      </c>
      <c r="AC196" s="22">
        <f t="shared" si="163"/>
        <v>30.599190196152062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377.63545575155672</v>
      </c>
      <c r="AO196" s="59">
        <f t="shared" si="144"/>
        <v>339.1731538522788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1.7053025658242404E-13</v>
      </c>
      <c r="BE196" s="13">
        <f>BD196*VLOOKUP('Données projet'!$B$11,Paramètres!$A$1:$I$89,3,0)*VLOOKUP('Données projet'!$B$11,Paramètres!$A$1:$I$89,5,0)</f>
        <v>1.383341441396624E-13</v>
      </c>
      <c r="BF196" s="13">
        <f t="shared" si="167"/>
        <v>2.0011390722884082E-12</v>
      </c>
      <c r="BG196" s="20">
        <f t="shared" si="168"/>
        <v>3.7262491852788889E-12</v>
      </c>
      <c r="BH196" s="59">
        <f t="shared" ref="BH196:BH203" si="194">BG196+(AY196+AZ196)*44/12</f>
        <v>290.20450434631226</v>
      </c>
      <c r="BI196" s="59">
        <f ca="1">AVERAGE(OFFSET($BH$3,0,0,'Données projet'!$E$11+1,1))-AVERAGE(OFFSET($H$3,0,0,'Données projet'!$E$11+1,1))</f>
        <v>318.98630351938459</v>
      </c>
      <c r="BJ196" s="59">
        <f t="shared" si="146"/>
        <v>312.22190035638084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8.9235049672181894</v>
      </c>
      <c r="BQ196" s="21">
        <f>EXP(-LN(2)/25)*BQ195+(1-EXP(-LN(2)/25))/(LN(2)/25)*Calculateur!BL196*Calculateur!BN196*VLOOKUP('Données projet'!$B$11,Paramètres!$A$1:$I$89,3,0)*0.475*44/12</f>
        <v>2.8091640310566417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11.732668998274832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259.99999999999983</v>
      </c>
      <c r="BZ196" s="13">
        <f>BY196*VLOOKUP('Données projet'!$B$12,Paramètres!$A$1:$I$89,3,0)*VLOOKUP('Données projet'!$B$12,Paramètres!$A$1:$I$89,5,0)</f>
        <v>227.13599999999985</v>
      </c>
      <c r="CA196" s="13">
        <f t="shared" si="170"/>
        <v>55.662966886685133</v>
      </c>
      <c r="CB196" s="20">
        <f t="shared" si="171"/>
        <v>492.5415339943097</v>
      </c>
      <c r="CC196" s="59">
        <f t="shared" ref="CC196:CC203" si="195">CB196+(BT196+BU196)*44/12</f>
        <v>782.74603834061827</v>
      </c>
      <c r="CD196" s="59">
        <f ca="1">AVERAGE(OFFSET($CC$3,0,0,'Données projet'!$E$12+1,1))-AVERAGE(OFFSET($H$3,0,0,'Données projet'!$E$12+1,1))</f>
        <v>411.67183422518411</v>
      </c>
      <c r="CE196" s="59">
        <f t="shared" si="148"/>
        <v>379.16642539721556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5.9863868578776565</v>
      </c>
      <c r="CL196" s="21">
        <f>EXP(-LN(2)/25)*CL195+(1-EXP(-LN(2)/25))/(LN(2)/25)*Calculateur!CG196*Calculateur!CI196*VLOOKUP('Données projet'!$B$12,Paramètres!$A$1:$I$89,3,0)*0.475*44/12</f>
        <v>1.0200034076476407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7.0063902655252974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-7.3896444519050419E-13</v>
      </c>
      <c r="O197" s="13">
        <f>N197*VLOOKUP('Données projet'!$B$9,Paramètres!$A$1:$I$89,3,0)*VLOOKUP('Données projet'!$B$9,Paramètres!$A$1:$I$89,5,0)</f>
        <v>-3.4583536034915594E-13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307.52968058891554</v>
      </c>
      <c r="T197" s="59">
        <f t="shared" ref="T197:T203" si="204">$T$3</f>
        <v>221.27527189662558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26.873233758987674</v>
      </c>
      <c r="AA197" s="21">
        <f>EXP(-LN(2)/25)*AA196+(1-EXP(-LN(2)/25))/(LN(2)/25)*Calculateur!V197*Calculateur!X197*VLOOKUP('Données projet'!$B$9,Paramètres!$A$1:$I$89,3,0)*0.475*44/12</f>
        <v>3.1012602194084167</v>
      </c>
      <c r="AB197" s="21">
        <f>EXP(-LN(2)/2)*AB196+(1-EXP(-LN(2)/2))/(LN(2)/2)*V197*Y197*VLOOKUP('Données projet'!$B$9,Paramètres!$A$1:$I$89,3,0)*0.475*44/12</f>
        <v>2.2136343247118845E-13</v>
      </c>
      <c r="AC197" s="22">
        <f t="shared" si="163"/>
        <v>29.97449397839631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377.63545575155672</v>
      </c>
      <c r="AO197" s="59">
        <f t="shared" ref="AO197:AO203" si="205">$AO$3</f>
        <v>339.1731538522788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1.7053025658242404E-13</v>
      </c>
      <c r="BE197" s="13">
        <f>BD197*VLOOKUP('Données projet'!$B$11,Paramètres!$A$1:$I$89,3,0)*VLOOKUP('Données projet'!$B$11,Paramètres!$A$1:$I$89,5,0)</f>
        <v>1.383341441396624E-13</v>
      </c>
      <c r="BF197" s="13">
        <f t="shared" si="167"/>
        <v>2.0011390722884082E-12</v>
      </c>
      <c r="BG197" s="20">
        <f t="shared" si="168"/>
        <v>3.7262491852788889E-12</v>
      </c>
      <c r="BH197" s="59">
        <f t="shared" si="194"/>
        <v>290.25878253422349</v>
      </c>
      <c r="BI197" s="59">
        <f ca="1">AVERAGE(OFFSET($BH$3,0,0,'Données projet'!$E$11+1,1))-AVERAGE(OFFSET($H$3,0,0,'Données projet'!$E$11+1,1))</f>
        <v>318.98630351938459</v>
      </c>
      <c r="BJ197" s="59">
        <f t="shared" ref="BJ197:BJ203" si="206">$BJ$3</f>
        <v>312.22190035638084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8.7485204776116383</v>
      </c>
      <c r="BQ197" s="21">
        <f>EXP(-LN(2)/25)*BQ196+(1-EXP(-LN(2)/25))/(LN(2)/25)*Calculateur!BL197*Calculateur!BN197*VLOOKUP('Données projet'!$B$11,Paramètres!$A$1:$I$89,3,0)*0.475*44/12</f>
        <v>2.732347292899882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11.480867770511519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259.99999999999983</v>
      </c>
      <c r="BZ197" s="13">
        <f>BY197*VLOOKUP('Données projet'!$B$12,Paramètres!$A$1:$I$89,3,0)*VLOOKUP('Données projet'!$B$12,Paramètres!$A$1:$I$89,5,0)</f>
        <v>227.13599999999985</v>
      </c>
      <c r="CA197" s="13">
        <f t="shared" si="170"/>
        <v>55.662966886685133</v>
      </c>
      <c r="CB197" s="20">
        <f t="shared" si="171"/>
        <v>492.5415339943097</v>
      </c>
      <c r="CC197" s="59">
        <f t="shared" si="195"/>
        <v>782.80031652852949</v>
      </c>
      <c r="CD197" s="59">
        <f ca="1">AVERAGE(OFFSET($CC$3,0,0,'Données projet'!$E$12+1,1))-AVERAGE(OFFSET($H$3,0,0,'Données projet'!$E$12+1,1))</f>
        <v>411.67183422518411</v>
      </c>
      <c r="CE197" s="59">
        <f t="shared" ref="CE197:CE203" si="207">$CE$3</f>
        <v>379.16642539721556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5.8689974629301194</v>
      </c>
      <c r="CL197" s="21">
        <f>EXP(-LN(2)/25)*CL196+(1-EXP(-LN(2)/25))/(LN(2)/25)*Calculateur!CG197*Calculateur!CI197*VLOOKUP('Données projet'!$B$12,Paramètres!$A$1:$I$89,3,0)*0.475*44/12</f>
        <v>0.99211136082586804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6.8611088237559876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-7.3896444519050419E-13</v>
      </c>
      <c r="O198" s="13">
        <f>N198*VLOOKUP('Données projet'!$B$9,Paramètres!$A$1:$I$89,3,0)*VLOOKUP('Données projet'!$B$9,Paramètres!$A$1:$I$89,5,0)</f>
        <v>-3.4583536034915594E-13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307.52968058891554</v>
      </c>
      <c r="T198" s="59">
        <f t="shared" si="204"/>
        <v>221.27527189662558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26.346266036028037</v>
      </c>
      <c r="AA198" s="21">
        <f>EXP(-LN(2)/25)*AA197+(1-EXP(-LN(2)/25))/(LN(2)/25)*Calculateur!V198*Calculateur!X198*VLOOKUP('Données projet'!$B$9,Paramètres!$A$1:$I$89,3,0)*0.475*44/12</f>
        <v>3.0164560956205064</v>
      </c>
      <c r="AB198" s="21">
        <f>EXP(-LN(2)/2)*AB197+(1-EXP(-LN(2)/2))/(LN(2)/2)*V198*Y198*VLOOKUP('Données projet'!$B$9,Paramètres!$A$1:$I$89,3,0)*0.475*44/12</f>
        <v>1.5652758420710774E-13</v>
      </c>
      <c r="AC198" s="22">
        <f t="shared" si="163"/>
        <v>29.362722131648699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377.63545575155672</v>
      </c>
      <c r="AO198" s="59">
        <f t="shared" si="205"/>
        <v>339.1731538522788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1.7053025658242404E-13</v>
      </c>
      <c r="BE198" s="13">
        <f>BD198*VLOOKUP('Données projet'!$B$11,Paramètres!$A$1:$I$89,3,0)*VLOOKUP('Données projet'!$B$11,Paramètres!$A$1:$I$89,5,0)</f>
        <v>1.383341441396624E-13</v>
      </c>
      <c r="BF198" s="13">
        <f t="shared" si="167"/>
        <v>2.0011390722884082E-12</v>
      </c>
      <c r="BG198" s="20">
        <f t="shared" si="168"/>
        <v>3.7262491852788889E-12</v>
      </c>
      <c r="BH198" s="59">
        <f t="shared" si="194"/>
        <v>290.31211911692225</v>
      </c>
      <c r="BI198" s="59">
        <f ca="1">AVERAGE(OFFSET($BH$3,0,0,'Données projet'!$E$11+1,1))-AVERAGE(OFFSET($H$3,0,0,'Données projet'!$E$11+1,1))</f>
        <v>318.98630351938459</v>
      </c>
      <c r="BJ198" s="59">
        <f t="shared" si="206"/>
        <v>312.22190035638084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8.5769673271162716</v>
      </c>
      <c r="BQ198" s="21">
        <f>EXP(-LN(2)/25)*BQ197+(1-EXP(-LN(2)/25))/(LN(2)/25)*Calculateur!BL198*Calculateur!BN198*VLOOKUP('Données projet'!$B$11,Paramètres!$A$1:$I$89,3,0)*0.475*44/12</f>
        <v>2.6576311124876355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11.234598439603907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259.99999999999983</v>
      </c>
      <c r="BZ198" s="13">
        <f>BY198*VLOOKUP('Données projet'!$B$12,Paramètres!$A$1:$I$89,3,0)*VLOOKUP('Données projet'!$B$12,Paramètres!$A$1:$I$89,5,0)</f>
        <v>227.13599999999985</v>
      </c>
      <c r="CA198" s="13">
        <f t="shared" si="170"/>
        <v>55.662966886685133</v>
      </c>
      <c r="CB198" s="20">
        <f t="shared" si="171"/>
        <v>492.5415339943097</v>
      </c>
      <c r="CC198" s="59">
        <f t="shared" si="195"/>
        <v>782.85365311122814</v>
      </c>
      <c r="CD198" s="59">
        <f ca="1">AVERAGE(OFFSET($CC$3,0,0,'Données projet'!$E$12+1,1))-AVERAGE(OFFSET($H$3,0,0,'Données projet'!$E$12+1,1))</f>
        <v>411.67183422518411</v>
      </c>
      <c r="CE198" s="59">
        <f t="shared" si="207"/>
        <v>379.16642539721556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5.7539100024170429</v>
      </c>
      <c r="CL198" s="21">
        <f>EXP(-LN(2)/25)*CL197+(1-EXP(-LN(2)/25))/(LN(2)/25)*Calculateur!CG198*Calculateur!CI198*VLOOKUP('Données projet'!$B$12,Paramètres!$A$1:$I$89,3,0)*0.475*44/12</f>
        <v>0.96498202349121576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6.718892025908259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-7.3896444519050419E-13</v>
      </c>
      <c r="O199" s="13">
        <f>N199*VLOOKUP('Données projet'!$B$9,Paramètres!$A$1:$I$89,3,0)*VLOOKUP('Données projet'!$B$9,Paramètres!$A$1:$I$89,5,0)</f>
        <v>-3.4583536034915594E-13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307.52968058891554</v>
      </c>
      <c r="T199" s="59">
        <f t="shared" si="204"/>
        <v>221.27527189662558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25.829631828697064</v>
      </c>
      <c r="AA199" s="21">
        <f>EXP(-LN(2)/25)*AA198+(1-EXP(-LN(2)/25))/(LN(2)/25)*Calculateur!V199*Calculateur!X199*VLOOKUP('Données projet'!$B$9,Paramètres!$A$1:$I$89,3,0)*0.475*44/12</f>
        <v>2.933970945057232</v>
      </c>
      <c r="AB199" s="21">
        <f>EXP(-LN(2)/2)*AB198+(1-EXP(-LN(2)/2))/(LN(2)/2)*V199*Y199*VLOOKUP('Données projet'!$B$9,Paramètres!$A$1:$I$89,3,0)*0.475*44/12</f>
        <v>1.1068171623559423E-13</v>
      </c>
      <c r="AC199" s="22">
        <f t="shared" si="163"/>
        <v>28.763602773754407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377.63545575155672</v>
      </c>
      <c r="AO199" s="59">
        <f t="shared" si="205"/>
        <v>339.1731538522788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1.7053025658242404E-13</v>
      </c>
      <c r="BE199" s="13">
        <f>BD199*VLOOKUP('Données projet'!$B$11,Paramètres!$A$1:$I$89,3,0)*VLOOKUP('Données projet'!$B$11,Paramètres!$A$1:$I$89,5,0)</f>
        <v>1.383341441396624E-13</v>
      </c>
      <c r="BF199" s="13">
        <f t="shared" si="167"/>
        <v>2.0011390722884082E-12</v>
      </c>
      <c r="BG199" s="20">
        <f t="shared" si="168"/>
        <v>3.7262491852788889E-12</v>
      </c>
      <c r="BH199" s="59">
        <f t="shared" si="194"/>
        <v>290.36453042915394</v>
      </c>
      <c r="BI199" s="59">
        <f ca="1">AVERAGE(OFFSET($BH$3,0,0,'Données projet'!$E$11+1,1))-AVERAGE(OFFSET($H$3,0,0,'Données projet'!$E$11+1,1))</f>
        <v>318.98630351938459</v>
      </c>
      <c r="BJ199" s="59">
        <f t="shared" si="206"/>
        <v>312.22190035638084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8.4087782292650299</v>
      </c>
      <c r="BQ199" s="21">
        <f>EXP(-LN(2)/25)*BQ198+(1-EXP(-LN(2)/25))/(LN(2)/25)*Calculateur!BL199*Calculateur!BN199*VLOOKUP('Données projet'!$B$11,Paramètres!$A$1:$I$89,3,0)*0.475*44/12</f>
        <v>2.584958049957915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10.993736279222945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259.99999999999983</v>
      </c>
      <c r="BZ199" s="13">
        <f>BY199*VLOOKUP('Données projet'!$B$12,Paramètres!$A$1:$I$89,3,0)*VLOOKUP('Données projet'!$B$12,Paramètres!$A$1:$I$89,5,0)</f>
        <v>227.13599999999985</v>
      </c>
      <c r="CA199" s="13">
        <f t="shared" si="170"/>
        <v>55.662966886685133</v>
      </c>
      <c r="CB199" s="20">
        <f t="shared" si="171"/>
        <v>492.5415339943097</v>
      </c>
      <c r="CC199" s="59">
        <f t="shared" si="195"/>
        <v>782.90606442345984</v>
      </c>
      <c r="CD199" s="59">
        <f ca="1">AVERAGE(OFFSET($CC$3,0,0,'Données projet'!$E$12+1,1))-AVERAGE(OFFSET($H$3,0,0,'Données projet'!$E$12+1,1))</f>
        <v>411.67183422518411</v>
      </c>
      <c r="CE199" s="59">
        <f t="shared" si="207"/>
        <v>379.16642539721556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5.6410793368082084</v>
      </c>
      <c r="CL199" s="21">
        <f>EXP(-LN(2)/25)*CL198+(1-EXP(-LN(2)/25))/(LN(2)/25)*Calculateur!CG199*Calculateur!CI199*VLOOKUP('Données projet'!$B$12,Paramètres!$A$1:$I$89,3,0)*0.475*44/12</f>
        <v>0.93859453931264936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6.5796738761208573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-7.3896444519050419E-13</v>
      </c>
      <c r="O200" s="13">
        <f>N200*VLOOKUP('Données projet'!$B$9,Paramètres!$A$1:$I$89,3,0)*VLOOKUP('Données projet'!$B$9,Paramètres!$A$1:$I$89,5,0)</f>
        <v>-3.4583536034915594E-13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307.52968058891554</v>
      </c>
      <c r="T200" s="59">
        <f t="shared" si="204"/>
        <v>221.27527189662558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25.3231285030561</v>
      </c>
      <c r="AA200" s="21">
        <f>EXP(-LN(2)/25)*AA199+(1-EXP(-LN(2)/25))/(LN(2)/25)*Calculateur!V200*Calculateur!X200*VLOOKUP('Données projet'!$B$9,Paramètres!$A$1:$I$89,3,0)*0.475*44/12</f>
        <v>2.8537413552738156</v>
      </c>
      <c r="AB200" s="21">
        <f>EXP(-LN(2)/2)*AB199+(1-EXP(-LN(2)/2))/(LN(2)/2)*V200*Y200*VLOOKUP('Données projet'!$B$9,Paramètres!$A$1:$I$89,3,0)*0.475*44/12</f>
        <v>7.826379210355387E-14</v>
      </c>
      <c r="AC200" s="22">
        <f t="shared" si="163"/>
        <v>28.176869858329994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377.63545575155672</v>
      </c>
      <c r="AO200" s="59">
        <f t="shared" si="205"/>
        <v>339.1731538522788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1.7053025658242404E-13</v>
      </c>
      <c r="BE200" s="13">
        <f>BD200*VLOOKUP('Données projet'!$B$11,Paramètres!$A$1:$I$89,3,0)*VLOOKUP('Données projet'!$B$11,Paramètres!$A$1:$I$89,5,0)</f>
        <v>1.383341441396624E-13</v>
      </c>
      <c r="BF200" s="13">
        <f t="shared" si="167"/>
        <v>2.0011390722884082E-12</v>
      </c>
      <c r="BG200" s="20">
        <f t="shared" si="168"/>
        <v>3.7262491852788889E-12</v>
      </c>
      <c r="BH200" s="59">
        <f t="shared" si="194"/>
        <v>290.41603252229254</v>
      </c>
      <c r="BI200" s="59">
        <f ca="1">AVERAGE(OFFSET($BH$3,0,0,'Données projet'!$E$11+1,1))-AVERAGE(OFFSET($H$3,0,0,'Données projet'!$E$11+1,1))</f>
        <v>318.98630351938459</v>
      </c>
      <c r="BJ200" s="59">
        <f t="shared" si="206"/>
        <v>312.22190035638084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8.2438872170374307</v>
      </c>
      <c r="BQ200" s="21">
        <f>EXP(-LN(2)/25)*BQ199+(1-EXP(-LN(2)/25))/(LN(2)/25)*Calculateur!BL200*Calculateur!BN200*VLOOKUP('Données projet'!$B$11,Paramètres!$A$1:$I$89,3,0)*0.475*44/12</f>
        <v>2.5142722361447798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10.758159453182211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259.99999999999983</v>
      </c>
      <c r="BZ200" s="13">
        <f>BY200*VLOOKUP('Données projet'!$B$12,Paramètres!$A$1:$I$89,3,0)*VLOOKUP('Données projet'!$B$12,Paramètres!$A$1:$I$89,5,0)</f>
        <v>227.13599999999985</v>
      </c>
      <c r="CA200" s="13">
        <f t="shared" si="170"/>
        <v>55.662966886685133</v>
      </c>
      <c r="CB200" s="20">
        <f t="shared" si="171"/>
        <v>492.5415339943097</v>
      </c>
      <c r="CC200" s="59">
        <f t="shared" si="195"/>
        <v>782.95756651659849</v>
      </c>
      <c r="CD200" s="59">
        <f ca="1">AVERAGE(OFFSET($CC$3,0,0,'Données projet'!$E$12+1,1))-AVERAGE(OFFSET($H$3,0,0,'Données projet'!$E$12+1,1))</f>
        <v>411.67183422518411</v>
      </c>
      <c r="CE200" s="59">
        <f t="shared" si="207"/>
        <v>379.16642539721556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5.5304612117320522</v>
      </c>
      <c r="CL200" s="21">
        <f>EXP(-LN(2)/25)*CL199+(1-EXP(-LN(2)/25))/(LN(2)/25)*Calculateur!CG200*Calculateur!CI200*VLOOKUP('Données projet'!$B$12,Paramètres!$A$1:$I$89,3,0)*0.475*44/12</f>
        <v>0.91292862227660332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6.4433898340086557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-7.3896444519050419E-13</v>
      </c>
      <c r="O201" s="13">
        <f>N201*VLOOKUP('Données projet'!$B$9,Paramètres!$A$1:$I$89,3,0)*VLOOKUP('Données projet'!$B$9,Paramètres!$A$1:$I$89,5,0)</f>
        <v>-3.4583536034915594E-13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307.52968058891554</v>
      </c>
      <c r="T201" s="59">
        <f t="shared" si="204"/>
        <v>221.27527189662558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24.826557398694433</v>
      </c>
      <c r="AA201" s="21">
        <f>EXP(-LN(2)/25)*AA200+(1-EXP(-LN(2)/25))/(LN(2)/25)*Calculateur!V201*Calculateur!X201*VLOOKUP('Données projet'!$B$9,Paramètres!$A$1:$I$89,3,0)*0.475*44/12</f>
        <v>2.7757056478421176</v>
      </c>
      <c r="AB201" s="21">
        <f>EXP(-LN(2)/2)*AB200+(1-EXP(-LN(2)/2))/(LN(2)/2)*V201*Y201*VLOOKUP('Données projet'!$B$9,Paramètres!$A$1:$I$89,3,0)*0.475*44/12</f>
        <v>5.5340858117797113E-14</v>
      </c>
      <c r="AC201" s="22">
        <f t="shared" si="163"/>
        <v>27.602263046536606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377.63545575155672</v>
      </c>
      <c r="AO201" s="59">
        <f t="shared" si="205"/>
        <v>339.1731538522788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1.7053025658242404E-13</v>
      </c>
      <c r="BE201" s="13">
        <f>BD201*VLOOKUP('Données projet'!$B$11,Paramètres!$A$1:$I$89,3,0)*VLOOKUP('Données projet'!$B$11,Paramètres!$A$1:$I$89,5,0)</f>
        <v>1.383341441396624E-13</v>
      </c>
      <c r="BF201" s="13">
        <f t="shared" si="167"/>
        <v>2.0011390722884082E-12</v>
      </c>
      <c r="BG201" s="20">
        <f t="shared" si="168"/>
        <v>3.7262491852788889E-12</v>
      </c>
      <c r="BH201" s="59">
        <f t="shared" si="194"/>
        <v>290.46664116925666</v>
      </c>
      <c r="BI201" s="59">
        <f ca="1">AVERAGE(OFFSET($BH$3,0,0,'Données projet'!$E$11+1,1))-AVERAGE(OFFSET($H$3,0,0,'Données projet'!$E$11+1,1))</f>
        <v>318.98630351938459</v>
      </c>
      <c r="BJ201" s="59">
        <f t="shared" si="206"/>
        <v>312.22190035638084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8.0822296169860284</v>
      </c>
      <c r="BQ201" s="21">
        <f>EXP(-LN(2)/25)*BQ200+(1-EXP(-LN(2)/25))/(LN(2)/25)*Calculateur!BL201*Calculateur!BN201*VLOOKUP('Données projet'!$B$11,Paramètres!$A$1:$I$89,3,0)*0.475*44/12</f>
        <v>2.4455193296275701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10.527748946613599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259.99999999999983</v>
      </c>
      <c r="BZ201" s="13">
        <f>BY201*VLOOKUP('Données projet'!$B$12,Paramètres!$A$1:$I$89,3,0)*VLOOKUP('Données projet'!$B$12,Paramètres!$A$1:$I$89,5,0)</f>
        <v>227.13599999999985</v>
      </c>
      <c r="CA201" s="13">
        <f t="shared" si="170"/>
        <v>55.662966886685133</v>
      </c>
      <c r="CB201" s="20">
        <f t="shared" si="171"/>
        <v>492.5415339943097</v>
      </c>
      <c r="CC201" s="59">
        <f t="shared" si="195"/>
        <v>783.00817516356256</v>
      </c>
      <c r="CD201" s="59">
        <f ca="1">AVERAGE(OFFSET($CC$3,0,0,'Données projet'!$E$12+1,1))-AVERAGE(OFFSET($H$3,0,0,'Données projet'!$E$12+1,1))</f>
        <v>411.67183422518411</v>
      </c>
      <c r="CE201" s="59">
        <f t="shared" si="207"/>
        <v>379.16642539721556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5.4220122406182449</v>
      </c>
      <c r="CL201" s="21">
        <f>EXP(-LN(2)/25)*CL200+(1-EXP(-LN(2)/25))/(LN(2)/25)*Calculateur!CG201*Calculateur!CI201*VLOOKUP('Données projet'!$B$12,Paramètres!$A$1:$I$89,3,0)*0.475*44/12</f>
        <v>0.88796454109161993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6.3099767817098646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-7.3896444519050419E-13</v>
      </c>
      <c r="O202" s="13">
        <f>N202*VLOOKUP('Données projet'!$B$9,Paramètres!$A$1:$I$89,3,0)*VLOOKUP('Données projet'!$B$9,Paramètres!$A$1:$I$89,5,0)</f>
        <v>-3.4583536034915594E-13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307.52968058891554</v>
      </c>
      <c r="T202" s="59">
        <f t="shared" si="204"/>
        <v>221.27527189662558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24.33972375081083</v>
      </c>
      <c r="AA202" s="21">
        <f>EXP(-LN(2)/25)*AA201+(1-EXP(-LN(2)/25))/(LN(2)/25)*Calculateur!V202*Calculateur!X202*VLOOKUP('Données projet'!$B$9,Paramètres!$A$1:$I$89,3,0)*0.475*44/12</f>
        <v>2.6998038309338588</v>
      </c>
      <c r="AB202" s="21">
        <f>EXP(-LN(2)/2)*AB201+(1-EXP(-LN(2)/2))/(LN(2)/2)*V202*Y202*VLOOKUP('Données projet'!$B$9,Paramètres!$A$1:$I$89,3,0)*0.475*44/12</f>
        <v>3.9131896051776935E-14</v>
      </c>
      <c r="AC202" s="22">
        <f t="shared" si="163"/>
        <v>27.039527581744728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377.63545575155672</v>
      </c>
      <c r="AO202" s="59">
        <f t="shared" si="205"/>
        <v>339.1731538522788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1.7053025658242404E-13</v>
      </c>
      <c r="BE202" s="13">
        <f>BD202*VLOOKUP('Données projet'!$B$11,Paramètres!$A$1:$I$89,3,0)*VLOOKUP('Données projet'!$B$11,Paramètres!$A$1:$I$89,5,0)</f>
        <v>1.383341441396624E-13</v>
      </c>
      <c r="BF202" s="13">
        <f t="shared" si="167"/>
        <v>2.0011390722884082E-12</v>
      </c>
      <c r="BG202" s="20">
        <f t="shared" si="168"/>
        <v>3.7262491852788889E-12</v>
      </c>
      <c r="BH202" s="59">
        <f t="shared" si="194"/>
        <v>290.51637186933988</v>
      </c>
      <c r="BI202" s="59">
        <f ca="1">AVERAGE(OFFSET($BH$3,0,0,'Données projet'!$E$11+1,1))-AVERAGE(OFFSET($H$3,0,0,'Données projet'!$E$11+1,1))</f>
        <v>318.98630351938459</v>
      </c>
      <c r="BJ202" s="59">
        <f t="shared" si="206"/>
        <v>312.22190035638084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7.9237420238702336</v>
      </c>
      <c r="BQ202" s="21">
        <f>EXP(-LN(2)/25)*BQ201+(1-EXP(-LN(2)/25))/(LN(2)/25)*Calculateur!BL202*Calculateur!BN202*VLOOKUP('Données projet'!$B$11,Paramètres!$A$1:$I$89,3,0)*0.475*44/12</f>
        <v>2.3786464749546319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10.302388498824865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259.99999999999983</v>
      </c>
      <c r="BZ202" s="13">
        <f>BY202*VLOOKUP('Données projet'!$B$12,Paramètres!$A$1:$I$89,3,0)*VLOOKUP('Données projet'!$B$12,Paramètres!$A$1:$I$89,5,0)</f>
        <v>227.13599999999985</v>
      </c>
      <c r="CA202" s="13">
        <f t="shared" si="170"/>
        <v>55.662966886685133</v>
      </c>
      <c r="CB202" s="20">
        <f t="shared" si="171"/>
        <v>492.5415339943097</v>
      </c>
      <c r="CC202" s="59">
        <f t="shared" si="195"/>
        <v>783.05790586364583</v>
      </c>
      <c r="CD202" s="59">
        <f ca="1">AVERAGE(OFFSET($CC$3,0,0,'Données projet'!$E$12+1,1))-AVERAGE(OFFSET($H$3,0,0,'Données projet'!$E$12+1,1))</f>
        <v>411.67183422518411</v>
      </c>
      <c r="CE202" s="59">
        <f t="shared" si="207"/>
        <v>379.16642539721556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5.3156898876806391</v>
      </c>
      <c r="CL202" s="21">
        <f>EXP(-LN(2)/25)*CL201+(1-EXP(-LN(2)/25))/(LN(2)/25)*Calculateur!CG202*Calculateur!CI202*VLOOKUP('Données projet'!$B$12,Paramètres!$A$1:$I$89,3,0)*0.475*44/12</f>
        <v>0.86368310401944381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6.1793729917000828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-7.3896444519050419E-13</v>
      </c>
      <c r="O203" s="13">
        <f>N203*VLOOKUP('Données projet'!$B$9,Paramètres!$A$1:$I$89,3,0)*VLOOKUP('Données projet'!$B$9,Paramètres!$A$1:$I$89,5,0)</f>
        <v>-3.4583536034915594E-13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307.52968058891554</v>
      </c>
      <c r="T203" s="59">
        <f t="shared" si="204"/>
        <v>221.27527189662558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23.862436613823022</v>
      </c>
      <c r="AA203" s="21">
        <f>EXP(-LN(2)/25)*AA202+(1-EXP(-LN(2)/25))/(LN(2)/25)*Calculateur!V203*Calculateur!X203*VLOOKUP('Données projet'!$B$9,Paramètres!$A$1:$I$89,3,0)*0.475*44/12</f>
        <v>2.6259775532004594</v>
      </c>
      <c r="AB203" s="21">
        <f>EXP(-LN(2)/2)*AB202+(1-EXP(-LN(2)/2))/(LN(2)/2)*V203*Y203*VLOOKUP('Données projet'!$B$9,Paramètres!$A$1:$I$89,3,0)*0.475*44/12</f>
        <v>2.7670429058898557E-14</v>
      </c>
      <c r="AC203" s="22">
        <f t="shared" si="163"/>
        <v>26.48841416702351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377.63545575155672</v>
      </c>
      <c r="AO203" s="59">
        <f t="shared" si="205"/>
        <v>339.1731538522788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1.7053025658242404E-13</v>
      </c>
      <c r="BE203" s="13">
        <f>BD203*VLOOKUP('Données projet'!$B$11,Paramètres!$A$1:$I$89,3,0)*VLOOKUP('Données projet'!$B$11,Paramètres!$A$1:$I$89,5,0)</f>
        <v>1.383341441396624E-13</v>
      </c>
      <c r="BF203" s="13">
        <f t="shared" si="167"/>
        <v>2.0011390722884082E-12</v>
      </c>
      <c r="BG203" s="20">
        <f t="shared" si="168"/>
        <v>3.7262491852788889E-12</v>
      </c>
      <c r="BH203" s="59">
        <f t="shared" si="194"/>
        <v>290.56523985295786</v>
      </c>
      <c r="BI203" s="59">
        <f ca="1">AVERAGE(OFFSET($BH$3,0,0,'Données projet'!$E$11+1,1))-AVERAGE(OFFSET($H$3,0,0,'Données projet'!$E$11+1,1))</f>
        <v>318.98630351938459</v>
      </c>
      <c r="BJ203" s="59">
        <f t="shared" si="206"/>
        <v>312.22190035638084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7.7683622757875535</v>
      </c>
      <c r="BQ203" s="21">
        <f>EXP(-LN(2)/25)*BQ202+(1-EXP(-LN(2)/25))/(LN(2)/25)*Calculateur!BL203*Calculateur!BN203*VLOOKUP('Données projet'!$B$11,Paramètres!$A$1:$I$89,3,0)*0.475*44/12</f>
        <v>2.3136022620094159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10.081964537796969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259.99999999999983</v>
      </c>
      <c r="BZ203" s="13">
        <f>BY203*VLOOKUP('Données projet'!$B$12,Paramètres!$A$1:$I$89,3,0)*VLOOKUP('Données projet'!$B$12,Paramètres!$A$1:$I$89,5,0)</f>
        <v>227.13599999999985</v>
      </c>
      <c r="CA203" s="13">
        <f t="shared" si="170"/>
        <v>55.662966886685133</v>
      </c>
      <c r="CB203" s="20">
        <f t="shared" si="171"/>
        <v>492.5415339943097</v>
      </c>
      <c r="CC203" s="59">
        <f t="shared" si="195"/>
        <v>783.10677384726387</v>
      </c>
      <c r="CD203" s="59">
        <f ca="1">AVERAGE(OFFSET($CC$3,0,0,'Données projet'!$E$12+1,1))-AVERAGE(OFFSET($H$3,0,0,'Données projet'!$E$12+1,1))</f>
        <v>411.67183422518411</v>
      </c>
      <c r="CE203" s="59">
        <f t="shared" si="207"/>
        <v>379.16642539721556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5.2114524512339075</v>
      </c>
      <c r="CL203" s="21">
        <f>EXP(-LN(2)/25)*CL202+(1-EXP(-LN(2)/25))/(LN(2)/25)*Calculateur!CG203*Calculateur!CI203*VLOOKUP('Données projet'!$B$12,Paramètres!$A$1:$I$89,3,0)*0.475*44/12</f>
        <v>0.84006564412091167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6.0515180953548189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1.1840119133911551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1.2788040393997409</v>
      </c>
      <c r="BV205" s="82">
        <f>EXP(LN('Données projet'!B114)/'Données projet'!A114)</f>
        <v>1.4269435884576509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2" zoomScale="90" zoomScaleNormal="90" workbookViewId="0">
      <selection activeCell="G16" sqref="G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Cèdre de l'Atlas</v>
      </c>
      <c r="B6" s="146">
        <f>'Données projet'!D9</f>
        <v>0.35699999999999998</v>
      </c>
      <c r="C6" s="147">
        <f ca="1">IF(OR('Données projet'!B9="",'Données projet'!C9="",'Données projet'!C9=0%),0,Calculateur!S3)</f>
        <v>307.52968058891554</v>
      </c>
      <c r="D6" s="147">
        <f>IF(OR('Données projet'!B9="",'Données projet'!C9="",'Données projet'!C9=0%),0,Calculateur!T3)</f>
        <v>221.27527189662558</v>
      </c>
      <c r="E6" s="147">
        <f ca="1">MIN(C6,D6)</f>
        <v>221.27527189662558</v>
      </c>
      <c r="F6" s="147">
        <f ca="1">E6*B6</f>
        <v>78.995272067095328</v>
      </c>
      <c r="G6" s="147">
        <f ca="1">F6*(100%-'Données projet'!$C$24)*(100%-'Données projet'!$C$25)*(100%-'Données projet'!$C$26)*(100%-'Données projet'!$C$27)</f>
        <v>71.095744860385793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71.095744860385793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laricio</v>
      </c>
      <c r="B7" s="154">
        <f>'Données projet'!D10</f>
        <v>0.32300000000000001</v>
      </c>
      <c r="C7" s="147">
        <f ca="1">IF(OR('Données projet'!B10="",'Données projet'!C10="",'Données projet'!C10=0%),0,Calculateur!AN3)</f>
        <v>377.63545575155672</v>
      </c>
      <c r="D7" s="147">
        <f>IF(OR('Données projet'!B10="",'Données projet'!C10="",'Données projet'!C10=0%),0,Calculateur!AO3)</f>
        <v>339.1731538522788</v>
      </c>
      <c r="E7" s="147">
        <f t="shared" ref="E7:E15" ca="1" si="0">MIN(C7,D7)</f>
        <v>339.1731538522788</v>
      </c>
      <c r="F7" s="147">
        <f t="shared" ref="F7:F15" ca="1" si="1">E7*B7</f>
        <v>109.55292869428605</v>
      </c>
      <c r="G7" s="147">
        <f ca="1">F7*(100%-'Données projet'!$C$24)*(100%-'Données projet'!$C$25)*(100%-'Données projet'!$C$26)*(100%-'Données projet'!$C$27)</f>
        <v>98.597635824857448</v>
      </c>
      <c r="H7" s="155">
        <f>IF(OR('Données projet'!B10="",'Données projet'!C10="",'Données projet'!C10=0%),0,AVERAGE(Calculateur!$AX$3:$AX$33)*B7)</f>
        <v>2.6911699107326776</v>
      </c>
      <c r="I7" s="149">
        <f>H7*(100%-'Données projet'!$C$24)*(100%-'Données projet'!$C$25)*(100%-'Données projet'!$C$26)*(100%-'Données projet'!$C$27)</f>
        <v>2.4220529196594098</v>
      </c>
      <c r="J7" s="150">
        <f>IF(OR('Données projet'!B10="",'Données projet'!C10="",'Données projet'!C10=0%),0,SUM(Calculateur!$AQ$3:$AQ$33)*VLOOKUP('Données projet'!$B$10,Paramètres!$A$1:$I$89,9,0)*B7)</f>
        <v>19.836697153846153</v>
      </c>
      <c r="K7" s="151">
        <f>J7*(100%-'Données projet'!$C$24)*(100%-'Données projet'!$C$25)*(100%-'Données projet'!$C$26)*(100%-'Données projet'!$C$27)</f>
        <v>17.853027438461538</v>
      </c>
      <c r="L7" s="152">
        <f t="shared" ref="L7:L15" ca="1" si="2">G7+I7+K7</f>
        <v>118.87271618297839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Noyer</v>
      </c>
      <c r="B8" s="154">
        <f>'Données projet'!D11</f>
        <v>0.1275</v>
      </c>
      <c r="C8" s="147">
        <f ca="1">IF(OR('Données projet'!B11="",'Données projet'!C11="",'Données projet'!C11=0%),0,Calculateur!BI3)</f>
        <v>318.98630351938459</v>
      </c>
      <c r="D8" s="147">
        <f>IF(OR('Données projet'!B11="",'Données projet'!C11="",'Données projet'!C11=0%),0,Calculateur!BJ3)</f>
        <v>312.22190035638084</v>
      </c>
      <c r="E8" s="147">
        <f t="shared" ca="1" si="0"/>
        <v>312.22190035638084</v>
      </c>
      <c r="F8" s="147">
        <f t="shared" ca="1" si="1"/>
        <v>39.808292295438555</v>
      </c>
      <c r="G8" s="147">
        <f ca="1">F8*(100%-'Données projet'!$C$24)*(100%-'Données projet'!$C$25)*(100%-'Données projet'!$C$26)*(100%-'Données projet'!$C$27)</f>
        <v>35.827463065894698</v>
      </c>
      <c r="H8" s="155">
        <f>IF(OR('Données projet'!B11="",'Données projet'!C11="",'Données projet'!C11=0%),0,AVERAGE(Calculateur!$BS$3:$BS$33)*B8)</f>
        <v>0.38128256939165928</v>
      </c>
      <c r="I8" s="149">
        <f>H8*(100%-'Données projet'!$C$24)*(100%-'Données projet'!$C$25)*(100%-'Données projet'!$C$26)*(100%-'Données projet'!$C$27)</f>
        <v>0.34315431245249334</v>
      </c>
      <c r="J8" s="150">
        <f>IF(OR('Données projet'!B11="",'Données projet'!C11="",'Données projet'!C11=0%),0,SUM(Calculateur!$BL$3:$BL$33)*VLOOKUP('Données projet'!$B$11,Paramètres!$A$1:$I$89,9,0)*B8)</f>
        <v>1.753125</v>
      </c>
      <c r="K8" s="151">
        <f>J8*(100%-'Données projet'!$C$24)*(100%-'Données projet'!$C$25)*(100%-'Données projet'!$C$26)*(100%-'Données projet'!$C$27)</f>
        <v>1.5778125000000001</v>
      </c>
      <c r="L8" s="152">
        <f t="shared" ca="1" si="2"/>
        <v>37.748429878347189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rouge d'Amérique</v>
      </c>
      <c r="B9" s="154">
        <f>'Données projet'!D12</f>
        <v>0.71399999999999997</v>
      </c>
      <c r="C9" s="147">
        <f ca="1">IF(OR('Données projet'!B12="",'Données projet'!C12="",'Données projet'!C12=0%),0,Calculateur!CD3)</f>
        <v>411.67183422518411</v>
      </c>
      <c r="D9" s="147">
        <f>IF(OR('Données projet'!B12="",'Données projet'!C12="",'Données projet'!C12=0%),0,Calculateur!CE3)</f>
        <v>379.16642539721556</v>
      </c>
      <c r="E9" s="147">
        <f t="shared" ca="1" si="0"/>
        <v>379.16642539721556</v>
      </c>
      <c r="F9" s="147">
        <f t="shared" ca="1" si="1"/>
        <v>270.7248277336119</v>
      </c>
      <c r="G9" s="147">
        <f ca="1">F9*(100%-'Données projet'!$C$24)*(100%-'Données projet'!$C$25)*(100%-'Données projet'!$C$26)*(100%-'Données projet'!$C$27)</f>
        <v>243.65234496025073</v>
      </c>
      <c r="H9" s="155">
        <f>IF(OR('Données projet'!B12="",'Données projet'!C12="",'Données projet'!C12=0%),0,AVERAGE(Calculateur!$CN$3:$CN$33)*B9)</f>
        <v>0.15243031032345394</v>
      </c>
      <c r="I9" s="149">
        <f>H9*(100%-'Données projet'!$C$24)*(100%-'Données projet'!$C$25)*(100%-'Données projet'!$C$26)*(100%-'Données projet'!$C$27)</f>
        <v>0.13718727929110855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243.78953223954184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499.08132079043185</v>
      </c>
      <c r="G16" s="166">
        <f t="shared" ca="1" si="3"/>
        <v>449.17318871138866</v>
      </c>
      <c r="H16" s="167">
        <f t="shared" si="3"/>
        <v>3.2248827904477908</v>
      </c>
      <c r="I16" s="167">
        <f t="shared" si="3"/>
        <v>2.9023945114030116</v>
      </c>
      <c r="J16" s="168">
        <f t="shared" si="3"/>
        <v>21.589822153846153</v>
      </c>
      <c r="K16" s="168">
        <f t="shared" si="3"/>
        <v>19.430839938461538</v>
      </c>
      <c r="L16" s="169">
        <f t="shared" ca="1" si="3"/>
        <v>471.50642316125322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Noyer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13" zoomScale="80" zoomScaleNormal="80" workbookViewId="0">
      <selection activeCell="F150" sqref="F15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-1021.5636798380541</v>
      </c>
      <c r="U10" s="178">
        <f>'Données projet'!D9</f>
        <v>0.35699999999999998</v>
      </c>
      <c r="V10" s="177">
        <f>U10*T10</f>
        <v>-364.69823370218529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-675.52958280195469</v>
      </c>
      <c r="U11" s="178">
        <f>'Données projet'!D10</f>
        <v>0.32300000000000001</v>
      </c>
      <c r="V11" s="177">
        <f t="shared" ref="V11" si="0">U11*T11</f>
        <v>-218.19605524503137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Noyer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-714.69121770143818</v>
      </c>
      <c r="U12" s="178">
        <f>'Données projet'!D11</f>
        <v>0.1275</v>
      </c>
      <c r="V12" s="177">
        <f t="shared" ref="V12:V19" si="1">U12*T12</f>
        <v>-91.123130256933365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-1999.4697784724776</v>
      </c>
      <c r="U13" s="178">
        <f>'Données projet'!D12</f>
        <v>0.71399999999999997</v>
      </c>
      <c r="V13" s="177">
        <f t="shared" si="1"/>
        <v>-1427.6214218293489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7"/>
      <c r="H16" s="190"/>
      <c r="I16" s="191"/>
      <c r="J16" s="202"/>
      <c r="K16" s="208"/>
      <c r="L16" s="294" t="s">
        <v>254</v>
      </c>
      <c r="M16" s="295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907.5</v>
      </c>
      <c r="F17" s="230"/>
      <c r="G17" s="297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7"/>
      <c r="J18" s="202"/>
      <c r="K18" s="208"/>
      <c r="L18" s="267" t="s">
        <v>255</v>
      </c>
      <c r="M18" s="269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7"/>
      <c r="H19" s="212" t="s">
        <v>178</v>
      </c>
      <c r="I19" s="212" t="s">
        <v>287</v>
      </c>
      <c r="J19" s="93"/>
      <c r="K19" s="173"/>
      <c r="L19" s="294" t="s">
        <v>288</v>
      </c>
      <c r="M19" s="29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7"/>
      <c r="H20" s="190"/>
      <c r="I20" s="191">
        <v>6618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>
        <v>4226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>
        <v>2264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>
        <v>150</v>
      </c>
      <c r="F23" s="230"/>
      <c r="H23" s="190"/>
      <c r="I23" s="191">
        <v>6542</v>
      </c>
      <c r="K23" s="208"/>
      <c r="L23" s="296" t="s">
        <v>260</v>
      </c>
      <c r="M23" s="296"/>
      <c r="N23" s="296"/>
      <c r="O23" s="23"/>
      <c r="P23" s="23"/>
      <c r="Q23" s="234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-35506.638841033498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42</v>
      </c>
      <c r="B24" s="181">
        <f>'Données projet'!D37</f>
        <v>104.98461538461537</v>
      </c>
      <c r="C24" s="193"/>
      <c r="D24" s="182">
        <f t="shared" ref="D24:D42" si="2">B24*C24</f>
        <v>0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50</v>
      </c>
      <c r="B25" s="181">
        <f>'Données projet'!D38</f>
        <v>100.66923076923077</v>
      </c>
      <c r="C25" s="193"/>
      <c r="D25" s="182">
        <f t="shared" si="2"/>
        <v>0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1">
        <f ca="1">T23-T24</f>
        <v>-35506.638841033498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58</v>
      </c>
      <c r="B26" s="181">
        <f>'Données projet'!D39</f>
        <v>80.315384615384616</v>
      </c>
      <c r="C26" s="193"/>
      <c r="D26" s="182">
        <f t="shared" si="2"/>
        <v>0</v>
      </c>
      <c r="E26" s="193">
        <v>150</v>
      </c>
      <c r="F26" s="233"/>
      <c r="G26" s="229"/>
      <c r="H26" s="190"/>
      <c r="I26" s="191"/>
      <c r="K26" s="208"/>
      <c r="L26" s="298" t="s">
        <v>258</v>
      </c>
      <c r="M26" s="299"/>
      <c r="N26" s="299"/>
      <c r="O26" s="299"/>
      <c r="P26" s="300"/>
      <c r="Q26" s="234"/>
      <c r="R26" s="23"/>
      <c r="S26" s="186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66</v>
      </c>
      <c r="B27" s="181">
        <f>'Données projet'!D40</f>
        <v>79.169230769230765</v>
      </c>
      <c r="C27" s="193"/>
      <c r="D27" s="182">
        <f t="shared" si="2"/>
        <v>0</v>
      </c>
      <c r="E27" s="193">
        <v>150</v>
      </c>
      <c r="F27" s="233"/>
      <c r="G27" s="229"/>
      <c r="H27" s="190"/>
      <c r="I27" s="191"/>
      <c r="K27" s="208"/>
      <c r="L27" s="301"/>
      <c r="M27" s="302"/>
      <c r="N27" s="302"/>
      <c r="O27" s="302"/>
      <c r="P27" s="303"/>
      <c r="Q27" s="234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75</v>
      </c>
      <c r="B28" s="181">
        <f>'Données projet'!D41</f>
        <v>78.307692307692307</v>
      </c>
      <c r="C28" s="193"/>
      <c r="D28" s="182">
        <f t="shared" si="2"/>
        <v>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83</v>
      </c>
      <c r="B29" s="181">
        <f>'Données projet'!D42</f>
        <v>79.707692307692312</v>
      </c>
      <c r="C29" s="193"/>
      <c r="D29" s="182">
        <f t="shared" si="2"/>
        <v>0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91</v>
      </c>
      <c r="B30" s="181">
        <f>'Données projet'!D43</f>
        <v>229.73846153846154</v>
      </c>
      <c r="C30" s="193"/>
      <c r="D30" s="182">
        <f t="shared" si="2"/>
        <v>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101</v>
      </c>
      <c r="B31" s="181">
        <f>'Données projet'!D44</f>
        <v>307.60769230769228</v>
      </c>
      <c r="C31" s="193"/>
      <c r="D31" s="182">
        <f t="shared" si="2"/>
        <v>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495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19</v>
      </c>
      <c r="B54" s="181">
        <f>'Données projet'!D62</f>
        <v>46.53846153846154</v>
      </c>
      <c r="C54" s="191"/>
      <c r="D54" s="179">
        <f>B54*C54</f>
        <v>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24</v>
      </c>
      <c r="B55" s="181">
        <f>'Données projet'!D63</f>
        <v>40.41538461538461</v>
      </c>
      <c r="C55" s="191"/>
      <c r="D55" s="179">
        <f t="shared" ref="D55:D73" si="4">B55*C55</f>
        <v>0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55.869230769230761</v>
      </c>
      <c r="C56" s="191"/>
      <c r="D56" s="179">
        <f t="shared" si="4"/>
        <v>0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37</v>
      </c>
      <c r="B57" s="181">
        <f>'Données projet'!D65</f>
        <v>43.623076923076923</v>
      </c>
      <c r="C57" s="191"/>
      <c r="D57" s="179">
        <f t="shared" si="4"/>
        <v>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46</v>
      </c>
      <c r="B58" s="181">
        <f>'Données projet'!D66</f>
        <v>72.561538461538461</v>
      </c>
      <c r="C58" s="191"/>
      <c r="D58" s="179">
        <f t="shared" si="4"/>
        <v>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56</v>
      </c>
      <c r="B59" s="181">
        <f>'Données projet'!D67</f>
        <v>60.092307692307692</v>
      </c>
      <c r="C59" s="191"/>
      <c r="D59" s="179">
        <f t="shared" si="4"/>
        <v>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66</v>
      </c>
      <c r="B60" s="181">
        <f>'Données projet'!D68</f>
        <v>68.146153846153851</v>
      </c>
      <c r="C60" s="191"/>
      <c r="D60" s="179">
        <f t="shared" si="4"/>
        <v>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76</v>
      </c>
      <c r="B61" s="181">
        <f>'Données projet'!D69</f>
        <v>520.22307692307686</v>
      </c>
      <c r="C61" s="191"/>
      <c r="D61" s="179">
        <f t="shared" si="4"/>
        <v>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Noyer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402.6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15</v>
      </c>
      <c r="B85" s="181">
        <f>'Données projet'!D88</f>
        <v>3</v>
      </c>
      <c r="C85" s="191"/>
      <c r="D85" s="179">
        <f>B85*C85</f>
        <v>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20</v>
      </c>
      <c r="B86" s="181">
        <f>'Données projet'!D89</f>
        <v>25</v>
      </c>
      <c r="C86" s="191"/>
      <c r="D86" s="179">
        <f t="shared" ref="D86:D104" si="6">B86*C86</f>
        <v>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25</v>
      </c>
      <c r="B87" s="181">
        <f>'Données projet'!D90</f>
        <v>27</v>
      </c>
      <c r="C87" s="191"/>
      <c r="D87" s="179">
        <f t="shared" si="6"/>
        <v>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31</v>
      </c>
      <c r="B88" s="181">
        <f>'Données projet'!D91</f>
        <v>35</v>
      </c>
      <c r="C88" s="191"/>
      <c r="D88" s="179">
        <f t="shared" si="6"/>
        <v>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37</v>
      </c>
      <c r="B89" s="181">
        <f>'Données projet'!D92</f>
        <v>36</v>
      </c>
      <c r="C89" s="191"/>
      <c r="D89" s="179">
        <f t="shared" si="6"/>
        <v>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44</v>
      </c>
      <c r="B90" s="181">
        <f>'Données projet'!D93</f>
        <v>43</v>
      </c>
      <c r="C90" s="191"/>
      <c r="D90" s="179">
        <f t="shared" si="6"/>
        <v>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52</v>
      </c>
      <c r="B91" s="181">
        <f>'Données projet'!D94</f>
        <v>49</v>
      </c>
      <c r="C91" s="191"/>
      <c r="D91" s="179">
        <f t="shared" si="6"/>
        <v>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60</v>
      </c>
      <c r="B92" s="181">
        <f>'Données projet'!D95</f>
        <v>47</v>
      </c>
      <c r="C92" s="191"/>
      <c r="D92" s="179">
        <f t="shared" si="6"/>
        <v>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69</v>
      </c>
      <c r="B93" s="181">
        <f>'Données projet'!D96</f>
        <v>328</v>
      </c>
      <c r="C93" s="191"/>
      <c r="D93" s="179">
        <f t="shared" si="6"/>
        <v>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1518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 t="str">
        <f>'Données projet'!D115</f>
        <v>30</v>
      </c>
      <c r="C117" s="191"/>
      <c r="D117" s="179">
        <f t="shared" ref="D117:D135" si="8">B117*C117</f>
        <v>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20</v>
      </c>
      <c r="B118" s="181" t="str">
        <f>'Données projet'!D116</f>
        <v>29</v>
      </c>
      <c r="C118" s="191"/>
      <c r="D118" s="179">
        <f t="shared" si="8"/>
        <v>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25</v>
      </c>
      <c r="B119" s="181" t="str">
        <f>'Données projet'!D117</f>
        <v>31</v>
      </c>
      <c r="C119" s="191"/>
      <c r="D119" s="179">
        <f t="shared" si="8"/>
        <v>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 t="str">
        <f>'Données projet'!D118</f>
        <v>32</v>
      </c>
      <c r="C120" s="191"/>
      <c r="D120" s="179">
        <f t="shared" si="8"/>
        <v>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35</v>
      </c>
      <c r="B121" s="181" t="str">
        <f>'Données projet'!D119</f>
        <v>32</v>
      </c>
      <c r="C121" s="191"/>
      <c r="D121" s="179">
        <f t="shared" si="8"/>
        <v>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40</v>
      </c>
      <c r="B122" s="181" t="str">
        <f>'Données projet'!D120</f>
        <v>31</v>
      </c>
      <c r="C122" s="191"/>
      <c r="D122" s="179">
        <f t="shared" si="8"/>
        <v>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45</v>
      </c>
      <c r="B123" s="181" t="str">
        <f>'Données projet'!D121</f>
        <v>30</v>
      </c>
      <c r="C123" s="191"/>
      <c r="D123" s="179">
        <f t="shared" si="8"/>
        <v>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50</v>
      </c>
      <c r="B124" s="181" t="str">
        <f>'Données projet'!D122</f>
        <v>28</v>
      </c>
      <c r="C124" s="191"/>
      <c r="D124" s="179">
        <f t="shared" si="8"/>
        <v>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55</v>
      </c>
      <c r="B125" s="181" t="str">
        <f>'Données projet'!D123</f>
        <v>26</v>
      </c>
      <c r="C125" s="191"/>
      <c r="D125" s="179">
        <f t="shared" si="8"/>
        <v>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60</v>
      </c>
      <c r="B126" s="181" t="str">
        <f>'Données projet'!D124</f>
        <v>24</v>
      </c>
      <c r="C126" s="191"/>
      <c r="D126" s="179">
        <f t="shared" si="8"/>
        <v>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65</v>
      </c>
      <c r="B127" s="181" t="str">
        <f>'Données projet'!D125</f>
        <v>22</v>
      </c>
      <c r="C127" s="191"/>
      <c r="D127" s="179">
        <f t="shared" si="8"/>
        <v>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70</v>
      </c>
      <c r="B128" s="181" t="str">
        <f>'Données projet'!D126</f>
        <v>21</v>
      </c>
      <c r="C128" s="191"/>
      <c r="D128" s="179">
        <f t="shared" si="8"/>
        <v>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75</v>
      </c>
      <c r="B129" s="181" t="str">
        <f>'Données projet'!D127</f>
        <v>19</v>
      </c>
      <c r="C129" s="191"/>
      <c r="D129" s="179">
        <f t="shared" si="8"/>
        <v>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80</v>
      </c>
      <c r="B130" s="181" t="str">
        <f>'Données projet'!D128</f>
        <v>17</v>
      </c>
      <c r="C130" s="191"/>
      <c r="D130" s="179">
        <f t="shared" si="8"/>
        <v>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85</v>
      </c>
      <c r="B131" s="181" t="str">
        <f>'Données projet'!D129</f>
        <v>16</v>
      </c>
      <c r="C131" s="191"/>
      <c r="D131" s="179">
        <f t="shared" si="8"/>
        <v>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90</v>
      </c>
      <c r="B132" s="181" t="str">
        <f>'Données projet'!D130</f>
        <v>14</v>
      </c>
      <c r="C132" s="191"/>
      <c r="D132" s="179">
        <f t="shared" si="8"/>
        <v>0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95</v>
      </c>
      <c r="B133" s="181" t="str">
        <f>'Données projet'!D131</f>
        <v>13</v>
      </c>
      <c r="C133" s="191"/>
      <c r="D133" s="179">
        <f t="shared" si="8"/>
        <v>0</v>
      </c>
      <c r="E133" s="193">
        <v>150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100</v>
      </c>
      <c r="B134" s="181" t="str">
        <f>'Données projet'!D132</f>
        <v>13</v>
      </c>
      <c r="C134" s="191"/>
      <c r="D134" s="179">
        <f t="shared" si="8"/>
        <v>0</v>
      </c>
      <c r="E134" s="193">
        <v>150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77EFACE3-7EF0-4CAF-BF71-5CDE72A9E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Pierrick RIBADEAU</cp:lastModifiedBy>
  <dcterms:created xsi:type="dcterms:W3CDTF">2021-02-01T08:22:39Z</dcterms:created>
  <dcterms:modified xsi:type="dcterms:W3CDTF">2024-07-15T08:23:39Z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