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Z:\FORET\Clients\Clients actifs\Edward\M. LAMBERT\LBC 2023\"/>
    </mc:Choice>
  </mc:AlternateContent>
  <xr:revisionPtr revIDLastSave="0" documentId="13_ncr:1_{7AC1FE6C-329A-4716-BBFA-2B2B282566AC}" xr6:coauthVersionLast="47" xr6:coauthVersionMax="47" xr10:uidLastSave="{00000000-0000-0000-0000-000000000000}"/>
  <bookViews>
    <workbookView xWindow="-109" yWindow="-109" windowWidth="26301" windowHeight="14169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EC4" i="2"/>
  <c r="GL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C14" i="2"/>
  <c r="EB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HG18" i="2"/>
  <c r="EX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W21" i="2"/>
  <c r="EB21" i="2"/>
  <c r="EV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W22" i="2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FS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EW33" i="2"/>
  <c r="HH33" i="2"/>
  <c r="HG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CM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A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HG57" i="2"/>
  <c r="FS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EB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B113" i="2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H130" i="2"/>
  <c r="EX130" i="2"/>
  <c r="EB130" i="2"/>
  <c r="HI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B145" i="2"/>
  <c r="EX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EX156" i="2" l="1"/>
  <c r="HH156" i="2"/>
  <c r="FS156" i="2"/>
  <c r="DH156" i="2"/>
  <c r="HI156" i="2"/>
  <c r="HG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H160" i="2"/>
  <c r="HG160" i="2"/>
  <c r="EC160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HH161" i="2"/>
  <c r="EB161" i="2"/>
  <c r="EX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G163" i="2"/>
  <c r="HI163" i="2"/>
  <c r="HH163" i="2"/>
  <c r="EV163" i="2"/>
  <c r="EY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H164" i="2" l="1"/>
  <c r="HH164" i="2"/>
  <c r="EX164" i="2"/>
  <c r="EV164" i="2"/>
  <c r="DI163" i="2"/>
  <c r="FS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R167" i="2"/>
  <c r="DG167" i="2"/>
  <c r="HH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B168" i="2"/>
  <c r="EW168" i="2"/>
  <c r="EC168" i="2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FS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EV172" i="2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B173" i="2"/>
  <c r="HH173" i="2"/>
  <c r="HJ172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FS175" i="2"/>
  <c r="EA175" i="2"/>
  <c r="HI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EW178" i="2"/>
  <c r="HH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EY179" i="2" s="1"/>
  <c r="DF179" i="2"/>
  <c r="EA179" i="2"/>
  <c r="ED179" i="2" s="1"/>
  <c r="HG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/>
  <c r="EB185" i="2" l="1"/>
  <c r="EA185" i="2"/>
  <c r="EV185" i="2"/>
  <c r="HH185" i="2"/>
  <c r="EW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HH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HH189" i="2"/>
  <c r="EV189" i="2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HH190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EB192" i="2"/>
  <c r="EW192" i="2"/>
  <c r="HG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FQ194" i="2"/>
  <c r="HG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G195" i="2"/>
  <c r="EX195" i="2"/>
  <c r="HI195" i="2"/>
  <c r="EA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EA197" i="2"/>
  <c r="EC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A199" i="2"/>
  <c r="HH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HG201" i="2" l="1"/>
  <c r="FS201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X202" i="2"/>
  <c r="FR202" i="2"/>
  <c r="HI202" i="2"/>
  <c r="FS202" i="2"/>
  <c r="EW202" i="2"/>
  <c r="HG202" i="2"/>
  <c r="HJ202" i="2" s="1"/>
  <c r="FZ6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GT133" i="2" a="1"/>
  <c r="GT133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41" i="2" a="1"/>
  <c r="DN41" i="2" s="1"/>
  <c r="DN25" i="2" a="1"/>
  <c r="DN25" i="2" s="1"/>
  <c r="DN170" i="2" a="1"/>
  <c r="DN170" i="2" s="1"/>
  <c r="DN86" i="2" a="1"/>
  <c r="DN86" i="2" s="1"/>
  <c r="DN150" i="2" a="1"/>
  <c r="DN150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21" i="2" a="1"/>
  <c r="GT21" i="2" s="1"/>
  <c r="GT74" i="2" a="1"/>
  <c r="GT74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135" i="2" a="1"/>
  <c r="DN135" i="2" s="1"/>
  <c r="DN49" i="2" a="1"/>
  <c r="DN49" i="2" s="1"/>
  <c r="DN16" i="2" a="1"/>
  <c r="DN16" i="2" s="1"/>
  <c r="DN31" i="2" a="1"/>
  <c r="DN31" i="2" s="1"/>
  <c r="DN55" i="2" a="1"/>
  <c r="DN55" i="2" s="1"/>
  <c r="DN65" i="2" a="1"/>
  <c r="DN65" i="2" s="1"/>
  <c r="DN190" i="2" a="1"/>
  <c r="DN190" i="2" s="1"/>
  <c r="DN6" i="2" a="1"/>
  <c r="DN6" i="2" s="1"/>
  <c r="DO6" i="2" s="1"/>
  <c r="DN30" i="2" a="1"/>
  <c r="DN30" i="2" s="1"/>
  <c r="DN45" i="2" a="1"/>
  <c r="DN45" i="2" s="1"/>
  <c r="FD82" i="2" a="1"/>
  <c r="FD82" i="2" s="1"/>
  <c r="DN187" i="2" a="1"/>
  <c r="DN187" i="2" s="1"/>
  <c r="AX200" i="2"/>
  <c r="CS38" i="2" l="1" a="1"/>
  <c r="CS38" i="2" s="1"/>
  <c r="CS129" i="2" a="1"/>
  <c r="CS129" i="2" s="1"/>
  <c r="CS137" i="2" a="1"/>
  <c r="CS137" i="2" s="1"/>
  <c r="CS114" i="2" a="1"/>
  <c r="CS114" i="2" s="1"/>
  <c r="CS105" i="2" a="1"/>
  <c r="CS105" i="2" s="1"/>
  <c r="CS52" i="2" a="1"/>
  <c r="CS52" i="2" s="1"/>
  <c r="CS56" i="2" a="1"/>
  <c r="CS56" i="2" s="1"/>
  <c r="CS120" i="2" a="1"/>
  <c r="CS120" i="2" s="1"/>
  <c r="CS161" i="2" a="1"/>
  <c r="CS161" i="2" s="1"/>
  <c r="CS116" i="2" a="1"/>
  <c r="CS116" i="2" s="1"/>
  <c r="CS66" i="2" a="1"/>
  <c r="CS66" i="2" s="1"/>
  <c r="AH163" i="2" a="1"/>
  <c r="AH163" i="2" s="1"/>
  <c r="CS185" i="2" a="1"/>
  <c r="CS185" i="2" s="1"/>
  <c r="AH62" i="2" a="1"/>
  <c r="AH62" i="2" s="1"/>
  <c r="CS72" i="2" a="1"/>
  <c r="CS72" i="2" s="1"/>
  <c r="AH166" i="2" a="1"/>
  <c r="AH166" i="2" s="1"/>
  <c r="BX107" i="2" a="1"/>
  <c r="BX107" i="2" s="1"/>
  <c r="CS134" i="2" a="1"/>
  <c r="CS134" i="2" s="1"/>
  <c r="AH90" i="2" a="1"/>
  <c r="AH90" i="2" s="1"/>
  <c r="AH92" i="2" a="1"/>
  <c r="AH92" i="2" s="1"/>
  <c r="CS24" i="2" a="1"/>
  <c r="CS24" i="2" s="1"/>
  <c r="CS77" i="2" a="1"/>
  <c r="CS77" i="2" s="1"/>
  <c r="BC143" i="2" a="1"/>
  <c r="BC143" i="2" s="1"/>
  <c r="AH199" i="2" a="1"/>
  <c r="AH199" i="2" s="1"/>
  <c r="AH19" i="2" a="1"/>
  <c r="AH19" i="2" s="1"/>
  <c r="AH151" i="2" a="1"/>
  <c r="AH151" i="2" s="1"/>
  <c r="BC18" i="2" a="1"/>
  <c r="BC18" i="2" s="1"/>
  <c r="BC84" i="2" a="1"/>
  <c r="BC84" i="2" s="1"/>
  <c r="BC55" i="2" a="1"/>
  <c r="BC55" i="2" s="1"/>
  <c r="BC181" i="2" a="1"/>
  <c r="BC181" i="2" s="1"/>
  <c r="BC83" i="2" a="1"/>
  <c r="BC83" i="2" s="1"/>
  <c r="BC7" i="2" a="1"/>
  <c r="BC7" i="2" s="1"/>
  <c r="BC82" i="2" a="1"/>
  <c r="BC82" i="2" s="1"/>
  <c r="BP203" i="2"/>
  <c r="BC164" i="2" a="1"/>
  <c r="BC164" i="2" s="1"/>
  <c r="DN103" i="2" a="1"/>
  <c r="DN10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DN56" i="2" a="1"/>
  <c r="DN56" i="2" s="1"/>
  <c r="BC114" i="2" a="1"/>
  <c r="BC114" i="2" s="1"/>
  <c r="BC68" i="2" a="1"/>
  <c r="BC68" i="2" s="1"/>
  <c r="HG203" i="2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GT190" i="2" a="1"/>
  <c r="GT190" i="2" s="1"/>
  <c r="DN63" i="2" a="1"/>
  <c r="DN63" i="2" s="1"/>
  <c r="BC151" i="2" a="1"/>
  <c r="BC151" i="2" s="1"/>
  <c r="BC31" i="2" a="1"/>
  <c r="BC31" i="2" s="1"/>
  <c r="BC192" i="2" a="1"/>
  <c r="BC192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GT102" i="2" a="1"/>
  <c r="GT102" i="2" s="1"/>
  <c r="BC117" i="2" a="1"/>
  <c r="BC117" i="2" s="1"/>
  <c r="BC126" i="2" a="1"/>
  <c r="BC126" i="2" s="1"/>
  <c r="BC58" i="2" a="1"/>
  <c r="BC58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BC38" i="2" a="1"/>
  <c r="BC38" i="2" s="1"/>
  <c r="BC185" i="2" a="1"/>
  <c r="BC185" i="2" s="1"/>
  <c r="BC32" i="2" a="1"/>
  <c r="BC32" i="2" s="1"/>
  <c r="BC130" i="2" a="1"/>
  <c r="BC130" i="2" s="1"/>
  <c r="DN114" i="2" a="1"/>
  <c r="DN114" i="2" s="1"/>
  <c r="DN123" i="2" a="1"/>
  <c r="DN12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GT68" i="2" a="1"/>
  <c r="GT68" i="2" s="1"/>
  <c r="BC65" i="2" a="1"/>
  <c r="BC65" i="2" s="1"/>
  <c r="BC47" i="2" a="1"/>
  <c r="BC47" i="2" s="1"/>
  <c r="GT12" i="2" a="1"/>
  <c r="GT12" i="2" s="1"/>
  <c r="GT38" i="2" a="1"/>
  <c r="GT38" i="2" s="1"/>
  <c r="GT152" i="2" a="1"/>
  <c r="GT152" i="2" s="1"/>
  <c r="GT122" i="2" a="1"/>
  <c r="GT122" i="2" s="1"/>
  <c r="GT184" i="2" a="1"/>
  <c r="GT184" i="2" s="1"/>
  <c r="GT138" i="2" a="1"/>
  <c r="GT138" i="2" s="1"/>
  <c r="GT178" i="2" a="1"/>
  <c r="GT178" i="2" s="1"/>
  <c r="GT107" i="2" a="1"/>
  <c r="GT107" i="2" s="1"/>
  <c r="GT189" i="2" a="1"/>
  <c r="GT189" i="2" s="1"/>
  <c r="GT174" i="2" a="1"/>
  <c r="GT174" i="2" s="1"/>
  <c r="GT126" i="2" a="1"/>
  <c r="GT126" i="2" s="1"/>
  <c r="GT198" i="2" a="1"/>
  <c r="GT198" i="2" s="1"/>
  <c r="GT11" i="2" a="1"/>
  <c r="GT11" i="2" s="1"/>
  <c r="GT33" i="2" a="1"/>
  <c r="GT33" i="2" s="1"/>
  <c r="GT51" i="2" a="1"/>
  <c r="GT51" i="2" s="1"/>
  <c r="GT115" i="2" a="1"/>
  <c r="GT115" i="2" s="1"/>
  <c r="FR203" i="2"/>
  <c r="GT191" i="2" a="1"/>
  <c r="GT191" i="2" s="1"/>
  <c r="GT147" i="2" a="1"/>
  <c r="GT147" i="2" s="1"/>
  <c r="GT121" i="2" a="1"/>
  <c r="GT121" i="2" s="1"/>
  <c r="GT181" i="2" a="1"/>
  <c r="GT181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7" i="2" l="1"/>
  <c r="CD48" i="2"/>
  <c r="CD60" i="2"/>
  <c r="CD25" i="2"/>
  <c r="CD35" i="2"/>
  <c r="CD201" i="2"/>
  <c r="CD67" i="2"/>
  <c r="CD29" i="2"/>
  <c r="CD152" i="2"/>
  <c r="CD166" i="2"/>
  <c r="CD47" i="2"/>
  <c r="CD31" i="2"/>
  <c r="CD86" i="2"/>
  <c r="CD165" i="2"/>
  <c r="CD156" i="2"/>
  <c r="CD149" i="2"/>
  <c r="CD39" i="2"/>
  <c r="CD161" i="2"/>
  <c r="CD128" i="2"/>
  <c r="CD14" i="2"/>
  <c r="CD198" i="2"/>
  <c r="CD119" i="2"/>
  <c r="CD173" i="2"/>
  <c r="CD162" i="2"/>
  <c r="CD199" i="2"/>
  <c r="CD104" i="2"/>
  <c r="CD126" i="2"/>
  <c r="CD65" i="2"/>
  <c r="CD114" i="2"/>
  <c r="CD124" i="2"/>
  <c r="CD154" i="2"/>
  <c r="CD19" i="2"/>
  <c r="CD141" i="2"/>
  <c r="CD185" i="2"/>
  <c r="CD112" i="2"/>
  <c r="CD189" i="2"/>
  <c r="CD186" i="2"/>
  <c r="CD190" i="2"/>
  <c r="CD196" i="2"/>
  <c r="CD172" i="2"/>
  <c r="CD34" i="2"/>
  <c r="CD181" i="2"/>
  <c r="CD151" i="2"/>
  <c r="CD30" i="2"/>
  <c r="CD71" i="2"/>
  <c r="CD178" i="2"/>
  <c r="CD193" i="2"/>
  <c r="CD50" i="2"/>
  <c r="CD40" i="2"/>
  <c r="CD142" i="2"/>
  <c r="CD58" i="2"/>
  <c r="CD200" i="2"/>
  <c r="CD57" i="2"/>
  <c r="CD66" i="2"/>
  <c r="CD44" i="2"/>
  <c r="CD4" i="2"/>
  <c r="CD139" i="2"/>
  <c r="CD37" i="2"/>
  <c r="CD105" i="2"/>
  <c r="CD18" i="2"/>
  <c r="CD170" i="2"/>
  <c r="CD143" i="2"/>
  <c r="CD117" i="2"/>
  <c r="CD23" i="2"/>
  <c r="CD177" i="2"/>
  <c r="CD46" i="2"/>
  <c r="CD27" i="2"/>
  <c r="CD101" i="2"/>
  <c r="CD203" i="2"/>
  <c r="CD127" i="2"/>
  <c r="CD84" i="2"/>
  <c r="CD41" i="2"/>
  <c r="CD78" i="2"/>
  <c r="CD59" i="2"/>
  <c r="CD125" i="2"/>
  <c r="CD157" i="2"/>
  <c r="CD51" i="2"/>
  <c r="CD164" i="2"/>
  <c r="CD95" i="2"/>
  <c r="CD168" i="2"/>
  <c r="CD102" i="2"/>
  <c r="CD131" i="2"/>
  <c r="CD176" i="2"/>
  <c r="CD197" i="2"/>
  <c r="CD184" i="2"/>
  <c r="CD159" i="2"/>
  <c r="CD98" i="2"/>
  <c r="CD147" i="2"/>
  <c r="CD85" i="2"/>
  <c r="CD52" i="2"/>
  <c r="CD187" i="2"/>
  <c r="CD167" i="2"/>
  <c r="CD5" i="2"/>
  <c r="CD79" i="2"/>
  <c r="CD148" i="2"/>
  <c r="CD92" i="2"/>
  <c r="CD20" i="2"/>
  <c r="CD3" i="2"/>
  <c r="C9" i="4" s="1"/>
  <c r="E9" i="4" s="1"/>
  <c r="F9" i="4" s="1"/>
  <c r="G9" i="4" s="1"/>
  <c r="L9" i="4" s="1"/>
  <c r="CD17" i="2"/>
  <c r="CD155" i="2"/>
  <c r="CD129" i="2"/>
  <c r="CD133" i="2"/>
  <c r="CD68" i="2"/>
  <c r="CD43" i="2"/>
  <c r="CD72" i="2"/>
  <c r="CD56" i="2"/>
  <c r="CD136" i="2"/>
  <c r="CD13" i="2"/>
  <c r="CD99" i="2"/>
  <c r="CD191" i="2"/>
  <c r="CD118" i="2"/>
  <c r="CD16" i="2"/>
  <c r="CD94" i="2"/>
  <c r="CD8" i="2"/>
  <c r="CD169" i="2"/>
  <c r="CD153" i="2"/>
  <c r="CD145" i="2"/>
  <c r="CD75" i="2"/>
  <c r="CD82" i="2"/>
  <c r="CD158" i="2"/>
  <c r="CD134" i="2"/>
  <c r="CD26" i="2"/>
  <c r="CD9" i="2"/>
  <c r="CD36" i="2"/>
  <c r="CD121" i="2"/>
  <c r="CD70" i="2"/>
  <c r="CD122" i="2"/>
  <c r="CD77" i="2"/>
  <c r="CD180" i="2"/>
  <c r="CD106" i="2"/>
  <c r="CD11" i="2"/>
  <c r="CD15" i="2"/>
  <c r="CD21" i="2"/>
  <c r="CD192" i="2"/>
  <c r="CD194" i="2"/>
  <c r="CD38" i="2"/>
  <c r="CD115" i="2"/>
  <c r="CD163" i="2"/>
  <c r="CD53" i="2"/>
  <c r="CD109" i="2"/>
  <c r="CD10" i="2"/>
  <c r="CD107" i="2"/>
  <c r="CD120" i="2"/>
  <c r="CD63" i="2"/>
  <c r="CD97" i="2"/>
  <c r="CD132" i="2"/>
  <c r="CD55" i="2"/>
  <c r="CD22" i="2"/>
  <c r="CD32" i="2"/>
  <c r="CD24" i="2"/>
  <c r="CD96" i="2"/>
  <c r="CD202" i="2"/>
  <c r="CD150" i="2"/>
  <c r="CD90" i="2"/>
  <c r="CD33" i="2"/>
  <c r="CD103" i="2"/>
  <c r="CD28" i="2"/>
  <c r="CD83" i="2"/>
  <c r="CD171" i="2"/>
  <c r="CD45" i="2"/>
  <c r="CD69" i="2"/>
  <c r="CD182" i="2"/>
  <c r="CD88" i="2"/>
  <c r="CD62" i="2"/>
  <c r="CD87" i="2"/>
  <c r="CD73" i="2"/>
  <c r="CD110" i="2"/>
  <c r="CD175" i="2"/>
  <c r="CD160" i="2"/>
  <c r="CD179" i="2"/>
  <c r="CD123" i="2"/>
  <c r="CD108" i="2"/>
  <c r="CD64" i="2"/>
  <c r="CD74" i="2"/>
  <c r="CD137" i="2"/>
  <c r="CD138" i="2"/>
  <c r="CD54" i="2"/>
  <c r="CD42" i="2"/>
  <c r="CD130" i="2"/>
  <c r="CD61" i="2"/>
  <c r="CD6" i="2"/>
  <c r="CD195" i="2"/>
  <c r="CD113" i="2"/>
  <c r="CD183" i="2"/>
  <c r="CD49" i="2"/>
  <c r="CD188" i="2"/>
  <c r="CD93" i="2"/>
  <c r="CD116" i="2"/>
  <c r="CD146" i="2"/>
  <c r="CD174" i="2"/>
  <c r="CD89" i="2"/>
  <c r="CD144" i="2"/>
  <c r="CD80" i="2"/>
  <c r="CD76" i="2"/>
  <c r="CD81" i="2"/>
  <c r="CD100" i="2"/>
  <c r="CD135" i="2"/>
  <c r="CD111" i="2"/>
  <c r="CD91" i="2"/>
  <c r="CD12" i="2"/>
  <c r="CD14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67" i="2" l="1"/>
  <c r="BI122" i="2"/>
  <c r="BI131" i="2"/>
  <c r="BI192" i="2"/>
  <c r="BI186" i="2"/>
  <c r="BI12" i="2"/>
  <c r="BI97" i="2"/>
  <c r="BI10" i="2"/>
  <c r="BI47" i="2"/>
  <c r="BI21" i="2"/>
  <c r="BI61" i="2"/>
  <c r="BI53" i="2"/>
  <c r="BI31" i="2"/>
  <c r="BI82" i="2"/>
  <c r="BI160" i="2"/>
  <c r="BI56" i="2"/>
  <c r="BI154" i="2"/>
  <c r="BI76" i="2"/>
  <c r="BI68" i="2"/>
  <c r="BI141" i="2"/>
  <c r="BI197" i="2"/>
  <c r="BI117" i="2"/>
  <c r="BI165" i="2"/>
  <c r="BI33" i="2"/>
  <c r="BI64" i="2"/>
  <c r="BI153" i="2"/>
  <c r="BI168" i="2"/>
  <c r="BI87" i="2"/>
  <c r="BI79" i="2"/>
  <c r="BI9" i="2"/>
  <c r="BI73" i="2"/>
  <c r="BI34" i="2"/>
  <c r="BI103" i="2"/>
  <c r="BI67" i="2"/>
  <c r="BI146" i="2"/>
  <c r="BI18" i="2"/>
  <c r="BI118" i="2"/>
  <c r="BI72" i="2"/>
  <c r="BI191" i="2"/>
  <c r="BI11" i="2"/>
  <c r="BI17" i="2"/>
  <c r="BI178" i="2"/>
  <c r="BI196" i="2"/>
  <c r="BI70" i="2"/>
  <c r="BI128" i="2"/>
  <c r="BI126" i="2"/>
  <c r="BI142" i="2"/>
  <c r="BI169" i="2"/>
  <c r="BI100" i="2"/>
  <c r="BI149" i="2"/>
  <c r="BI45" i="2"/>
  <c r="BI123" i="2"/>
  <c r="BI32" i="2"/>
  <c r="BI40" i="2"/>
  <c r="BI99" i="2"/>
  <c r="BI98" i="2"/>
  <c r="BI88" i="2"/>
  <c r="BI77" i="2"/>
  <c r="BI170" i="2"/>
  <c r="BI58" i="2"/>
  <c r="BI26" i="2"/>
  <c r="BI96" i="2"/>
  <c r="BI124" i="2"/>
  <c r="BI136" i="2"/>
  <c r="BI193" i="2"/>
  <c r="BI74" i="2"/>
  <c r="BI158" i="2"/>
  <c r="BI201" i="2"/>
  <c r="BI147" i="2"/>
  <c r="BI35" i="2"/>
  <c r="BI140" i="2"/>
  <c r="BI44" i="2"/>
  <c r="BI172" i="2"/>
  <c r="BI143" i="2"/>
  <c r="BI184" i="2"/>
  <c r="BI41" i="2"/>
  <c r="BI69" i="2"/>
  <c r="BI60" i="2"/>
  <c r="BI15" i="2"/>
  <c r="BI16" i="2"/>
  <c r="BI57" i="2"/>
  <c r="BI138" i="2"/>
  <c r="BI121" i="2"/>
  <c r="BI175" i="2"/>
  <c r="BI108" i="2"/>
  <c r="BI164" i="2"/>
  <c r="BI101" i="2"/>
  <c r="BI24" i="2"/>
  <c r="BI112" i="2"/>
  <c r="BI23" i="2"/>
  <c r="BI145" i="2"/>
  <c r="BI198" i="2"/>
  <c r="BI129" i="2"/>
  <c r="BI85" i="2"/>
  <c r="BI19" i="2"/>
  <c r="BI6" i="2"/>
  <c r="BI185" i="2"/>
  <c r="BI139" i="2"/>
  <c r="BI105" i="2"/>
  <c r="BI151" i="2"/>
  <c r="BI89" i="2"/>
  <c r="BI125" i="2"/>
  <c r="BI111" i="2"/>
  <c r="BI113" i="2"/>
  <c r="BI114" i="2"/>
  <c r="BI91" i="2"/>
  <c r="BI134" i="2"/>
  <c r="BI144" i="2"/>
  <c r="BI132" i="2"/>
  <c r="BI182" i="2"/>
  <c r="BI109" i="2"/>
  <c r="BI81" i="2"/>
  <c r="BI135" i="2"/>
  <c r="BI52" i="2"/>
  <c r="BI106" i="2"/>
  <c r="BI194" i="2"/>
  <c r="BI152" i="2"/>
  <c r="BI92" i="2"/>
  <c r="BI66" i="2"/>
  <c r="BI119" i="2"/>
  <c r="BI43" i="2"/>
  <c r="BI93" i="2"/>
  <c r="BI174" i="2"/>
  <c r="BI163" i="2"/>
  <c r="BI171" i="2"/>
  <c r="BI84" i="2"/>
  <c r="BI150" i="2"/>
  <c r="BI7" i="2"/>
  <c r="BI3" i="2"/>
  <c r="C8" i="4" s="1"/>
  <c r="E8" i="4" s="1"/>
  <c r="F8" i="4" s="1"/>
  <c r="G8" i="4" s="1"/>
  <c r="L8" i="4" s="1"/>
  <c r="BI51" i="2"/>
  <c r="BI137" i="2"/>
  <c r="BI116" i="2"/>
  <c r="BI39" i="2"/>
  <c r="BI94" i="2"/>
  <c r="BI102" i="2"/>
  <c r="BI120" i="2"/>
  <c r="BI29" i="2"/>
  <c r="BI195" i="2"/>
  <c r="BI49" i="2"/>
  <c r="BI104" i="2"/>
  <c r="BI159" i="2"/>
  <c r="BI155" i="2"/>
  <c r="BI161" i="2"/>
  <c r="BI48" i="2"/>
  <c r="BI130" i="2"/>
  <c r="BI176" i="2"/>
  <c r="BI183" i="2"/>
  <c r="BI180" i="2"/>
  <c r="BI190" i="2"/>
  <c r="BI90" i="2"/>
  <c r="BI25" i="2"/>
  <c r="BI65" i="2"/>
  <c r="BI181" i="2"/>
  <c r="BI13" i="2"/>
  <c r="BI28" i="2"/>
  <c r="BI157" i="2"/>
  <c r="BI62" i="2"/>
  <c r="BI110" i="2"/>
  <c r="BI166" i="2"/>
  <c r="BI20" i="2"/>
  <c r="BI4" i="2"/>
  <c r="BI148" i="2"/>
  <c r="BI42" i="2"/>
  <c r="BI5" i="2"/>
  <c r="BI83" i="2"/>
  <c r="BI55" i="2"/>
  <c r="BI78" i="2"/>
  <c r="BI107" i="2"/>
  <c r="BI8" i="2"/>
  <c r="BI127" i="2"/>
  <c r="BI30" i="2"/>
  <c r="BI59" i="2"/>
  <c r="BI22" i="2"/>
  <c r="BI54" i="2"/>
  <c r="BI156" i="2"/>
  <c r="BI75" i="2"/>
  <c r="BI36" i="2"/>
  <c r="BI187" i="2"/>
  <c r="BI14" i="2"/>
  <c r="BI63" i="2"/>
  <c r="BI202" i="2"/>
  <c r="BI115" i="2"/>
  <c r="BI80" i="2"/>
  <c r="BI177" i="2"/>
  <c r="BI71" i="2"/>
  <c r="BI86" i="2"/>
  <c r="BI133" i="2"/>
  <c r="BI189" i="2"/>
  <c r="BI203" i="2"/>
  <c r="BI50" i="2"/>
  <c r="BI199" i="2"/>
  <c r="BI200" i="2"/>
  <c r="BI95" i="2"/>
  <c r="BI37" i="2"/>
  <c r="BI179" i="2"/>
  <c r="BI162" i="2"/>
  <c r="BI27" i="2"/>
  <c r="BI38" i="2"/>
  <c r="BI188" i="2"/>
  <c r="BI46" i="2"/>
  <c r="BI17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<sst xmlns="http://schemas.openxmlformats.org/spreadsheetml/2006/main" count="1173" uniqueCount="324">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</sst>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2.9451362635502849</c:v>
                </c:pt>
                <c:pt idx="2">
                  <c:v>3.7546394393975149</c:v>
                </c:pt>
                <c:pt idx="3">
                  <c:v>4.7875164054744594</c:v>
                </c:pt>
                <c:pt idx="4">
                  <c:v>6.1056315505666889</c:v>
                </c:pt>
                <c:pt idx="5">
                  <c:v>7.7880415675402892</c:v>
                </c:pt>
                <c:pt idx="6">
                  <c:v>9.9357883762570971</c:v>
                </c:pt>
                <c:pt idx="7">
                  <c:v>12.678032119275214</c:v>
                </c:pt>
                <c:pt idx="8">
                  <c:v>16.179899902326053</c:v>
                </c:pt>
                <c:pt idx="9">
                  <c:v>20.652531520579803</c:v>
                </c:pt>
                <c:pt idx="10">
                  <c:v>26.365938711847136</c:v>
                </c:pt>
                <c:pt idx="11">
                  <c:v>33.665467898664488</c:v>
                </c:pt>
                <c:pt idx="12">
                  <c:v>42.992878683763223</c:v>
                </c:pt>
                <c:pt idx="13">
                  <c:v>54.913335351798224</c:v>
                </c:pt>
                <c:pt idx="14">
                  <c:v>70.149974013263474</c:v>
                </c:pt>
                <c:pt idx="15">
                  <c:v>28.507066734820075</c:v>
                </c:pt>
                <c:pt idx="16">
                  <c:v>37.626872562622417</c:v>
                </c:pt>
                <c:pt idx="17">
                  <c:v>46.686086749255459</c:v>
                </c:pt>
                <c:pt idx="18">
                  <c:v>55.698230177503397</c:v>
                </c:pt>
                <c:pt idx="19">
                  <c:v>64.672036007586442</c:v>
                </c:pt>
                <c:pt idx="20">
                  <c:v>73.613595076935383</c:v>
                </c:pt>
                <c:pt idx="21">
                  <c:v>82.527388385747244</c:v>
                </c:pt>
                <c:pt idx="22">
                  <c:v>91.416845144129653</c:v>
                </c:pt>
                <c:pt idx="23">
                  <c:v>100.28467051875036</c:v>
                </c:pt>
                <c:pt idx="24">
                  <c:v>109.13305058412489</c:v>
                </c:pt>
                <c:pt idx="25">
                  <c:v>117.96378694831623</c:v>
                </c:pt>
                <c:pt idx="26">
                  <c:v>82.497112319399278</c:v>
                </c:pt>
                <c:pt idx="27">
                  <c:v>94.797486566375525</c:v>
                </c:pt>
                <c:pt idx="28">
                  <c:v>107.05803572977585</c:v>
                </c:pt>
                <c:pt idx="29">
                  <c:v>119.2839721559787</c:v>
                </c:pt>
                <c:pt idx="30">
                  <c:v>131.47934862864375</c:v>
                </c:pt>
                <c:pt idx="31">
                  <c:v>143.64740257451564</c:v>
                </c:pt>
                <c:pt idx="32">
                  <c:v>155.79077690060677</c:v>
                </c:pt>
                <c:pt idx="33">
                  <c:v>167.91166807003736</c:v>
                </c:pt>
                <c:pt idx="34">
                  <c:v>180.01192902911077</c:v>
                </c:pt>
                <c:pt idx="35">
                  <c:v>192.09314292764773</c:v>
                </c:pt>
                <c:pt idx="36">
                  <c:v>204.15667727562371</c:v>
                </c:pt>
                <c:pt idx="37">
                  <c:v>216.20372460175975</c:v>
                </c:pt>
                <c:pt idx="38">
                  <c:v>148.5732339146688</c:v>
                </c:pt>
                <c:pt idx="39">
                  <c:v>161.362507950626</c:v>
                </c:pt>
                <c:pt idx="40">
                  <c:v>174.12778711390868</c:v>
                </c:pt>
                <c:pt idx="41">
                  <c:v>186.87107951156952</c:v>
                </c:pt>
                <c:pt idx="42">
                  <c:v>199.59409665064175</c:v>
                </c:pt>
                <c:pt idx="43">
                  <c:v>212.29831377776441</c:v>
                </c:pt>
                <c:pt idx="44">
                  <c:v>224.98501498915439</c:v>
                </c:pt>
                <c:pt idx="45">
                  <c:v>237.65532761500836</c:v>
                </c:pt>
                <c:pt idx="46">
                  <c:v>193.72435539056303</c:v>
                </c:pt>
                <c:pt idx="47">
                  <c:v>206.43707921846078</c:v>
                </c:pt>
                <c:pt idx="48">
                  <c:v>219.13171582351433</c:v>
                </c:pt>
                <c:pt idx="49">
                  <c:v>231.8094611658297</c:v>
                </c:pt>
                <c:pt idx="50">
                  <c:v>244.4713696055087</c:v>
                </c:pt>
                <c:pt idx="51">
                  <c:v>257.1183772918742</c:v>
                </c:pt>
                <c:pt idx="52">
                  <c:v>269.75132070455169</c:v>
                </c:pt>
                <c:pt idx="53">
                  <c:v>282.37095153600734</c:v>
                </c:pt>
                <c:pt idx="54">
                  <c:v>236.92477542099428</c:v>
                </c:pt>
                <c:pt idx="55">
                  <c:v>249.82379469265871</c:v>
                </c:pt>
                <c:pt idx="56">
                  <c:v>262.70771358602695</c:v>
                </c:pt>
                <c:pt idx="57">
                  <c:v>275.57737725589101</c:v>
                </c:pt>
                <c:pt idx="58">
                  <c:v>288.43354543430939</c:v>
                </c:pt>
                <c:pt idx="59">
                  <c:v>301.27690456860313</c:v>
                </c:pt>
                <c:pt idx="60">
                  <c:v>314.10807777988271</c:v>
                </c:pt>
                <c:pt idx="61">
                  <c:v>326.9276331083118</c:v>
                </c:pt>
                <c:pt idx="62">
                  <c:v>274.84927284449958</c:v>
                </c:pt>
                <c:pt idx="63">
                  <c:v>286.73630928644434</c:v>
                </c:pt>
                <c:pt idx="64">
                  <c:v>298.6123236065535</c:v>
                </c:pt>
                <c:pt idx="65">
                  <c:v>310.47781610568069</c:v>
                </c:pt>
                <c:pt idx="66">
                  <c:v>322.33324570651359</c:v>
                </c:pt>
                <c:pt idx="67">
                  <c:v>334.1790348043869</c:v>
                </c:pt>
                <c:pt idx="68">
                  <c:v>346.01557339403593</c:v>
                </c:pt>
                <c:pt idx="69">
                  <c:v>357.84322260194625</c:v>
                </c:pt>
                <c:pt idx="70">
                  <c:v>307.57292859760338</c:v>
                </c:pt>
                <c:pt idx="71">
                  <c:v>319.18888396087686</c:v>
                </c:pt>
                <c:pt idx="72">
                  <c:v>330.79548404889391</c:v>
                </c:pt>
                <c:pt idx="73">
                  <c:v>342.393103483792</c:v>
                </c:pt>
                <c:pt idx="74">
                  <c:v>353.98208942867717</c:v>
                </c:pt>
                <c:pt idx="75">
                  <c:v>365.56276445260909</c:v>
                </c:pt>
                <c:pt idx="76">
                  <c:v>377.13542901347114</c:v>
                </c:pt>
                <c:pt idx="77">
                  <c:v>388.70036362009404</c:v>
                </c:pt>
                <c:pt idx="78">
                  <c:v>338.52820622756053</c:v>
                </c:pt>
                <c:pt idx="79">
                  <c:v>350.1200330013915</c:v>
                </c:pt>
                <c:pt idx="80">
                  <c:v>361.70344390352278</c:v>
                </c:pt>
                <c:pt idx="81">
                  <c:v>373.27874650728046</c:v>
                </c:pt>
                <c:pt idx="82">
                  <c:v>384.84622774857968</c:v>
                </c:pt>
                <c:pt idx="83">
                  <c:v>396.40615590256039</c:v>
                </c:pt>
                <c:pt idx="84">
                  <c:v>407.95878231757439</c:v>
                </c:pt>
                <c:pt idx="85">
                  <c:v>419.50434294248208</c:v>
                </c:pt>
                <c:pt idx="86">
                  <c:v>370.57855237838584</c:v>
                </c:pt>
                <c:pt idx="87">
                  <c:v>381.37678831502052</c:v>
                </c:pt>
                <c:pt idx="88">
                  <c:v>392.16837634017293</c:v>
                </c:pt>
                <c:pt idx="89">
                  <c:v>402.95352523018437</c:v>
                </c:pt>
                <c:pt idx="90">
                  <c:v>413.73243167051163</c:v>
                </c:pt>
                <c:pt idx="91">
                  <c:v>424.50528125945038</c:v>
                </c:pt>
                <c:pt idx="92">
                  <c:v>435.27224940464231</c:v>
                </c:pt>
                <c:pt idx="93">
                  <c:v>446.03350212624281</c:v>
                </c:pt>
                <c:pt idx="94">
                  <c:v>456.78919677852792</c:v>
                </c:pt>
                <c:pt idx="95">
                  <c:v>467.53948269999177</c:v>
                </c:pt>
                <c:pt idx="96">
                  <c:v>397.56174311317301</c:v>
                </c:pt>
                <c:pt idx="97">
                  <c:v>408.34374690780282</c:v>
                </c:pt>
                <c:pt idx="98">
                  <c:v>419.11960237942054</c:v>
                </c:pt>
                <c:pt idx="99">
                  <c:v>429.88948992506403</c:v>
                </c:pt>
                <c:pt idx="100">
                  <c:v>440.65358016358778</c:v>
                </c:pt>
                <c:pt idx="101">
                  <c:v>451.41203469669296</c:v>
                </c:pt>
                <c:pt idx="102">
                  <c:v>462.16500679362093</c:v>
                </c:pt>
                <c:pt idx="103">
                  <c:v>472.91264200880067</c:v>
                </c:pt>
                <c:pt idx="104">
                  <c:v>483.65507874042152</c:v>
                </c:pt>
                <c:pt idx="105">
                  <c:v>494.39244873679587</c:v>
                </c:pt>
                <c:pt idx="106">
                  <c:v>439.8849053384094</c:v>
                </c:pt>
                <c:pt idx="107">
                  <c:v>450.64375724397911</c:v>
                </c:pt>
                <c:pt idx="108">
                  <c:v>461.3971160283777</c:v>
                </c:pt>
                <c:pt idx="109">
                  <c:v>472.14512777790975</c:v>
                </c:pt>
                <c:pt idx="110">
                  <c:v>482.88793138454997</c:v>
                </c:pt>
                <c:pt idx="111">
                  <c:v>493.62565905582642</c:v>
                </c:pt>
                <c:pt idx="112">
                  <c:v>504.35843677803217</c:v>
                </c:pt>
                <c:pt idx="113">
                  <c:v>515.08638473795293</c:v>
                </c:pt>
                <c:pt idx="114">
                  <c:v>525.80961770763849</c:v>
                </c:pt>
                <c:pt idx="115">
                  <c:v>536.52824539615119</c:v>
                </c:pt>
                <c:pt idx="116">
                  <c:v>476.17428221780034</c:v>
                </c:pt>
                <c:pt idx="117">
                  <c:v>486.72341015001911</c:v>
                </c:pt>
                <c:pt idx="118">
                  <c:v>497.26768589837201</c:v>
                </c:pt>
                <c:pt idx="119">
                  <c:v>507.80722686130616</c:v>
                </c:pt>
                <c:pt idx="120">
                  <c:v>518.34214516637257</c:v>
                </c:pt>
                <c:pt idx="121">
                  <c:v>528.87254801147856</c:v>
                </c:pt>
                <c:pt idx="122">
                  <c:v>539.39853797754711</c:v>
                </c:pt>
                <c:pt idx="123">
                  <c:v>549.92021331550575</c:v>
                </c:pt>
                <c:pt idx="124">
                  <c:v>560.4376682101705</c:v>
                </c:pt>
                <c:pt idx="125">
                  <c:v>570.95099302329334</c:v>
                </c:pt>
                <c:pt idx="126">
                  <c:v>507.04087198522188</c:v>
                </c:pt>
                <c:pt idx="127">
                  <c:v>517.76763064124987</c:v>
                </c:pt>
                <c:pt idx="128">
                  <c:v>528.48970219589705</c:v>
                </c:pt>
                <c:pt idx="129">
                  <c:v>539.20719514390646</c:v>
                </c:pt>
                <c:pt idx="130">
                  <c:v>549.92021331550598</c:v>
                </c:pt>
                <c:pt idx="131">
                  <c:v>560.62885616584492</c:v>
                </c:pt>
                <c:pt idx="132">
                  <c:v>571.33321904116917</c:v>
                </c:pt>
                <c:pt idx="133">
                  <c:v>582.03339342401466</c:v>
                </c:pt>
                <c:pt idx="134">
                  <c:v>592.7294671594351</c:v>
                </c:pt>
                <c:pt idx="135">
                  <c:v>603.42152466405844</c:v>
                </c:pt>
                <c:pt idx="136">
                  <c:v>537.86775532587853</c:v>
                </c:pt>
                <c:pt idx="137">
                  <c:v>548.7726009391115</c:v>
                </c:pt>
                <c:pt idx="138">
                  <c:v>559.67290272997809</c:v>
                </c:pt>
                <c:pt idx="139">
                  <c:v>570.56876165925394</c:v>
                </c:pt>
                <c:pt idx="140">
                  <c:v>581.46027451778195</c:v>
                </c:pt>
                <c:pt idx="141">
                  <c:v>592.34753417523643</c:v>
                </c:pt>
                <c:pt idx="142">
                  <c:v>603.23062980965642</c:v>
                </c:pt>
                <c:pt idx="143">
                  <c:v>614.10964711955501</c:v>
                </c:pt>
                <c:pt idx="144">
                  <c:v>624.98466852022068</c:v>
                </c:pt>
                <c:pt idx="145">
                  <c:v>635.85577332565333</c:v>
                </c:pt>
                <c:pt idx="146">
                  <c:v>570.75987800979976</c:v>
                </c:pt>
                <c:pt idx="147">
                  <c:v>582.03339342401421</c:v>
                </c:pt>
                <c:pt idx="148">
                  <c:v>593.30235703240976</c:v>
                </c:pt>
                <c:pt idx="149">
                  <c:v>604.56686745724687</c:v>
                </c:pt>
                <c:pt idx="150">
                  <c:v>615.8270193468494</c:v>
                </c:pt>
                <c:pt idx="151">
                  <c:v>627.08290360699937</c:v>
                </c:pt>
                <c:pt idx="152">
                  <c:v>638.33460761486276</c:v>
                </c:pt>
                <c:pt idx="153">
                  <c:v>649.58221541705041</c:v>
                </c:pt>
                <c:pt idx="154">
                  <c:v>660.82580791325495</c:v>
                </c:pt>
                <c:pt idx="155">
                  <c:v>672.06546302674576</c:v>
                </c:pt>
                <c:pt idx="156">
                  <c:v>603.03973370008293</c:v>
                </c:pt>
                <c:pt idx="157">
                  <c:v>614.10964711955444</c:v>
                </c:pt>
                <c:pt idx="158">
                  <c:v>625.1754231830954</c:v>
                </c:pt>
                <c:pt idx="159">
                  <c:v>636.237145425721</c:v>
                </c:pt>
                <c:pt idx="160">
                  <c:v>647.29489424172459</c:v>
                </c:pt>
                <c:pt idx="161">
                  <c:v>658.34874705552875</c:v>
                </c:pt>
                <c:pt idx="162">
                  <c:v>669.39877848047149</c:v>
                </c:pt>
                <c:pt idx="163">
                  <c:v>680.44506046656591</c:v>
                </c:pt>
                <c:pt idx="164">
                  <c:v>691.48766243817045</c:v>
                </c:pt>
                <c:pt idx="165">
                  <c:v>702.52665142241449</c:v>
                </c:pt>
                <c:pt idx="166">
                  <c:v>639.79639097281995</c:v>
                </c:pt>
                <c:pt idx="167">
                  <c:v>651.3611281339613</c:v>
                </c:pt>
                <c:pt idx="168">
                  <c:v>662.92163315483765</c:v>
                </c:pt>
                <c:pt idx="169">
                  <c:v>674.4779902120639</c:v>
                </c:pt>
                <c:pt idx="170">
                  <c:v>686.03028036370745</c:v>
                </c:pt>
                <c:pt idx="171">
                  <c:v>697.57858171649457</c:v>
                </c:pt>
                <c:pt idx="172">
                  <c:v>709.12296958137358</c:v>
                </c:pt>
                <c:pt idx="173">
                  <c:v>720.66351661842907</c:v>
                </c:pt>
                <c:pt idx="174">
                  <c:v>732.20029297203462</c:v>
                </c:pt>
                <c:pt idx="175">
                  <c:v>743.73336639705076</c:v>
                </c:pt>
                <c:pt idx="176">
                  <c:v>755.26280237679237</c:v>
                </c:pt>
                <c:pt idx="177">
                  <c:v>766.78866423342424</c:v>
                </c:pt>
                <c:pt idx="178">
                  <c:v>778.31101323137739</c:v>
                </c:pt>
                <c:pt idx="179">
                  <c:v>789.82990867432738</c:v>
                </c:pt>
                <c:pt idx="180">
                  <c:v>801.34540799622619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1907536"/>
        <c:axId val="179824168"/>
      </c:scatterChart>
      <c:valAx>
        <c:axId val="28190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24168"/>
        <c:crosses val="autoZero"/>
        <c:crossBetween val="midCat"/>
      </c:valAx>
      <c:valAx>
        <c:axId val="179824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190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388480"/>
        <c:axId val="396388872"/>
      </c:scatterChart>
      <c:valAx>
        <c:axId val="396388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388872"/>
        <c:crosses val="autoZero"/>
        <c:crossBetween val="midCat"/>
      </c:valAx>
      <c:valAx>
        <c:axId val="39638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388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3.1406618151708408</c:v>
                </c:pt>
                <c:pt idx="2">
                  <c:v>4.0041014702540974</c:v>
                </c:pt>
                <c:pt idx="3">
                  <c:v>5.1058485434514997</c:v>
                </c:pt>
                <c:pt idx="4">
                  <c:v>6.5119164094532964</c:v>
                </c:pt>
                <c:pt idx="5">
                  <c:v>8.3066671274113997</c:v>
                </c:pt>
                <c:pt idx="6">
                  <c:v>10.597927607548877</c:v>
                </c:pt>
                <c:pt idx="7">
                  <c:v>13.523536448980417</c:v>
                </c:pt>
                <c:pt idx="8">
                  <c:v>17.259722575370432</c:v>
                </c:pt>
                <c:pt idx="9">
                  <c:v>22.031829531582584</c:v>
                </c:pt>
                <c:pt idx="10">
                  <c:v>28.128043794341707</c:v>
                </c:pt>
                <c:pt idx="11">
                  <c:v>35.916970654245418</c:v>
                </c:pt>
                <c:pt idx="12">
                  <c:v>45.870138639680967</c:v>
                </c:pt>
                <c:pt idx="13">
                  <c:v>58.590817820427965</c:v>
                </c:pt>
                <c:pt idx="14">
                  <c:v>74.85092756640752</c:v>
                </c:pt>
                <c:pt idx="15">
                  <c:v>30.412690740854586</c:v>
                </c:pt>
                <c:pt idx="16">
                  <c:v>40.144089296885134</c:v>
                </c:pt>
                <c:pt idx="17">
                  <c:v>49.811218335698207</c:v>
                </c:pt>
                <c:pt idx="18">
                  <c:v>59.428419449502321</c:v>
                </c:pt>
                <c:pt idx="19">
                  <c:v>69.004955896072047</c:v>
                </c:pt>
                <c:pt idx="20">
                  <c:v>78.547288222994013</c:v>
                </c:pt>
                <c:pt idx="21">
                  <c:v>88.060169424472633</c:v>
                </c:pt>
                <c:pt idx="22">
                  <c:v>97.547236861599387</c:v>
                </c:pt>
                <c:pt idx="23">
                  <c:v>107.01135990302591</c:v>
                </c:pt>
                <c:pt idx="24">
                  <c:v>116.45485731667149</c:v>
                </c:pt>
                <c:pt idx="25">
                  <c:v>125.87964006712114</c:v>
                </c:pt>
                <c:pt idx="26">
                  <c:v>88.027858251759781</c:v>
                </c:pt>
                <c:pt idx="27">
                  <c:v>101.15518632778647</c:v>
                </c:pt>
                <c:pt idx="28">
                  <c:v>114.24027196170113</c:v>
                </c:pt>
                <c:pt idx="29">
                  <c:v>127.28864388616127</c:v>
                </c:pt>
                <c:pt idx="30">
                  <c:v>140.30460088634871</c:v>
                </c:pt>
                <c:pt idx="31">
                  <c:v>153.29157689885756</c:v>
                </c:pt>
                <c:pt idx="32">
                  <c:v>166.25237525356053</c:v>
                </c:pt>
                <c:pt idx="33">
                  <c:v>179.18932573756373</c:v>
                </c:pt>
                <c:pt idx="34">
                  <c:v>192.10439376989265</c:v>
                </c:pt>
                <c:pt idx="35">
                  <c:v>204.99925859660655</c:v>
                </c:pt>
                <c:pt idx="36">
                  <c:v>217.8753707347112</c:v>
                </c:pt>
                <c:pt idx="37">
                  <c:v>230.73399509870117</c:v>
                </c:pt>
                <c:pt idx="38">
                  <c:v>158.54896885113669</c:v>
                </c:pt>
                <c:pt idx="39">
                  <c:v>172.19921472129727</c:v>
                </c:pt>
                <c:pt idx="40">
                  <c:v>185.82400924449436</c:v>
                </c:pt>
                <c:pt idx="41">
                  <c:v>199.42548241866663</c:v>
                </c:pt>
                <c:pt idx="42">
                  <c:v>213.00544963829137</c:v>
                </c:pt>
                <c:pt idx="43">
                  <c:v>226.56547569658815</c:v>
                </c:pt>
                <c:pt idx="44">
                  <c:v>240.10692263363944</c:v>
                </c:pt>
                <c:pt idx="45">
                  <c:v>253.63098620790393</c:v>
                </c:pt>
                <c:pt idx="46">
                  <c:v>206.74033987909073</c:v>
                </c:pt>
                <c:pt idx="47">
                  <c:v>220.30938898976538</c:v>
                </c:pt>
                <c:pt idx="48">
                  <c:v>233.85925299408595</c:v>
                </c:pt>
                <c:pt idx="49">
                  <c:v>247.39120044621509</c:v>
                </c:pt>
                <c:pt idx="50">
                  <c:v>260.90634970527634</c:v>
                </c:pt>
                <c:pt idx="51">
                  <c:v>274.40569374429145</c:v>
                </c:pt>
                <c:pt idx="52">
                  <c:v>287.89011981669432</c:v>
                </c:pt>
                <c:pt idx="53">
                  <c:v>301.36042524223024</c:v>
                </c:pt>
                <c:pt idx="54">
                  <c:v>252.85120509322329</c:v>
                </c:pt>
                <c:pt idx="55">
                  <c:v>266.61948594980146</c:v>
                </c:pt>
                <c:pt idx="56">
                  <c:v>280.37174984423507</c:v>
                </c:pt>
                <c:pt idx="57">
                  <c:v>294.10889323170153</c:v>
                </c:pt>
                <c:pt idx="58">
                  <c:v>307.83172195953699</c:v>
                </c:pt>
                <c:pt idx="59">
                  <c:v>321.54096414200046</c:v>
                </c:pt>
                <c:pt idx="60">
                  <c:v>335.23728072327782</c:v>
                </c:pt>
                <c:pt idx="61">
                  <c:v>348.92127422322784</c:v>
                </c:pt>
                <c:pt idx="62">
                  <c:v>293.33170847857133</c:v>
                </c:pt>
                <c:pt idx="63">
                  <c:v>306.02006663389579</c:v>
                </c:pt>
                <c:pt idx="64">
                  <c:v>318.69673363124156</c:v>
                </c:pt>
                <c:pt idx="65">
                  <c:v>331.36224013942234</c:v>
                </c:pt>
                <c:pt idx="66">
                  <c:v>344.01707293745602</c:v>
                </c:pt>
                <c:pt idx="67">
                  <c:v>356.66168005981905</c:v>
                </c:pt>
                <c:pt idx="68">
                  <c:v>369.29647517369193</c:v>
                </c:pt>
                <c:pt idx="69">
                  <c:v>381.9218413257197</c:v>
                </c:pt>
                <c:pt idx="70">
                  <c:v>328.26148833919052</c:v>
                </c:pt>
                <c:pt idx="71">
                  <c:v>340.66068267684119</c:v>
                </c:pt>
                <c:pt idx="72">
                  <c:v>353.04995387967392</c:v>
                </c:pt>
                <c:pt idx="73">
                  <c:v>365.42969930916388</c:v>
                </c:pt>
                <c:pt idx="74">
                  <c:v>377.80028720100808</c:v>
                </c:pt>
                <c:pt idx="75">
                  <c:v>390.16205970401296</c:v>
                </c:pt>
                <c:pt idx="76">
                  <c:v>402.5153355136747</c:v>
                </c:pt>
                <c:pt idx="77">
                  <c:v>414.86041216554025</c:v>
                </c:pt>
                <c:pt idx="78">
                  <c:v>361.30415262392563</c:v>
                </c:pt>
                <c:pt idx="79">
                  <c:v>373.67775378131779</c:v>
                </c:pt>
                <c:pt idx="80">
                  <c:v>386.04242822867764</c:v>
                </c:pt>
                <c:pt idx="81">
                  <c:v>398.39850220884642</c:v>
                </c:pt>
                <c:pt idx="82">
                  <c:v>410.74628007457642</c:v>
                </c:pt>
                <c:pt idx="83">
                  <c:v>423.08604638514612</c:v>
                </c:pt>
                <c:pt idx="84">
                  <c:v>435.41806774560104</c:v>
                </c:pt>
                <c:pt idx="85">
                  <c:v>447.74259442675469</c:v>
                </c:pt>
                <c:pt idx="86">
                  <c:v>395.51617117728159</c:v>
                </c:pt>
                <c:pt idx="87">
                  <c:v>407.04280051298912</c:v>
                </c:pt>
                <c:pt idx="88">
                  <c:v>418.56237841299998</c:v>
                </c:pt>
                <c:pt idx="89">
                  <c:v>430.07512632625321</c:v>
                </c:pt>
                <c:pt idx="90">
                  <c:v>441.5812528768941</c:v>
                </c:pt>
                <c:pt idx="91">
                  <c:v>453.08095492892272</c:v>
                </c:pt>
                <c:pt idx="92">
                  <c:v>464.5744185371193</c:v>
                </c:pt>
                <c:pt idx="93">
                  <c:v>476.06181979896178</c:v>
                </c:pt>
                <c:pt idx="94">
                  <c:v>487.54332562003611</c:v>
                </c:pt>
                <c:pt idx="95">
                  <c:v>499.01909440359276</c:v>
                </c:pt>
                <c:pt idx="96">
                  <c:v>424.31959279145207</c:v>
                </c:pt>
                <c:pt idx="97">
                  <c:v>435.82900470393224</c:v>
                </c:pt>
                <c:pt idx="98">
                  <c:v>447.33189509390417</c:v>
                </c:pt>
                <c:pt idx="99">
                  <c:v>458.82845530839762</c:v>
                </c:pt>
                <c:pt idx="100">
                  <c:v>470.3188663227279</c:v>
                </c:pt>
                <c:pt idx="101">
                  <c:v>481.80329954772242</c:v>
                </c:pt>
                <c:pt idx="102">
                  <c:v>493.28191755597271</c:v>
                </c:pt>
                <c:pt idx="103">
                  <c:v>504.7548747369737</c:v>
                </c:pt>
                <c:pt idx="104">
                  <c:v>516.22231788960153</c:v>
                </c:pt>
                <c:pt idx="105">
                  <c:v>527.68438675921141</c:v>
                </c:pt>
                <c:pt idx="106">
                  <c:v>469.4983228999526</c:v>
                </c:pt>
                <c:pt idx="107">
                  <c:v>480.98317761768021</c:v>
                </c:pt>
                <c:pt idx="108">
                  <c:v>492.46220578509718</c:v>
                </c:pt>
                <c:pt idx="109">
                  <c:v>503.93556235585856</c:v>
                </c:pt>
                <c:pt idx="110">
                  <c:v>515.40339465259785</c:v>
                </c:pt>
                <c:pt idx="111">
                  <c:v>526.86584290776057</c:v>
                </c:pt>
                <c:pt idx="112">
                  <c:v>538.32304075493118</c:v>
                </c:pt>
                <c:pt idx="113">
                  <c:v>549.77511567616159</c:v>
                </c:pt>
                <c:pt idx="114">
                  <c:v>561.22218941009498</c:v>
                </c:pt>
                <c:pt idx="115">
                  <c:v>572.66437832506847</c:v>
                </c:pt>
                <c:pt idx="116">
                  <c:v>508.23663916157744</c:v>
                </c:pt>
                <c:pt idx="117">
                  <c:v>519.49773716244033</c:v>
                </c:pt>
                <c:pt idx="118">
                  <c:v>530.75368845480523</c:v>
                </c:pt>
                <c:pt idx="119">
                  <c:v>542.00461756313405</c:v>
                </c:pt>
                <c:pt idx="120">
                  <c:v>553.25064342105304</c:v>
                </c:pt>
                <c:pt idx="121">
                  <c:v>564.49187973331686</c:v>
                </c:pt>
                <c:pt idx="122">
                  <c:v>575.72843530744956</c:v>
                </c:pt>
                <c:pt idx="123">
                  <c:v>586.96041435814993</c:v>
                </c:pt>
                <c:pt idx="124">
                  <c:v>598.18791678719572</c:v>
                </c:pt>
                <c:pt idx="125">
                  <c:v>609.41103844124325</c:v>
                </c:pt>
                <c:pt idx="126">
                  <c:v>529.73062951367569</c:v>
                </c:pt>
                <c:pt idx="127">
                  <c:v>529.73062951367569</c:v>
                </c:pt>
                <c:pt idx="128">
                  <c:v>529.73062951367569</c:v>
                </c:pt>
                <c:pt idx="129">
                  <c:v>529.73062951367569</c:v>
                </c:pt>
                <c:pt idx="130">
                  <c:v>529.73062951367569</c:v>
                </c:pt>
                <c:pt idx="131">
                  <c:v>529.73062951367569</c:v>
                </c:pt>
                <c:pt idx="132">
                  <c:v>529.73062951367569</c:v>
                </c:pt>
                <c:pt idx="133">
                  <c:v>529.73062951367569</c:v>
                </c:pt>
                <c:pt idx="134">
                  <c:v>529.73062951367569</c:v>
                </c:pt>
                <c:pt idx="135">
                  <c:v>529.73062951367569</c:v>
                </c:pt>
                <c:pt idx="136">
                  <c:v>529.73062951367569</c:v>
                </c:pt>
                <c:pt idx="137">
                  <c:v>529.73062951367569</c:v>
                </c:pt>
                <c:pt idx="138">
                  <c:v>529.73062951367569</c:v>
                </c:pt>
                <c:pt idx="139">
                  <c:v>529.73062951367569</c:v>
                </c:pt>
                <c:pt idx="140">
                  <c:v>529.73062951367569</c:v>
                </c:pt>
                <c:pt idx="141">
                  <c:v>529.73062951367569</c:v>
                </c:pt>
                <c:pt idx="142">
                  <c:v>529.73062951367569</c:v>
                </c:pt>
                <c:pt idx="143">
                  <c:v>529.73062951367569</c:v>
                </c:pt>
                <c:pt idx="144">
                  <c:v>529.73062951367569</c:v>
                </c:pt>
                <c:pt idx="145">
                  <c:v>529.73062951367569</c:v>
                </c:pt>
                <c:pt idx="146">
                  <c:v>529.73062951367569</c:v>
                </c:pt>
                <c:pt idx="147">
                  <c:v>529.73062951367569</c:v>
                </c:pt>
                <c:pt idx="148">
                  <c:v>529.73062951367569</c:v>
                </c:pt>
                <c:pt idx="149">
                  <c:v>529.73062951367569</c:v>
                </c:pt>
                <c:pt idx="150">
                  <c:v>529.73062951367569</c:v>
                </c:pt>
                <c:pt idx="151">
                  <c:v>529.73062951367569</c:v>
                </c:pt>
                <c:pt idx="152">
                  <c:v>529.73062951367569</c:v>
                </c:pt>
                <c:pt idx="153">
                  <c:v>529.73062951367569</c:v>
                </c:pt>
                <c:pt idx="154">
                  <c:v>529.73062951367569</c:v>
                </c:pt>
                <c:pt idx="155">
                  <c:v>529.73062951367569</c:v>
                </c:pt>
                <c:pt idx="156">
                  <c:v>529.73062951367569</c:v>
                </c:pt>
                <c:pt idx="157">
                  <c:v>529.73062951367569</c:v>
                </c:pt>
                <c:pt idx="158">
                  <c:v>529.73062951367569</c:v>
                </c:pt>
                <c:pt idx="159">
                  <c:v>529.73062951367569</c:v>
                </c:pt>
                <c:pt idx="160">
                  <c:v>529.73062951367569</c:v>
                </c:pt>
                <c:pt idx="161">
                  <c:v>529.73062951367569</c:v>
                </c:pt>
                <c:pt idx="162">
                  <c:v>529.73062951367569</c:v>
                </c:pt>
                <c:pt idx="163">
                  <c:v>529.73062951367569</c:v>
                </c:pt>
                <c:pt idx="164">
                  <c:v>529.73062951367569</c:v>
                </c:pt>
                <c:pt idx="165">
                  <c:v>529.73062951367569</c:v>
                </c:pt>
                <c:pt idx="166">
                  <c:v>529.73062951367569</c:v>
                </c:pt>
                <c:pt idx="167">
                  <c:v>529.73062951367569</c:v>
                </c:pt>
                <c:pt idx="168">
                  <c:v>529.73062951367569</c:v>
                </c:pt>
                <c:pt idx="169">
                  <c:v>529.73062951367569</c:v>
                </c:pt>
                <c:pt idx="170">
                  <c:v>529.73062951367569</c:v>
                </c:pt>
                <c:pt idx="171">
                  <c:v>529.73062951367569</c:v>
                </c:pt>
                <c:pt idx="172">
                  <c:v>529.73062951367569</c:v>
                </c:pt>
                <c:pt idx="173">
                  <c:v>529.73062951367569</c:v>
                </c:pt>
                <c:pt idx="174">
                  <c:v>529.73062951367569</c:v>
                </c:pt>
                <c:pt idx="175">
                  <c:v>529.73062951367569</c:v>
                </c:pt>
                <c:pt idx="176">
                  <c:v>529.73062951367569</c:v>
                </c:pt>
                <c:pt idx="177">
                  <c:v>529.73062951367569</c:v>
                </c:pt>
                <c:pt idx="178">
                  <c:v>529.73062951367569</c:v>
                </c:pt>
                <c:pt idx="179">
                  <c:v>529.73062951367569</c:v>
                </c:pt>
                <c:pt idx="180">
                  <c:v>529.73062951367569</c:v>
                </c:pt>
                <c:pt idx="181">
                  <c:v>529.73062951367569</c:v>
                </c:pt>
                <c:pt idx="182">
                  <c:v>529.73062951367569</c:v>
                </c:pt>
                <c:pt idx="183">
                  <c:v>529.73062951367569</c:v>
                </c:pt>
                <c:pt idx="184">
                  <c:v>529.73062951367569</c:v>
                </c:pt>
                <c:pt idx="185">
                  <c:v>529.73062951367569</c:v>
                </c:pt>
                <c:pt idx="186">
                  <c:v>529.73062951367569</c:v>
                </c:pt>
                <c:pt idx="187">
                  <c:v>529.73062951367569</c:v>
                </c:pt>
                <c:pt idx="188">
                  <c:v>529.73062951367569</c:v>
                </c:pt>
                <c:pt idx="189">
                  <c:v>529.73062951367569</c:v>
                </c:pt>
                <c:pt idx="190">
                  <c:v>529.73062951367569</c:v>
                </c:pt>
                <c:pt idx="191">
                  <c:v>529.73062951367569</c:v>
                </c:pt>
                <c:pt idx="192">
                  <c:v>529.73062951367569</c:v>
                </c:pt>
                <c:pt idx="193">
                  <c:v>529.73062951367569</c:v>
                </c:pt>
                <c:pt idx="194">
                  <c:v>529.73062951367569</c:v>
                </c:pt>
                <c:pt idx="195">
                  <c:v>529.73062951367569</c:v>
                </c:pt>
                <c:pt idx="196">
                  <c:v>529.73062951367569</c:v>
                </c:pt>
                <c:pt idx="197">
                  <c:v>529.73062951367569</c:v>
                </c:pt>
                <c:pt idx="198">
                  <c:v>529.73062951367569</c:v>
                </c:pt>
                <c:pt idx="199">
                  <c:v>529.73062951367569</c:v>
                </c:pt>
                <c:pt idx="200">
                  <c:v>529.73062951367569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21944"/>
        <c:axId val="396122336"/>
      </c:scatterChart>
      <c:valAx>
        <c:axId val="396121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2336"/>
        <c:crosses val="autoZero"/>
        <c:crossBetween val="midCat"/>
      </c:valAx>
      <c:valAx>
        <c:axId val="396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1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3.4818448671507451</c:v>
                </c:pt>
                <c:pt idx="2">
                  <c:v>4.4394274099666262</c:v>
                </c:pt>
                <c:pt idx="3">
                  <c:v>5.6613899101709526</c:v>
                </c:pt>
                <c:pt idx="4">
                  <c:v>7.2209911848294537</c:v>
                </c:pt>
                <c:pt idx="5">
                  <c:v>9.2118585914707136</c:v>
                </c:pt>
                <c:pt idx="6">
                  <c:v>11.753668921504529</c:v>
                </c:pt>
                <c:pt idx="7">
                  <c:v>14.999418275370273</c:v>
                </c:pt>
                <c:pt idx="8">
                  <c:v>19.144726532643968</c:v>
                </c:pt>
                <c:pt idx="9">
                  <c:v>24.439747295286498</c:v>
                </c:pt>
                <c:pt idx="10">
                  <c:v>31.204414735735657</c:v>
                </c:pt>
                <c:pt idx="11">
                  <c:v>39.847964584058232</c:v>
                </c:pt>
                <c:pt idx="12">
                  <c:v>50.893930316581269</c:v>
                </c:pt>
                <c:pt idx="13">
                  <c:v>65.012153852803237</c:v>
                </c:pt>
                <c:pt idx="14">
                  <c:v>83.059783755906594</c:v>
                </c:pt>
                <c:pt idx="15">
                  <c:v>33.739680766143046</c:v>
                </c:pt>
                <c:pt idx="16">
                  <c:v>44.539109153879991</c:v>
                </c:pt>
                <c:pt idx="17">
                  <c:v>55.267896873634214</c:v>
                </c:pt>
                <c:pt idx="18">
                  <c:v>65.941807224982384</c:v>
                </c:pt>
                <c:pt idx="19">
                  <c:v>76.57102174880454</c:v>
                </c:pt>
                <c:pt idx="20">
                  <c:v>87.162641438181296</c:v>
                </c:pt>
                <c:pt idx="21">
                  <c:v>97.721890460028064</c:v>
                </c:pt>
                <c:pt idx="22">
                  <c:v>108.25276675346623</c:v>
                </c:pt>
                <c:pt idx="23">
                  <c:v>118.75842413273021</c:v>
                </c:pt>
                <c:pt idx="24">
                  <c:v>129.24141122929888</c:v>
                </c:pt>
                <c:pt idx="25">
                  <c:v>139.70382844505215</c:v>
                </c:pt>
                <c:pt idx="26">
                  <c:v>97.686024730141071</c:v>
                </c:pt>
                <c:pt idx="27">
                  <c:v>112.25774590077121</c:v>
                </c:pt>
                <c:pt idx="28">
                  <c:v>126.78303706138718</c:v>
                </c:pt>
                <c:pt idx="29">
                  <c:v>141.26797501768056</c:v>
                </c:pt>
                <c:pt idx="30">
                  <c:v>155.71728470100155</c:v>
                </c:pt>
                <c:pt idx="31">
                  <c:v>170.13474046014423</c:v>
                </c:pt>
                <c:pt idx="32">
                  <c:v>184.52342352402351</c:v>
                </c:pt>
                <c:pt idx="33">
                  <c:v>198.88589463565646</c:v>
                </c:pt>
                <c:pt idx="34">
                  <c:v>213.22431404952826</c:v>
                </c:pt>
                <c:pt idx="35">
                  <c:v>227.54052747832631</c:v>
                </c:pt>
                <c:pt idx="36">
                  <c:v>241.83612923136897</c:v>
                </c:pt>
                <c:pt idx="37">
                  <c:v>256.11250961635932</c:v>
                </c:pt>
                <c:pt idx="38">
                  <c:v>175.97130339884509</c:v>
                </c:pt>
                <c:pt idx="39">
                  <c:v>191.12551298630106</c:v>
                </c:pt>
                <c:pt idx="40">
                  <c:v>206.25174818981273</c:v>
                </c:pt>
                <c:pt idx="41">
                  <c:v>221.35235015777684</c:v>
                </c:pt>
                <c:pt idx="42">
                  <c:v>236.42931424793164</c:v>
                </c:pt>
                <c:pt idx="43">
                  <c:v>251.48436037421268</c:v>
                </c:pt>
                <c:pt idx="44">
                  <c:v>266.51898559814157</c:v>
                </c:pt>
                <c:pt idx="45">
                  <c:v>281.53450421582534</c:v>
                </c:pt>
                <c:pt idx="46">
                  <c:v>229.47353736896787</c:v>
                </c:pt>
                <c:pt idx="47">
                  <c:v>244.53850101874704</c:v>
                </c:pt>
                <c:pt idx="48">
                  <c:v>259.58237770869124</c:v>
                </c:pt>
                <c:pt idx="49">
                  <c:v>274.60656174697812</c:v>
                </c:pt>
                <c:pt idx="50">
                  <c:v>289.61228235764645</c:v>
                </c:pt>
                <c:pt idx="51">
                  <c:v>304.60063094888795</c:v>
                </c:pt>
                <c:pt idx="52">
                  <c:v>319.57258272913612</c:v>
                </c:pt>
                <c:pt idx="53">
                  <c:v>334.52901405785127</c:v>
                </c:pt>
                <c:pt idx="54">
                  <c:v>280.66872255651049</c:v>
                </c:pt>
                <c:pt idx="55">
                  <c:v>295.95556796886649</c:v>
                </c:pt>
                <c:pt idx="56">
                  <c:v>311.22480862932861</c:v>
                </c:pt>
                <c:pt idx="57">
                  <c:v>326.47742986025986</c:v>
                </c:pt>
                <c:pt idx="58">
                  <c:v>341.71431739406574</c:v>
                </c:pt>
                <c:pt idx="59">
                  <c:v>356.93627152425819</c:v>
                </c:pt>
                <c:pt idx="60">
                  <c:v>372.14401871558749</c:v>
                </c:pt>
                <c:pt idx="61">
                  <c:v>387.33822121677048</c:v>
                </c:pt>
                <c:pt idx="62">
                  <c:v>325.61450194440192</c:v>
                </c:pt>
                <c:pt idx="63">
                  <c:v>339.70277072344737</c:v>
                </c:pt>
                <c:pt idx="64">
                  <c:v>353.77818937937286</c:v>
                </c:pt>
                <c:pt idx="65">
                  <c:v>367.84134118712899</c:v>
                </c:pt>
                <c:pt idx="66">
                  <c:v>381.89276118099724</c:v>
                </c:pt>
                <c:pt idx="67">
                  <c:v>395.93294180990364</c:v>
                </c:pt>
                <c:pt idx="68">
                  <c:v>409.96233774858632</c:v>
                </c:pt>
                <c:pt idx="69">
                  <c:v>423.98137001578152</c:v>
                </c:pt>
                <c:pt idx="70">
                  <c:v>364.39840852244924</c:v>
                </c:pt>
                <c:pt idx="71">
                  <c:v>378.1659483420201</c:v>
                </c:pt>
                <c:pt idx="72">
                  <c:v>391.92258132889066</c:v>
                </c:pt>
                <c:pt idx="73">
                  <c:v>405.66874423568089</c:v>
                </c:pt>
                <c:pt idx="74">
                  <c:v>419.40484180194295</c:v>
                </c:pt>
                <c:pt idx="75">
                  <c:v>433.13125009429899</c:v>
                </c:pt>
                <c:pt idx="76">
                  <c:v>446.84831940109251</c:v>
                </c:pt>
                <c:pt idx="77">
                  <c:v>460.55637675309475</c:v>
                </c:pt>
                <c:pt idx="78">
                  <c:v>401.08782767173835</c:v>
                </c:pt>
                <c:pt idx="79">
                  <c:v>414.82723721388487</c:v>
                </c:pt>
                <c:pt idx="80">
                  <c:v>428.55683512546557</c:v>
                </c:pt>
                <c:pt idx="81">
                  <c:v>442.27697999035109</c:v>
                </c:pt>
                <c:pt idx="82">
                  <c:v>455.9880063323194</c:v>
                </c:pt>
                <c:pt idx="83">
                  <c:v>469.69022691951324</c:v>
                </c:pt>
                <c:pt idx="84">
                  <c:v>483.38393478600682</c:v>
                </c:pt>
                <c:pt idx="85">
                  <c:v>497.06940501240177</c:v>
                </c:pt>
                <c:pt idx="86">
                  <c:v>439.07644038837572</c:v>
                </c:pt>
                <c:pt idx="87">
                  <c:v>451.87563686637753</c:v>
                </c:pt>
                <c:pt idx="88">
                  <c:v>464.66708288740648</c:v>
                </c:pt>
                <c:pt idx="89">
                  <c:v>477.45102185302648</c:v>
                </c:pt>
                <c:pt idx="90">
                  <c:v>490.22768306866254</c:v>
                </c:pt>
                <c:pt idx="91">
                  <c:v>502.9972829137908</c:v>
                </c:pt>
                <c:pt idx="92">
                  <c:v>515.76002588713061</c:v>
                </c:pt>
                <c:pt idx="93">
                  <c:v>528.51610554301396</c:v>
                </c:pt>
                <c:pt idx="94">
                  <c:v>541.26570533267216</c:v>
                </c:pt>
                <c:pt idx="95">
                  <c:v>554.00899936215012</c:v>
                </c:pt>
                <c:pt idx="96">
                  <c:v>471.05997610454193</c:v>
                </c:pt>
                <c:pt idx="97">
                  <c:v>483.84024836573946</c:v>
                </c:pt>
                <c:pt idx="98">
                  <c:v>496.61335261438336</c:v>
                </c:pt>
                <c:pt idx="99">
                  <c:v>509.37949916607187</c:v>
                </c:pt>
                <c:pt idx="100">
                  <c:v>522.13888693652359</c:v>
                </c:pt>
                <c:pt idx="101">
                  <c:v>534.89170432882349</c:v>
                </c:pt>
                <c:pt idx="102">
                  <c:v>547.63813003167149</c:v>
                </c:pt>
                <c:pt idx="103">
                  <c:v>560.37833373946626</c:v>
                </c:pt>
                <c:pt idx="104">
                  <c:v>573.11247680351482</c:v>
                </c:pt>
                <c:pt idx="105">
                  <c:v>585.84071282237744</c:v>
                </c:pt>
                <c:pt idx="106">
                  <c:v>521.2277221651542</c:v>
                </c:pt>
                <c:pt idx="107">
                  <c:v>533.98100283350652</c:v>
                </c:pt>
                <c:pt idx="108">
                  <c:v>546.72787935532392</c:v>
                </c:pt>
                <c:pt idx="109">
                  <c:v>559.46852204509116</c:v>
                </c:pt>
                <c:pt idx="110">
                  <c:v>572.20309282979451</c:v>
                </c:pt>
                <c:pt idx="111">
                  <c:v>584.93174584336987</c:v>
                </c:pt>
                <c:pt idx="112">
                  <c:v>597.65462796673489</c:v>
                </c:pt>
                <c:pt idx="113">
                  <c:v>610.3718793194621</c:v>
                </c:pt>
                <c:pt idx="114">
                  <c:v>623.08363370836162</c:v>
                </c:pt>
                <c:pt idx="115">
                  <c:v>635.79001903756898</c:v>
                </c:pt>
                <c:pt idx="116">
                  <c:v>564.24468919783658</c:v>
                </c:pt>
                <c:pt idx="117">
                  <c:v>576.74971189331654</c:v>
                </c:pt>
                <c:pt idx="118">
                  <c:v>589.24907767799402</c:v>
                </c:pt>
                <c:pt idx="119">
                  <c:v>601.74292342066121</c:v>
                </c:pt>
                <c:pt idx="120">
                  <c:v>614.23137984504376</c:v>
                </c:pt>
                <c:pt idx="121">
                  <c:v>626.71457192765104</c:v>
                </c:pt>
                <c:pt idx="122">
                  <c:v>639.19261926228785</c:v>
                </c:pt>
                <c:pt idx="123">
                  <c:v>651.66563639464118</c:v>
                </c:pt>
                <c:pt idx="124">
                  <c:v>664.13373312992792</c:v>
                </c:pt>
                <c:pt idx="125">
                  <c:v>676.59701481625211</c:v>
                </c:pt>
                <c:pt idx="126">
                  <c:v>588.11300180979117</c:v>
                </c:pt>
                <c:pt idx="127">
                  <c:v>588.11300180979117</c:v>
                </c:pt>
                <c:pt idx="128">
                  <c:v>588.11300180979117</c:v>
                </c:pt>
                <c:pt idx="129">
                  <c:v>588.11300180979117</c:v>
                </c:pt>
                <c:pt idx="130">
                  <c:v>588.11300180979117</c:v>
                </c:pt>
                <c:pt idx="131">
                  <c:v>588.11300180979117</c:v>
                </c:pt>
                <c:pt idx="132">
                  <c:v>588.11300180979117</c:v>
                </c:pt>
                <c:pt idx="133">
                  <c:v>588.11300180979117</c:v>
                </c:pt>
                <c:pt idx="134">
                  <c:v>588.11300180979117</c:v>
                </c:pt>
                <c:pt idx="135">
                  <c:v>588.11300180979117</c:v>
                </c:pt>
                <c:pt idx="136">
                  <c:v>588.11300180979117</c:v>
                </c:pt>
                <c:pt idx="137">
                  <c:v>588.11300180979117</c:v>
                </c:pt>
                <c:pt idx="138">
                  <c:v>588.11300180979117</c:v>
                </c:pt>
                <c:pt idx="139">
                  <c:v>588.11300180979117</c:v>
                </c:pt>
                <c:pt idx="140">
                  <c:v>588.11300180979117</c:v>
                </c:pt>
                <c:pt idx="141">
                  <c:v>588.11300180979117</c:v>
                </c:pt>
                <c:pt idx="142">
                  <c:v>588.11300180979117</c:v>
                </c:pt>
                <c:pt idx="143">
                  <c:v>588.11300180979117</c:v>
                </c:pt>
                <c:pt idx="144">
                  <c:v>588.11300180979117</c:v>
                </c:pt>
                <c:pt idx="145">
                  <c:v>588.11300180979117</c:v>
                </c:pt>
                <c:pt idx="146">
                  <c:v>588.11300180979117</c:v>
                </c:pt>
                <c:pt idx="147">
                  <c:v>588.11300180979117</c:v>
                </c:pt>
                <c:pt idx="148">
                  <c:v>588.11300180979117</c:v>
                </c:pt>
                <c:pt idx="149">
                  <c:v>588.11300180979117</c:v>
                </c:pt>
                <c:pt idx="150">
                  <c:v>588.11300180979117</c:v>
                </c:pt>
                <c:pt idx="151">
                  <c:v>588.11300180979117</c:v>
                </c:pt>
                <c:pt idx="152">
                  <c:v>588.11300180979117</c:v>
                </c:pt>
                <c:pt idx="153">
                  <c:v>588.11300180979117</c:v>
                </c:pt>
                <c:pt idx="154">
                  <c:v>588.11300180979117</c:v>
                </c:pt>
                <c:pt idx="155">
                  <c:v>588.11300180979117</c:v>
                </c:pt>
                <c:pt idx="156">
                  <c:v>588.11300180979117</c:v>
                </c:pt>
                <c:pt idx="157">
                  <c:v>588.11300180979117</c:v>
                </c:pt>
                <c:pt idx="158">
                  <c:v>588.11300180979117</c:v>
                </c:pt>
                <c:pt idx="159">
                  <c:v>588.11300180979117</c:v>
                </c:pt>
                <c:pt idx="160">
                  <c:v>588.11300180979117</c:v>
                </c:pt>
                <c:pt idx="161">
                  <c:v>588.11300180979117</c:v>
                </c:pt>
                <c:pt idx="162">
                  <c:v>588.11300180979117</c:v>
                </c:pt>
                <c:pt idx="163">
                  <c:v>588.11300180979117</c:v>
                </c:pt>
                <c:pt idx="164">
                  <c:v>588.11300180979117</c:v>
                </c:pt>
                <c:pt idx="165">
                  <c:v>588.11300180979117</c:v>
                </c:pt>
                <c:pt idx="166">
                  <c:v>588.11300180979117</c:v>
                </c:pt>
                <c:pt idx="167">
                  <c:v>588.11300180979117</c:v>
                </c:pt>
                <c:pt idx="168">
                  <c:v>588.11300180979117</c:v>
                </c:pt>
                <c:pt idx="169">
                  <c:v>588.11300180979117</c:v>
                </c:pt>
                <c:pt idx="170">
                  <c:v>588.11300180979117</c:v>
                </c:pt>
                <c:pt idx="171">
                  <c:v>588.11300180979117</c:v>
                </c:pt>
                <c:pt idx="172">
                  <c:v>588.11300180979117</c:v>
                </c:pt>
                <c:pt idx="173">
                  <c:v>588.11300180979117</c:v>
                </c:pt>
                <c:pt idx="174">
                  <c:v>588.11300180979117</c:v>
                </c:pt>
                <c:pt idx="175">
                  <c:v>588.11300180979117</c:v>
                </c:pt>
                <c:pt idx="176">
                  <c:v>588.11300180979117</c:v>
                </c:pt>
                <c:pt idx="177">
                  <c:v>588.11300180979117</c:v>
                </c:pt>
                <c:pt idx="178">
                  <c:v>588.11300180979117</c:v>
                </c:pt>
                <c:pt idx="179">
                  <c:v>588.11300180979117</c:v>
                </c:pt>
                <c:pt idx="180">
                  <c:v>588.11300180979117</c:v>
                </c:pt>
                <c:pt idx="181">
                  <c:v>588.11300180979117</c:v>
                </c:pt>
                <c:pt idx="182">
                  <c:v>588.11300180979117</c:v>
                </c:pt>
                <c:pt idx="183">
                  <c:v>588.11300180979117</c:v>
                </c:pt>
                <c:pt idx="184">
                  <c:v>588.11300180979117</c:v>
                </c:pt>
                <c:pt idx="185">
                  <c:v>588.11300180979117</c:v>
                </c:pt>
                <c:pt idx="186">
                  <c:v>588.11300180979117</c:v>
                </c:pt>
                <c:pt idx="187">
                  <c:v>588.11300180979117</c:v>
                </c:pt>
                <c:pt idx="188">
                  <c:v>588.11300180979117</c:v>
                </c:pt>
                <c:pt idx="189">
                  <c:v>588.11300180979117</c:v>
                </c:pt>
                <c:pt idx="190">
                  <c:v>588.11300180979117</c:v>
                </c:pt>
                <c:pt idx="191">
                  <c:v>588.11300180979117</c:v>
                </c:pt>
                <c:pt idx="192">
                  <c:v>588.11300180979117</c:v>
                </c:pt>
                <c:pt idx="193">
                  <c:v>588.11300180979117</c:v>
                </c:pt>
                <c:pt idx="194">
                  <c:v>588.11300180979117</c:v>
                </c:pt>
                <c:pt idx="195">
                  <c:v>588.11300180979117</c:v>
                </c:pt>
                <c:pt idx="196">
                  <c:v>588.11300180979117</c:v>
                </c:pt>
                <c:pt idx="197">
                  <c:v>588.11300180979117</c:v>
                </c:pt>
                <c:pt idx="198">
                  <c:v>588.11300180979117</c:v>
                </c:pt>
                <c:pt idx="199">
                  <c:v>588.11300180979117</c:v>
                </c:pt>
                <c:pt idx="200">
                  <c:v>588.11300180979117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23120"/>
        <c:axId val="395902944"/>
      </c:scatterChart>
      <c:valAx>
        <c:axId val="396123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2944"/>
        <c:crosses val="autoZero"/>
        <c:crossBetween val="midCat"/>
      </c:valAx>
      <c:valAx>
        <c:axId val="3959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3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2.5526994669530985</c:v>
                </c:pt>
                <c:pt idx="2">
                  <c:v>3.2539842650238082</c:v>
                </c:pt>
                <c:pt idx="3">
                  <c:v>4.1486894930103899</c:v>
                </c:pt>
                <c:pt idx="4">
                  <c:v>5.2903601041417572</c:v>
                </c:pt>
                <c:pt idx="5">
                  <c:v>6.7474152445802362</c:v>
                </c:pt>
                <c:pt idx="6">
                  <c:v>8.6072933552288422</c:v>
                </c:pt>
                <c:pt idx="7">
                  <c:v>10.981755817008947</c:v>
                </c:pt>
                <c:pt idx="8">
                  <c:v>14.01367381945377</c:v>
                </c:pt>
                <c:pt idx="9">
                  <c:v>17.885714345812168</c:v>
                </c:pt>
                <c:pt idx="10">
                  <c:v>22.83145806272212</c:v>
                </c:pt>
                <c:pt idx="11">
                  <c:v>29.149631724037601</c:v>
                </c:pt>
                <c:pt idx="12">
                  <c:v>37.222329739335343</c:v>
                </c:pt>
                <c:pt idx="13">
                  <c:v>47.538345737985821</c:v>
                </c:pt>
                <c:pt idx="14">
                  <c:v>60.723050570603313</c:v>
                </c:pt>
                <c:pt idx="15">
                  <c:v>24.684791208902201</c:v>
                </c:pt>
                <c:pt idx="16">
                  <c:v>32.578241174331886</c:v>
                </c:pt>
                <c:pt idx="17">
                  <c:v>40.418546724058217</c:v>
                </c:pt>
                <c:pt idx="18">
                  <c:v>48.217566909948651</c:v>
                </c:pt>
                <c:pt idx="19">
                  <c:v>55.982961512926558</c:v>
                </c:pt>
                <c:pt idx="20">
                  <c:v>63.720072754957847</c:v>
                </c:pt>
                <c:pt idx="21">
                  <c:v>71.432830883394203</c:v>
                </c:pt>
                <c:pt idx="22">
                  <c:v>79.124243629400709</c:v>
                </c:pt>
                <c:pt idx="23">
                  <c:v>86.796683671768747</c:v>
                </c:pt>
                <c:pt idx="24">
                  <c:v>94.452068397955998</c:v>
                </c:pt>
                <c:pt idx="25">
                  <c:v>102.09197798314807</c:v>
                </c:pt>
                <c:pt idx="26">
                  <c:v>71.406634690756292</c:v>
                </c:pt>
                <c:pt idx="27">
                  <c:v>82.049202450368611</c:v>
                </c:pt>
                <c:pt idx="28">
                  <c:v>92.656839966202483</c:v>
                </c:pt>
                <c:pt idx="29">
                  <c:v>103.23411894315613</c:v>
                </c:pt>
                <c:pt idx="30">
                  <c:v>113.78459404348018</c:v>
                </c:pt>
                <c:pt idx="31">
                  <c:v>124.31110478677512</c:v>
                </c:pt>
                <c:pt idx="32">
                  <c:v>134.81596924441553</c:v>
                </c:pt>
                <c:pt idx="33">
                  <c:v>145.30111391561616</c:v>
                </c:pt>
                <c:pt idx="34">
                  <c:v>155.76816400389893</c:v>
                </c:pt>
                <c:pt idx="35">
                  <c:v>166.2185080765739</c:v>
                </c:pt>
                <c:pt idx="36">
                  <c:v>176.65334556506775</c:v>
                </c:pt>
                <c:pt idx="37">
                  <c:v>187.07372242622981</c:v>
                </c:pt>
                <c:pt idx="38">
                  <c:v>128.57232609450952</c:v>
                </c:pt>
                <c:pt idx="39">
                  <c:v>139.63581256496667</c:v>
                </c:pt>
                <c:pt idx="40">
                  <c:v>150.67825333566137</c:v>
                </c:pt>
                <c:pt idx="41">
                  <c:v>161.70140970029561</c:v>
                </c:pt>
                <c:pt idx="42">
                  <c:v>172.70678280720426</c:v>
                </c:pt>
                <c:pt idx="43">
                  <c:v>183.69566658273004</c:v>
                </c:pt>
                <c:pt idx="44">
                  <c:v>194.66918729679799</c:v>
                </c:pt>
                <c:pt idx="45">
                  <c:v>205.62833372118303</c:v>
                </c:pt>
                <c:pt idx="46">
                  <c:v>167.6295028317077</c:v>
                </c:pt>
                <c:pt idx="47">
                  <c:v>178.62584776249403</c:v>
                </c:pt>
                <c:pt idx="48">
                  <c:v>189.60632854318965</c:v>
                </c:pt>
                <c:pt idx="49">
                  <c:v>200.57199414028261</c:v>
                </c:pt>
                <c:pt idx="50">
                  <c:v>211.52376932409535</c:v>
                </c:pt>
                <c:pt idx="51">
                  <c:v>222.46247518327698</c:v>
                </c:pt>
                <c:pt idx="52">
                  <c:v>233.38884538702777</c:v>
                </c:pt>
                <c:pt idx="53">
                  <c:v>244.30353923844879</c:v>
                </c:pt>
                <c:pt idx="54">
                  <c:v>204.99645012548993</c:v>
                </c:pt>
                <c:pt idx="55">
                  <c:v>216.15323402969486</c:v>
                </c:pt>
                <c:pt idx="56">
                  <c:v>227.29677351988553</c:v>
                </c:pt>
                <c:pt idx="57">
                  <c:v>238.4278098741778</c:v>
                </c:pt>
                <c:pt idx="58">
                  <c:v>249.54700944713068</c:v>
                </c:pt>
                <c:pt idx="59">
                  <c:v>260.65497431588045</c:v>
                </c:pt>
                <c:pt idx="60">
                  <c:v>271.75225101467981</c:v>
                </c:pt>
                <c:pt idx="61">
                  <c:v>282.83933776674917</c:v>
                </c:pt>
                <c:pt idx="62">
                  <c:v>237.79807320790815</c:v>
                </c:pt>
                <c:pt idx="63">
                  <c:v>248.07909227124819</c:v>
                </c:pt>
                <c:pt idx="64">
                  <c:v>258.35044392480262</c:v>
                </c:pt>
                <c:pt idx="65">
                  <c:v>268.61256697821625</c:v>
                </c:pt>
                <c:pt idx="66">
                  <c:v>278.86586394869482</c:v>
                </c:pt>
                <c:pt idx="67">
                  <c:v>289.11070531561182</c:v>
                </c:pt>
                <c:pt idx="68">
                  <c:v>299.34743314004913</c:v>
                </c:pt>
                <c:pt idx="69">
                  <c:v>309.5763641629913</c:v>
                </c:pt>
                <c:pt idx="70">
                  <c:v>266.10022493300403</c:v>
                </c:pt>
                <c:pt idx="71">
                  <c:v>276.14644026006221</c:v>
                </c:pt>
                <c:pt idx="72">
                  <c:v>286.18445015436345</c:v>
                </c:pt>
                <c:pt idx="73">
                  <c:v>296.21458319381429</c:v>
                </c:pt>
                <c:pt idx="74">
                  <c:v>306.23714387223714</c:v>
                </c:pt>
                <c:pt idx="75">
                  <c:v>316.25241511222424</c:v>
                </c:pt>
                <c:pt idx="76">
                  <c:v>326.26066044284266</c:v>
                </c:pt>
                <c:pt idx="77">
                  <c:v>336.26212589601369</c:v>
                </c:pt>
                <c:pt idx="78">
                  <c:v>292.8720614577478</c:v>
                </c:pt>
                <c:pt idx="79">
                  <c:v>302.89711380319795</c:v>
                </c:pt>
                <c:pt idx="80">
                  <c:v>312.91478465880101</c:v>
                </c:pt>
                <c:pt idx="81">
                  <c:v>322.92534379451826</c:v>
                </c:pt>
                <c:pt idx="82">
                  <c:v>332.92904287941269</c:v>
                </c:pt>
                <c:pt idx="83">
                  <c:v>342.92611721533927</c:v>
                </c:pt>
                <c:pt idx="84">
                  <c:v>352.9167872578102</c:v>
                </c:pt>
                <c:pt idx="85">
                  <c:v>362.90125995557429</c:v>
                </c:pt>
                <c:pt idx="86">
                  <c:v>320.59016923293359</c:v>
                </c:pt>
                <c:pt idx="87">
                  <c:v>329.92863915898073</c:v>
                </c:pt>
                <c:pt idx="88">
                  <c:v>339.26127825812574</c:v>
                </c:pt>
                <c:pt idx="89">
                  <c:v>348.58826964633107</c:v>
                </c:pt>
                <c:pt idx="90">
                  <c:v>357.90978583474589</c:v>
                </c:pt>
                <c:pt idx="91">
                  <c:v>367.22598961006491</c:v>
                </c:pt>
                <c:pt idx="92">
                  <c:v>376.53703482084626</c:v>
                </c:pt>
                <c:pt idx="93">
                  <c:v>385.84306708196328</c:v>
                </c:pt>
                <c:pt idx="94">
                  <c:v>395.14422440751963</c:v>
                </c:pt>
                <c:pt idx="95">
                  <c:v>404.44063778104504</c:v>
                </c:pt>
                <c:pt idx="96">
                  <c:v>334.59567585759868</c:v>
                </c:pt>
                <c:pt idx="97">
                  <c:v>334.59567585759868</c:v>
                </c:pt>
                <c:pt idx="98">
                  <c:v>334.59567585759868</c:v>
                </c:pt>
                <c:pt idx="99">
                  <c:v>334.59567585759868</c:v>
                </c:pt>
                <c:pt idx="100">
                  <c:v>334.59567585759868</c:v>
                </c:pt>
                <c:pt idx="101">
                  <c:v>334.59567585759868</c:v>
                </c:pt>
                <c:pt idx="102">
                  <c:v>334.59567585759868</c:v>
                </c:pt>
                <c:pt idx="103">
                  <c:v>334.59567585759868</c:v>
                </c:pt>
                <c:pt idx="104">
                  <c:v>334.59567585759868</c:v>
                </c:pt>
                <c:pt idx="105">
                  <c:v>334.59567585759868</c:v>
                </c:pt>
                <c:pt idx="106">
                  <c:v>334.59567585759868</c:v>
                </c:pt>
                <c:pt idx="107">
                  <c:v>334.59567585759868</c:v>
                </c:pt>
                <c:pt idx="108">
                  <c:v>334.59567585759868</c:v>
                </c:pt>
                <c:pt idx="109">
                  <c:v>334.59567585759868</c:v>
                </c:pt>
                <c:pt idx="110">
                  <c:v>334.59567585759868</c:v>
                </c:pt>
                <c:pt idx="111">
                  <c:v>334.59567585759868</c:v>
                </c:pt>
                <c:pt idx="112">
                  <c:v>334.59567585759868</c:v>
                </c:pt>
                <c:pt idx="113">
                  <c:v>334.59567585759868</c:v>
                </c:pt>
                <c:pt idx="114">
                  <c:v>334.59567585759868</c:v>
                </c:pt>
                <c:pt idx="115">
                  <c:v>334.59567585759868</c:v>
                </c:pt>
                <c:pt idx="116">
                  <c:v>334.59567585759868</c:v>
                </c:pt>
                <c:pt idx="117">
                  <c:v>334.59567585759868</c:v>
                </c:pt>
                <c:pt idx="118">
                  <c:v>334.59567585759868</c:v>
                </c:pt>
                <c:pt idx="119">
                  <c:v>334.59567585759868</c:v>
                </c:pt>
                <c:pt idx="120">
                  <c:v>334.59567585759868</c:v>
                </c:pt>
                <c:pt idx="121">
                  <c:v>334.59567585759868</c:v>
                </c:pt>
                <c:pt idx="122">
                  <c:v>334.59567585759868</c:v>
                </c:pt>
                <c:pt idx="123">
                  <c:v>334.59567585759868</c:v>
                </c:pt>
                <c:pt idx="124">
                  <c:v>334.59567585759868</c:v>
                </c:pt>
                <c:pt idx="125">
                  <c:v>334.59567585759868</c:v>
                </c:pt>
                <c:pt idx="126">
                  <c:v>334.59567585759868</c:v>
                </c:pt>
                <c:pt idx="127">
                  <c:v>334.59567585759868</c:v>
                </c:pt>
                <c:pt idx="128">
                  <c:v>334.59567585759868</c:v>
                </c:pt>
                <c:pt idx="129">
                  <c:v>334.59567585759868</c:v>
                </c:pt>
                <c:pt idx="130">
                  <c:v>334.59567585759868</c:v>
                </c:pt>
                <c:pt idx="131">
                  <c:v>334.59567585759868</c:v>
                </c:pt>
                <c:pt idx="132">
                  <c:v>334.59567585759868</c:v>
                </c:pt>
                <c:pt idx="133">
                  <c:v>334.59567585759868</c:v>
                </c:pt>
                <c:pt idx="134">
                  <c:v>334.59567585759868</c:v>
                </c:pt>
                <c:pt idx="135">
                  <c:v>334.59567585759868</c:v>
                </c:pt>
                <c:pt idx="136">
                  <c:v>334.59567585759868</c:v>
                </c:pt>
                <c:pt idx="137">
                  <c:v>334.59567585759868</c:v>
                </c:pt>
                <c:pt idx="138">
                  <c:v>334.59567585759868</c:v>
                </c:pt>
                <c:pt idx="139">
                  <c:v>334.59567585759868</c:v>
                </c:pt>
                <c:pt idx="140">
                  <c:v>334.59567585759868</c:v>
                </c:pt>
                <c:pt idx="141">
                  <c:v>334.59567585759868</c:v>
                </c:pt>
                <c:pt idx="142">
                  <c:v>334.59567585759868</c:v>
                </c:pt>
                <c:pt idx="143">
                  <c:v>334.59567585759868</c:v>
                </c:pt>
                <c:pt idx="144">
                  <c:v>334.59567585759868</c:v>
                </c:pt>
                <c:pt idx="145">
                  <c:v>334.59567585759868</c:v>
                </c:pt>
                <c:pt idx="146">
                  <c:v>334.59567585759868</c:v>
                </c:pt>
                <c:pt idx="147">
                  <c:v>334.59567585759868</c:v>
                </c:pt>
                <c:pt idx="148">
                  <c:v>334.59567585759868</c:v>
                </c:pt>
                <c:pt idx="149">
                  <c:v>334.59567585759868</c:v>
                </c:pt>
                <c:pt idx="150">
                  <c:v>334.59567585759868</c:v>
                </c:pt>
                <c:pt idx="151">
                  <c:v>334.59567585759868</c:v>
                </c:pt>
                <c:pt idx="152">
                  <c:v>334.59567585759868</c:v>
                </c:pt>
                <c:pt idx="153">
                  <c:v>334.59567585759868</c:v>
                </c:pt>
                <c:pt idx="154">
                  <c:v>334.59567585759868</c:v>
                </c:pt>
                <c:pt idx="155">
                  <c:v>334.59567585759868</c:v>
                </c:pt>
                <c:pt idx="156">
                  <c:v>334.59567585759868</c:v>
                </c:pt>
                <c:pt idx="157">
                  <c:v>334.59567585759868</c:v>
                </c:pt>
                <c:pt idx="158">
                  <c:v>334.59567585759868</c:v>
                </c:pt>
                <c:pt idx="159">
                  <c:v>334.59567585759868</c:v>
                </c:pt>
                <c:pt idx="160">
                  <c:v>334.59567585759868</c:v>
                </c:pt>
                <c:pt idx="161">
                  <c:v>334.59567585759868</c:v>
                </c:pt>
                <c:pt idx="162">
                  <c:v>334.59567585759868</c:v>
                </c:pt>
                <c:pt idx="163">
                  <c:v>334.59567585759868</c:v>
                </c:pt>
                <c:pt idx="164">
                  <c:v>334.59567585759868</c:v>
                </c:pt>
                <c:pt idx="165">
                  <c:v>334.59567585759868</c:v>
                </c:pt>
                <c:pt idx="166">
                  <c:v>334.59567585759868</c:v>
                </c:pt>
                <c:pt idx="167">
                  <c:v>334.59567585759868</c:v>
                </c:pt>
                <c:pt idx="168">
                  <c:v>334.59567585759868</c:v>
                </c:pt>
                <c:pt idx="169">
                  <c:v>334.59567585759868</c:v>
                </c:pt>
                <c:pt idx="170">
                  <c:v>334.59567585759868</c:v>
                </c:pt>
                <c:pt idx="171">
                  <c:v>334.59567585759868</c:v>
                </c:pt>
                <c:pt idx="172">
                  <c:v>334.59567585759868</c:v>
                </c:pt>
                <c:pt idx="173">
                  <c:v>334.59567585759868</c:v>
                </c:pt>
                <c:pt idx="174">
                  <c:v>334.59567585759868</c:v>
                </c:pt>
                <c:pt idx="175">
                  <c:v>334.59567585759868</c:v>
                </c:pt>
                <c:pt idx="176">
                  <c:v>334.59567585759868</c:v>
                </c:pt>
                <c:pt idx="177">
                  <c:v>334.59567585759868</c:v>
                </c:pt>
                <c:pt idx="178">
                  <c:v>334.59567585759868</c:v>
                </c:pt>
                <c:pt idx="179">
                  <c:v>334.59567585759868</c:v>
                </c:pt>
                <c:pt idx="180">
                  <c:v>334.59567585759868</c:v>
                </c:pt>
                <c:pt idx="181">
                  <c:v>334.59567585759868</c:v>
                </c:pt>
                <c:pt idx="182">
                  <c:v>334.59567585759868</c:v>
                </c:pt>
                <c:pt idx="183">
                  <c:v>334.59567585759868</c:v>
                </c:pt>
                <c:pt idx="184">
                  <c:v>334.59567585759868</c:v>
                </c:pt>
                <c:pt idx="185">
                  <c:v>334.59567585759868</c:v>
                </c:pt>
                <c:pt idx="186">
                  <c:v>334.59567585759868</c:v>
                </c:pt>
                <c:pt idx="187">
                  <c:v>334.59567585759868</c:v>
                </c:pt>
                <c:pt idx="188">
                  <c:v>334.59567585759868</c:v>
                </c:pt>
                <c:pt idx="189">
                  <c:v>334.59567585759868</c:v>
                </c:pt>
                <c:pt idx="190">
                  <c:v>334.59567585759868</c:v>
                </c:pt>
                <c:pt idx="191">
                  <c:v>334.59567585759868</c:v>
                </c:pt>
                <c:pt idx="192">
                  <c:v>334.59567585759868</c:v>
                </c:pt>
                <c:pt idx="193">
                  <c:v>334.59567585759868</c:v>
                </c:pt>
                <c:pt idx="194">
                  <c:v>334.59567585759868</c:v>
                </c:pt>
                <c:pt idx="195">
                  <c:v>334.59567585759868</c:v>
                </c:pt>
                <c:pt idx="196">
                  <c:v>334.59567585759868</c:v>
                </c:pt>
                <c:pt idx="197">
                  <c:v>334.59567585759868</c:v>
                </c:pt>
                <c:pt idx="198">
                  <c:v>334.59567585759868</c:v>
                </c:pt>
                <c:pt idx="199">
                  <c:v>334.59567585759868</c:v>
                </c:pt>
                <c:pt idx="200">
                  <c:v>334.59567585759868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3728"/>
        <c:axId val="395904120"/>
      </c:scatterChart>
      <c:valAx>
        <c:axId val="395903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4120"/>
        <c:crosses val="autoZero"/>
        <c:crossBetween val="midCat"/>
      </c:valAx>
      <c:valAx>
        <c:axId val="395904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3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4904"/>
        <c:axId val="395905296"/>
      </c:scatterChart>
      <c:valAx>
        <c:axId val="395904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5296"/>
        <c:crosses val="autoZero"/>
        <c:crossBetween val="midCat"/>
      </c:valAx>
      <c:valAx>
        <c:axId val="39590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4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6080"/>
        <c:axId val="395906472"/>
      </c:scatterChart>
      <c:valAx>
        <c:axId val="395906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6472"/>
        <c:crosses val="autoZero"/>
        <c:crossBetween val="midCat"/>
      </c:valAx>
      <c:valAx>
        <c:axId val="39590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6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5184"/>
        <c:axId val="396095576"/>
      </c:scatterChart>
      <c:valAx>
        <c:axId val="396095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5576"/>
        <c:crosses val="autoZero"/>
        <c:crossBetween val="midCat"/>
      </c:valAx>
      <c:valAx>
        <c:axId val="39609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6360"/>
        <c:axId val="396096752"/>
      </c:scatterChart>
      <c:valAx>
        <c:axId val="396096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6752"/>
        <c:crosses val="autoZero"/>
        <c:crossBetween val="midCat"/>
      </c:valAx>
      <c:valAx>
        <c:axId val="39609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6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7536"/>
        <c:axId val="396097928"/>
      </c:scatterChart>
      <c:valAx>
        <c:axId val="39609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7928"/>
        <c:crosses val="autoZero"/>
        <c:crossBetween val="midCat"/>
      </c:valAx>
      <c:valAx>
        <c:axId val="3960979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3" x14ac:dyDescent="0.25"/>
  <cols>
    <col min="1" max="1" width="6.75" customWidth="1"/>
    <col min="2" max="13" width="15.875" customWidth="1"/>
  </cols>
  <sheetData>
    <row r="12" spans="2:13" ht="14.9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4.9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4.9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.1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.1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.1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.1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.1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.1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.1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.1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.1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.1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.1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.1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.1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.1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G26" sqref="G26"/>
    </sheetView>
  </sheetViews>
  <sheetFormatPr baseColWidth="10" defaultColWidth="11.375" defaultRowHeight="14.3" x14ac:dyDescent="0.25"/>
  <cols>
    <col min="1" max="1" width="13.75" style="23" customWidth="1"/>
    <col min="2" max="2" width="36.125" style="23" customWidth="1"/>
    <col min="3" max="3" width="14.875" style="23" bestFit="1" customWidth="1"/>
    <col min="4" max="4" width="16.375" style="23" customWidth="1"/>
    <col min="5" max="5" width="23.25" style="23" customWidth="1"/>
    <col min="6" max="6" width="28.875" style="23" bestFit="1" customWidth="1"/>
    <col min="7" max="8" width="14.75" style="23" customWidth="1"/>
    <col min="9" max="9" width="17" style="23" customWidth="1"/>
    <col min="10" max="10" width="13.875" style="23" customWidth="1"/>
    <col min="11" max="16384" width="11.37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8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35" x14ac:dyDescent="0.25">
      <c r="A5" s="268" t="s">
        <v>231</v>
      </c>
      <c r="B5" s="268"/>
      <c r="C5" s="24">
        <v>3.6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ht="14.95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3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0.79</v>
      </c>
      <c r="D9" s="33">
        <f t="shared" ref="D9:D18" si="0">C9*$C$5</f>
        <v>2.8440000000000003</v>
      </c>
      <c r="E9" s="34">
        <v>180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ht="14.95" x14ac:dyDescent="0.25">
      <c r="A10" s="30" t="s">
        <v>166</v>
      </c>
      <c r="B10" s="31" t="s">
        <v>1</v>
      </c>
      <c r="C10" s="32">
        <v>6.6600000000000006E-2</v>
      </c>
      <c r="D10" s="33">
        <f t="shared" si="0"/>
        <v>0.23976000000000003</v>
      </c>
      <c r="E10" s="34">
        <v>125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ht="14.95" x14ac:dyDescent="0.25">
      <c r="A11" s="30" t="s">
        <v>167</v>
      </c>
      <c r="B11" s="31" t="s">
        <v>52</v>
      </c>
      <c r="C11" s="32">
        <v>7.0000000000000007E-2</v>
      </c>
      <c r="D11" s="33">
        <f t="shared" si="0"/>
        <v>0.25200000000000006</v>
      </c>
      <c r="E11" s="34">
        <v>125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ht="14.95" x14ac:dyDescent="0.25">
      <c r="A12" s="30" t="s">
        <v>168</v>
      </c>
      <c r="B12" s="31" t="s">
        <v>29</v>
      </c>
      <c r="C12" s="32">
        <v>7.0000000000000007E-2</v>
      </c>
      <c r="D12" s="33">
        <f t="shared" si="0"/>
        <v>0.25200000000000006</v>
      </c>
      <c r="E12" s="34">
        <v>95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ht="14.95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ht="14.95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ht="14.95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ht="14.95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ht="14.9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ht="14.9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ht="14.95" x14ac:dyDescent="0.25">
      <c r="A19" s="78"/>
      <c r="B19" s="36" t="s">
        <v>175</v>
      </c>
      <c r="C19" s="37">
        <f>SUM(C9:C18)</f>
        <v>0.99660000000000015</v>
      </c>
      <c r="D19" s="38">
        <f>SUM(D9:D18)</f>
        <v>3.5877600000000007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ht="14.9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.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ht="14.9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ht="14.9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14.9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ht="14.9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.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ht="14.9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ht="14.9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ht="14.9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2.8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14</v>
      </c>
      <c r="B36" s="60">
        <v>34</v>
      </c>
      <c r="C36" s="60">
        <v>1</v>
      </c>
      <c r="D36" s="60">
        <v>25</v>
      </c>
      <c r="E36" s="51"/>
      <c r="F36" s="51"/>
      <c r="G36" s="51"/>
      <c r="H36" s="51">
        <v>1</v>
      </c>
      <c r="I36" s="49">
        <f>IFERROR(B36/A36,"")</f>
        <v>2.4285714285714284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58</v>
      </c>
      <c r="C37" s="60">
        <v>2</v>
      </c>
      <c r="D37" s="60">
        <v>24</v>
      </c>
      <c r="E37" s="51"/>
      <c r="F37" s="51"/>
      <c r="G37" s="51"/>
      <c r="H37" s="51">
        <v>1</v>
      </c>
      <c r="I37" s="53">
        <f t="shared" ref="I37:I55" si="1">IF(A37&lt;&gt;0,(B37-(B36-D36))/(A37-A36),"")</f>
        <v>4.4545454545454541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37</v>
      </c>
      <c r="B38" s="60">
        <v>108</v>
      </c>
      <c r="C38" s="60">
        <v>3</v>
      </c>
      <c r="D38" s="60">
        <v>41</v>
      </c>
      <c r="E38" s="51"/>
      <c r="F38" s="51"/>
      <c r="G38" s="51">
        <v>0.4</v>
      </c>
      <c r="H38" s="51">
        <v>0.6</v>
      </c>
      <c r="I38" s="53">
        <f t="shared" si="1"/>
        <v>6.166666666666667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45</v>
      </c>
      <c r="B39" s="60">
        <v>119</v>
      </c>
      <c r="C39" s="60">
        <v>4</v>
      </c>
      <c r="D39" s="60">
        <v>29</v>
      </c>
      <c r="E39" s="51"/>
      <c r="F39" s="51">
        <v>0.1</v>
      </c>
      <c r="G39" s="51">
        <v>0.4</v>
      </c>
      <c r="H39" s="51">
        <v>0.5</v>
      </c>
      <c r="I39" s="49">
        <f t="shared" si="1"/>
        <v>6.5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53</v>
      </c>
      <c r="B40" s="60">
        <v>142</v>
      </c>
      <c r="C40" s="60">
        <v>5</v>
      </c>
      <c r="D40" s="60">
        <v>30</v>
      </c>
      <c r="E40" s="51">
        <v>0.1</v>
      </c>
      <c r="F40" s="51">
        <v>0.2</v>
      </c>
      <c r="G40" s="51">
        <v>0.5</v>
      </c>
      <c r="H40" s="51">
        <v>0.2</v>
      </c>
      <c r="I40" s="49">
        <f t="shared" si="1"/>
        <v>6.5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61</v>
      </c>
      <c r="B41" s="60">
        <v>165</v>
      </c>
      <c r="C41" s="60">
        <v>6</v>
      </c>
      <c r="D41" s="60">
        <v>33</v>
      </c>
      <c r="E41" s="51">
        <v>0.2</v>
      </c>
      <c r="F41" s="51">
        <v>0.2</v>
      </c>
      <c r="G41" s="51">
        <v>0.4</v>
      </c>
      <c r="H41" s="51">
        <v>0.2</v>
      </c>
      <c r="I41" s="53">
        <f t="shared" si="1"/>
        <v>6.625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69</v>
      </c>
      <c r="B42" s="60">
        <v>181</v>
      </c>
      <c r="C42" s="60">
        <v>7</v>
      </c>
      <c r="D42" s="60">
        <v>32</v>
      </c>
      <c r="E42" s="51">
        <v>0.4</v>
      </c>
      <c r="F42" s="51">
        <v>0.2</v>
      </c>
      <c r="G42" s="51">
        <v>0.2</v>
      </c>
      <c r="H42" s="51">
        <v>0.2</v>
      </c>
      <c r="I42" s="53">
        <f t="shared" si="1"/>
        <v>6.125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77</v>
      </c>
      <c r="B43" s="60">
        <v>197</v>
      </c>
      <c r="C43" s="60">
        <v>8</v>
      </c>
      <c r="D43" s="60">
        <v>32</v>
      </c>
      <c r="E43" s="51">
        <v>0.4</v>
      </c>
      <c r="F43" s="51">
        <v>0.2</v>
      </c>
      <c r="G43" s="51">
        <v>0.2</v>
      </c>
      <c r="H43" s="51">
        <v>0.2</v>
      </c>
      <c r="I43" s="49">
        <f t="shared" si="1"/>
        <v>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85</v>
      </c>
      <c r="B44" s="60">
        <v>213</v>
      </c>
      <c r="C44" s="60">
        <v>9</v>
      </c>
      <c r="D44" s="60">
        <v>31</v>
      </c>
      <c r="E44" s="51">
        <v>0.6</v>
      </c>
      <c r="F44" s="51">
        <v>0.2</v>
      </c>
      <c r="G44" s="51">
        <v>0.1</v>
      </c>
      <c r="H44" s="51">
        <v>0.1</v>
      </c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95</v>
      </c>
      <c r="B45" s="60">
        <v>238</v>
      </c>
      <c r="C45" s="60">
        <v>10</v>
      </c>
      <c r="D45" s="60">
        <v>42</v>
      </c>
      <c r="E45" s="51">
        <v>0.6</v>
      </c>
      <c r="F45" s="51">
        <v>0.2</v>
      </c>
      <c r="G45" s="51">
        <v>0.1</v>
      </c>
      <c r="H45" s="51">
        <v>0.1</v>
      </c>
      <c r="I45" s="49">
        <f t="shared" si="1"/>
        <v>5.6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105</v>
      </c>
      <c r="B46" s="60">
        <v>252</v>
      </c>
      <c r="C46" s="60">
        <v>11</v>
      </c>
      <c r="D46" s="60">
        <v>34</v>
      </c>
      <c r="E46" s="51">
        <v>0.6</v>
      </c>
      <c r="F46" s="51">
        <v>0.2</v>
      </c>
      <c r="G46" s="51">
        <v>0.1</v>
      </c>
      <c r="H46" s="51">
        <v>0.1</v>
      </c>
      <c r="I46" s="49">
        <f t="shared" si="1"/>
        <v>5.6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115</v>
      </c>
      <c r="B47" s="60">
        <v>274</v>
      </c>
      <c r="C47" s="60">
        <v>12</v>
      </c>
      <c r="D47" s="60">
        <v>37</v>
      </c>
      <c r="E47" s="51">
        <v>0.8</v>
      </c>
      <c r="F47" s="51">
        <v>0.1</v>
      </c>
      <c r="G47" s="51">
        <v>0.1</v>
      </c>
      <c r="H47" s="51"/>
      <c r="I47" s="49">
        <f t="shared" si="1"/>
        <v>5.6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125</v>
      </c>
      <c r="B48" s="60">
        <v>292</v>
      </c>
      <c r="C48" s="60">
        <v>13</v>
      </c>
      <c r="D48" s="60">
        <v>39</v>
      </c>
      <c r="E48" s="51">
        <v>0.8</v>
      </c>
      <c r="F48" s="51">
        <v>0.1</v>
      </c>
      <c r="G48" s="51">
        <v>0.1</v>
      </c>
      <c r="H48" s="51"/>
      <c r="I48" s="49">
        <f t="shared" si="1"/>
        <v>5.5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135</v>
      </c>
      <c r="B49" s="60">
        <v>309</v>
      </c>
      <c r="C49" s="60">
        <v>14</v>
      </c>
      <c r="D49" s="60">
        <v>40</v>
      </c>
      <c r="E49" s="51">
        <v>0.8</v>
      </c>
      <c r="F49" s="51">
        <v>0.1</v>
      </c>
      <c r="G49" s="51">
        <v>0.1</v>
      </c>
      <c r="H49" s="51"/>
      <c r="I49" s="49">
        <f t="shared" si="1"/>
        <v>5.6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145</v>
      </c>
      <c r="B50" s="50">
        <v>326</v>
      </c>
      <c r="C50" s="50">
        <v>15</v>
      </c>
      <c r="D50" s="50">
        <v>40</v>
      </c>
      <c r="E50" s="51">
        <v>0.8</v>
      </c>
      <c r="F50" s="51">
        <v>0.1</v>
      </c>
      <c r="G50" s="51">
        <v>0.1</v>
      </c>
      <c r="H50" s="51"/>
      <c r="I50" s="49">
        <f t="shared" si="1"/>
        <v>5.7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155</v>
      </c>
      <c r="B51" s="50">
        <v>345</v>
      </c>
      <c r="C51" s="50">
        <v>16</v>
      </c>
      <c r="D51" s="50">
        <v>42</v>
      </c>
      <c r="E51" s="51">
        <v>0.8</v>
      </c>
      <c r="F51" s="51">
        <v>0.1</v>
      </c>
      <c r="G51" s="51">
        <v>0.1</v>
      </c>
      <c r="H51" s="51"/>
      <c r="I51" s="49">
        <f t="shared" si="1"/>
        <v>5.9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165</v>
      </c>
      <c r="B52" s="50">
        <v>361</v>
      </c>
      <c r="C52" s="50">
        <v>17</v>
      </c>
      <c r="D52" s="50">
        <v>39</v>
      </c>
      <c r="E52" s="51">
        <v>0.8</v>
      </c>
      <c r="F52" s="51">
        <v>0.1</v>
      </c>
      <c r="G52" s="51">
        <v>0.1</v>
      </c>
      <c r="H52" s="51"/>
      <c r="I52" s="49">
        <f t="shared" si="1"/>
        <v>5.8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180</v>
      </c>
      <c r="B53" s="50">
        <v>413</v>
      </c>
      <c r="C53" s="50">
        <v>18</v>
      </c>
      <c r="D53" s="50">
        <v>413</v>
      </c>
      <c r="E53" s="51">
        <v>0.8</v>
      </c>
      <c r="F53" s="51">
        <v>0.1</v>
      </c>
      <c r="G53" s="51">
        <v>0.1</v>
      </c>
      <c r="H53" s="51"/>
      <c r="I53" s="49">
        <f t="shared" si="1"/>
        <v>6.0666666666666664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Alisier torminal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2.8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14</v>
      </c>
      <c r="B62" s="60">
        <v>34</v>
      </c>
      <c r="C62" s="60">
        <v>1</v>
      </c>
      <c r="D62" s="60">
        <v>25</v>
      </c>
      <c r="E62" s="51"/>
      <c r="F62" s="51"/>
      <c r="G62" s="51"/>
      <c r="H62" s="51">
        <v>1</v>
      </c>
      <c r="I62" s="53">
        <f>IFERROR(B62/A62,"")</f>
        <v>2.4285714285714284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58</v>
      </c>
      <c r="C63" s="60">
        <v>2</v>
      </c>
      <c r="D63" s="60">
        <v>24</v>
      </c>
      <c r="E63" s="51"/>
      <c r="F63" s="51"/>
      <c r="G63" s="51">
        <v>0.4</v>
      </c>
      <c r="H63" s="51">
        <v>0.6</v>
      </c>
      <c r="I63" s="49">
        <f>IF(A63&lt;&gt;0,(B63-(B62-D62))/(A63-A62),"")</f>
        <v>4.4545454545454541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37</v>
      </c>
      <c r="B64" s="60">
        <v>108</v>
      </c>
      <c r="C64" s="60">
        <v>3</v>
      </c>
      <c r="D64" s="60">
        <v>41</v>
      </c>
      <c r="E64" s="51"/>
      <c r="F64" s="51">
        <v>0.1</v>
      </c>
      <c r="G64" s="51">
        <v>0.4</v>
      </c>
      <c r="H64" s="51">
        <v>0.5</v>
      </c>
      <c r="I64" s="49">
        <f>IF(A64&lt;&gt;0,(B64-(B63-D63))/(A64-A63),"")</f>
        <v>6.166666666666667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45</v>
      </c>
      <c r="B65" s="60">
        <v>119</v>
      </c>
      <c r="C65" s="60">
        <v>4</v>
      </c>
      <c r="D65" s="60">
        <v>29</v>
      </c>
      <c r="E65" s="51">
        <v>0.1</v>
      </c>
      <c r="F65" s="51">
        <v>0.2</v>
      </c>
      <c r="G65" s="51">
        <v>0.5</v>
      </c>
      <c r="H65" s="51">
        <v>0.2</v>
      </c>
      <c r="I65" s="49">
        <f>IF(A65&lt;&gt;0,(B65-(B64-D64))/(A65-A64),"")</f>
        <v>6.5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53</v>
      </c>
      <c r="B66" s="60">
        <v>142</v>
      </c>
      <c r="C66" s="60">
        <v>5</v>
      </c>
      <c r="D66" s="60">
        <v>30</v>
      </c>
      <c r="E66" s="51">
        <v>0.2</v>
      </c>
      <c r="F66" s="51">
        <v>0.2</v>
      </c>
      <c r="G66" s="51">
        <v>0.4</v>
      </c>
      <c r="H66" s="51">
        <v>0.2</v>
      </c>
      <c r="I66" s="49">
        <f t="shared" ref="I66:I81" si="2">IF(A66&lt;&gt;0,(B66-(B65-D65))/(A66-A65),"")</f>
        <v>6.5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61</v>
      </c>
      <c r="B67" s="60">
        <v>165</v>
      </c>
      <c r="C67" s="60">
        <v>6</v>
      </c>
      <c r="D67" s="60">
        <v>33</v>
      </c>
      <c r="E67" s="51">
        <v>0.4</v>
      </c>
      <c r="F67" s="51">
        <v>0.2</v>
      </c>
      <c r="G67" s="51">
        <v>0.2</v>
      </c>
      <c r="H67" s="51">
        <v>0.2</v>
      </c>
      <c r="I67" s="49">
        <f t="shared" si="2"/>
        <v>6.625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69</v>
      </c>
      <c r="B68" s="60">
        <v>181</v>
      </c>
      <c r="C68" s="60">
        <v>7</v>
      </c>
      <c r="D68" s="60">
        <v>32</v>
      </c>
      <c r="E68" s="51">
        <v>0.4</v>
      </c>
      <c r="F68" s="51">
        <v>0.2</v>
      </c>
      <c r="G68" s="51">
        <v>0.2</v>
      </c>
      <c r="H68" s="51">
        <v>0.2</v>
      </c>
      <c r="I68" s="49">
        <f t="shared" si="2"/>
        <v>6.125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77</v>
      </c>
      <c r="B69" s="50">
        <v>197</v>
      </c>
      <c r="C69" s="50">
        <v>8</v>
      </c>
      <c r="D69" s="50">
        <v>32</v>
      </c>
      <c r="E69" s="51">
        <v>0.6</v>
      </c>
      <c r="F69" s="51">
        <v>0.2</v>
      </c>
      <c r="G69" s="51">
        <v>0.1</v>
      </c>
      <c r="H69" s="51">
        <v>0.1</v>
      </c>
      <c r="I69" s="49">
        <f t="shared" si="2"/>
        <v>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85</v>
      </c>
      <c r="B70" s="50">
        <v>213</v>
      </c>
      <c r="C70" s="50">
        <v>9</v>
      </c>
      <c r="D70" s="50">
        <v>31</v>
      </c>
      <c r="E70" s="51">
        <v>0.6</v>
      </c>
      <c r="F70" s="51">
        <v>0.2</v>
      </c>
      <c r="G70" s="51">
        <v>0.1</v>
      </c>
      <c r="H70" s="51">
        <v>0.1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95</v>
      </c>
      <c r="B71" s="50">
        <v>238</v>
      </c>
      <c r="C71" s="50">
        <v>10</v>
      </c>
      <c r="D71" s="50">
        <v>42</v>
      </c>
      <c r="E71" s="51">
        <v>0.6</v>
      </c>
      <c r="F71" s="51">
        <v>0.2</v>
      </c>
      <c r="G71" s="51">
        <v>0.1</v>
      </c>
      <c r="H71" s="51">
        <v>0.1</v>
      </c>
      <c r="I71" s="49">
        <f t="shared" si="2"/>
        <v>5.6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105</v>
      </c>
      <c r="B72" s="50">
        <v>252</v>
      </c>
      <c r="C72" s="50">
        <v>11</v>
      </c>
      <c r="D72" s="50">
        <v>34</v>
      </c>
      <c r="E72" s="51">
        <v>0.8</v>
      </c>
      <c r="F72" s="51">
        <v>0.1</v>
      </c>
      <c r="G72" s="51">
        <v>0.1</v>
      </c>
      <c r="H72" s="51"/>
      <c r="I72" s="49">
        <f t="shared" si="2"/>
        <v>5.6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115</v>
      </c>
      <c r="B73" s="50">
        <v>274</v>
      </c>
      <c r="C73" s="50">
        <v>12</v>
      </c>
      <c r="D73" s="50">
        <v>37</v>
      </c>
      <c r="E73" s="51">
        <v>0.8</v>
      </c>
      <c r="F73" s="51">
        <v>0.1</v>
      </c>
      <c r="G73" s="51">
        <v>0.1</v>
      </c>
      <c r="H73" s="51"/>
      <c r="I73" s="49">
        <f t="shared" si="2"/>
        <v>5.6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125</v>
      </c>
      <c r="B74" s="50">
        <v>292</v>
      </c>
      <c r="C74" s="50">
        <v>13</v>
      </c>
      <c r="D74" s="50">
        <v>39</v>
      </c>
      <c r="E74" s="51">
        <v>0.8</v>
      </c>
      <c r="F74" s="51">
        <v>0.1</v>
      </c>
      <c r="G74" s="51">
        <v>0.1</v>
      </c>
      <c r="H74" s="51"/>
      <c r="I74" s="49">
        <f t="shared" si="2"/>
        <v>5.5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Cormier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2.8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14</v>
      </c>
      <c r="B88" s="60">
        <v>34</v>
      </c>
      <c r="C88" s="60">
        <v>1</v>
      </c>
      <c r="D88" s="60">
        <v>25</v>
      </c>
      <c r="E88" s="51"/>
      <c r="F88" s="51"/>
      <c r="G88" s="51"/>
      <c r="H88" s="87">
        <v>1</v>
      </c>
      <c r="I88" s="53">
        <f>IFERROR(B88/A88,"")</f>
        <v>2.4285714285714284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58</v>
      </c>
      <c r="C89" s="60">
        <v>2</v>
      </c>
      <c r="D89" s="60">
        <v>24</v>
      </c>
      <c r="E89" s="51"/>
      <c r="F89" s="51"/>
      <c r="G89" s="51">
        <v>0.4</v>
      </c>
      <c r="H89" s="87">
        <v>0.6</v>
      </c>
      <c r="I89" s="53">
        <f t="shared" ref="I89:I107" si="3">IF(A89&lt;&gt;0,(B89-(B88-D88))/(A89-A88),"")</f>
        <v>4.4545454545454541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37</v>
      </c>
      <c r="B90" s="60">
        <v>108</v>
      </c>
      <c r="C90" s="60">
        <v>3</v>
      </c>
      <c r="D90" s="60">
        <v>41</v>
      </c>
      <c r="E90" s="87"/>
      <c r="F90" s="87">
        <v>0.1</v>
      </c>
      <c r="G90" s="87">
        <v>0.4</v>
      </c>
      <c r="H90" s="87">
        <v>0.5</v>
      </c>
      <c r="I90" s="53">
        <f t="shared" si="3"/>
        <v>6.166666666666667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45</v>
      </c>
      <c r="B91" s="60">
        <v>119</v>
      </c>
      <c r="C91" s="60">
        <v>4</v>
      </c>
      <c r="D91" s="60">
        <v>29</v>
      </c>
      <c r="E91" s="87">
        <v>0.1</v>
      </c>
      <c r="F91" s="87">
        <v>0.2</v>
      </c>
      <c r="G91" s="87">
        <v>0.5</v>
      </c>
      <c r="H91" s="87">
        <v>0.2</v>
      </c>
      <c r="I91" s="53">
        <f t="shared" si="3"/>
        <v>6.5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53</v>
      </c>
      <c r="B92" s="60">
        <v>142</v>
      </c>
      <c r="C92" s="60">
        <v>5</v>
      </c>
      <c r="D92" s="60">
        <v>30</v>
      </c>
      <c r="E92" s="87">
        <v>0.2</v>
      </c>
      <c r="F92" s="87">
        <v>0.2</v>
      </c>
      <c r="G92" s="87">
        <v>0.4</v>
      </c>
      <c r="H92" s="87">
        <v>0.2</v>
      </c>
      <c r="I92" s="53">
        <f t="shared" si="3"/>
        <v>6.5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61</v>
      </c>
      <c r="B93" s="60">
        <v>165</v>
      </c>
      <c r="C93" s="60">
        <v>6</v>
      </c>
      <c r="D93" s="60">
        <v>33</v>
      </c>
      <c r="E93" s="87">
        <v>0.4</v>
      </c>
      <c r="F93" s="87">
        <v>0.2</v>
      </c>
      <c r="G93" s="87">
        <v>0.2</v>
      </c>
      <c r="H93" s="87">
        <v>0.2</v>
      </c>
      <c r="I93" s="53">
        <f t="shared" si="3"/>
        <v>6.625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69</v>
      </c>
      <c r="B94" s="60">
        <v>181</v>
      </c>
      <c r="C94" s="60">
        <v>7</v>
      </c>
      <c r="D94" s="60">
        <v>32</v>
      </c>
      <c r="E94" s="87">
        <v>0.4</v>
      </c>
      <c r="F94" s="87">
        <v>0.2</v>
      </c>
      <c r="G94" s="87">
        <v>0.2</v>
      </c>
      <c r="H94" s="87">
        <v>0.2</v>
      </c>
      <c r="I94" s="53">
        <f t="shared" si="3"/>
        <v>6.125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77</v>
      </c>
      <c r="B95" s="60">
        <v>197</v>
      </c>
      <c r="C95" s="60">
        <v>8</v>
      </c>
      <c r="D95" s="60">
        <v>32</v>
      </c>
      <c r="E95" s="87">
        <v>0.6</v>
      </c>
      <c r="F95" s="87">
        <v>0.2</v>
      </c>
      <c r="G95" s="87">
        <v>0.1</v>
      </c>
      <c r="H95" s="87">
        <v>0.1</v>
      </c>
      <c r="I95" s="53">
        <f t="shared" si="3"/>
        <v>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85</v>
      </c>
      <c r="B96" s="60">
        <v>213</v>
      </c>
      <c r="C96" s="60">
        <v>9</v>
      </c>
      <c r="D96" s="60">
        <v>31</v>
      </c>
      <c r="E96" s="87">
        <v>0.6</v>
      </c>
      <c r="F96" s="87">
        <v>0.2</v>
      </c>
      <c r="G96" s="87">
        <v>0.1</v>
      </c>
      <c r="H96" s="87">
        <v>0.1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95</v>
      </c>
      <c r="B97" s="60">
        <v>238</v>
      </c>
      <c r="C97" s="60">
        <v>10</v>
      </c>
      <c r="D97" s="60">
        <v>42</v>
      </c>
      <c r="E97" s="87">
        <v>0.6</v>
      </c>
      <c r="F97" s="87">
        <v>0.2</v>
      </c>
      <c r="G97" s="87">
        <v>0.1</v>
      </c>
      <c r="H97" s="87">
        <v>0.1</v>
      </c>
      <c r="I97" s="53">
        <f t="shared" si="3"/>
        <v>5.6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105</v>
      </c>
      <c r="B98" s="60">
        <v>252</v>
      </c>
      <c r="C98" s="60">
        <v>11</v>
      </c>
      <c r="D98" s="60">
        <v>34</v>
      </c>
      <c r="E98" s="87">
        <v>0.8</v>
      </c>
      <c r="F98" s="87">
        <v>0.1</v>
      </c>
      <c r="G98" s="87">
        <v>0.1</v>
      </c>
      <c r="H98" s="87"/>
      <c r="I98" s="53">
        <f t="shared" si="3"/>
        <v>5.6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115</v>
      </c>
      <c r="B99" s="60">
        <v>274</v>
      </c>
      <c r="C99" s="60">
        <v>12</v>
      </c>
      <c r="D99" s="60">
        <v>37</v>
      </c>
      <c r="E99" s="87">
        <v>0.8</v>
      </c>
      <c r="F99" s="87">
        <v>0.1</v>
      </c>
      <c r="G99" s="87">
        <v>0.1</v>
      </c>
      <c r="H99" s="87"/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125</v>
      </c>
      <c r="B100" s="60">
        <v>292</v>
      </c>
      <c r="C100" s="60">
        <v>13</v>
      </c>
      <c r="D100" s="60">
        <v>39</v>
      </c>
      <c r="E100" s="65">
        <v>0.8</v>
      </c>
      <c r="F100" s="65">
        <v>0.1</v>
      </c>
      <c r="G100" s="65">
        <v>0.1</v>
      </c>
      <c r="H100" s="65"/>
      <c r="I100" s="53">
        <f t="shared" si="3"/>
        <v>5.5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2.8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14</v>
      </c>
      <c r="B114" s="60">
        <v>34</v>
      </c>
      <c r="C114" s="50">
        <v>1</v>
      </c>
      <c r="D114" s="60">
        <v>25</v>
      </c>
      <c r="E114" s="51"/>
      <c r="F114" s="51"/>
      <c r="G114" s="51"/>
      <c r="H114" s="51">
        <v>1</v>
      </c>
      <c r="I114" s="53">
        <f>IFERROR(B114/A114,"")</f>
        <v>2.4285714285714284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v>58</v>
      </c>
      <c r="C115" s="50">
        <v>2</v>
      </c>
      <c r="D115" s="60">
        <v>24</v>
      </c>
      <c r="E115" s="51"/>
      <c r="F115" s="51"/>
      <c r="G115" s="51">
        <v>0.4</v>
      </c>
      <c r="H115" s="51">
        <v>0.6</v>
      </c>
      <c r="I115" s="53">
        <f t="shared" ref="I115:I133" si="4">IF(A115&lt;&gt;0,(B115-(B114-D114))/(A115-A114),"")</f>
        <v>4.4545454545454541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37</v>
      </c>
      <c r="B116" s="60">
        <v>108</v>
      </c>
      <c r="C116" s="50">
        <v>3</v>
      </c>
      <c r="D116" s="60">
        <v>41</v>
      </c>
      <c r="E116" s="51"/>
      <c r="F116" s="51">
        <v>0.1</v>
      </c>
      <c r="G116" s="51">
        <v>0.4</v>
      </c>
      <c r="H116" s="51">
        <v>0.5</v>
      </c>
      <c r="I116" s="53">
        <f t="shared" si="4"/>
        <v>6.166666666666667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45</v>
      </c>
      <c r="B117" s="60">
        <v>119</v>
      </c>
      <c r="C117" s="50">
        <v>4</v>
      </c>
      <c r="D117" s="60">
        <v>29</v>
      </c>
      <c r="E117" s="51">
        <v>0.1</v>
      </c>
      <c r="F117" s="51">
        <v>0.2</v>
      </c>
      <c r="G117" s="51">
        <v>0.5</v>
      </c>
      <c r="H117" s="51">
        <v>0.2</v>
      </c>
      <c r="I117" s="53">
        <f t="shared" si="4"/>
        <v>6.5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53</v>
      </c>
      <c r="B118" s="60">
        <v>142</v>
      </c>
      <c r="C118" s="50">
        <v>5</v>
      </c>
      <c r="D118" s="60">
        <v>30</v>
      </c>
      <c r="E118" s="51">
        <v>0.2</v>
      </c>
      <c r="F118" s="51">
        <v>0.2</v>
      </c>
      <c r="G118" s="51">
        <v>0.4</v>
      </c>
      <c r="H118" s="51">
        <v>0.2</v>
      </c>
      <c r="I118" s="53">
        <f t="shared" si="4"/>
        <v>6.5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61</v>
      </c>
      <c r="B119" s="60">
        <v>165</v>
      </c>
      <c r="C119" s="50">
        <v>6</v>
      </c>
      <c r="D119" s="60">
        <v>33</v>
      </c>
      <c r="E119" s="51">
        <v>0.4</v>
      </c>
      <c r="F119" s="51">
        <v>0.2</v>
      </c>
      <c r="G119" s="51">
        <v>0.2</v>
      </c>
      <c r="H119" s="51">
        <v>0.2</v>
      </c>
      <c r="I119" s="53">
        <f t="shared" si="4"/>
        <v>6.625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69</v>
      </c>
      <c r="B120" s="60">
        <v>181</v>
      </c>
      <c r="C120" s="60">
        <v>7</v>
      </c>
      <c r="D120" s="60">
        <v>32</v>
      </c>
      <c r="E120" s="87">
        <v>0.4</v>
      </c>
      <c r="F120" s="87">
        <v>0.2</v>
      </c>
      <c r="G120" s="87">
        <v>0.2</v>
      </c>
      <c r="H120" s="87">
        <v>0.2</v>
      </c>
      <c r="I120" s="53">
        <f t="shared" si="4"/>
        <v>6.125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77</v>
      </c>
      <c r="B121" s="60">
        <v>197</v>
      </c>
      <c r="C121" s="60">
        <v>8</v>
      </c>
      <c r="D121" s="60">
        <v>32</v>
      </c>
      <c r="E121" s="87">
        <v>0.6</v>
      </c>
      <c r="F121" s="87">
        <v>0.2</v>
      </c>
      <c r="G121" s="87">
        <v>0.1</v>
      </c>
      <c r="H121" s="87">
        <v>0.1</v>
      </c>
      <c r="I121" s="53">
        <f t="shared" si="4"/>
        <v>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85</v>
      </c>
      <c r="B122" s="60">
        <v>213</v>
      </c>
      <c r="C122" s="60">
        <v>9</v>
      </c>
      <c r="D122" s="60">
        <v>31</v>
      </c>
      <c r="E122" s="87">
        <v>0.6</v>
      </c>
      <c r="F122" s="87">
        <v>0.2</v>
      </c>
      <c r="G122" s="87">
        <v>0.1</v>
      </c>
      <c r="H122" s="87">
        <v>0.1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95</v>
      </c>
      <c r="B123" s="60">
        <v>238</v>
      </c>
      <c r="C123" s="60">
        <v>10</v>
      </c>
      <c r="D123" s="60">
        <v>42</v>
      </c>
      <c r="E123" s="87">
        <v>0.6</v>
      </c>
      <c r="F123" s="87">
        <v>0.2</v>
      </c>
      <c r="G123" s="87">
        <v>0.1</v>
      </c>
      <c r="H123" s="87">
        <v>0.1</v>
      </c>
      <c r="I123" s="53">
        <f t="shared" si="4"/>
        <v>5.6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2.8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2.8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2.8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2.8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2.8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2.8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7" sqref="C27"/>
    </sheetView>
  </sheetViews>
  <sheetFormatPr baseColWidth="10" defaultColWidth="11.375" defaultRowHeight="14.3" x14ac:dyDescent="0.25"/>
  <cols>
    <col min="1" max="1" width="5.875" style="1" customWidth="1"/>
    <col min="2" max="2" width="14.125" style="1" customWidth="1"/>
    <col min="3" max="3" width="62.125" style="1" customWidth="1"/>
    <col min="4" max="5" width="4.25" style="1" customWidth="1"/>
    <col min="6" max="6" width="14.25" style="1" customWidth="1"/>
    <col min="7" max="7" width="73.25" style="1" bestFit="1" customWidth="1"/>
    <col min="8" max="10" width="11.375" style="1"/>
    <col min="11" max="11" width="12.625" style="1" customWidth="1"/>
    <col min="12" max="16384" width="11.375" style="1"/>
  </cols>
  <sheetData>
    <row r="1" spans="1:38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14.95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14.95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ht="14.95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350000000000001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350000000000001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350000000000001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ht="14.95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ht="14.95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.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.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ht="14.95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4.9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75" defaultRowHeight="14.3" x14ac:dyDescent="0.25"/>
  <cols>
    <col min="1" max="1" width="6.875" style="4" bestFit="1" customWidth="1"/>
    <col min="2" max="4" width="11.375" style="4"/>
    <col min="5" max="5" width="9.625" style="4" customWidth="1"/>
    <col min="6" max="7" width="11.375" style="4"/>
    <col min="8" max="8" width="10.75" style="4" customWidth="1"/>
    <col min="9" max="9" width="9.375" style="4" customWidth="1"/>
    <col min="10" max="11" width="10.625" style="4" bestFit="1" customWidth="1"/>
    <col min="12" max="12" width="14" style="4" bestFit="1" customWidth="1"/>
    <col min="13" max="13" width="14" style="4" customWidth="1"/>
    <col min="14" max="23" width="11.375" style="4"/>
    <col min="24" max="24" width="11.75" style="4" bestFit="1" customWidth="1"/>
    <col min="25" max="25" width="14.625" style="4" bestFit="1" customWidth="1"/>
    <col min="26" max="26" width="12.375" style="4" bestFit="1" customWidth="1"/>
    <col min="27" max="27" width="9.75" style="4" bestFit="1" customWidth="1"/>
    <col min="28" max="28" width="11" style="4" bestFit="1" customWidth="1"/>
    <col min="29" max="29" width="9.375" style="4" bestFit="1" customWidth="1"/>
    <col min="30" max="31" width="9.375" style="4" customWidth="1"/>
    <col min="32" max="32" width="11.375" style="4"/>
    <col min="33" max="34" width="14" style="4" bestFit="1" customWidth="1"/>
    <col min="35" max="35" width="10.625" style="4" bestFit="1" customWidth="1"/>
    <col min="36" max="36" width="9.375" style="4" bestFit="1" customWidth="1"/>
    <col min="37" max="38" width="10.625" style="4" bestFit="1" customWidth="1"/>
    <col min="39" max="41" width="10.625" style="4" customWidth="1"/>
    <col min="42" max="42" width="9" style="4" bestFit="1" customWidth="1"/>
    <col min="43" max="43" width="10.625" style="4" bestFit="1" customWidth="1"/>
    <col min="44" max="44" width="9.25" style="4" bestFit="1" customWidth="1"/>
    <col min="45" max="45" width="11.75" style="4" bestFit="1" customWidth="1"/>
    <col min="46" max="46" width="8.375" style="4" bestFit="1" customWidth="1"/>
    <col min="47" max="47" width="9.375" style="4" bestFit="1" customWidth="1"/>
    <col min="48" max="48" width="9.75" style="4" bestFit="1" customWidth="1"/>
    <col min="49" max="49" width="11" style="4" bestFit="1" customWidth="1"/>
    <col min="50" max="50" width="9.375" style="4" bestFit="1" customWidth="1"/>
    <col min="51" max="52" width="9.375" style="4" customWidth="1"/>
    <col min="53" max="53" width="10.625" style="4" bestFit="1" customWidth="1"/>
    <col min="54" max="54" width="14.25" style="4" customWidth="1"/>
    <col min="55" max="55" width="14" style="4" customWidth="1"/>
    <col min="56" max="56" width="10.625" style="4" bestFit="1" customWidth="1"/>
    <col min="57" max="57" width="9.375" style="4" bestFit="1" customWidth="1"/>
    <col min="58" max="59" width="10.625" style="4" bestFit="1" customWidth="1"/>
    <col min="60" max="62" width="10.625" style="4" customWidth="1"/>
    <col min="63" max="63" width="9" style="4" bestFit="1" customWidth="1"/>
    <col min="64" max="64" width="10.625" style="4" bestFit="1" customWidth="1"/>
    <col min="65" max="65" width="9.25" style="4" bestFit="1" customWidth="1"/>
    <col min="66" max="66" width="11.75" style="4" bestFit="1" customWidth="1"/>
    <col min="67" max="67" width="8.375" style="4" bestFit="1" customWidth="1"/>
    <col min="68" max="68" width="9.375" style="4" bestFit="1" customWidth="1"/>
    <col min="69" max="69" width="9.75" style="4" bestFit="1" customWidth="1"/>
    <col min="70" max="70" width="11" style="4" bestFit="1" customWidth="1"/>
    <col min="71" max="71" width="9.375" style="4" bestFit="1" customWidth="1"/>
    <col min="72" max="73" width="9.375" style="4" customWidth="1"/>
    <col min="74" max="74" width="10.625" style="4" bestFit="1" customWidth="1"/>
    <col min="75" max="75" width="14" style="4" bestFit="1" customWidth="1"/>
    <col min="76" max="76" width="13.875" style="4" customWidth="1"/>
    <col min="77" max="77" width="10.625" style="4" bestFit="1" customWidth="1"/>
    <col min="78" max="78" width="9.375" style="4" bestFit="1" customWidth="1"/>
    <col min="79" max="80" width="10.625" style="4" bestFit="1" customWidth="1"/>
    <col min="81" max="83" width="10.625" style="4" customWidth="1"/>
    <col min="84" max="84" width="11.375" style="4"/>
    <col min="85" max="85" width="10.625" style="4" bestFit="1" customWidth="1"/>
    <col min="86" max="86" width="9.25" style="4" bestFit="1" customWidth="1"/>
    <col min="87" max="87" width="11.75" style="4" bestFit="1" customWidth="1"/>
    <col min="88" max="88" width="8.375" style="4" bestFit="1" customWidth="1"/>
    <col min="89" max="89" width="9.375" style="4" bestFit="1" customWidth="1"/>
    <col min="90" max="90" width="9.75" style="4" bestFit="1" customWidth="1"/>
    <col min="91" max="91" width="11" style="4" bestFit="1" customWidth="1"/>
    <col min="92" max="92" width="9.375" style="4" bestFit="1" customWidth="1"/>
    <col min="93" max="94" width="9.375" style="4" customWidth="1"/>
    <col min="95" max="95" width="11.375" style="4"/>
    <col min="96" max="97" width="14" style="4" customWidth="1"/>
    <col min="98" max="98" width="10.625" style="4" bestFit="1" customWidth="1"/>
    <col min="99" max="99" width="9.375" style="4" bestFit="1" customWidth="1"/>
    <col min="100" max="101" width="10.625" style="4" bestFit="1" customWidth="1"/>
    <col min="102" max="104" width="10.625" style="4" customWidth="1"/>
    <col min="105" max="105" width="9" style="4" bestFit="1" customWidth="1"/>
    <col min="106" max="106" width="10.625" style="4" bestFit="1" customWidth="1"/>
    <col min="107" max="107" width="9.25" style="4" bestFit="1" customWidth="1"/>
    <col min="108" max="108" width="11.75" style="4" bestFit="1" customWidth="1"/>
    <col min="109" max="109" width="8.375" style="4" bestFit="1" customWidth="1"/>
    <col min="110" max="110" width="9.375" style="4" bestFit="1" customWidth="1"/>
    <col min="111" max="111" width="9.75" style="4" bestFit="1" customWidth="1"/>
    <col min="112" max="112" width="11" style="4" bestFit="1" customWidth="1"/>
    <col min="113" max="113" width="9.375" style="4" bestFit="1" customWidth="1"/>
    <col min="114" max="115" width="9.375" style="4" customWidth="1"/>
    <col min="116" max="116" width="10.625" style="4" bestFit="1" customWidth="1"/>
    <col min="117" max="117" width="14.25" style="4" customWidth="1"/>
    <col min="118" max="118" width="14" style="4" bestFit="1" customWidth="1"/>
    <col min="119" max="119" width="10.625" style="4" bestFit="1" customWidth="1"/>
    <col min="120" max="120" width="9.375" style="4" bestFit="1" customWidth="1"/>
    <col min="121" max="122" width="10.625" style="4" bestFit="1" customWidth="1"/>
    <col min="123" max="125" width="10.625" style="4" customWidth="1"/>
    <col min="126" max="126" width="9" style="4" bestFit="1" customWidth="1"/>
    <col min="127" max="127" width="10.625" style="4" bestFit="1" customWidth="1"/>
    <col min="128" max="128" width="9.25" style="4" bestFit="1" customWidth="1"/>
    <col min="129" max="129" width="11.75" style="4" bestFit="1" customWidth="1"/>
    <col min="130" max="130" width="8.375" style="4" bestFit="1" customWidth="1"/>
    <col min="131" max="131" width="9.375" style="4" bestFit="1" customWidth="1"/>
    <col min="132" max="132" width="9.75" style="4" bestFit="1" customWidth="1"/>
    <col min="133" max="133" width="11" style="4" bestFit="1" customWidth="1"/>
    <col min="134" max="134" width="9.375" style="4" bestFit="1" customWidth="1"/>
    <col min="135" max="136" width="9.375" style="4" customWidth="1"/>
    <col min="137" max="137" width="10.625" style="4" bestFit="1" customWidth="1"/>
    <col min="138" max="139" width="14" style="4" customWidth="1"/>
    <col min="140" max="140" width="10.625" style="4" bestFit="1" customWidth="1"/>
    <col min="141" max="141" width="9.375" style="4" bestFit="1" customWidth="1"/>
    <col min="142" max="143" width="10.625" style="4" bestFit="1" customWidth="1"/>
    <col min="144" max="146" width="10.625" style="4" customWidth="1"/>
    <col min="147" max="147" width="9" style="4" bestFit="1" customWidth="1"/>
    <col min="148" max="148" width="10.625" style="4" bestFit="1" customWidth="1"/>
    <col min="149" max="149" width="9.25" style="4" bestFit="1" customWidth="1"/>
    <col min="150" max="150" width="11.75" style="4" bestFit="1" customWidth="1"/>
    <col min="151" max="151" width="8.375" style="4" bestFit="1" customWidth="1"/>
    <col min="152" max="152" width="9.375" style="4" bestFit="1" customWidth="1"/>
    <col min="153" max="153" width="9.75" style="4" bestFit="1" customWidth="1"/>
    <col min="154" max="154" width="11" style="4" bestFit="1" customWidth="1"/>
    <col min="155" max="155" width="9.375" style="4" bestFit="1" customWidth="1"/>
    <col min="156" max="157" width="9.375" style="4" customWidth="1"/>
    <col min="158" max="158" width="11.375" style="4"/>
    <col min="159" max="160" width="14" style="4" bestFit="1" customWidth="1"/>
    <col min="161" max="161" width="10.625" style="4" bestFit="1" customWidth="1"/>
    <col min="162" max="162" width="9.375" style="4" bestFit="1" customWidth="1"/>
    <col min="163" max="164" width="10.625" style="4" bestFit="1" customWidth="1"/>
    <col min="165" max="167" width="10.625" style="4" customWidth="1"/>
    <col min="168" max="168" width="9" style="4" bestFit="1" customWidth="1"/>
    <col min="169" max="169" width="10.625" style="4" bestFit="1" customWidth="1"/>
    <col min="170" max="170" width="9.25" style="4" bestFit="1" customWidth="1"/>
    <col min="171" max="171" width="11.75" style="4" bestFit="1" customWidth="1"/>
    <col min="172" max="172" width="8.125" style="4" bestFit="1" customWidth="1"/>
    <col min="173" max="173" width="9.375" style="4" bestFit="1" customWidth="1"/>
    <col min="174" max="174" width="9.75" style="4" bestFit="1" customWidth="1"/>
    <col min="175" max="175" width="11" style="4" bestFit="1" customWidth="1"/>
    <col min="176" max="176" width="9.375" style="4" bestFit="1" customWidth="1"/>
    <col min="177" max="178" width="9.375" style="4" customWidth="1"/>
    <col min="179" max="179" width="10.625" style="4" bestFit="1" customWidth="1"/>
    <col min="180" max="181" width="14" style="4" bestFit="1" customWidth="1"/>
    <col min="182" max="182" width="10.625" style="4" bestFit="1" customWidth="1"/>
    <col min="183" max="183" width="9.375" style="4" bestFit="1" customWidth="1"/>
    <col min="184" max="185" width="10.625" style="4" bestFit="1" customWidth="1"/>
    <col min="186" max="188" width="10.625" style="4" customWidth="1"/>
    <col min="189" max="189" width="9" style="4" bestFit="1" customWidth="1"/>
    <col min="190" max="190" width="10.625" style="4" bestFit="1" customWidth="1"/>
    <col min="191" max="191" width="9.25" style="4" bestFit="1" customWidth="1"/>
    <col min="192" max="192" width="11.375" style="4"/>
    <col min="193" max="193" width="8.375" style="4" bestFit="1" customWidth="1"/>
    <col min="194" max="194" width="9.375" style="4" bestFit="1" customWidth="1"/>
    <col min="195" max="195" width="9.75" style="4" bestFit="1" customWidth="1"/>
    <col min="196" max="196" width="11" style="4" bestFit="1" customWidth="1"/>
    <col min="197" max="197" width="9.375" style="4" bestFit="1" customWidth="1"/>
    <col min="198" max="199" width="9.375" style="4" customWidth="1"/>
    <col min="200" max="200" width="10.625" style="4" bestFit="1" customWidth="1"/>
    <col min="201" max="201" width="14" style="4" customWidth="1"/>
    <col min="202" max="202" width="14.25" style="4" customWidth="1"/>
    <col min="203" max="203" width="10.625" style="4" bestFit="1" customWidth="1"/>
    <col min="204" max="204" width="9.375" style="4" bestFit="1" customWidth="1"/>
    <col min="205" max="206" width="10.625" style="4" bestFit="1" customWidth="1"/>
    <col min="207" max="209" width="10.625" style="4" customWidth="1"/>
    <col min="210" max="210" width="9" style="4" bestFit="1" customWidth="1"/>
    <col min="211" max="211" width="10.625" style="4" bestFit="1" customWidth="1"/>
    <col min="212" max="212" width="9.25" style="4" bestFit="1" customWidth="1"/>
    <col min="213" max="213" width="11.75" style="4" bestFit="1" customWidth="1"/>
    <col min="214" max="214" width="8.375" style="4" bestFit="1" customWidth="1"/>
    <col min="215" max="215" width="9.375" style="4" bestFit="1" customWidth="1"/>
    <col min="216" max="216" width="9.75" style="4" bestFit="1" customWidth="1"/>
    <col min="217" max="217" width="11" style="4" bestFit="1" customWidth="1"/>
    <col min="218" max="218" width="9.375" style="4" bestFit="1" customWidth="1"/>
    <col min="219" max="16384" width="11.375" style="4"/>
  </cols>
  <sheetData>
    <row r="1" spans="1:218" ht="26.5" thickBot="1" x14ac:dyDescent="0.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Alisier torminal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Cormier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ht="14.95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469.5773392354356</v>
      </c>
      <c r="T3" s="59">
        <f>IF('Données projet'!E9&gt;30,$R$33-$H$33,LOOKUP('Données projet'!$E$9,$A$3:$A$203,R3:R203)-LOOKUP('Données projet'!$E$9,$A$3:$A$203,$H$3:$H$203))</f>
        <v>187.25344022835239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370.91255999489181</v>
      </c>
      <c r="AO3" s="59">
        <f>IF('Données projet'!E10&gt;30,$AM$33-$H$33,LOOKUP('Données projet'!$E$10,$A$3:$A$203,AM3:AM203)-LOOKUP('Données projet'!$E$10,$A$3:$A$203,$H$3:$H$203))</f>
        <v>196.07869248605735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404.24955007425774</v>
      </c>
      <c r="BJ3" s="59">
        <f>IF('Données projet'!E11&gt;30,$BH$33-$H$33,LOOKUP('Données projet'!$E$11,$A$3:$A$203,BH3:BH203)-LOOKUP('Données projet'!$E$11,$A$3:$A$203,$H$3:$H$203))</f>
        <v>211.49137630071019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250.01410333089137</v>
      </c>
      <c r="CE3" s="59">
        <f>IF('Données projet'!E12&gt;30,$CC$33-$H$33,LOOKUP('Données projet'!$E$12,$A$3:$A$203,CC3:CC203)-LOOKUP('Données projet'!$E$12,$A$3:$A$203,$H$3:$H$203))</f>
        <v>169.55868564318885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ht="14.95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2.4285714285714284</v>
      </c>
      <c r="N4" s="13">
        <f>IF('Données projet'!$A$36&gt;35,N3+M4-V3,IF(A4&lt;'Données projet'!$A$36,$K$205^A4,IF(A4='Données projet'!$A$36,'Données projet'!$B$36,N3+M4-V3)))</f>
        <v>1.2864453787827541</v>
      </c>
      <c r="O4" s="13">
        <f>N4*VLOOKUP('Données projet'!$B$9,Paramètres!$A$1:$I$89,3,0)*VLOOKUP('Données projet'!$B$9,Paramètres!$A$1:$I$89,5,0)</f>
        <v>1.1639757787226359</v>
      </c>
      <c r="P4" s="13">
        <f>EXP(-1.0587+0.8836*LN(O4)+0.284)</f>
        <v>0.52701154963159458</v>
      </c>
      <c r="Q4" s="20">
        <f t="shared" ref="Q4:Q34" si="2">(O4+P4)*0.475*44/12</f>
        <v>2.9451362635502849</v>
      </c>
      <c r="R4" s="59">
        <f t="shared" si="0"/>
        <v>170.75757021647414</v>
      </c>
      <c r="S4" s="59">
        <f ca="1">AVERAGE(OFFSET($R$3,0,0,'Données projet'!$E$9+1,1))-AVERAGE(OFFSET($H$3,0,0,'Données projet'!$E$9+1,1))</f>
        <v>469.5773392354356</v>
      </c>
      <c r="T4" s="59">
        <f>$T$3</f>
        <v>187.25344022835239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2.4285714285714284</v>
      </c>
      <c r="AI4" s="13">
        <f>IF('Données projet'!$A$62&gt;35,AI3+AH4-AQ3,IF(A4&lt;'Données projet'!$A$62,$AF$205^A4,IF(A4='Données projet'!$A$62,'Données projet'!$B$62,AI3+AH4-AQ3)))</f>
        <v>1.2864453787827541</v>
      </c>
      <c r="AJ4" s="13">
        <f>AI4*VLOOKUP('Données projet'!$B$10,Paramètres!$A$1:$I$89,3,0)*VLOOKUP('Données projet'!$B$10,Paramètres!$A$1:$I$89,5,0)</f>
        <v>1.2442499703586798</v>
      </c>
      <c r="AK4" s="13">
        <f>EXP(-1.0587+0.8836*LN(AJ4)+0.284)</f>
        <v>0.55900083261022437</v>
      </c>
      <c r="AL4" s="20">
        <f t="shared" ref="AL4:AL67" si="4">(AJ4+AK4)*0.475*44/12</f>
        <v>3.1406618151708408</v>
      </c>
      <c r="AM4" s="59">
        <f t="shared" ref="AM4:AM67" si="5">AL4+(AD4+AE4)*44/12</f>
        <v>170.95309576809467</v>
      </c>
      <c r="AN4" s="59">
        <f ca="1">AVERAGE(OFFSET($AM$3,0,0,'Données projet'!$E$10+1,1))-AVERAGE(OFFSET($H$3,0,0,'Données projet'!$E$10+1,1))</f>
        <v>370.91255999489181</v>
      </c>
      <c r="AO4" s="59">
        <f>$AO$3</f>
        <v>196.07869248605735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2.4285714285714284</v>
      </c>
      <c r="BD4" s="12">
        <f>IF('Données projet'!$A$88&gt;35,BD3+BC4-BL3,IF(A4&lt;'Données projet'!$A$88,$BA$205^A4,IF(A4='Données projet'!$A$88,'Données projet'!$B$88,BD3+BC4-BL3)))</f>
        <v>1.2864453787827541</v>
      </c>
      <c r="BE4" s="13">
        <f>BD4*VLOOKUP('Données projet'!$B$11,Paramètres!$A$1:$I$89,3,0)*VLOOKUP('Données projet'!$B$11,Paramètres!$A$1:$I$89,5,0)</f>
        <v>1.3847298057217563</v>
      </c>
      <c r="BF4" s="13">
        <f>EXP(-1.0587+0.8836*LN(BE4)+0.284)</f>
        <v>0.61441557254661394</v>
      </c>
      <c r="BG4" s="20">
        <f t="shared" ref="BG4:BG67" si="7">(BE4+BF4)*0.475*44/12</f>
        <v>3.4818448671507451</v>
      </c>
      <c r="BH4" s="59">
        <f t="shared" ref="BH4:BH67" si="8">BG4+(AY4+AZ4)*44/12</f>
        <v>171.2942788200746</v>
      </c>
      <c r="BI4" s="59">
        <f ca="1">AVERAGE(OFFSET($BH$3,0,0,'Données projet'!$E$11+1,1))-AVERAGE(OFFSET($H$3,0,0,'Données projet'!$E$11+1,1))</f>
        <v>404.24955007425774</v>
      </c>
      <c r="BJ4" s="59">
        <f>$BJ$3</f>
        <v>211.49137630071019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2.4285714285714284</v>
      </c>
      <c r="BY4" s="12">
        <f>IF('Données projet'!$A$114&gt;35,BY3+BX4-CG3,IF(A4&lt;'Données projet'!$A$114,$BV$205^A4,IF(A4='Données projet'!$A$114,'Données projet'!$B$114,BY3+BX4-CG3)))</f>
        <v>1.2864453787827541</v>
      </c>
      <c r="BZ4" s="13">
        <f>BY4*VLOOKUP('Données projet'!$B$12,Paramètres!$A$1:$I$89,3,0)*VLOOKUP('Données projet'!$B$12,Paramètres!$A$1:$I$89,5,0)</f>
        <v>1.0034273954505482</v>
      </c>
      <c r="CA4" s="13">
        <f>EXP(-1.0587+0.8836*LN(BZ4)+0.284)</f>
        <v>0.46223737026414968</v>
      </c>
      <c r="CB4" s="20">
        <f t="shared" ref="CB4:CB67" si="10">(BZ4+CA4)*0.475*44/12</f>
        <v>2.5526994669530985</v>
      </c>
      <c r="CC4" s="59">
        <f t="shared" ref="CC4:CC67" si="11">CB4+(BT4+BU4)*44/12</f>
        <v>170.36513341987694</v>
      </c>
      <c r="CD4" s="59">
        <f ca="1">AVERAGE(OFFSET($CC$3,0,0,'Données projet'!$E$12+1,1))-AVERAGE(OFFSET($H$3,0,0,'Données projet'!$E$12+1,1))</f>
        <v>250.01410333089137</v>
      </c>
      <c r="CE4" s="59">
        <f>$CE$3</f>
        <v>169.55868564318885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ht="14.95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2.4285714285714284</v>
      </c>
      <c r="N5" s="13">
        <f>IF('Données projet'!$A$36&gt;35,N4+M5-V4,IF(A5&lt;'Données projet'!$A$36,$K$205^A5,IF(A5='Données projet'!$A$36,'Données projet'!$B$36,N4+M5-V4)))</f>
        <v>1.6549417125915038</v>
      </c>
      <c r="O5" s="13">
        <f>N5*VLOOKUP('Données projet'!$B$9,Paramètres!$A$1:$I$89,3,0)*VLOOKUP('Données projet'!$B$9,Paramètres!$A$1:$I$89,5,0)</f>
        <v>1.4973912615527925</v>
      </c>
      <c r="P5" s="13">
        <f t="shared" ref="P5:P68" si="33">EXP(-1.0587+0.8836*LN(O5)+0.284)</f>
        <v>0.65838257924960852</v>
      </c>
      <c r="Q5" s="20">
        <f t="shared" si="2"/>
        <v>3.7546394393975149</v>
      </c>
      <c r="R5" s="59">
        <f t="shared" si="0"/>
        <v>174.35192072689836</v>
      </c>
      <c r="S5" s="59">
        <f ca="1">AVERAGE(OFFSET($R$3,0,0,'Données projet'!$E$9+1,1))-AVERAGE(OFFSET($H$3,0,0,'Données projet'!$E$9+1,1))</f>
        <v>469.5773392354356</v>
      </c>
      <c r="T5" s="59">
        <f t="shared" ref="T5:T68" si="34">$T$3</f>
        <v>187.25344022835239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2.4285714285714284</v>
      </c>
      <c r="AI5" s="13">
        <f>IF('Données projet'!$A$62&gt;35,AI4+AH5-AQ4,IF(A5&lt;'Données projet'!$A$62,$AF$205^A5,IF(A5='Données projet'!$A$62,'Données projet'!$B$62,AI4+AH5-AQ4)))</f>
        <v>1.6549417125915038</v>
      </c>
      <c r="AJ5" s="13">
        <f>AI5*VLOOKUP('Données projet'!$B$10,Paramètres!$A$1:$I$89,3,0)*VLOOKUP('Données projet'!$B$10,Paramètres!$A$1:$I$89,5,0)</f>
        <v>1.6006596244185025</v>
      </c>
      <c r="AK5" s="13">
        <f t="shared" ref="AK5:AK68" si="35">EXP(-1.0587+0.8836*LN(AJ5)+0.284)</f>
        <v>0.69834600443552464</v>
      </c>
      <c r="AL5" s="20">
        <f t="shared" si="4"/>
        <v>4.0041014702540974</v>
      </c>
      <c r="AM5" s="59">
        <f t="shared" si="5"/>
        <v>174.60138275775492</v>
      </c>
      <c r="AN5" s="59">
        <f ca="1">AVERAGE(OFFSET($AM$3,0,0,'Données projet'!$E$10+1,1))-AVERAGE(OFFSET($H$3,0,0,'Données projet'!$E$10+1,1))</f>
        <v>370.91255999489181</v>
      </c>
      <c r="AO5" s="59">
        <f t="shared" ref="AO5:AO68" si="36">$AO$3</f>
        <v>196.07869248605735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2.4285714285714284</v>
      </c>
      <c r="BD5" s="12">
        <f>IF('Données projet'!$A$88&gt;35,BD4+BC5-BL4,IF(A5&lt;'Données projet'!$A$88,$BA$205^A5,IF(A5='Données projet'!$A$88,'Données projet'!$B$88,BD4+BC5-BL4)))</f>
        <v>1.6549417125915038</v>
      </c>
      <c r="BE5" s="13">
        <f>BD5*VLOOKUP('Données projet'!$B$11,Paramètres!$A$1:$I$89,3,0)*VLOOKUP('Données projet'!$B$11,Paramètres!$A$1:$I$89,5,0)</f>
        <v>1.7813792594334947</v>
      </c>
      <c r="BF5" s="13">
        <f t="shared" ref="BF5:BF68" si="37">EXP(-1.0587+0.8836*LN(BE5)+0.284)</f>
        <v>0.76757427738944872</v>
      </c>
      <c r="BG5" s="20">
        <f t="shared" si="7"/>
        <v>4.4394274099666262</v>
      </c>
      <c r="BH5" s="59">
        <f t="shared" si="8"/>
        <v>175.03670869746747</v>
      </c>
      <c r="BI5" s="59">
        <f ca="1">AVERAGE(OFFSET($BH$3,0,0,'Données projet'!$E$11+1,1))-AVERAGE(OFFSET($H$3,0,0,'Données projet'!$E$11+1,1))</f>
        <v>404.24955007425774</v>
      </c>
      <c r="BJ5" s="59">
        <f t="shared" ref="BJ5:BJ68" si="38">$BJ$3</f>
        <v>211.49137630071019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2.4285714285714284</v>
      </c>
      <c r="BY5" s="12">
        <f>IF('Données projet'!$A$114&gt;35,BY4+BX5-CG4,IF(A5&lt;'Données projet'!$A$114,$BV$205^A5,IF(A5='Données projet'!$A$114,'Données projet'!$B$114,BY4+BX5-CG4)))</f>
        <v>1.6549417125915038</v>
      </c>
      <c r="BZ5" s="13">
        <f>BY5*VLOOKUP('Données projet'!$B$12,Paramètres!$A$1:$I$89,3,0)*VLOOKUP('Données projet'!$B$12,Paramètres!$A$1:$I$89,5,0)</f>
        <v>1.290854535821373</v>
      </c>
      <c r="CA5" s="13">
        <f t="shared" ref="CA5:CA68" si="39">EXP(-1.0587+0.8836*LN(BZ5)+0.284)</f>
        <v>0.5774617885942106</v>
      </c>
      <c r="CB5" s="20">
        <f t="shared" si="10"/>
        <v>3.2539842650238082</v>
      </c>
      <c r="CC5" s="59">
        <f t="shared" si="11"/>
        <v>173.85126555252464</v>
      </c>
      <c r="CD5" s="59">
        <f ca="1">AVERAGE(OFFSET($CC$3,0,0,'Données projet'!$E$12+1,1))-AVERAGE(OFFSET($H$3,0,0,'Données projet'!$E$12+1,1))</f>
        <v>250.01410333089137</v>
      </c>
      <c r="CE5" s="59">
        <f t="shared" ref="CE5:CE68" si="40">$CE$3</f>
        <v>169.55868564318885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ht="14.95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2.4285714285714284</v>
      </c>
      <c r="N6" s="13">
        <f>IF('Données projet'!$A$36&gt;35,N5+M6-V5,IF(A6&lt;'Données projet'!$A$36,$K$205^A6,IF(A6='Données projet'!$A$36,'Données projet'!$B$36,N5+M6-V5)))</f>
        <v>2.1289921183181568</v>
      </c>
      <c r="O6" s="13">
        <f>N6*VLOOKUP('Données projet'!$B$9,Paramètres!$A$1:$I$89,3,0)*VLOOKUP('Données projet'!$B$9,Paramètres!$A$1:$I$89,5,0)</f>
        <v>1.9263120686542683</v>
      </c>
      <c r="P6" s="13">
        <f t="shared" si="33"/>
        <v>0.82250117850810112</v>
      </c>
      <c r="Q6" s="20">
        <f t="shared" si="2"/>
        <v>4.7875164054744594</v>
      </c>
      <c r="R6" s="59">
        <f t="shared" si="0"/>
        <v>178.14253697535935</v>
      </c>
      <c r="S6" s="59">
        <f ca="1">AVERAGE(OFFSET($R$3,0,0,'Données projet'!$E$9+1,1))-AVERAGE(OFFSET($H$3,0,0,'Données projet'!$E$9+1,1))</f>
        <v>469.5773392354356</v>
      </c>
      <c r="T6" s="59">
        <f t="shared" si="34"/>
        <v>187.25344022835239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2.4285714285714284</v>
      </c>
      <c r="AI6" s="13">
        <f>IF('Données projet'!$A$62&gt;35,AI5+AH6-AQ5,IF(A6&lt;'Données projet'!$A$62,$AF$205^A6,IF(A6='Données projet'!$A$62,'Données projet'!$B$62,AI5+AH6-AQ5)))</f>
        <v>2.1289921183181568</v>
      </c>
      <c r="AJ6" s="13">
        <f>AI6*VLOOKUP('Données projet'!$B$10,Paramètres!$A$1:$I$89,3,0)*VLOOKUP('Données projet'!$B$10,Paramètres!$A$1:$I$89,5,0)</f>
        <v>2.0591611768373212</v>
      </c>
      <c r="AK6" s="13">
        <f t="shared" si="35"/>
        <v>0.8724265036133001</v>
      </c>
      <c r="AL6" s="20">
        <f t="shared" si="4"/>
        <v>5.1058485434514997</v>
      </c>
      <c r="AM6" s="59">
        <f t="shared" si="5"/>
        <v>178.46086911333637</v>
      </c>
      <c r="AN6" s="59">
        <f ca="1">AVERAGE(OFFSET($AM$3,0,0,'Données projet'!$E$10+1,1))-AVERAGE(OFFSET($H$3,0,0,'Données projet'!$E$10+1,1))</f>
        <v>370.91255999489181</v>
      </c>
      <c r="AO6" s="59">
        <f t="shared" si="36"/>
        <v>196.07869248605735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2.4285714285714284</v>
      </c>
      <c r="BD6" s="12">
        <f>IF('Données projet'!$A$88&gt;35,BD5+BC6-BL5,IF(A6&lt;'Données projet'!$A$88,$BA$205^A6,IF(A6='Données projet'!$A$88,'Données projet'!$B$88,BD5+BC6-BL5)))</f>
        <v>2.1289921183181568</v>
      </c>
      <c r="BE6" s="13">
        <f>BD6*VLOOKUP('Données projet'!$B$11,Paramètres!$A$1:$I$89,3,0)*VLOOKUP('Données projet'!$B$11,Paramètres!$A$1:$I$89,5,0)</f>
        <v>2.2916471161576641</v>
      </c>
      <c r="BF6" s="13">
        <f t="shared" si="37"/>
        <v>0.95891168394049053</v>
      </c>
      <c r="BG6" s="20">
        <f t="shared" si="7"/>
        <v>5.6613899101709526</v>
      </c>
      <c r="BH6" s="59">
        <f t="shared" si="8"/>
        <v>179.01641048005584</v>
      </c>
      <c r="BI6" s="59">
        <f ca="1">AVERAGE(OFFSET($BH$3,0,0,'Données projet'!$E$11+1,1))-AVERAGE(OFFSET($H$3,0,0,'Données projet'!$E$11+1,1))</f>
        <v>404.24955007425774</v>
      </c>
      <c r="BJ6" s="59">
        <f t="shared" si="38"/>
        <v>211.49137630071019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2.4285714285714284</v>
      </c>
      <c r="BY6" s="12">
        <f>IF('Données projet'!$A$114&gt;35,BY5+BX6-CG5,IF(A6&lt;'Données projet'!$A$114,$BV$205^A6,IF(A6='Données projet'!$A$114,'Données projet'!$B$114,BY5+BX6-CG5)))</f>
        <v>2.1289921183181568</v>
      </c>
      <c r="BZ6" s="13">
        <f>BY6*VLOOKUP('Données projet'!$B$12,Paramètres!$A$1:$I$89,3,0)*VLOOKUP('Données projet'!$B$12,Paramètres!$A$1:$I$89,5,0)</f>
        <v>1.6606138522881624</v>
      </c>
      <c r="CA6" s="13">
        <f t="shared" si="39"/>
        <v>0.72140882312450172</v>
      </c>
      <c r="CB6" s="20">
        <f t="shared" si="10"/>
        <v>4.1486894930103899</v>
      </c>
      <c r="CC6" s="59">
        <f t="shared" si="11"/>
        <v>177.50371006289527</v>
      </c>
      <c r="CD6" s="59">
        <f ca="1">AVERAGE(OFFSET($CC$3,0,0,'Données projet'!$E$12+1,1))-AVERAGE(OFFSET($H$3,0,0,'Données projet'!$E$12+1,1))</f>
        <v>250.01410333089137</v>
      </c>
      <c r="CE6" s="59">
        <f t="shared" si="40"/>
        <v>169.55868564318885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ht="14.95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2.4285714285714284</v>
      </c>
      <c r="N7" s="13">
        <f>IF('Données projet'!$A$36&gt;35,N6+M7-V6,IF(A7&lt;'Données projet'!$A$36,$K$205^A7,IF(A7='Données projet'!$A$36,'Données projet'!$B$36,N6+M7-V6)))</f>
        <v>2.7388320720752994</v>
      </c>
      <c r="O7" s="13">
        <f>N7*VLOOKUP('Données projet'!$B$9,Paramètres!$A$1:$I$89,3,0)*VLOOKUP('Données projet'!$B$9,Paramètres!$A$1:$I$89,5,0)</f>
        <v>2.4780952588137306</v>
      </c>
      <c r="P7" s="13">
        <f t="shared" si="33"/>
        <v>1.0275305118465698</v>
      </c>
      <c r="Q7" s="20">
        <f t="shared" si="2"/>
        <v>6.1056315505666889</v>
      </c>
      <c r="R7" s="59">
        <f t="shared" si="0"/>
        <v>182.19175361474365</v>
      </c>
      <c r="S7" s="59">
        <f ca="1">AVERAGE(OFFSET($R$3,0,0,'Données projet'!$E$9+1,1))-AVERAGE(OFFSET($H$3,0,0,'Données projet'!$E$9+1,1))</f>
        <v>469.5773392354356</v>
      </c>
      <c r="T7" s="59">
        <f t="shared" si="34"/>
        <v>187.25344022835239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2.4285714285714284</v>
      </c>
      <c r="AI7" s="13">
        <f>IF('Données projet'!$A$62&gt;35,AI6+AH7-AQ6,IF(A7&lt;'Données projet'!$A$62,$AF$205^A7,IF(A7='Données projet'!$A$62,'Données projet'!$B$62,AI6+AH7-AQ6)))</f>
        <v>2.7388320720752994</v>
      </c>
      <c r="AJ7" s="13">
        <f>AI7*VLOOKUP('Données projet'!$B$10,Paramètres!$A$1:$I$89,3,0)*VLOOKUP('Données projet'!$B$10,Paramètres!$A$1:$I$89,5,0)</f>
        <v>2.6489983801112298</v>
      </c>
      <c r="AK7" s="13">
        <f t="shared" si="35"/>
        <v>1.089900993737553</v>
      </c>
      <c r="AL7" s="20">
        <f t="shared" si="4"/>
        <v>6.5119164094532964</v>
      </c>
      <c r="AM7" s="59">
        <f t="shared" si="5"/>
        <v>182.59803847363025</v>
      </c>
      <c r="AN7" s="59">
        <f ca="1">AVERAGE(OFFSET($AM$3,0,0,'Données projet'!$E$10+1,1))-AVERAGE(OFFSET($H$3,0,0,'Données projet'!$E$10+1,1))</f>
        <v>370.91255999489181</v>
      </c>
      <c r="AO7" s="59">
        <f t="shared" si="36"/>
        <v>196.07869248605735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2.4285714285714284</v>
      </c>
      <c r="BD7" s="12">
        <f>IF('Données projet'!$A$88&gt;35,BD6+BC7-BL6,IF(A7&lt;'Données projet'!$A$88,$BA$205^A7,IF(A7='Données projet'!$A$88,'Données projet'!$B$88,BD6+BC7-BL6)))</f>
        <v>2.7388320720752994</v>
      </c>
      <c r="BE7" s="13">
        <f>BD7*VLOOKUP('Données projet'!$B$11,Paramètres!$A$1:$I$89,3,0)*VLOOKUP('Données projet'!$B$11,Paramètres!$A$1:$I$89,5,0)</f>
        <v>2.948078842381852</v>
      </c>
      <c r="BF7" s="13">
        <f t="shared" si="37"/>
        <v>1.1979448044101786</v>
      </c>
      <c r="BG7" s="20">
        <f t="shared" si="7"/>
        <v>7.2209911848294537</v>
      </c>
      <c r="BH7" s="59">
        <f t="shared" si="8"/>
        <v>183.30711324900639</v>
      </c>
      <c r="BI7" s="59">
        <f ca="1">AVERAGE(OFFSET($BH$3,0,0,'Données projet'!$E$11+1,1))-AVERAGE(OFFSET($H$3,0,0,'Données projet'!$E$11+1,1))</f>
        <v>404.24955007425774</v>
      </c>
      <c r="BJ7" s="59">
        <f t="shared" si="38"/>
        <v>211.49137630071019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2.4285714285714284</v>
      </c>
      <c r="BY7" s="12">
        <f>IF('Données projet'!$A$114&gt;35,BY6+BX7-CG6,IF(A7&lt;'Données projet'!$A$114,$BV$205^A7,IF(A7='Données projet'!$A$114,'Données projet'!$B$114,BY6+BX7-CG6)))</f>
        <v>2.7388320720752994</v>
      </c>
      <c r="BZ7" s="13">
        <f>BY7*VLOOKUP('Données projet'!$B$12,Paramètres!$A$1:$I$89,3,0)*VLOOKUP('Données projet'!$B$12,Paramètres!$A$1:$I$89,5,0)</f>
        <v>2.1362890162187336</v>
      </c>
      <c r="CA7" s="13">
        <f t="shared" si="39"/>
        <v>0.90123831630285001</v>
      </c>
      <c r="CB7" s="20">
        <f t="shared" si="10"/>
        <v>5.2903601041417572</v>
      </c>
      <c r="CC7" s="59">
        <f t="shared" si="11"/>
        <v>181.37648216831872</v>
      </c>
      <c r="CD7" s="59">
        <f ca="1">AVERAGE(OFFSET($CC$3,0,0,'Données projet'!$E$12+1,1))-AVERAGE(OFFSET($H$3,0,0,'Données projet'!$E$12+1,1))</f>
        <v>250.01410333089137</v>
      </c>
      <c r="CE7" s="59">
        <f t="shared" si="40"/>
        <v>169.55868564318885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ht="14.95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2.4285714285714284</v>
      </c>
      <c r="N8" s="13">
        <f>IF('Données projet'!$A$36&gt;35,N7+M8-V7,IF(A8&lt;'Données projet'!$A$36,$K$205^A8,IF(A8='Données projet'!$A$36,'Données projet'!$B$36,N7+M8-V7)))</f>
        <v>3.5233578623832638</v>
      </c>
      <c r="O8" s="13">
        <f>N8*VLOOKUP('Données projet'!$B$9,Paramètres!$A$1:$I$89,3,0)*VLOOKUP('Données projet'!$B$9,Paramètres!$A$1:$I$89,5,0)</f>
        <v>3.1879341938843768</v>
      </c>
      <c r="P8" s="13">
        <f t="shared" si="33"/>
        <v>1.2836686200143539</v>
      </c>
      <c r="Q8" s="20">
        <f t="shared" si="2"/>
        <v>7.7880415675402892</v>
      </c>
      <c r="R8" s="59">
        <f t="shared" si="0"/>
        <v>186.57908944398764</v>
      </c>
      <c r="S8" s="59">
        <f ca="1">AVERAGE(OFFSET($R$3,0,0,'Données projet'!$E$9+1,1))-AVERAGE(OFFSET($H$3,0,0,'Données projet'!$E$9+1,1))</f>
        <v>469.5773392354356</v>
      </c>
      <c r="T8" s="59">
        <f t="shared" si="34"/>
        <v>187.25344022835239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2.4285714285714284</v>
      </c>
      <c r="AI8" s="13">
        <f>IF('Données projet'!$A$62&gt;35,AI7+AH8-AQ7,IF(A8&lt;'Données projet'!$A$62,$AF$205^A8,IF(A8='Données projet'!$A$62,'Données projet'!$B$62,AI7+AH8-AQ7)))</f>
        <v>3.5233578623832638</v>
      </c>
      <c r="AJ8" s="13">
        <f>AI8*VLOOKUP('Données projet'!$B$10,Paramètres!$A$1:$I$89,3,0)*VLOOKUP('Données projet'!$B$10,Paramètres!$A$1:$I$89,5,0)</f>
        <v>3.407791724497093</v>
      </c>
      <c r="AK8" s="13">
        <f t="shared" si="35"/>
        <v>1.3615865304759591</v>
      </c>
      <c r="AL8" s="20">
        <f t="shared" si="4"/>
        <v>8.3066671274113997</v>
      </c>
      <c r="AM8" s="59">
        <f t="shared" si="5"/>
        <v>187.09771500385875</v>
      </c>
      <c r="AN8" s="59">
        <f ca="1">AVERAGE(OFFSET($AM$3,0,0,'Données projet'!$E$10+1,1))-AVERAGE(OFFSET($H$3,0,0,'Données projet'!$E$10+1,1))</f>
        <v>370.91255999489181</v>
      </c>
      <c r="AO8" s="59">
        <f t="shared" si="36"/>
        <v>196.07869248605735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2.4285714285714284</v>
      </c>
      <c r="BD8" s="12">
        <f>IF('Données projet'!$A$88&gt;35,BD7+BC8-BL7,IF(A8&lt;'Données projet'!$A$88,$BA$205^A8,IF(A8='Données projet'!$A$88,'Données projet'!$B$88,BD7+BC8-BL7)))</f>
        <v>3.5233578623832638</v>
      </c>
      <c r="BE8" s="13">
        <f>BD8*VLOOKUP('Données projet'!$B$11,Paramètres!$A$1:$I$89,3,0)*VLOOKUP('Données projet'!$B$11,Paramètres!$A$1:$I$89,5,0)</f>
        <v>3.7925424030693451</v>
      </c>
      <c r="BF8" s="13">
        <f t="shared" si="37"/>
        <v>1.4965630083013992</v>
      </c>
      <c r="BG8" s="20">
        <f t="shared" si="7"/>
        <v>9.2118585914707136</v>
      </c>
      <c r="BH8" s="59">
        <f t="shared" si="8"/>
        <v>188.00290646791805</v>
      </c>
      <c r="BI8" s="59">
        <f ca="1">AVERAGE(OFFSET($BH$3,0,0,'Données projet'!$E$11+1,1))-AVERAGE(OFFSET($H$3,0,0,'Données projet'!$E$11+1,1))</f>
        <v>404.24955007425774</v>
      </c>
      <c r="BJ8" s="59">
        <f t="shared" si="38"/>
        <v>211.49137630071019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2.4285714285714284</v>
      </c>
      <c r="BY8" s="12">
        <f>IF('Données projet'!$A$114&gt;35,BY7+BX8-CG7,IF(A8&lt;'Données projet'!$A$114,$BV$205^A8,IF(A8='Données projet'!$A$114,'Données projet'!$B$114,BY7+BX8-CG7)))</f>
        <v>3.5233578623832638</v>
      </c>
      <c r="BZ8" s="13">
        <f>BY8*VLOOKUP('Données projet'!$B$12,Paramètres!$A$1:$I$89,3,0)*VLOOKUP('Données projet'!$B$12,Paramètres!$A$1:$I$89,5,0)</f>
        <v>2.7482191326589458</v>
      </c>
      <c r="CA8" s="13">
        <f t="shared" si="39"/>
        <v>1.1258948833679845</v>
      </c>
      <c r="CB8" s="20">
        <f t="shared" si="10"/>
        <v>6.7474152445802362</v>
      </c>
      <c r="CC8" s="59">
        <f t="shared" si="11"/>
        <v>185.53846312102758</v>
      </c>
      <c r="CD8" s="59">
        <f ca="1">AVERAGE(OFFSET($CC$3,0,0,'Données projet'!$E$12+1,1))-AVERAGE(OFFSET($H$3,0,0,'Données projet'!$E$12+1,1))</f>
        <v>250.01410333089137</v>
      </c>
      <c r="CE8" s="59">
        <f t="shared" si="40"/>
        <v>169.55868564318885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ht="14.95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2.4285714285714284</v>
      </c>
      <c r="N9" s="13">
        <f>IF('Données projet'!$A$36&gt;35,N8+M9-V8,IF(A9&lt;'Données projet'!$A$36,$K$205^A9,IF(A9='Données projet'!$A$36,'Données projet'!$B$36,N8+M9-V8)))</f>
        <v>4.5326074398608327</v>
      </c>
      <c r="O9" s="13">
        <f>N9*VLOOKUP('Données projet'!$B$9,Paramètres!$A$1:$I$89,3,0)*VLOOKUP('Données projet'!$B$9,Paramètres!$A$1:$I$89,5,0)</f>
        <v>4.1011032115860813</v>
      </c>
      <c r="P9" s="13">
        <f t="shared" si="33"/>
        <v>1.6036556647337834</v>
      </c>
      <c r="Q9" s="20">
        <f t="shared" si="2"/>
        <v>9.9357883762570971</v>
      </c>
      <c r="R9" s="59">
        <f t="shared" si="0"/>
        <v>191.40604047251608</v>
      </c>
      <c r="S9" s="59">
        <f ca="1">AVERAGE(OFFSET($R$3,0,0,'Données projet'!$E$9+1,1))-AVERAGE(OFFSET($H$3,0,0,'Données projet'!$E$9+1,1))</f>
        <v>469.5773392354356</v>
      </c>
      <c r="T9" s="59">
        <f t="shared" si="34"/>
        <v>187.25344022835239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2.4285714285714284</v>
      </c>
      <c r="AI9" s="13">
        <f>IF('Données projet'!$A$62&gt;35,AI8+AH9-AQ8,IF(A9&lt;'Données projet'!$A$62,$AF$205^A9,IF(A9='Données projet'!$A$62,'Données projet'!$B$62,AI8+AH9-AQ8)))</f>
        <v>4.5326074398608327</v>
      </c>
      <c r="AJ9" s="13">
        <f>AI9*VLOOKUP('Données projet'!$B$10,Paramètres!$A$1:$I$89,3,0)*VLOOKUP('Données projet'!$B$10,Paramètres!$A$1:$I$89,5,0)</f>
        <v>4.3839379158333971</v>
      </c>
      <c r="AK9" s="13">
        <f t="shared" si="35"/>
        <v>1.7009965956779203</v>
      </c>
      <c r="AL9" s="20">
        <f t="shared" si="4"/>
        <v>10.597927607548877</v>
      </c>
      <c r="AM9" s="59">
        <f t="shared" si="5"/>
        <v>192.06817970380786</v>
      </c>
      <c r="AN9" s="59">
        <f ca="1">AVERAGE(OFFSET($AM$3,0,0,'Données projet'!$E$10+1,1))-AVERAGE(OFFSET($H$3,0,0,'Données projet'!$E$10+1,1))</f>
        <v>370.91255999489181</v>
      </c>
      <c r="AO9" s="59">
        <f t="shared" si="36"/>
        <v>196.07869248605735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2.4285714285714284</v>
      </c>
      <c r="BD9" s="12">
        <f>IF('Données projet'!$A$88&gt;35,BD8+BC9-BL8,IF(A9&lt;'Données projet'!$A$88,$BA$205^A9,IF(A9='Données projet'!$A$88,'Données projet'!$B$88,BD8+BC9-BL8)))</f>
        <v>4.5326074398608327</v>
      </c>
      <c r="BE9" s="13">
        <f>BD9*VLOOKUP('Données projet'!$B$11,Paramètres!$A$1:$I$89,3,0)*VLOOKUP('Données projet'!$B$11,Paramètres!$A$1:$I$89,5,0)</f>
        <v>4.8788986482662002</v>
      </c>
      <c r="BF9" s="13">
        <f t="shared" si="37"/>
        <v>1.8696193927890321</v>
      </c>
      <c r="BG9" s="20">
        <f t="shared" si="7"/>
        <v>11.753668921504529</v>
      </c>
      <c r="BH9" s="59">
        <f t="shared" si="8"/>
        <v>193.2239210177635</v>
      </c>
      <c r="BI9" s="59">
        <f ca="1">AVERAGE(OFFSET($BH$3,0,0,'Données projet'!$E$11+1,1))-AVERAGE(OFFSET($H$3,0,0,'Données projet'!$E$11+1,1))</f>
        <v>404.24955007425774</v>
      </c>
      <c r="BJ9" s="59">
        <f t="shared" si="38"/>
        <v>211.49137630071019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2.4285714285714284</v>
      </c>
      <c r="BY9" s="12">
        <f>IF('Données projet'!$A$114&gt;35,BY8+BX9-CG8,IF(A9&lt;'Données projet'!$A$114,$BV$205^A9,IF(A9='Données projet'!$A$114,'Données projet'!$B$114,BY8+BX9-CG8)))</f>
        <v>4.5326074398608327</v>
      </c>
      <c r="BZ9" s="13">
        <f>BY9*VLOOKUP('Données projet'!$B$12,Paramètres!$A$1:$I$89,3,0)*VLOOKUP('Données projet'!$B$12,Paramètres!$A$1:$I$89,5,0)</f>
        <v>3.5354338030914496</v>
      </c>
      <c r="CA9" s="13">
        <f t="shared" si="39"/>
        <v>1.406552812350949</v>
      </c>
      <c r="CB9" s="20">
        <f t="shared" si="10"/>
        <v>8.6072933552288422</v>
      </c>
      <c r="CC9" s="59">
        <f t="shared" si="11"/>
        <v>190.07754545148782</v>
      </c>
      <c r="CD9" s="59">
        <f ca="1">AVERAGE(OFFSET($CC$3,0,0,'Données projet'!$E$12+1,1))-AVERAGE(OFFSET($H$3,0,0,'Données projet'!$E$12+1,1))</f>
        <v>250.01410333089137</v>
      </c>
      <c r="CE9" s="59">
        <f t="shared" si="40"/>
        <v>169.55868564318885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ht="14.95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2.4285714285714284</v>
      </c>
      <c r="N10" s="13">
        <f>IF('Données projet'!$A$36&gt;35,N9+M10-V9,IF(A10&lt;'Données projet'!$A$36,$K$205^A10,IF(A10='Données projet'!$A$36,'Données projet'!$B$36,N9+M10-V9)))</f>
        <v>5.8309518948452981</v>
      </c>
      <c r="O10" s="13">
        <f>N10*VLOOKUP('Données projet'!$B$9,Paramètres!$A$1:$I$89,3,0)*VLOOKUP('Données projet'!$B$9,Paramètres!$A$1:$I$89,5,0)</f>
        <v>5.2758452744560254</v>
      </c>
      <c r="P10" s="13">
        <f t="shared" si="33"/>
        <v>2.0034076169938593</v>
      </c>
      <c r="Q10" s="20">
        <f t="shared" si="2"/>
        <v>12.678032119275214</v>
      </c>
      <c r="R10" s="59">
        <f t="shared" si="0"/>
        <v>196.80221305501144</v>
      </c>
      <c r="S10" s="59">
        <f ca="1">AVERAGE(OFFSET($R$3,0,0,'Données projet'!$E$9+1,1))-AVERAGE(OFFSET($H$3,0,0,'Données projet'!$E$9+1,1))</f>
        <v>469.5773392354356</v>
      </c>
      <c r="T10" s="59">
        <f t="shared" si="34"/>
        <v>187.25344022835239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2.4285714285714284</v>
      </c>
      <c r="AI10" s="13">
        <f>IF('Données projet'!$A$62&gt;35,AI9+AH10-AQ9,IF(A10&lt;'Données projet'!$A$62,$AF$205^A10,IF(A10='Données projet'!$A$62,'Données projet'!$B$62,AI9+AH10-AQ9)))</f>
        <v>5.8309518948452981</v>
      </c>
      <c r="AJ10" s="13">
        <f>AI10*VLOOKUP('Données projet'!$B$10,Paramètres!$A$1:$I$89,3,0)*VLOOKUP('Données projet'!$B$10,Paramètres!$A$1:$I$89,5,0)</f>
        <v>5.639696672694372</v>
      </c>
      <c r="AK10" s="13">
        <f t="shared" si="35"/>
        <v>2.1250132501651988</v>
      </c>
      <c r="AL10" s="20">
        <f t="shared" si="4"/>
        <v>13.523536448980417</v>
      </c>
      <c r="AM10" s="59">
        <f t="shared" si="5"/>
        <v>197.64771738471666</v>
      </c>
      <c r="AN10" s="59">
        <f ca="1">AVERAGE(OFFSET($AM$3,0,0,'Données projet'!$E$10+1,1))-AVERAGE(OFFSET($H$3,0,0,'Données projet'!$E$10+1,1))</f>
        <v>370.91255999489181</v>
      </c>
      <c r="AO10" s="59">
        <f t="shared" si="36"/>
        <v>196.07869248605735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2.4285714285714284</v>
      </c>
      <c r="BD10" s="12">
        <f>IF('Données projet'!$A$88&gt;35,BD9+BC10-BL9,IF(A10&lt;'Données projet'!$A$88,$BA$205^A10,IF(A10='Données projet'!$A$88,'Données projet'!$B$88,BD9+BC10-BL9)))</f>
        <v>5.8309518948452981</v>
      </c>
      <c r="BE10" s="13">
        <f>BD10*VLOOKUP('Données projet'!$B$11,Paramètres!$A$1:$I$89,3,0)*VLOOKUP('Données projet'!$B$11,Paramètres!$A$1:$I$89,5,0)</f>
        <v>6.276436619611478</v>
      </c>
      <c r="BF10" s="13">
        <f t="shared" si="37"/>
        <v>2.3356695672039884</v>
      </c>
      <c r="BG10" s="20">
        <f t="shared" si="7"/>
        <v>14.999418275370273</v>
      </c>
      <c r="BH10" s="59">
        <f t="shared" si="8"/>
        <v>199.12359921110649</v>
      </c>
      <c r="BI10" s="59">
        <f ca="1">AVERAGE(OFFSET($BH$3,0,0,'Données projet'!$E$11+1,1))-AVERAGE(OFFSET($H$3,0,0,'Données projet'!$E$11+1,1))</f>
        <v>404.24955007425774</v>
      </c>
      <c r="BJ10" s="59">
        <f t="shared" si="38"/>
        <v>211.49137630071019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2.4285714285714284</v>
      </c>
      <c r="BY10" s="12">
        <f>IF('Données projet'!$A$114&gt;35,BY9+BX10-CG9,IF(A10&lt;'Données projet'!$A$114,$BV$205^A10,IF(A10='Données projet'!$A$114,'Données projet'!$B$114,BY9+BX10-CG9)))</f>
        <v>5.8309518948452981</v>
      </c>
      <c r="BZ10" s="13">
        <f>BY10*VLOOKUP('Données projet'!$B$12,Paramètres!$A$1:$I$89,3,0)*VLOOKUP('Données projet'!$B$12,Paramètres!$A$1:$I$89,5,0)</f>
        <v>4.5481424779793329</v>
      </c>
      <c r="CA10" s="13">
        <f t="shared" si="39"/>
        <v>1.7571718667147997</v>
      </c>
      <c r="CB10" s="20">
        <f t="shared" si="10"/>
        <v>10.981755817008947</v>
      </c>
      <c r="CC10" s="59">
        <f t="shared" si="11"/>
        <v>195.10593675274518</v>
      </c>
      <c r="CD10" s="59">
        <f ca="1">AVERAGE(OFFSET($CC$3,0,0,'Données projet'!$E$12+1,1))-AVERAGE(OFFSET($H$3,0,0,'Données projet'!$E$12+1,1))</f>
        <v>250.01410333089137</v>
      </c>
      <c r="CE10" s="59">
        <f t="shared" si="40"/>
        <v>169.55868564318885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ht="14.95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2.4285714285714284</v>
      </c>
      <c r="N11" s="13">
        <f>IF('Données projet'!$A$36&gt;35,N10+M11-V10,IF(A11&lt;'Données projet'!$A$36,$K$205^A11,IF(A11='Données projet'!$A$36,'Données projet'!$B$36,N10+M11-V10)))</f>
        <v>7.5012011190282779</v>
      </c>
      <c r="O11" s="13">
        <f>N11*VLOOKUP('Données projet'!$B$9,Paramètres!$A$1:$I$89,3,0)*VLOOKUP('Données projet'!$B$9,Paramètres!$A$1:$I$89,5,0)</f>
        <v>6.7870867724967852</v>
      </c>
      <c r="P11" s="13">
        <f t="shared" si="33"/>
        <v>2.5028079082645855</v>
      </c>
      <c r="Q11" s="20">
        <f t="shared" si="2"/>
        <v>16.179899902326053</v>
      </c>
      <c r="R11" s="59">
        <f t="shared" si="0"/>
        <v>202.9331727685466</v>
      </c>
      <c r="S11" s="59">
        <f ca="1">AVERAGE(OFFSET($R$3,0,0,'Données projet'!$E$9+1,1))-AVERAGE(OFFSET($H$3,0,0,'Données projet'!$E$9+1,1))</f>
        <v>469.5773392354356</v>
      </c>
      <c r="T11" s="59">
        <f t="shared" si="34"/>
        <v>187.25344022835239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2.4285714285714284</v>
      </c>
      <c r="AI11" s="13">
        <f>IF('Données projet'!$A$62&gt;35,AI10+AH11-AQ10,IF(A11&lt;'Données projet'!$A$62,$AF$205^A11,IF(A11='Données projet'!$A$62,'Données projet'!$B$62,AI10+AH11-AQ10)))</f>
        <v>7.5012011190282779</v>
      </c>
      <c r="AJ11" s="13">
        <f>AI11*VLOOKUP('Données projet'!$B$10,Paramètres!$A$1:$I$89,3,0)*VLOOKUP('Données projet'!$B$10,Paramètres!$A$1:$I$89,5,0)</f>
        <v>7.25516172232415</v>
      </c>
      <c r="AK11" s="13">
        <f t="shared" si="35"/>
        <v>2.65472683769715</v>
      </c>
      <c r="AL11" s="20">
        <f t="shared" si="4"/>
        <v>17.259722575370432</v>
      </c>
      <c r="AM11" s="59">
        <f t="shared" si="5"/>
        <v>204.01299544159099</v>
      </c>
      <c r="AN11" s="59">
        <f ca="1">AVERAGE(OFFSET($AM$3,0,0,'Données projet'!$E$10+1,1))-AVERAGE(OFFSET($H$3,0,0,'Données projet'!$E$10+1,1))</f>
        <v>370.91255999489181</v>
      </c>
      <c r="AO11" s="59">
        <f t="shared" si="36"/>
        <v>196.07869248605735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2.4285714285714284</v>
      </c>
      <c r="BD11" s="12">
        <f>IF('Données projet'!$A$88&gt;35,BD10+BC11-BL10,IF(A11&lt;'Données projet'!$A$88,$BA$205^A11,IF(A11='Données projet'!$A$88,'Données projet'!$B$88,BD10+BC11-BL10)))</f>
        <v>7.5012011190282779</v>
      </c>
      <c r="BE11" s="13">
        <f>BD11*VLOOKUP('Données projet'!$B$11,Paramètres!$A$1:$I$89,3,0)*VLOOKUP('Données projet'!$B$11,Paramètres!$A$1:$I$89,5,0)</f>
        <v>8.0742928845220376</v>
      </c>
      <c r="BF11" s="13">
        <f t="shared" si="37"/>
        <v>2.9178945983357432</v>
      </c>
      <c r="BG11" s="20">
        <f t="shared" si="7"/>
        <v>19.144726532643968</v>
      </c>
      <c r="BH11" s="59">
        <f t="shared" si="8"/>
        <v>205.89799939886453</v>
      </c>
      <c r="BI11" s="59">
        <f ca="1">AVERAGE(OFFSET($BH$3,0,0,'Données projet'!$E$11+1,1))-AVERAGE(OFFSET($H$3,0,0,'Données projet'!$E$11+1,1))</f>
        <v>404.24955007425774</v>
      </c>
      <c r="BJ11" s="59">
        <f t="shared" si="38"/>
        <v>211.49137630071019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2.4285714285714284</v>
      </c>
      <c r="BY11" s="12">
        <f>IF('Données projet'!$A$114&gt;35,BY10+BX11-CG10,IF(A11&lt;'Données projet'!$A$114,$BV$205^A11,IF(A11='Données projet'!$A$114,'Données projet'!$B$114,BY10+BX11-CG10)))</f>
        <v>7.5012011190282779</v>
      </c>
      <c r="BZ11" s="13">
        <f>BY11*VLOOKUP('Données projet'!$B$12,Paramètres!$A$1:$I$89,3,0)*VLOOKUP('Données projet'!$B$12,Paramètres!$A$1:$I$89,5,0)</f>
        <v>5.8509368728420572</v>
      </c>
      <c r="CA11" s="13">
        <f t="shared" si="39"/>
        <v>2.195191635935227</v>
      </c>
      <c r="CB11" s="20">
        <f t="shared" si="10"/>
        <v>14.01367381945377</v>
      </c>
      <c r="CC11" s="59">
        <f t="shared" si="11"/>
        <v>200.76694668567433</v>
      </c>
      <c r="CD11" s="59">
        <f ca="1">AVERAGE(OFFSET($CC$3,0,0,'Données projet'!$E$12+1,1))-AVERAGE(OFFSET($H$3,0,0,'Données projet'!$E$12+1,1))</f>
        <v>250.01410333089137</v>
      </c>
      <c r="CE11" s="59">
        <f t="shared" si="40"/>
        <v>169.55868564318885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ht="14.95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2.4285714285714284</v>
      </c>
      <c r="N12" s="13">
        <f>IF('Données projet'!$A$36&gt;35,N11+M12-V11,IF(A12&lt;'Données projet'!$A$36,$K$205^A12,IF(A12='Données projet'!$A$36,'Données projet'!$B$36,N11+M12-V11)))</f>
        <v>9.6498855148939526</v>
      </c>
      <c r="O12" s="13">
        <f>N12*VLOOKUP('Données projet'!$B$9,Paramètres!$A$1:$I$89,3,0)*VLOOKUP('Données projet'!$B$9,Paramètres!$A$1:$I$89,5,0)</f>
        <v>8.731216413876048</v>
      </c>
      <c r="P12" s="13">
        <f t="shared" si="33"/>
        <v>3.1266964209066157</v>
      </c>
      <c r="Q12" s="20">
        <f t="shared" si="2"/>
        <v>20.652531520579803</v>
      </c>
      <c r="R12" s="59">
        <f t="shared" si="0"/>
        <v>210.01049027313587</v>
      </c>
      <c r="S12" s="59">
        <f ca="1">AVERAGE(OFFSET($R$3,0,0,'Données projet'!$E$9+1,1))-AVERAGE(OFFSET($H$3,0,0,'Données projet'!$E$9+1,1))</f>
        <v>469.5773392354356</v>
      </c>
      <c r="T12" s="59">
        <f t="shared" si="34"/>
        <v>187.25344022835239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2.4285714285714284</v>
      </c>
      <c r="AI12" s="13">
        <f>IF('Données projet'!$A$62&gt;35,AI11+AH12-AQ11,IF(A12&lt;'Données projet'!$A$62,$AF$205^A12,IF(A12='Données projet'!$A$62,'Données projet'!$B$62,AI11+AH12-AQ11)))</f>
        <v>9.6498855148939526</v>
      </c>
      <c r="AJ12" s="13">
        <f>AI12*VLOOKUP('Données projet'!$B$10,Paramètres!$A$1:$I$89,3,0)*VLOOKUP('Données projet'!$B$10,Paramètres!$A$1:$I$89,5,0)</f>
        <v>9.3333692700054325</v>
      </c>
      <c r="AK12" s="13">
        <f t="shared" si="35"/>
        <v>3.3164850065013152</v>
      </c>
      <c r="AL12" s="20">
        <f t="shared" si="4"/>
        <v>22.031829531582584</v>
      </c>
      <c r="AM12" s="59">
        <f t="shared" si="5"/>
        <v>211.38978828413866</v>
      </c>
      <c r="AN12" s="59">
        <f ca="1">AVERAGE(OFFSET($AM$3,0,0,'Données projet'!$E$10+1,1))-AVERAGE(OFFSET($H$3,0,0,'Données projet'!$E$10+1,1))</f>
        <v>370.91255999489181</v>
      </c>
      <c r="AO12" s="59">
        <f t="shared" si="36"/>
        <v>196.07869248605735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2.4285714285714284</v>
      </c>
      <c r="BD12" s="12">
        <f>IF('Données projet'!$A$88&gt;35,BD11+BC12-BL11,IF(A12&lt;'Données projet'!$A$88,$BA$205^A12,IF(A12='Données projet'!$A$88,'Données projet'!$B$88,BD11+BC12-BL11)))</f>
        <v>9.6498855148939526</v>
      </c>
      <c r="BE12" s="13">
        <f>BD12*VLOOKUP('Données projet'!$B$11,Paramètres!$A$1:$I$89,3,0)*VLOOKUP('Données projet'!$B$11,Paramètres!$A$1:$I$89,5,0)</f>
        <v>10.38713676823185</v>
      </c>
      <c r="BF12" s="13">
        <f t="shared" si="37"/>
        <v>3.6452540233202075</v>
      </c>
      <c r="BG12" s="20">
        <f t="shared" si="7"/>
        <v>24.439747295286498</v>
      </c>
      <c r="BH12" s="59">
        <f t="shared" si="8"/>
        <v>213.79770604784258</v>
      </c>
      <c r="BI12" s="59">
        <f ca="1">AVERAGE(OFFSET($BH$3,0,0,'Données projet'!$E$11+1,1))-AVERAGE(OFFSET($H$3,0,0,'Données projet'!$E$11+1,1))</f>
        <v>404.24955007425774</v>
      </c>
      <c r="BJ12" s="59">
        <f t="shared" si="38"/>
        <v>211.49137630071019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2.4285714285714284</v>
      </c>
      <c r="BY12" s="12">
        <f>IF('Données projet'!$A$114&gt;35,BY11+BX12-CG11,IF(A12&lt;'Données projet'!$A$114,$BV$205^A12,IF(A12='Données projet'!$A$114,'Données projet'!$B$114,BY11+BX12-CG11)))</f>
        <v>9.6498855148939526</v>
      </c>
      <c r="BZ12" s="13">
        <f>BY12*VLOOKUP('Données projet'!$B$12,Paramètres!$A$1:$I$89,3,0)*VLOOKUP('Données projet'!$B$12,Paramètres!$A$1:$I$89,5,0)</f>
        <v>7.5269107016172834</v>
      </c>
      <c r="CA12" s="13">
        <f t="shared" si="39"/>
        <v>2.7423989706193681</v>
      </c>
      <c r="CB12" s="20">
        <f t="shared" si="10"/>
        <v>17.885714345812168</v>
      </c>
      <c r="CC12" s="59">
        <f t="shared" si="11"/>
        <v>207.24367309836825</v>
      </c>
      <c r="CD12" s="59">
        <f ca="1">AVERAGE(OFFSET($CC$3,0,0,'Données projet'!$E$12+1,1))-AVERAGE(OFFSET($H$3,0,0,'Données projet'!$E$12+1,1))</f>
        <v>250.01410333089137</v>
      </c>
      <c r="CE12" s="59">
        <f t="shared" si="40"/>
        <v>169.55868564318885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ht="14.95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2.4285714285714284</v>
      </c>
      <c r="N13" s="13">
        <f>IF('Données projet'!$A$36&gt;35,N12+M13-V12,IF(A13&lt;'Données projet'!$A$36,$K$205^A13,IF(A13='Données projet'!$A$36,'Données projet'!$B$36,N12+M13-V12)))</f>
        <v>12.414050626417962</v>
      </c>
      <c r="O13" s="13">
        <f>N13*VLOOKUP('Données projet'!$B$9,Paramètres!$A$1:$I$89,3,0)*VLOOKUP('Données projet'!$B$9,Paramètres!$A$1:$I$89,5,0)</f>
        <v>11.232233006782973</v>
      </c>
      <c r="P13" s="13">
        <f t="shared" si="33"/>
        <v>3.9061050095885901</v>
      </c>
      <c r="Q13" s="20">
        <f t="shared" si="2"/>
        <v>26.365938711847136</v>
      </c>
      <c r="R13" s="59">
        <f t="shared" si="0"/>
        <v>218.30460069689201</v>
      </c>
      <c r="S13" s="59">
        <f ca="1">AVERAGE(OFFSET($R$3,0,0,'Données projet'!$E$9+1,1))-AVERAGE(OFFSET($H$3,0,0,'Données projet'!$E$9+1,1))</f>
        <v>469.5773392354356</v>
      </c>
      <c r="T13" s="59">
        <f t="shared" si="34"/>
        <v>187.25344022835239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2.4285714285714284</v>
      </c>
      <c r="AI13" s="13">
        <f>IF('Données projet'!$A$62&gt;35,AI12+AH13-AQ12,IF(A13&lt;'Données projet'!$A$62,$AF$205^A13,IF(A13='Données projet'!$A$62,'Données projet'!$B$62,AI12+AH13-AQ12)))</f>
        <v>12.414050626417962</v>
      </c>
      <c r="AJ13" s="13">
        <f>AI13*VLOOKUP('Données projet'!$B$10,Paramètres!$A$1:$I$89,3,0)*VLOOKUP('Données projet'!$B$10,Paramètres!$A$1:$I$89,5,0)</f>
        <v>12.006869765871453</v>
      </c>
      <c r="AK13" s="13">
        <f t="shared" si="35"/>
        <v>4.1432032260950793</v>
      </c>
      <c r="AL13" s="20">
        <f t="shared" si="4"/>
        <v>28.128043794341707</v>
      </c>
      <c r="AM13" s="59">
        <f t="shared" si="5"/>
        <v>220.06670577938661</v>
      </c>
      <c r="AN13" s="59">
        <f ca="1">AVERAGE(OFFSET($AM$3,0,0,'Données projet'!$E$10+1,1))-AVERAGE(OFFSET($H$3,0,0,'Données projet'!$E$10+1,1))</f>
        <v>370.91255999489181</v>
      </c>
      <c r="AO13" s="59">
        <f t="shared" si="36"/>
        <v>196.07869248605735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2.4285714285714284</v>
      </c>
      <c r="BD13" s="12">
        <f>IF('Données projet'!$A$88&gt;35,BD12+BC13-BL12,IF(A13&lt;'Données projet'!$A$88,$BA$205^A13,IF(A13='Données projet'!$A$88,'Données projet'!$B$88,BD12+BC13-BL12)))</f>
        <v>12.414050626417962</v>
      </c>
      <c r="BE13" s="13">
        <f>BD13*VLOOKUP('Données projet'!$B$11,Paramètres!$A$1:$I$89,3,0)*VLOOKUP('Données projet'!$B$11,Paramètres!$A$1:$I$89,5,0)</f>
        <v>13.362484094276294</v>
      </c>
      <c r="BF13" s="13">
        <f t="shared" si="37"/>
        <v>4.553926280308775</v>
      </c>
      <c r="BG13" s="20">
        <f t="shared" si="7"/>
        <v>31.204414735735657</v>
      </c>
      <c r="BH13" s="59">
        <f t="shared" si="8"/>
        <v>223.14307672078056</v>
      </c>
      <c r="BI13" s="59">
        <f ca="1">AVERAGE(OFFSET($BH$3,0,0,'Données projet'!$E$11+1,1))-AVERAGE(OFFSET($H$3,0,0,'Données projet'!$E$11+1,1))</f>
        <v>404.24955007425774</v>
      </c>
      <c r="BJ13" s="59">
        <f t="shared" si="38"/>
        <v>211.49137630071019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2.4285714285714284</v>
      </c>
      <c r="BY13" s="12">
        <f>IF('Données projet'!$A$114&gt;35,BY12+BX13-CG12,IF(A13&lt;'Données projet'!$A$114,$BV$205^A13,IF(A13='Données projet'!$A$114,'Données projet'!$B$114,BY12+BX13-CG12)))</f>
        <v>12.414050626417962</v>
      </c>
      <c r="BZ13" s="13">
        <f>BY13*VLOOKUP('Données projet'!$B$12,Paramètres!$A$1:$I$89,3,0)*VLOOKUP('Données projet'!$B$12,Paramètres!$A$1:$I$89,5,0)</f>
        <v>9.6829594886060111</v>
      </c>
      <c r="CA13" s="13">
        <f t="shared" si="39"/>
        <v>3.4260116478851601</v>
      </c>
      <c r="CB13" s="20">
        <f t="shared" si="10"/>
        <v>22.83145806272212</v>
      </c>
      <c r="CC13" s="59">
        <f t="shared" si="11"/>
        <v>214.77012004776702</v>
      </c>
      <c r="CD13" s="59">
        <f ca="1">AVERAGE(OFFSET($CC$3,0,0,'Données projet'!$E$12+1,1))-AVERAGE(OFFSET($H$3,0,0,'Données projet'!$E$12+1,1))</f>
        <v>250.01410333089137</v>
      </c>
      <c r="CE13" s="59">
        <f t="shared" si="40"/>
        <v>169.55868564318885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ht="14.95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2.4285714285714284</v>
      </c>
      <c r="N14" s="13">
        <f>IF('Données projet'!$A$36&gt;35,N13+M14-V13,IF(A14&lt;'Données projet'!$A$36,$K$205^A14,IF(A14='Données projet'!$A$36,'Données projet'!$B$36,N13+M14-V13)))</f>
        <v>15.969998060330541</v>
      </c>
      <c r="O14" s="13">
        <f>N14*VLOOKUP('Données projet'!$B$9,Paramètres!$A$1:$I$89,3,0)*VLOOKUP('Données projet'!$B$9,Paramètres!$A$1:$I$89,5,0)</f>
        <v>14.449654244987073</v>
      </c>
      <c r="P14" s="13">
        <f t="shared" si="33"/>
        <v>4.8798010078346445</v>
      </c>
      <c r="Q14" s="20">
        <f t="shared" si="2"/>
        <v>33.665467898664488</v>
      </c>
      <c r="R14" s="59">
        <f t="shared" si="0"/>
        <v>228.16126650777863</v>
      </c>
      <c r="S14" s="59">
        <f ca="1">AVERAGE(OFFSET($R$3,0,0,'Données projet'!$E$9+1,1))-AVERAGE(OFFSET($H$3,0,0,'Données projet'!$E$9+1,1))</f>
        <v>469.5773392354356</v>
      </c>
      <c r="T14" s="59">
        <f t="shared" si="34"/>
        <v>187.25344022835239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2.4285714285714284</v>
      </c>
      <c r="AI14" s="13">
        <f>IF('Données projet'!$A$62&gt;35,AI13+AH14-AQ13,IF(A14&lt;'Données projet'!$A$62,$AF$205^A14,IF(A14='Données projet'!$A$62,'Données projet'!$B$62,AI13+AH14-AQ13)))</f>
        <v>15.969998060330541</v>
      </c>
      <c r="AJ14" s="13">
        <f>AI14*VLOOKUP('Données projet'!$B$10,Paramètres!$A$1:$I$89,3,0)*VLOOKUP('Données projet'!$B$10,Paramètres!$A$1:$I$89,5,0)</f>
        <v>15.446182123951699</v>
      </c>
      <c r="AK14" s="13">
        <f t="shared" si="35"/>
        <v>5.1760019837490185</v>
      </c>
      <c r="AL14" s="20">
        <f t="shared" si="4"/>
        <v>35.916970654245418</v>
      </c>
      <c r="AM14" s="59">
        <f t="shared" si="5"/>
        <v>230.41276926335956</v>
      </c>
      <c r="AN14" s="59">
        <f ca="1">AVERAGE(OFFSET($AM$3,0,0,'Données projet'!$E$10+1,1))-AVERAGE(OFFSET($H$3,0,0,'Données projet'!$E$10+1,1))</f>
        <v>370.91255999489181</v>
      </c>
      <c r="AO14" s="59">
        <f t="shared" si="36"/>
        <v>196.07869248605735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2.4285714285714284</v>
      </c>
      <c r="BD14" s="12">
        <f>IF('Données projet'!$A$88&gt;35,BD13+BC14-BL13,IF(A14&lt;'Données projet'!$A$88,$BA$205^A14,IF(A14='Données projet'!$A$88,'Données projet'!$B$88,BD13+BC14-BL13)))</f>
        <v>15.969998060330541</v>
      </c>
      <c r="BE14" s="13">
        <f>BD14*VLOOKUP('Données projet'!$B$11,Paramètres!$A$1:$I$89,3,0)*VLOOKUP('Données projet'!$B$11,Paramètres!$A$1:$I$89,5,0)</f>
        <v>17.190105912139792</v>
      </c>
      <c r="BF14" s="13">
        <f t="shared" si="37"/>
        <v>5.6891082031089537</v>
      </c>
      <c r="BG14" s="20">
        <f t="shared" si="7"/>
        <v>39.847964584058232</v>
      </c>
      <c r="BH14" s="59">
        <f t="shared" si="8"/>
        <v>234.34376319317238</v>
      </c>
      <c r="BI14" s="59">
        <f ca="1">AVERAGE(OFFSET($BH$3,0,0,'Données projet'!$E$11+1,1))-AVERAGE(OFFSET($H$3,0,0,'Données projet'!$E$11+1,1))</f>
        <v>404.24955007425774</v>
      </c>
      <c r="BJ14" s="59">
        <f t="shared" si="38"/>
        <v>211.49137630071019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2.4285714285714284</v>
      </c>
      <c r="BY14" s="12">
        <f>IF('Données projet'!$A$114&gt;35,BY13+BX14-CG13,IF(A14&lt;'Données projet'!$A$114,$BV$205^A14,IF(A14='Données projet'!$A$114,'Données projet'!$B$114,BY13+BX14-CG13)))</f>
        <v>15.969998060330541</v>
      </c>
      <c r="BZ14" s="13">
        <f>BY14*VLOOKUP('Données projet'!$B$12,Paramètres!$A$1:$I$89,3,0)*VLOOKUP('Données projet'!$B$12,Paramètres!$A$1:$I$89,5,0)</f>
        <v>12.456598487057823</v>
      </c>
      <c r="CA14" s="13">
        <f t="shared" si="39"/>
        <v>4.2800321678919957</v>
      </c>
      <c r="CB14" s="20">
        <f t="shared" si="10"/>
        <v>29.149631724037601</v>
      </c>
      <c r="CC14" s="59">
        <f t="shared" si="11"/>
        <v>223.64543033315172</v>
      </c>
      <c r="CD14" s="59">
        <f ca="1">AVERAGE(OFFSET($CC$3,0,0,'Données projet'!$E$12+1,1))-AVERAGE(OFFSET($H$3,0,0,'Données projet'!$E$12+1,1))</f>
        <v>250.01410333089137</v>
      </c>
      <c r="CE14" s="59">
        <f t="shared" si="40"/>
        <v>169.55868564318885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ht="14.95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2.4285714285714284</v>
      </c>
      <c r="N15" s="13">
        <f>IF('Données projet'!$A$36&gt;35,N14+M15-V14,IF(A15&lt;'Données projet'!$A$36,$K$205^A15,IF(A15='Données projet'!$A$36,'Données projet'!$B$36,N14+M15-V14)))</f>
        <v>20.544530203881774</v>
      </c>
      <c r="O15" s="13">
        <f>N15*VLOOKUP('Données projet'!$B$9,Paramètres!$A$1:$I$89,3,0)*VLOOKUP('Données projet'!$B$9,Paramètres!$A$1:$I$89,5,0)</f>
        <v>18.588690928472229</v>
      </c>
      <c r="P15" s="13">
        <f t="shared" si="33"/>
        <v>6.0962154928272287</v>
      </c>
      <c r="Q15" s="20">
        <f t="shared" si="2"/>
        <v>42.992878683763223</v>
      </c>
      <c r="R15" s="59">
        <f t="shared" si="0"/>
        <v>240.0226561364961</v>
      </c>
      <c r="S15" s="59">
        <f ca="1">AVERAGE(OFFSET($R$3,0,0,'Données projet'!$E$9+1,1))-AVERAGE(OFFSET($H$3,0,0,'Données projet'!$E$9+1,1))</f>
        <v>469.5773392354356</v>
      </c>
      <c r="T15" s="59">
        <f t="shared" si="34"/>
        <v>187.25344022835239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2.4285714285714284</v>
      </c>
      <c r="AI15" s="13">
        <f>IF('Données projet'!$A$62&gt;35,AI14+AH15-AQ14,IF(A15&lt;'Données projet'!$A$62,$AF$205^A15,IF(A15='Données projet'!$A$62,'Données projet'!$B$62,AI14+AH15-AQ14)))</f>
        <v>20.544530203881774</v>
      </c>
      <c r="AJ15" s="13">
        <f>AI15*VLOOKUP('Données projet'!$B$10,Paramètres!$A$1:$I$89,3,0)*VLOOKUP('Données projet'!$B$10,Paramètres!$A$1:$I$89,5,0)</f>
        <v>19.870669613194451</v>
      </c>
      <c r="AK15" s="13">
        <f t="shared" si="35"/>
        <v>6.466252093799409</v>
      </c>
      <c r="AL15" s="20">
        <f t="shared" si="4"/>
        <v>45.870138639680967</v>
      </c>
      <c r="AM15" s="59">
        <f t="shared" si="5"/>
        <v>242.89991609241383</v>
      </c>
      <c r="AN15" s="59">
        <f ca="1">AVERAGE(OFFSET($AM$3,0,0,'Données projet'!$E$10+1,1))-AVERAGE(OFFSET($H$3,0,0,'Données projet'!$E$10+1,1))</f>
        <v>370.91255999489181</v>
      </c>
      <c r="AO15" s="59">
        <f t="shared" si="36"/>
        <v>196.07869248605735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2.4285714285714284</v>
      </c>
      <c r="BD15" s="12">
        <f>IF('Données projet'!$A$88&gt;35,BD14+BC15-BL14,IF(A15&lt;'Données projet'!$A$88,$BA$205^A15,IF(A15='Données projet'!$A$88,'Données projet'!$B$88,BD14+BC15-BL14)))</f>
        <v>20.544530203881774</v>
      </c>
      <c r="BE15" s="13">
        <f>BD15*VLOOKUP('Données projet'!$B$11,Paramètres!$A$1:$I$89,3,0)*VLOOKUP('Données projet'!$B$11,Paramètres!$A$1:$I$89,5,0)</f>
        <v>22.114132311458341</v>
      </c>
      <c r="BF15" s="13">
        <f t="shared" si="37"/>
        <v>7.1072630856218142</v>
      </c>
      <c r="BG15" s="20">
        <f t="shared" si="7"/>
        <v>50.893930316581269</v>
      </c>
      <c r="BH15" s="59">
        <f t="shared" si="8"/>
        <v>247.92370776931415</v>
      </c>
      <c r="BI15" s="59">
        <f ca="1">AVERAGE(OFFSET($BH$3,0,0,'Données projet'!$E$11+1,1))-AVERAGE(OFFSET($H$3,0,0,'Données projet'!$E$11+1,1))</f>
        <v>404.24955007425774</v>
      </c>
      <c r="BJ15" s="59">
        <f t="shared" si="38"/>
        <v>211.49137630071019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2.4285714285714284</v>
      </c>
      <c r="BY15" s="12">
        <f>IF('Données projet'!$A$114&gt;35,BY14+BX15-CG14,IF(A15&lt;'Données projet'!$A$114,$BV$205^A15,IF(A15='Données projet'!$A$114,'Données projet'!$B$114,BY14+BX15-CG14)))</f>
        <v>20.544530203881774</v>
      </c>
      <c r="BZ15" s="13">
        <f>BY15*VLOOKUP('Données projet'!$B$12,Paramètres!$A$1:$I$89,3,0)*VLOOKUP('Données projet'!$B$12,Paramètres!$A$1:$I$89,5,0)</f>
        <v>16.024733559027784</v>
      </c>
      <c r="CA15" s="13">
        <f t="shared" si="39"/>
        <v>5.346939018581029</v>
      </c>
      <c r="CB15" s="20">
        <f t="shared" si="10"/>
        <v>37.222329739335343</v>
      </c>
      <c r="CC15" s="59">
        <f t="shared" si="11"/>
        <v>234.25210719206822</v>
      </c>
      <c r="CD15" s="59">
        <f ca="1">AVERAGE(OFFSET($CC$3,0,0,'Données projet'!$E$12+1,1))-AVERAGE(OFFSET($H$3,0,0,'Données projet'!$E$12+1,1))</f>
        <v>250.01410333089137</v>
      </c>
      <c r="CE15" s="59">
        <f t="shared" si="40"/>
        <v>169.55868564318885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ht="14.95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2.4285714285714284</v>
      </c>
      <c r="N16" s="13">
        <f>IF('Données projet'!$A$36&gt;35,N15+M16-V15,IF(A16&lt;'Données projet'!$A$36,$K$205^A16,IF(A16='Données projet'!$A$36,'Données projet'!$B$36,N15+M16-V15)))</f>
        <v>26.429415940046418</v>
      </c>
      <c r="O16" s="13">
        <f>N16*VLOOKUP('Données projet'!$B$9,Paramètres!$A$1:$I$89,3,0)*VLOOKUP('Données projet'!$B$9,Paramètres!$A$1:$I$89,5,0)</f>
        <v>23.913335542553998</v>
      </c>
      <c r="P16" s="13">
        <f t="shared" si="33"/>
        <v>7.615852219244025</v>
      </c>
      <c r="Q16" s="20">
        <f t="shared" si="2"/>
        <v>54.913335351798224</v>
      </c>
      <c r="R16" s="59">
        <f t="shared" si="0"/>
        <v>254.45433560341704</v>
      </c>
      <c r="S16" s="59">
        <f ca="1">AVERAGE(OFFSET($R$3,0,0,'Données projet'!$E$9+1,1))-AVERAGE(OFFSET($H$3,0,0,'Données projet'!$E$9+1,1))</f>
        <v>469.5773392354356</v>
      </c>
      <c r="T16" s="59">
        <f t="shared" si="34"/>
        <v>187.25344022835239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2.4285714285714284</v>
      </c>
      <c r="AI16" s="13">
        <f>IF('Données projet'!$A$62&gt;35,AI15+AH16-AQ15,IF(A16&lt;'Données projet'!$A$62,$AF$205^A16,IF(A16='Données projet'!$A$62,'Données projet'!$B$62,AI15+AH16-AQ15)))</f>
        <v>26.429415940046418</v>
      </c>
      <c r="AJ16" s="13">
        <f>AI16*VLOOKUP('Données projet'!$B$10,Paramètres!$A$1:$I$89,3,0)*VLOOKUP('Données projet'!$B$10,Paramètres!$A$1:$I$89,5,0)</f>
        <v>25.562531097212897</v>
      </c>
      <c r="AK16" s="13">
        <f t="shared" si="35"/>
        <v>8.0781298523151204</v>
      </c>
      <c r="AL16" s="20">
        <f t="shared" si="4"/>
        <v>58.590817820427965</v>
      </c>
      <c r="AM16" s="59">
        <f t="shared" si="5"/>
        <v>258.13181807204677</v>
      </c>
      <c r="AN16" s="59">
        <f ca="1">AVERAGE(OFFSET($AM$3,0,0,'Données projet'!$E$10+1,1))-AVERAGE(OFFSET($H$3,0,0,'Données projet'!$E$10+1,1))</f>
        <v>370.91255999489181</v>
      </c>
      <c r="AO16" s="59">
        <f t="shared" si="36"/>
        <v>196.07869248605735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2.4285714285714284</v>
      </c>
      <c r="BD16" s="12">
        <f>IF('Données projet'!$A$88&gt;35,BD15+BC16-BL15,IF(A16&lt;'Données projet'!$A$88,$BA$205^A16,IF(A16='Données projet'!$A$88,'Données projet'!$B$88,BD15+BC16-BL15)))</f>
        <v>26.429415940046418</v>
      </c>
      <c r="BE16" s="13">
        <f>BD16*VLOOKUP('Données projet'!$B$11,Paramètres!$A$1:$I$89,3,0)*VLOOKUP('Données projet'!$B$11,Paramètres!$A$1:$I$89,5,0)</f>
        <v>28.448623317865966</v>
      </c>
      <c r="BF16" s="13">
        <f t="shared" si="37"/>
        <v>8.8789291335043163</v>
      </c>
      <c r="BG16" s="20">
        <f t="shared" si="7"/>
        <v>65.012153852803237</v>
      </c>
      <c r="BH16" s="59">
        <f t="shared" si="8"/>
        <v>264.55315410442205</v>
      </c>
      <c r="BI16" s="59">
        <f ca="1">AVERAGE(OFFSET($BH$3,0,0,'Données projet'!$E$11+1,1))-AVERAGE(OFFSET($H$3,0,0,'Données projet'!$E$11+1,1))</f>
        <v>404.24955007425774</v>
      </c>
      <c r="BJ16" s="59">
        <f t="shared" si="38"/>
        <v>211.49137630071019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2.4285714285714284</v>
      </c>
      <c r="BY16" s="12">
        <f>IF('Données projet'!$A$114&gt;35,BY15+BX16-CG15,IF(A16&lt;'Données projet'!$A$114,$BV$205^A16,IF(A16='Données projet'!$A$114,'Données projet'!$B$114,BY15+BX16-CG15)))</f>
        <v>26.429415940046418</v>
      </c>
      <c r="BZ16" s="13">
        <f>BY16*VLOOKUP('Données projet'!$B$12,Paramètres!$A$1:$I$89,3,0)*VLOOKUP('Données projet'!$B$12,Paramètres!$A$1:$I$89,5,0)</f>
        <v>20.614944433236207</v>
      </c>
      <c r="CA16" s="13">
        <f t="shared" si="39"/>
        <v>6.6797995311575651</v>
      </c>
      <c r="CB16" s="20">
        <f t="shared" si="10"/>
        <v>47.538345737985821</v>
      </c>
      <c r="CC16" s="59">
        <f t="shared" si="11"/>
        <v>247.07934598960463</v>
      </c>
      <c r="CD16" s="59">
        <f ca="1">AVERAGE(OFFSET($CC$3,0,0,'Données projet'!$E$12+1,1))-AVERAGE(OFFSET($H$3,0,0,'Données projet'!$E$12+1,1))</f>
        <v>250.01410333089137</v>
      </c>
      <c r="CE16" s="59">
        <f t="shared" si="40"/>
        <v>169.55868564318885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34</v>
      </c>
      <c r="L17" s="12">
        <f>VLOOKUP(A17,'Données projet'!$A$35:$I$55,9,0)</f>
        <v>2.4285714285714284</v>
      </c>
      <c r="M17" s="12">
        <f t="array" ref="M17">INDEX(L:L,MIN(IF(ISNUMBER(L17:L213),ROW(L17:L213),"")))</f>
        <v>2.4285714285714284</v>
      </c>
      <c r="N17" s="13">
        <f>IF('Données projet'!$A$36&gt;35,N16+M17-V16,IF(A17&lt;'Données projet'!$A$36,$K$205^A17,IF(A17='Données projet'!$A$36,'Données projet'!$B$36,N16+M17-V16)))</f>
        <v>34</v>
      </c>
      <c r="O17" s="13">
        <f>N17*VLOOKUP('Données projet'!$B$9,Paramètres!$A$1:$I$89,3,0)*VLOOKUP('Données projet'!$B$9,Paramètres!$A$1:$I$89,5,0)</f>
        <v>30.763199999999998</v>
      </c>
      <c r="P17" s="13">
        <f t="shared" si="33"/>
        <v>9.5142970411082253</v>
      </c>
      <c r="Q17" s="20">
        <f t="shared" si="2"/>
        <v>70.149974013263474</v>
      </c>
      <c r="R17" s="59">
        <f t="shared" si="0"/>
        <v>272.17983578553668</v>
      </c>
      <c r="S17" s="59">
        <f ca="1">AVERAGE(OFFSET($R$3,0,0,'Données projet'!$E$9+1,1))-AVERAGE(OFFSET($H$3,0,0,'Données projet'!$E$9+1,1))</f>
        <v>469.5773392354356</v>
      </c>
      <c r="T17" s="59">
        <f t="shared" si="34"/>
        <v>187.25344022835239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25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34</v>
      </c>
      <c r="AG17" s="12">
        <f>VLOOKUP(A17,'Données projet'!$A$61:$I$81,9,0)</f>
        <v>2.4285714285714284</v>
      </c>
      <c r="AH17" s="12">
        <f t="array" ref="AH17">INDEX(AG:AG,MIN(IF(ISNUMBER(AG17:AG213),ROW(AG17:AG213),"")))</f>
        <v>2.4285714285714284</v>
      </c>
      <c r="AI17" s="13">
        <f>IF('Données projet'!$A$62&gt;35,AI16+AH17-AQ16,IF(A17&lt;'Données projet'!$A$62,$AF$205^A17,IF(A17='Données projet'!$A$62,'Données projet'!$B$62,AI16+AH17-AQ16)))</f>
        <v>34</v>
      </c>
      <c r="AJ17" s="13">
        <f>AI17*VLOOKUP('Données projet'!$B$10,Paramètres!$A$1:$I$89,3,0)*VLOOKUP('Données projet'!$B$10,Paramètres!$A$1:$I$89,5,0)</f>
        <v>32.884799999999998</v>
      </c>
      <c r="AK17" s="13">
        <f t="shared" si="35"/>
        <v>10.091809129037815</v>
      </c>
      <c r="AL17" s="20">
        <f t="shared" si="4"/>
        <v>74.85092756640752</v>
      </c>
      <c r="AM17" s="59">
        <f t="shared" si="5"/>
        <v>276.8807893386807</v>
      </c>
      <c r="AN17" s="59">
        <f ca="1">AVERAGE(OFFSET($AM$3,0,0,'Données projet'!$E$10+1,1))-AVERAGE(OFFSET($H$3,0,0,'Données projet'!$E$10+1,1))</f>
        <v>370.91255999489181</v>
      </c>
      <c r="AO17" s="59">
        <f t="shared" si="36"/>
        <v>196.07869248605735</v>
      </c>
      <c r="AP17" s="15">
        <f>IF(ISNA(VLOOKUP(A17,'Données projet'!$A$61:$I$81,3,0)),0,VLOOKUP(A17,'Données projet'!$A$61:$I$81,3,0))</f>
        <v>1</v>
      </c>
      <c r="AQ17" s="15">
        <f>IF(ISNA(VLOOKUP(A17,'Données projet'!$A$61:$I$81,4,0)),0,VLOOKUP(A17,'Données projet'!$A$61:$I$81,4,0))</f>
        <v>25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34</v>
      </c>
      <c r="BB17" s="12">
        <f>VLOOKUP(A17,'Données projet'!$A$87:$I$107,9,0)</f>
        <v>2.4285714285714284</v>
      </c>
      <c r="BC17" s="12">
        <f t="array" ref="BC17">INDEX(BB:BB,MIN(IF(ISNUMBER(BB17:BB213),ROW(BB17:BB213),"")))</f>
        <v>2.4285714285714284</v>
      </c>
      <c r="BD17" s="12">
        <f>IF('Données projet'!$A$88&gt;35,BD16+BC17-BL16,IF(A17&lt;'Données projet'!$A$88,$BA$205^A17,IF(A17='Données projet'!$A$88,'Données projet'!$B$88,BD16+BC17-BL16)))</f>
        <v>34</v>
      </c>
      <c r="BE17" s="13">
        <f>BD17*VLOOKUP('Données projet'!$B$11,Paramètres!$A$1:$I$89,3,0)*VLOOKUP('Données projet'!$B$11,Paramètres!$A$1:$I$89,5,0)</f>
        <v>36.5976</v>
      </c>
      <c r="BF17" s="13">
        <f t="shared" si="37"/>
        <v>11.092227993821965</v>
      </c>
      <c r="BG17" s="20">
        <f t="shared" si="7"/>
        <v>83.059783755906594</v>
      </c>
      <c r="BH17" s="59">
        <f t="shared" si="8"/>
        <v>285.0896455281798</v>
      </c>
      <c r="BI17" s="59">
        <f ca="1">AVERAGE(OFFSET($BH$3,0,0,'Données projet'!$E$11+1,1))-AVERAGE(OFFSET($H$3,0,0,'Données projet'!$E$11+1,1))</f>
        <v>404.24955007425774</v>
      </c>
      <c r="BJ17" s="59">
        <f t="shared" si="38"/>
        <v>211.49137630071019</v>
      </c>
      <c r="BK17" s="15">
        <f>IF(ISNA(VLOOKUP(A17,'Données projet'!$A$87:$I$107,3,0)),0,VLOOKUP(A17,'Données projet'!$A$87:$I$107,3,0))</f>
        <v>1</v>
      </c>
      <c r="BL17" s="15">
        <f>IF(ISNA(VLOOKUP(A17,'Données projet'!$A$87:$I$107,4,0)),0,VLOOKUP(A17,'Données projet'!$A$87:$I$107,4,0))</f>
        <v>25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34</v>
      </c>
      <c r="BW17" s="12">
        <f>VLOOKUP(A17,'Données projet'!$A$113:$I$133,9,0)</f>
        <v>2.4285714285714284</v>
      </c>
      <c r="BX17" s="12">
        <f t="array" ref="BX17">INDEX(BW:BW,MIN(IF(ISNUMBER(BW17:BW213),ROW(BW17:BW213),"")))</f>
        <v>2.4285714285714284</v>
      </c>
      <c r="BY17" s="12">
        <f>IF('Données projet'!$A$114&gt;35,BY16+BX17-CG16,IF(A17&lt;'Données projet'!$A$114,$BV$205^A17,IF(A17='Données projet'!$A$114,'Données projet'!$B$114,BY16+BX17-CG16)))</f>
        <v>34</v>
      </c>
      <c r="BZ17" s="13">
        <f>BY17*VLOOKUP('Données projet'!$B$12,Paramètres!$A$1:$I$89,3,0)*VLOOKUP('Données projet'!$B$12,Paramètres!$A$1:$I$89,5,0)</f>
        <v>26.52</v>
      </c>
      <c r="CA17" s="13">
        <f t="shared" si="39"/>
        <v>8.3449094185282213</v>
      </c>
      <c r="CB17" s="20">
        <f t="shared" si="10"/>
        <v>60.723050570603313</v>
      </c>
      <c r="CC17" s="59">
        <f t="shared" si="11"/>
        <v>262.75291234287653</v>
      </c>
      <c r="CD17" s="59">
        <f ca="1">AVERAGE(OFFSET($CC$3,0,0,'Données projet'!$E$12+1,1))-AVERAGE(OFFSET($H$3,0,0,'Données projet'!$E$12+1,1))</f>
        <v>250.01410333089137</v>
      </c>
      <c r="CE17" s="59">
        <f t="shared" si="40"/>
        <v>169.55868564318885</v>
      </c>
      <c r="CF17" s="15">
        <f>IF(ISNA(VLOOKUP(A17,'Données projet'!$A$113:$I$133,3,0)),0,VLOOKUP(A17,'Données projet'!$A$113:$I$133,3,0))</f>
        <v>1</v>
      </c>
      <c r="CG17" s="15">
        <f>IF(ISNA(VLOOKUP(A17,'Données projet'!$A$113:$I$133,4,0)),0,VLOOKUP(A17,'Données projet'!$A$113:$I$133,4,0))</f>
        <v>25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4.4545454545454541</v>
      </c>
      <c r="N18" s="13">
        <f>IF('Données projet'!$A$36&gt;35,N17+M18-V17,IF(A18&lt;'Données projet'!$A$36,$K$205^A18,IF(A18='Données projet'!$A$36,'Données projet'!$B$36,N17+M18-V17)))</f>
        <v>13.454545454545453</v>
      </c>
      <c r="O18" s="13">
        <f>N18*VLOOKUP('Données projet'!$B$9,Paramètres!$A$1:$I$89,3,0)*VLOOKUP('Données projet'!$B$9,Paramètres!$A$1:$I$89,5,0)</f>
        <v>12.173672727272725</v>
      </c>
      <c r="P18" s="13">
        <f t="shared" si="33"/>
        <v>4.1940210917627283</v>
      </c>
      <c r="Q18" s="20">
        <f t="shared" si="2"/>
        <v>28.507066734820075</v>
      </c>
      <c r="R18" s="59">
        <f t="shared" si="0"/>
        <v>233.00381666770113</v>
      </c>
      <c r="S18" s="59">
        <f ca="1">AVERAGE(OFFSET($R$3,0,0,'Données projet'!$E$9+1,1))-AVERAGE(OFFSET($H$3,0,0,'Données projet'!$E$9+1,1))</f>
        <v>469.5773392354356</v>
      </c>
      <c r="T18" s="59">
        <f t="shared" si="34"/>
        <v>187.25344022835239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4.4545454545454541</v>
      </c>
      <c r="AI18" s="13">
        <f>IF('Données projet'!$A$62&gt;35,AI17+AH18-AQ17,IF(A18&lt;'Données projet'!$A$62,$AF$205^A18,IF(A18='Données projet'!$A$62,'Données projet'!$B$62,AI17+AH18-AQ17)))</f>
        <v>13.454545454545453</v>
      </c>
      <c r="AJ18" s="13">
        <f>AI18*VLOOKUP('Données projet'!$B$10,Paramètres!$A$1:$I$89,3,0)*VLOOKUP('Données projet'!$B$10,Paramètres!$A$1:$I$89,5,0)</f>
        <v>13.013236363636365</v>
      </c>
      <c r="AK18" s="13">
        <f t="shared" si="35"/>
        <v>4.4485956406820586</v>
      </c>
      <c r="AL18" s="20">
        <f t="shared" si="4"/>
        <v>30.412690740854586</v>
      </c>
      <c r="AM18" s="59">
        <f t="shared" si="5"/>
        <v>234.90944067373562</v>
      </c>
      <c r="AN18" s="59">
        <f ca="1">AVERAGE(OFFSET($AM$3,0,0,'Données projet'!$E$10+1,1))-AVERAGE(OFFSET($H$3,0,0,'Données projet'!$E$10+1,1))</f>
        <v>370.91255999489181</v>
      </c>
      <c r="AO18" s="59">
        <f t="shared" si="36"/>
        <v>196.07869248605735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4.4545454545454541</v>
      </c>
      <c r="BD18" s="12">
        <f>IF('Données projet'!$A$88&gt;35,BD17+BC18-BL17,IF(A18&lt;'Données projet'!$A$88,$BA$205^A18,IF(A18='Données projet'!$A$88,'Données projet'!$B$88,BD17+BC18-BL17)))</f>
        <v>13.454545454545453</v>
      </c>
      <c r="BE18" s="13">
        <f>BD18*VLOOKUP('Données projet'!$B$11,Paramètres!$A$1:$I$89,3,0)*VLOOKUP('Données projet'!$B$11,Paramètres!$A$1:$I$89,5,0)</f>
        <v>14.482472727272725</v>
      </c>
      <c r="BF18" s="13">
        <f t="shared" si="37"/>
        <v>4.8895927843883591</v>
      </c>
      <c r="BG18" s="20">
        <f t="shared" si="7"/>
        <v>33.739680766143046</v>
      </c>
      <c r="BH18" s="59">
        <f t="shared" si="8"/>
        <v>238.23643069902408</v>
      </c>
      <c r="BI18" s="59">
        <f ca="1">AVERAGE(OFFSET($BH$3,0,0,'Données projet'!$E$11+1,1))-AVERAGE(OFFSET($H$3,0,0,'Données projet'!$E$11+1,1))</f>
        <v>404.24955007425774</v>
      </c>
      <c r="BJ18" s="59">
        <f t="shared" si="38"/>
        <v>211.49137630071019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4.4545454545454541</v>
      </c>
      <c r="BY18" s="12">
        <f>IF('Données projet'!$A$114&gt;35,BY17+BX18-CG17,IF(A18&lt;'Données projet'!$A$114,$BV$205^A18,IF(A18='Données projet'!$A$114,'Données projet'!$B$114,BY17+BX18-CG17)))</f>
        <v>13.454545454545453</v>
      </c>
      <c r="BZ18" s="13">
        <f>BY18*VLOOKUP('Données projet'!$B$12,Paramètres!$A$1:$I$89,3,0)*VLOOKUP('Données projet'!$B$12,Paramètres!$A$1:$I$89,5,0)</f>
        <v>10.494545454545454</v>
      </c>
      <c r="CA18" s="13">
        <f t="shared" si="39"/>
        <v>3.6785404070251895</v>
      </c>
      <c r="CB18" s="20">
        <f t="shared" si="10"/>
        <v>24.684791208902201</v>
      </c>
      <c r="CC18" s="59">
        <f t="shared" si="11"/>
        <v>229.18154114178324</v>
      </c>
      <c r="CD18" s="59">
        <f ca="1">AVERAGE(OFFSET($CC$3,0,0,'Données projet'!$E$12+1,1))-AVERAGE(OFFSET($H$3,0,0,'Données projet'!$E$12+1,1))</f>
        <v>250.01410333089137</v>
      </c>
      <c r="CE18" s="59">
        <f t="shared" si="40"/>
        <v>169.55868564318885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4.4545454545454541</v>
      </c>
      <c r="N19" s="13">
        <f>IF('Données projet'!$A$36&gt;35,N18+M19-V18,IF(A19&lt;'Données projet'!$A$36,$K$205^A19,IF(A19='Données projet'!$A$36,'Données projet'!$B$36,N18+M19-V18)))</f>
        <v>17.909090909090907</v>
      </c>
      <c r="O19" s="13">
        <f>N19*VLOOKUP('Données projet'!$B$9,Paramètres!$A$1:$I$89,3,0)*VLOOKUP('Données projet'!$B$9,Paramètres!$A$1:$I$89,5,0)</f>
        <v>16.204145454545451</v>
      </c>
      <c r="P19" s="13">
        <f t="shared" si="33"/>
        <v>5.3998005144243617</v>
      </c>
      <c r="Q19" s="20">
        <f t="shared" si="2"/>
        <v>37.626872562622417</v>
      </c>
      <c r="R19" s="59">
        <f t="shared" si="0"/>
        <v>244.56891848473649</v>
      </c>
      <c r="S19" s="59">
        <f ca="1">AVERAGE(OFFSET($R$3,0,0,'Données projet'!$E$9+1,1))-AVERAGE(OFFSET($H$3,0,0,'Données projet'!$E$9+1,1))</f>
        <v>469.5773392354356</v>
      </c>
      <c r="T19" s="59">
        <f t="shared" si="34"/>
        <v>187.25344022835239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4.4545454545454541</v>
      </c>
      <c r="AI19" s="13">
        <f>IF('Données projet'!$A$62&gt;35,AI18+AH19-AQ18,IF(A19&lt;'Données projet'!$A$62,$AF$205^A19,IF(A19='Données projet'!$A$62,'Données projet'!$B$62,AI18+AH19-AQ18)))</f>
        <v>17.909090909090907</v>
      </c>
      <c r="AJ19" s="13">
        <f>AI19*VLOOKUP('Données projet'!$B$10,Paramètres!$A$1:$I$89,3,0)*VLOOKUP('Données projet'!$B$10,Paramètres!$A$1:$I$89,5,0)</f>
        <v>17.321672727272723</v>
      </c>
      <c r="AK19" s="13">
        <f t="shared" si="35"/>
        <v>5.7275651465369242</v>
      </c>
      <c r="AL19" s="20">
        <f t="shared" si="4"/>
        <v>40.144089296885134</v>
      </c>
      <c r="AM19" s="59">
        <f t="shared" si="5"/>
        <v>247.0861352189992</v>
      </c>
      <c r="AN19" s="59">
        <f ca="1">AVERAGE(OFFSET($AM$3,0,0,'Données projet'!$E$10+1,1))-AVERAGE(OFFSET($H$3,0,0,'Données projet'!$E$10+1,1))</f>
        <v>370.91255999489181</v>
      </c>
      <c r="AO19" s="59">
        <f t="shared" si="36"/>
        <v>196.07869248605735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4.4545454545454541</v>
      </c>
      <c r="BD19" s="12">
        <f>IF('Données projet'!$A$88&gt;35,BD18+BC19-BL18,IF(A19&lt;'Données projet'!$A$88,$BA$205^A19,IF(A19='Données projet'!$A$88,'Données projet'!$B$88,BD18+BC19-BL18)))</f>
        <v>17.909090909090907</v>
      </c>
      <c r="BE19" s="13">
        <f>BD19*VLOOKUP('Données projet'!$B$11,Paramètres!$A$1:$I$89,3,0)*VLOOKUP('Données projet'!$B$11,Paramètres!$A$1:$I$89,5,0)</f>
        <v>19.277345454545451</v>
      </c>
      <c r="BF19" s="13">
        <f t="shared" si="37"/>
        <v>6.295348796486123</v>
      </c>
      <c r="BG19" s="20">
        <f t="shared" si="7"/>
        <v>44.539109153879991</v>
      </c>
      <c r="BH19" s="59">
        <f t="shared" si="8"/>
        <v>251.48115507599405</v>
      </c>
      <c r="BI19" s="59">
        <f ca="1">AVERAGE(OFFSET($BH$3,0,0,'Données projet'!$E$11+1,1))-AVERAGE(OFFSET($H$3,0,0,'Données projet'!$E$11+1,1))</f>
        <v>404.24955007425774</v>
      </c>
      <c r="BJ19" s="59">
        <f t="shared" si="38"/>
        <v>211.49137630071019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4.4545454545454541</v>
      </c>
      <c r="BY19" s="12">
        <f>IF('Données projet'!$A$114&gt;35,BY18+BX19-CG18,IF(A19&lt;'Données projet'!$A$114,$BV$205^A19,IF(A19='Données projet'!$A$114,'Données projet'!$B$114,BY18+BX19-CG18)))</f>
        <v>17.909090909090907</v>
      </c>
      <c r="BZ19" s="13">
        <f>BY19*VLOOKUP('Données projet'!$B$12,Paramètres!$A$1:$I$89,3,0)*VLOOKUP('Données projet'!$B$12,Paramètres!$A$1:$I$89,5,0)</f>
        <v>13.969090909090907</v>
      </c>
      <c r="CA19" s="13">
        <f t="shared" si="39"/>
        <v>4.7361193345446262</v>
      </c>
      <c r="CB19" s="20">
        <f t="shared" si="10"/>
        <v>32.578241174331886</v>
      </c>
      <c r="CC19" s="59">
        <f t="shared" si="11"/>
        <v>239.52028709644594</v>
      </c>
      <c r="CD19" s="59">
        <f ca="1">AVERAGE(OFFSET($CC$3,0,0,'Données projet'!$E$12+1,1))-AVERAGE(OFFSET($H$3,0,0,'Données projet'!$E$12+1,1))</f>
        <v>250.01410333089137</v>
      </c>
      <c r="CE19" s="59">
        <f t="shared" si="40"/>
        <v>169.55868564318885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4.4545454545454541</v>
      </c>
      <c r="N20" s="13">
        <f>IF('Données projet'!$A$36&gt;35,N19+M20-V19,IF(A20&lt;'Données projet'!$A$36,$K$205^A20,IF(A20='Données projet'!$A$36,'Données projet'!$B$36,N19+M20-V19)))</f>
        <v>22.36363636363636</v>
      </c>
      <c r="O20" s="13">
        <f>N20*VLOOKUP('Données projet'!$B$9,Paramètres!$A$1:$I$89,3,0)*VLOOKUP('Données projet'!$B$9,Paramètres!$A$1:$I$89,5,0)</f>
        <v>20.234618181818178</v>
      </c>
      <c r="P20" s="13">
        <f t="shared" si="33"/>
        <v>6.5707904780414159</v>
      </c>
      <c r="Q20" s="20">
        <f t="shared" si="2"/>
        <v>46.686086749255459</v>
      </c>
      <c r="R20" s="59">
        <f t="shared" si="0"/>
        <v>256.05221106512818</v>
      </c>
      <c r="S20" s="59">
        <f ca="1">AVERAGE(OFFSET($R$3,0,0,'Données projet'!$E$9+1,1))-AVERAGE(OFFSET($H$3,0,0,'Données projet'!$E$9+1,1))</f>
        <v>469.5773392354356</v>
      </c>
      <c r="T20" s="59">
        <f t="shared" si="34"/>
        <v>187.25344022835239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4.4545454545454541</v>
      </c>
      <c r="AI20" s="13">
        <f>IF('Données projet'!$A$62&gt;35,AI19+AH20-AQ19,IF(A20&lt;'Données projet'!$A$62,$AF$205^A20,IF(A20='Données projet'!$A$62,'Données projet'!$B$62,AI19+AH20-AQ19)))</f>
        <v>22.36363636363636</v>
      </c>
      <c r="AJ20" s="13">
        <f>AI20*VLOOKUP('Données projet'!$B$10,Paramètres!$A$1:$I$89,3,0)*VLOOKUP('Données projet'!$B$10,Paramètres!$A$1:$I$89,5,0)</f>
        <v>21.630109090909087</v>
      </c>
      <c r="AK20" s="13">
        <f t="shared" si="35"/>
        <v>6.9696334941807931</v>
      </c>
      <c r="AL20" s="20">
        <f t="shared" si="4"/>
        <v>49.811218335698207</v>
      </c>
      <c r="AM20" s="59">
        <f t="shared" si="5"/>
        <v>259.17734265157094</v>
      </c>
      <c r="AN20" s="59">
        <f ca="1">AVERAGE(OFFSET($AM$3,0,0,'Données projet'!$E$10+1,1))-AVERAGE(OFFSET($H$3,0,0,'Données projet'!$E$10+1,1))</f>
        <v>370.91255999489181</v>
      </c>
      <c r="AO20" s="59">
        <f t="shared" si="36"/>
        <v>196.07869248605735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4.4545454545454541</v>
      </c>
      <c r="BD20" s="12">
        <f>IF('Données projet'!$A$88&gt;35,BD19+BC20-BL19,IF(A20&lt;'Données projet'!$A$88,$BA$205^A20,IF(A20='Données projet'!$A$88,'Données projet'!$B$88,BD19+BC20-BL19)))</f>
        <v>22.36363636363636</v>
      </c>
      <c r="BE20" s="13">
        <f>BD20*VLOOKUP('Données projet'!$B$11,Paramètres!$A$1:$I$89,3,0)*VLOOKUP('Données projet'!$B$11,Paramètres!$A$1:$I$89,5,0)</f>
        <v>24.072218181818176</v>
      </c>
      <c r="BF20" s="13">
        <f t="shared" si="37"/>
        <v>7.6605455733785011</v>
      </c>
      <c r="BG20" s="20">
        <f t="shared" si="7"/>
        <v>55.267896873634214</v>
      </c>
      <c r="BH20" s="59">
        <f t="shared" si="8"/>
        <v>264.63402118950694</v>
      </c>
      <c r="BI20" s="59">
        <f ca="1">AVERAGE(OFFSET($BH$3,0,0,'Données projet'!$E$11+1,1))-AVERAGE(OFFSET($H$3,0,0,'Données projet'!$E$11+1,1))</f>
        <v>404.24955007425774</v>
      </c>
      <c r="BJ20" s="59">
        <f t="shared" si="38"/>
        <v>211.49137630071019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4.4545454545454541</v>
      </c>
      <c r="BY20" s="12">
        <f>IF('Données projet'!$A$114&gt;35,BY19+BX20-CG19,IF(A20&lt;'Données projet'!$A$114,$BV$205^A20,IF(A20='Données projet'!$A$114,'Données projet'!$B$114,BY19+BX20-CG19)))</f>
        <v>22.36363636363636</v>
      </c>
      <c r="BZ20" s="13">
        <f>BY20*VLOOKUP('Données projet'!$B$12,Paramètres!$A$1:$I$89,3,0)*VLOOKUP('Données projet'!$B$12,Paramètres!$A$1:$I$89,5,0)</f>
        <v>17.443636363636362</v>
      </c>
      <c r="CA20" s="13">
        <f t="shared" si="39"/>
        <v>5.7631847219473045</v>
      </c>
      <c r="CB20" s="20">
        <f t="shared" si="10"/>
        <v>40.418546724058217</v>
      </c>
      <c r="CC20" s="59">
        <f t="shared" si="11"/>
        <v>249.78467103993094</v>
      </c>
      <c r="CD20" s="59">
        <f ca="1">AVERAGE(OFFSET($CC$3,0,0,'Données projet'!$E$12+1,1))-AVERAGE(OFFSET($H$3,0,0,'Données projet'!$E$12+1,1))</f>
        <v>250.01410333089137</v>
      </c>
      <c r="CE20" s="59">
        <f t="shared" si="40"/>
        <v>169.55868564318885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4.4545454545454541</v>
      </c>
      <c r="N21" s="13">
        <f>IF('Données projet'!$A$36&gt;35,N20+M21-V20,IF(A21&lt;'Données projet'!$A$36,$K$205^A21,IF(A21='Données projet'!$A$36,'Données projet'!$B$36,N20+M21-V20)))</f>
        <v>26.818181818181813</v>
      </c>
      <c r="O21" s="13">
        <f>N21*VLOOKUP('Données projet'!$B$9,Paramètres!$A$1:$I$89,3,0)*VLOOKUP('Données projet'!$B$9,Paramètres!$A$1:$I$89,5,0)</f>
        <v>24.265090909090905</v>
      </c>
      <c r="P21" s="13">
        <f t="shared" si="33"/>
        <v>7.7147541689014787</v>
      </c>
      <c r="Q21" s="20">
        <f t="shared" si="2"/>
        <v>55.698230177503397</v>
      </c>
      <c r="R21" s="59">
        <f t="shared" si="0"/>
        <v>267.46758336950649</v>
      </c>
      <c r="S21" s="59">
        <f ca="1">AVERAGE(OFFSET($R$3,0,0,'Données projet'!$E$9+1,1))-AVERAGE(OFFSET($H$3,0,0,'Données projet'!$E$9+1,1))</f>
        <v>469.5773392354356</v>
      </c>
      <c r="T21" s="59">
        <f t="shared" si="34"/>
        <v>187.25344022835239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4.4545454545454541</v>
      </c>
      <c r="AI21" s="13">
        <f>IF('Données projet'!$A$62&gt;35,AI20+AH21-AQ20,IF(A21&lt;'Données projet'!$A$62,$AF$205^A21,IF(A21='Données projet'!$A$62,'Données projet'!$B$62,AI20+AH21-AQ20)))</f>
        <v>26.818181818181813</v>
      </c>
      <c r="AJ21" s="13">
        <f>AI21*VLOOKUP('Données projet'!$B$10,Paramètres!$A$1:$I$89,3,0)*VLOOKUP('Données projet'!$B$10,Paramètres!$A$1:$I$89,5,0)</f>
        <v>25.938545454545451</v>
      </c>
      <c r="AK21" s="13">
        <f t="shared" si="35"/>
        <v>8.1830350906233491</v>
      </c>
      <c r="AL21" s="20">
        <f t="shared" si="4"/>
        <v>59.428419449502321</v>
      </c>
      <c r="AM21" s="59">
        <f t="shared" si="5"/>
        <v>271.19777264150542</v>
      </c>
      <c r="AN21" s="59">
        <f ca="1">AVERAGE(OFFSET($AM$3,0,0,'Données projet'!$E$10+1,1))-AVERAGE(OFFSET($H$3,0,0,'Données projet'!$E$10+1,1))</f>
        <v>370.91255999489181</v>
      </c>
      <c r="AO21" s="59">
        <f t="shared" si="36"/>
        <v>196.07869248605735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4.4545454545454541</v>
      </c>
      <c r="BD21" s="12">
        <f>IF('Données projet'!$A$88&gt;35,BD20+BC21-BL20,IF(A21&lt;'Données projet'!$A$88,$BA$205^A21,IF(A21='Données projet'!$A$88,'Données projet'!$B$88,BD20+BC21-BL20)))</f>
        <v>26.818181818181813</v>
      </c>
      <c r="BE21" s="13">
        <f>BD21*VLOOKUP('Données projet'!$B$11,Paramètres!$A$1:$I$89,3,0)*VLOOKUP('Données projet'!$B$11,Paramètres!$A$1:$I$89,5,0)</f>
        <v>28.867090909090905</v>
      </c>
      <c r="BF21" s="13">
        <f t="shared" si="37"/>
        <v>8.9942338133870212</v>
      </c>
      <c r="BG21" s="20">
        <f t="shared" si="7"/>
        <v>65.941807224982384</v>
      </c>
      <c r="BH21" s="59">
        <f t="shared" si="8"/>
        <v>277.71116041698548</v>
      </c>
      <c r="BI21" s="59">
        <f ca="1">AVERAGE(OFFSET($BH$3,0,0,'Données projet'!$E$11+1,1))-AVERAGE(OFFSET($H$3,0,0,'Données projet'!$E$11+1,1))</f>
        <v>404.24955007425774</v>
      </c>
      <c r="BJ21" s="59">
        <f t="shared" si="38"/>
        <v>211.49137630071019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4.4545454545454541</v>
      </c>
      <c r="BY21" s="12">
        <f>IF('Données projet'!$A$114&gt;35,BY20+BX21-CG20,IF(A21&lt;'Données projet'!$A$114,$BV$205^A21,IF(A21='Données projet'!$A$114,'Données projet'!$B$114,BY20+BX21-CG20)))</f>
        <v>26.818181818181813</v>
      </c>
      <c r="BZ21" s="13">
        <f>BY21*VLOOKUP('Données projet'!$B$12,Paramètres!$A$1:$I$89,3,0)*VLOOKUP('Données projet'!$B$12,Paramètres!$A$1:$I$89,5,0)</f>
        <v>20.918181818181814</v>
      </c>
      <c r="CA21" s="13">
        <f t="shared" si="39"/>
        <v>6.7665455942288899</v>
      </c>
      <c r="CB21" s="20">
        <f t="shared" si="10"/>
        <v>48.217566909948651</v>
      </c>
      <c r="CC21" s="59">
        <f t="shared" si="11"/>
        <v>259.98692010195174</v>
      </c>
      <c r="CD21" s="59">
        <f ca="1">AVERAGE(OFFSET($CC$3,0,0,'Données projet'!$E$12+1,1))-AVERAGE(OFFSET($H$3,0,0,'Données projet'!$E$12+1,1))</f>
        <v>250.01410333089137</v>
      </c>
      <c r="CE21" s="59">
        <f t="shared" si="40"/>
        <v>169.55868564318885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4.4545454545454541</v>
      </c>
      <c r="N22" s="13">
        <f>IF('Données projet'!$A$36&gt;35,N21+M22-V21,IF(A22&lt;'Données projet'!$A$36,$K$205^A22,IF(A22='Données projet'!$A$36,'Données projet'!$B$36,N21+M22-V21)))</f>
        <v>31.272727272727266</v>
      </c>
      <c r="O22" s="13">
        <f>N22*VLOOKUP('Données projet'!$B$9,Paramètres!$A$1:$I$89,3,0)*VLOOKUP('Données projet'!$B$9,Paramètres!$A$1:$I$89,5,0)</f>
        <v>28.295563636363628</v>
      </c>
      <c r="P22" s="13">
        <f t="shared" si="33"/>
        <v>8.8367058416764444</v>
      </c>
      <c r="Q22" s="20">
        <f t="shared" si="2"/>
        <v>64.672036007586442</v>
      </c>
      <c r="R22" s="59">
        <f t="shared" si="0"/>
        <v>278.82413025060998</v>
      </c>
      <c r="S22" s="59">
        <f ca="1">AVERAGE(OFFSET($R$3,0,0,'Données projet'!$E$9+1,1))-AVERAGE(OFFSET($H$3,0,0,'Données projet'!$E$9+1,1))</f>
        <v>469.5773392354356</v>
      </c>
      <c r="T22" s="59">
        <f t="shared" si="34"/>
        <v>187.25344022835239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4.4545454545454541</v>
      </c>
      <c r="AI22" s="13">
        <f>IF('Données projet'!$A$62&gt;35,AI21+AH22-AQ21,IF(A22&lt;'Données projet'!$A$62,$AF$205^A22,IF(A22='Données projet'!$A$62,'Données projet'!$B$62,AI21+AH22-AQ21)))</f>
        <v>31.272727272727266</v>
      </c>
      <c r="AJ22" s="13">
        <f>AI22*VLOOKUP('Données projet'!$B$10,Paramètres!$A$1:$I$89,3,0)*VLOOKUP('Données projet'!$B$10,Paramètres!$A$1:$I$89,5,0)</f>
        <v>30.246981818181812</v>
      </c>
      <c r="AK22" s="13">
        <f t="shared" si="35"/>
        <v>9.3730885527686478</v>
      </c>
      <c r="AL22" s="20">
        <f t="shared" si="4"/>
        <v>69.004955896072047</v>
      </c>
      <c r="AM22" s="59">
        <f t="shared" si="5"/>
        <v>283.15705013909559</v>
      </c>
      <c r="AN22" s="59">
        <f ca="1">AVERAGE(OFFSET($AM$3,0,0,'Données projet'!$E$10+1,1))-AVERAGE(OFFSET($H$3,0,0,'Données projet'!$E$10+1,1))</f>
        <v>370.91255999489181</v>
      </c>
      <c r="AO22" s="59">
        <f t="shared" si="36"/>
        <v>196.07869248605735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4.4545454545454541</v>
      </c>
      <c r="BD22" s="12">
        <f>IF('Données projet'!$A$88&gt;35,BD21+BC22-BL21,IF(A22&lt;'Données projet'!$A$88,$BA$205^A22,IF(A22='Données projet'!$A$88,'Données projet'!$B$88,BD21+BC22-BL21)))</f>
        <v>31.272727272727266</v>
      </c>
      <c r="BE22" s="13">
        <f>BD22*VLOOKUP('Données projet'!$B$11,Paramètres!$A$1:$I$89,3,0)*VLOOKUP('Données projet'!$B$11,Paramètres!$A$1:$I$89,5,0)</f>
        <v>33.661963636363623</v>
      </c>
      <c r="BF22" s="13">
        <f t="shared" si="37"/>
        <v>10.302259377304061</v>
      </c>
      <c r="BG22" s="20">
        <f t="shared" si="7"/>
        <v>76.57102174880454</v>
      </c>
      <c r="BH22" s="59">
        <f t="shared" si="8"/>
        <v>290.72311599182808</v>
      </c>
      <c r="BI22" s="59">
        <f ca="1">AVERAGE(OFFSET($BH$3,0,0,'Données projet'!$E$11+1,1))-AVERAGE(OFFSET($H$3,0,0,'Données projet'!$E$11+1,1))</f>
        <v>404.24955007425774</v>
      </c>
      <c r="BJ22" s="59">
        <f t="shared" si="38"/>
        <v>211.49137630071019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4.4545454545454541</v>
      </c>
      <c r="BY22" s="12">
        <f>IF('Données projet'!$A$114&gt;35,BY21+BX22-CG21,IF(A22&lt;'Données projet'!$A$114,$BV$205^A22,IF(A22='Données projet'!$A$114,'Données projet'!$B$114,BY21+BX22-CG21)))</f>
        <v>31.272727272727266</v>
      </c>
      <c r="BZ22" s="13">
        <f>BY22*VLOOKUP('Données projet'!$B$12,Paramètres!$A$1:$I$89,3,0)*VLOOKUP('Données projet'!$B$12,Paramètres!$A$1:$I$89,5,0)</f>
        <v>24.392727272727267</v>
      </c>
      <c r="CA22" s="13">
        <f t="shared" si="39"/>
        <v>7.7505999117281794</v>
      </c>
      <c r="CB22" s="20">
        <f t="shared" si="10"/>
        <v>55.982961512926558</v>
      </c>
      <c r="CC22" s="59">
        <f t="shared" si="11"/>
        <v>270.13505575595008</v>
      </c>
      <c r="CD22" s="59">
        <f ca="1">AVERAGE(OFFSET($CC$3,0,0,'Données projet'!$E$12+1,1))-AVERAGE(OFFSET($H$3,0,0,'Données projet'!$E$12+1,1))</f>
        <v>250.01410333089137</v>
      </c>
      <c r="CE22" s="59">
        <f t="shared" si="40"/>
        <v>169.55868564318885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4.4545454545454541</v>
      </c>
      <c r="N23" s="13">
        <f>IF('Données projet'!$A$36&gt;35,N22+M23-V22,IF(A23&lt;'Données projet'!$A$36,$K$205^A23,IF(A23='Données projet'!$A$36,'Données projet'!$B$36,N22+M23-V22)))</f>
        <v>35.72727272727272</v>
      </c>
      <c r="O23" s="13">
        <f>N23*VLOOKUP('Données projet'!$B$9,Paramètres!$A$1:$I$89,3,0)*VLOOKUP('Données projet'!$B$9,Paramètres!$A$1:$I$89,5,0)</f>
        <v>32.326036363636355</v>
      </c>
      <c r="P23" s="13">
        <f t="shared" si="33"/>
        <v>9.9401426279054927</v>
      </c>
      <c r="Q23" s="20">
        <f t="shared" si="2"/>
        <v>73.613595076935383</v>
      </c>
      <c r="R23" s="59">
        <f t="shared" si="0"/>
        <v>290.12829796383107</v>
      </c>
      <c r="S23" s="59">
        <f ca="1">AVERAGE(OFFSET($R$3,0,0,'Données projet'!$E$9+1,1))-AVERAGE(OFFSET($H$3,0,0,'Données projet'!$E$9+1,1))</f>
        <v>469.5773392354356</v>
      </c>
      <c r="T23" s="59">
        <f t="shared" si="34"/>
        <v>187.25344022835239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4.4545454545454541</v>
      </c>
      <c r="AI23" s="13">
        <f>IF('Données projet'!$A$62&gt;35,AI22+AH23-AQ22,IF(A23&lt;'Données projet'!$A$62,$AF$205^A23,IF(A23='Données projet'!$A$62,'Données projet'!$B$62,AI22+AH23-AQ22)))</f>
        <v>35.72727272727272</v>
      </c>
      <c r="AJ23" s="13">
        <f>AI23*VLOOKUP('Données projet'!$B$10,Paramètres!$A$1:$I$89,3,0)*VLOOKUP('Données projet'!$B$10,Paramètres!$A$1:$I$89,5,0)</f>
        <v>34.555418181818176</v>
      </c>
      <c r="AK23" s="13">
        <f t="shared" si="35"/>
        <v>10.543503285929578</v>
      </c>
      <c r="AL23" s="20">
        <f t="shared" si="4"/>
        <v>78.547288222994013</v>
      </c>
      <c r="AM23" s="59">
        <f t="shared" si="5"/>
        <v>295.06199110988973</v>
      </c>
      <c r="AN23" s="59">
        <f ca="1">AVERAGE(OFFSET($AM$3,0,0,'Données projet'!$E$10+1,1))-AVERAGE(OFFSET($H$3,0,0,'Données projet'!$E$10+1,1))</f>
        <v>370.91255999489181</v>
      </c>
      <c r="AO23" s="59">
        <f t="shared" si="36"/>
        <v>196.07869248605735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4.4545454545454541</v>
      </c>
      <c r="BD23" s="12">
        <f>IF('Données projet'!$A$88&gt;35,BD22+BC23-BL22,IF(A23&lt;'Données projet'!$A$88,$BA$205^A23,IF(A23='Données projet'!$A$88,'Données projet'!$B$88,BD22+BC23-BL22)))</f>
        <v>35.72727272727272</v>
      </c>
      <c r="BE23" s="13">
        <f>BD23*VLOOKUP('Données projet'!$B$11,Paramètres!$A$1:$I$89,3,0)*VLOOKUP('Données projet'!$B$11,Paramètres!$A$1:$I$89,5,0)</f>
        <v>38.456836363636356</v>
      </c>
      <c r="BF23" s="13">
        <f t="shared" si="37"/>
        <v>11.58869939034334</v>
      </c>
      <c r="BG23" s="20">
        <f t="shared" si="7"/>
        <v>87.162641438181296</v>
      </c>
      <c r="BH23" s="59">
        <f t="shared" si="8"/>
        <v>303.677344325077</v>
      </c>
      <c r="BI23" s="59">
        <f ca="1">AVERAGE(OFFSET($BH$3,0,0,'Données projet'!$E$11+1,1))-AVERAGE(OFFSET($H$3,0,0,'Données projet'!$E$11+1,1))</f>
        <v>404.24955007425774</v>
      </c>
      <c r="BJ23" s="59">
        <f t="shared" si="38"/>
        <v>211.49137630071019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4.4545454545454541</v>
      </c>
      <c r="BY23" s="12">
        <f>IF('Données projet'!$A$114&gt;35,BY22+BX23-CG22,IF(A23&lt;'Données projet'!$A$114,$BV$205^A23,IF(A23='Données projet'!$A$114,'Données projet'!$B$114,BY22+BX23-CG22)))</f>
        <v>35.72727272727272</v>
      </c>
      <c r="BZ23" s="13">
        <f>BY23*VLOOKUP('Données projet'!$B$12,Paramètres!$A$1:$I$89,3,0)*VLOOKUP('Données projet'!$B$12,Paramètres!$A$1:$I$89,5,0)</f>
        <v>27.867272727272724</v>
      </c>
      <c r="CA23" s="13">
        <f t="shared" si="39"/>
        <v>8.7184149789231782</v>
      </c>
      <c r="CB23" s="20">
        <f t="shared" si="10"/>
        <v>63.720072754957847</v>
      </c>
      <c r="CC23" s="59">
        <f t="shared" si="11"/>
        <v>280.23477564185356</v>
      </c>
      <c r="CD23" s="59">
        <f ca="1">AVERAGE(OFFSET($CC$3,0,0,'Données projet'!$E$12+1,1))-AVERAGE(OFFSET($H$3,0,0,'Données projet'!$E$12+1,1))</f>
        <v>250.01410333089137</v>
      </c>
      <c r="CE23" s="59">
        <f t="shared" si="40"/>
        <v>169.55868564318885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4.4545454545454541</v>
      </c>
      <c r="N24" s="13">
        <f>IF('Données projet'!$A$36&gt;35,N23+M24-V23,IF(A24&lt;'Données projet'!$A$36,$K$205^A24,IF(A24='Données projet'!$A$36,'Données projet'!$B$36,N23+M24-V23)))</f>
        <v>40.181818181818173</v>
      </c>
      <c r="O24" s="13">
        <f>N24*VLOOKUP('Données projet'!$B$9,Paramètres!$A$1:$I$89,3,0)*VLOOKUP('Données projet'!$B$9,Paramètres!$A$1:$I$89,5,0)</f>
        <v>36.356509090909078</v>
      </c>
      <c r="P24" s="13">
        <f t="shared" si="33"/>
        <v>11.027637350668289</v>
      </c>
      <c r="Q24" s="20">
        <f t="shared" si="2"/>
        <v>82.527388385747244</v>
      </c>
      <c r="R24" s="59">
        <f t="shared" si="0"/>
        <v>301.38491676162164</v>
      </c>
      <c r="S24" s="59">
        <f ca="1">AVERAGE(OFFSET($R$3,0,0,'Données projet'!$E$9+1,1))-AVERAGE(OFFSET($H$3,0,0,'Données projet'!$E$9+1,1))</f>
        <v>469.5773392354356</v>
      </c>
      <c r="T24" s="59">
        <f t="shared" si="34"/>
        <v>187.25344022835239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4.4545454545454541</v>
      </c>
      <c r="AI24" s="13">
        <f>IF('Données projet'!$A$62&gt;35,AI23+AH24-AQ23,IF(A24&lt;'Données projet'!$A$62,$AF$205^A24,IF(A24='Données projet'!$A$62,'Données projet'!$B$62,AI23+AH24-AQ23)))</f>
        <v>40.181818181818173</v>
      </c>
      <c r="AJ24" s="13">
        <f>AI24*VLOOKUP('Données projet'!$B$10,Paramètres!$A$1:$I$89,3,0)*VLOOKUP('Données projet'!$B$10,Paramètres!$A$1:$I$89,5,0)</f>
        <v>38.863854545454537</v>
      </c>
      <c r="AK24" s="13">
        <f t="shared" si="35"/>
        <v>11.697008281993863</v>
      </c>
      <c r="AL24" s="20">
        <f t="shared" si="4"/>
        <v>88.060169424472633</v>
      </c>
      <c r="AM24" s="59">
        <f t="shared" si="5"/>
        <v>306.91769780034701</v>
      </c>
      <c r="AN24" s="59">
        <f ca="1">AVERAGE(OFFSET($AM$3,0,0,'Données projet'!$E$10+1,1))-AVERAGE(OFFSET($H$3,0,0,'Données projet'!$E$10+1,1))</f>
        <v>370.91255999489181</v>
      </c>
      <c r="AO24" s="59">
        <f t="shared" si="36"/>
        <v>196.07869248605735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4.4545454545454541</v>
      </c>
      <c r="BD24" s="12">
        <f>IF('Données projet'!$A$88&gt;35,BD23+BC24-BL23,IF(A24&lt;'Données projet'!$A$88,$BA$205^A24,IF(A24='Données projet'!$A$88,'Données projet'!$B$88,BD23+BC24-BL23)))</f>
        <v>40.181818181818173</v>
      </c>
      <c r="BE24" s="13">
        <f>BD24*VLOOKUP('Données projet'!$B$11,Paramètres!$A$1:$I$89,3,0)*VLOOKUP('Données projet'!$B$11,Paramètres!$A$1:$I$89,5,0)</f>
        <v>43.251709090909074</v>
      </c>
      <c r="BF24" s="13">
        <f t="shared" si="37"/>
        <v>12.856553374178811</v>
      </c>
      <c r="BG24" s="20">
        <f t="shared" si="7"/>
        <v>97.721890460028064</v>
      </c>
      <c r="BH24" s="59">
        <f t="shared" si="8"/>
        <v>316.57941883590246</v>
      </c>
      <c r="BI24" s="59">
        <f ca="1">AVERAGE(OFFSET($BH$3,0,0,'Données projet'!$E$11+1,1))-AVERAGE(OFFSET($H$3,0,0,'Données projet'!$E$11+1,1))</f>
        <v>404.24955007425774</v>
      </c>
      <c r="BJ24" s="59">
        <f t="shared" si="38"/>
        <v>211.49137630071019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4.4545454545454541</v>
      </c>
      <c r="BY24" s="12">
        <f>IF('Données projet'!$A$114&gt;35,BY23+BX24-CG23,IF(A24&lt;'Données projet'!$A$114,$BV$205^A24,IF(A24='Données projet'!$A$114,'Données projet'!$B$114,BY23+BX24-CG23)))</f>
        <v>40.181818181818173</v>
      </c>
      <c r="BZ24" s="13">
        <f>BY24*VLOOKUP('Données projet'!$B$12,Paramètres!$A$1:$I$89,3,0)*VLOOKUP('Données projet'!$B$12,Paramètres!$A$1:$I$89,5,0)</f>
        <v>31.341818181818176</v>
      </c>
      <c r="CA24" s="13">
        <f t="shared" si="39"/>
        <v>9.6722473971641314</v>
      </c>
      <c r="CB24" s="20">
        <f t="shared" si="10"/>
        <v>71.432830883394203</v>
      </c>
      <c r="CC24" s="59">
        <f t="shared" si="11"/>
        <v>290.2903592592686</v>
      </c>
      <c r="CD24" s="59">
        <f ca="1">AVERAGE(OFFSET($CC$3,0,0,'Données projet'!$E$12+1,1))-AVERAGE(OFFSET($H$3,0,0,'Données projet'!$E$12+1,1))</f>
        <v>250.01410333089137</v>
      </c>
      <c r="CE24" s="59">
        <f t="shared" si="40"/>
        <v>169.55868564318885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4.4545454545454541</v>
      </c>
      <c r="N25" s="13">
        <f>IF('Données projet'!$A$36&gt;35,N24+M25-V24,IF(A25&lt;'Données projet'!$A$36,$K$205^A25,IF(A25='Données projet'!$A$36,'Données projet'!$B$36,N24+M25-V24)))</f>
        <v>44.636363636363626</v>
      </c>
      <c r="O25" s="13">
        <f>N25*VLOOKUP('Données projet'!$B$9,Paramètres!$A$1:$I$89,3,0)*VLOOKUP('Données projet'!$B$9,Paramètres!$A$1:$I$89,5,0)</f>
        <v>40.386981818181802</v>
      </c>
      <c r="P25" s="13">
        <f t="shared" si="33"/>
        <v>12.101158934428534</v>
      </c>
      <c r="Q25" s="20">
        <f t="shared" si="2"/>
        <v>91.416845144129653</v>
      </c>
      <c r="R25" s="59">
        <f t="shared" si="0"/>
        <v>312.59775904759806</v>
      </c>
      <c r="S25" s="59">
        <f ca="1">AVERAGE(OFFSET($R$3,0,0,'Données projet'!$E$9+1,1))-AVERAGE(OFFSET($H$3,0,0,'Données projet'!$E$9+1,1))</f>
        <v>469.5773392354356</v>
      </c>
      <c r="T25" s="59">
        <f t="shared" si="34"/>
        <v>187.25344022835239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4.4545454545454541</v>
      </c>
      <c r="AI25" s="13">
        <f>IF('Données projet'!$A$62&gt;35,AI24+AH25-AQ24,IF(A25&lt;'Données projet'!$A$62,$AF$205^A25,IF(A25='Données projet'!$A$62,'Données projet'!$B$62,AI24+AH25-AQ24)))</f>
        <v>44.636363636363626</v>
      </c>
      <c r="AJ25" s="13">
        <f>AI25*VLOOKUP('Données projet'!$B$10,Paramètres!$A$1:$I$89,3,0)*VLOOKUP('Données projet'!$B$10,Paramètres!$A$1:$I$89,5,0)</f>
        <v>43.172290909090904</v>
      </c>
      <c r="AK25" s="13">
        <f t="shared" si="35"/>
        <v>12.835691977951805</v>
      </c>
      <c r="AL25" s="20">
        <f t="shared" si="4"/>
        <v>97.547236861599387</v>
      </c>
      <c r="AM25" s="59">
        <f t="shared" si="5"/>
        <v>318.72815076506777</v>
      </c>
      <c r="AN25" s="59">
        <f ca="1">AVERAGE(OFFSET($AM$3,0,0,'Données projet'!$E$10+1,1))-AVERAGE(OFFSET($H$3,0,0,'Données projet'!$E$10+1,1))</f>
        <v>370.91255999489181</v>
      </c>
      <c r="AO25" s="59">
        <f t="shared" si="36"/>
        <v>196.07869248605735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4.4545454545454541</v>
      </c>
      <c r="BD25" s="12">
        <f>IF('Données projet'!$A$88&gt;35,BD24+BC25-BL24,IF(A25&lt;'Données projet'!$A$88,$BA$205^A25,IF(A25='Données projet'!$A$88,'Données projet'!$B$88,BD24+BC25-BL24)))</f>
        <v>44.636363636363626</v>
      </c>
      <c r="BE25" s="13">
        <f>BD25*VLOOKUP('Données projet'!$B$11,Paramètres!$A$1:$I$89,3,0)*VLOOKUP('Données projet'!$B$11,Paramètres!$A$1:$I$89,5,0)</f>
        <v>48.046581818181807</v>
      </c>
      <c r="BF25" s="13">
        <f t="shared" si="37"/>
        <v>14.108116796248563</v>
      </c>
      <c r="BG25" s="20">
        <f t="shared" si="7"/>
        <v>108.25276675346623</v>
      </c>
      <c r="BH25" s="59">
        <f t="shared" si="8"/>
        <v>329.4336806569346</v>
      </c>
      <c r="BI25" s="59">
        <f ca="1">AVERAGE(OFFSET($BH$3,0,0,'Données projet'!$E$11+1,1))-AVERAGE(OFFSET($H$3,0,0,'Données projet'!$E$11+1,1))</f>
        <v>404.24955007425774</v>
      </c>
      <c r="BJ25" s="59">
        <f t="shared" si="38"/>
        <v>211.49137630071019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4.4545454545454541</v>
      </c>
      <c r="BY25" s="12">
        <f>IF('Données projet'!$A$114&gt;35,BY24+BX25-CG24,IF(A25&lt;'Données projet'!$A$114,$BV$205^A25,IF(A25='Données projet'!$A$114,'Données projet'!$B$114,BY24+BX25-CG24)))</f>
        <v>44.636363636363626</v>
      </c>
      <c r="BZ25" s="13">
        <f>BY25*VLOOKUP('Données projet'!$B$12,Paramètres!$A$1:$I$89,3,0)*VLOOKUP('Données projet'!$B$12,Paramètres!$A$1:$I$89,5,0)</f>
        <v>34.816363636363633</v>
      </c>
      <c r="CA25" s="13">
        <f t="shared" si="39"/>
        <v>10.613824093435825</v>
      </c>
      <c r="CB25" s="20">
        <f t="shared" si="10"/>
        <v>79.124243629400709</v>
      </c>
      <c r="CC25" s="59">
        <f t="shared" si="11"/>
        <v>300.30515753286909</v>
      </c>
      <c r="CD25" s="59">
        <f ca="1">AVERAGE(OFFSET($CC$3,0,0,'Données projet'!$E$12+1,1))-AVERAGE(OFFSET($H$3,0,0,'Données projet'!$E$12+1,1))</f>
        <v>250.01410333089137</v>
      </c>
      <c r="CE25" s="59">
        <f t="shared" si="40"/>
        <v>169.55868564318885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4.4545454545454541</v>
      </c>
      <c r="N26" s="13">
        <f>IF('Données projet'!$A$36&gt;35,N25+M26-V25,IF(A26&lt;'Données projet'!$A$36,$K$205^A26,IF(A26='Données projet'!$A$36,'Données projet'!$B$36,N25+M26-V25)))</f>
        <v>49.090909090909079</v>
      </c>
      <c r="O26" s="13">
        <f>N26*VLOOKUP('Données projet'!$B$9,Paramètres!$A$1:$I$89,3,0)*VLOOKUP('Données projet'!$B$9,Paramètres!$A$1:$I$89,5,0)</f>
        <v>44.417454545454532</v>
      </c>
      <c r="P26" s="13">
        <f t="shared" si="33"/>
        <v>13.162260584928445</v>
      </c>
      <c r="Q26" s="20">
        <f t="shared" si="2"/>
        <v>100.28467051875036</v>
      </c>
      <c r="R26" s="59">
        <f t="shared" si="0"/>
        <v>323.76986722829685</v>
      </c>
      <c r="S26" s="59">
        <f ca="1">AVERAGE(OFFSET($R$3,0,0,'Données projet'!$E$9+1,1))-AVERAGE(OFFSET($H$3,0,0,'Données projet'!$E$9+1,1))</f>
        <v>469.5773392354356</v>
      </c>
      <c r="T26" s="59">
        <f t="shared" si="34"/>
        <v>187.25344022835239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4.4545454545454541</v>
      </c>
      <c r="AI26" s="13">
        <f>IF('Données projet'!$A$62&gt;35,AI25+AH26-AQ25,IF(A26&lt;'Données projet'!$A$62,$AF$205^A26,IF(A26='Données projet'!$A$62,'Données projet'!$B$62,AI25+AH26-AQ25)))</f>
        <v>49.090909090909079</v>
      </c>
      <c r="AJ26" s="13">
        <f>AI26*VLOOKUP('Données projet'!$B$10,Paramètres!$A$1:$I$89,3,0)*VLOOKUP('Données projet'!$B$10,Paramètres!$A$1:$I$89,5,0)</f>
        <v>47.480727272727265</v>
      </c>
      <c r="AK26" s="13">
        <f t="shared" si="35"/>
        <v>13.961201858196702</v>
      </c>
      <c r="AL26" s="20">
        <f t="shared" si="4"/>
        <v>107.01135990302591</v>
      </c>
      <c r="AM26" s="59">
        <f t="shared" si="5"/>
        <v>330.49655661257242</v>
      </c>
      <c r="AN26" s="59">
        <f ca="1">AVERAGE(OFFSET($AM$3,0,0,'Données projet'!$E$10+1,1))-AVERAGE(OFFSET($H$3,0,0,'Données projet'!$E$10+1,1))</f>
        <v>370.91255999489181</v>
      </c>
      <c r="AO26" s="59">
        <f t="shared" si="36"/>
        <v>196.07869248605735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4.4545454545454541</v>
      </c>
      <c r="BD26" s="12">
        <f>IF('Données projet'!$A$88&gt;35,BD25+BC26-BL25,IF(A26&lt;'Données projet'!$A$88,$BA$205^A26,IF(A26='Données projet'!$A$88,'Données projet'!$B$88,BD25+BC26-BL25)))</f>
        <v>49.090909090909079</v>
      </c>
      <c r="BE26" s="13">
        <f>BD26*VLOOKUP('Données projet'!$B$11,Paramètres!$A$1:$I$89,3,0)*VLOOKUP('Données projet'!$B$11,Paramètres!$A$1:$I$89,5,0)</f>
        <v>52.841454545454525</v>
      </c>
      <c r="BF26" s="13">
        <f t="shared" si="37"/>
        <v>15.345200458983863</v>
      </c>
      <c r="BG26" s="20">
        <f t="shared" si="7"/>
        <v>118.75842413273021</v>
      </c>
      <c r="BH26" s="59">
        <f t="shared" si="8"/>
        <v>342.2436208422767</v>
      </c>
      <c r="BI26" s="59">
        <f ca="1">AVERAGE(OFFSET($BH$3,0,0,'Données projet'!$E$11+1,1))-AVERAGE(OFFSET($H$3,0,0,'Données projet'!$E$11+1,1))</f>
        <v>404.24955007425774</v>
      </c>
      <c r="BJ26" s="59">
        <f t="shared" si="38"/>
        <v>211.49137630071019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4.4545454545454541</v>
      </c>
      <c r="BY26" s="12">
        <f>IF('Données projet'!$A$114&gt;35,BY25+BX26-CG25,IF(A26&lt;'Données projet'!$A$114,$BV$205^A26,IF(A26='Données projet'!$A$114,'Données projet'!$B$114,BY25+BX26-CG25)))</f>
        <v>49.090909090909079</v>
      </c>
      <c r="BZ26" s="13">
        <f>BY26*VLOOKUP('Données projet'!$B$12,Paramètres!$A$1:$I$89,3,0)*VLOOKUP('Données projet'!$B$12,Paramètres!$A$1:$I$89,5,0)</f>
        <v>38.290909090909082</v>
      </c>
      <c r="CA26" s="13">
        <f t="shared" si="39"/>
        <v>11.544507371350495</v>
      </c>
      <c r="CB26" s="20">
        <f t="shared" si="10"/>
        <v>86.796683671768747</v>
      </c>
      <c r="CC26" s="59">
        <f t="shared" si="11"/>
        <v>310.28188038131526</v>
      </c>
      <c r="CD26" s="59">
        <f ca="1">AVERAGE(OFFSET($CC$3,0,0,'Données projet'!$E$12+1,1))-AVERAGE(OFFSET($H$3,0,0,'Données projet'!$E$12+1,1))</f>
        <v>250.01410333089137</v>
      </c>
      <c r="CE26" s="59">
        <f t="shared" si="40"/>
        <v>169.55868564318885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4.4545454545454541</v>
      </c>
      <c r="N27" s="13">
        <f>IF('Données projet'!$A$36&gt;35,N26+M27-V26,IF(A27&lt;'Données projet'!$A$36,$K$205^A27,IF(A27='Données projet'!$A$36,'Données projet'!$B$36,N26+M27-V26)))</f>
        <v>53.545454545454533</v>
      </c>
      <c r="O27" s="13">
        <f>N27*VLOOKUP('Données projet'!$B$9,Paramètres!$A$1:$I$89,3,0)*VLOOKUP('Données projet'!$B$9,Paramètres!$A$1:$I$89,5,0)</f>
        <v>48.447927272727263</v>
      </c>
      <c r="P27" s="13">
        <f t="shared" si="33"/>
        <v>14.212197464569321</v>
      </c>
      <c r="Q27" s="20">
        <f t="shared" si="2"/>
        <v>109.13305058412489</v>
      </c>
      <c r="R27" s="59">
        <f t="shared" si="0"/>
        <v>334.9037587677447</v>
      </c>
      <c r="S27" s="59">
        <f ca="1">AVERAGE(OFFSET($R$3,0,0,'Données projet'!$E$9+1,1))-AVERAGE(OFFSET($H$3,0,0,'Données projet'!$E$9+1,1))</f>
        <v>469.5773392354356</v>
      </c>
      <c r="T27" s="59">
        <f t="shared" si="34"/>
        <v>187.25344022835239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4.4545454545454541</v>
      </c>
      <c r="AI27" s="13">
        <f>IF('Données projet'!$A$62&gt;35,AI26+AH27-AQ26,IF(A27&lt;'Données projet'!$A$62,$AF$205^A27,IF(A27='Données projet'!$A$62,'Données projet'!$B$62,AI26+AH27-AQ26)))</f>
        <v>53.545454545454533</v>
      </c>
      <c r="AJ27" s="13">
        <f>AI27*VLOOKUP('Données projet'!$B$10,Paramètres!$A$1:$I$89,3,0)*VLOOKUP('Données projet'!$B$10,Paramètres!$A$1:$I$89,5,0)</f>
        <v>51.789163636363625</v>
      </c>
      <c r="AK27" s="13">
        <f t="shared" si="35"/>
        <v>15.07486927273005</v>
      </c>
      <c r="AL27" s="20">
        <f t="shared" si="4"/>
        <v>116.45485731667149</v>
      </c>
      <c r="AM27" s="59">
        <f t="shared" si="5"/>
        <v>342.22556550029128</v>
      </c>
      <c r="AN27" s="59">
        <f ca="1">AVERAGE(OFFSET($AM$3,0,0,'Données projet'!$E$10+1,1))-AVERAGE(OFFSET($H$3,0,0,'Données projet'!$E$10+1,1))</f>
        <v>370.91255999489181</v>
      </c>
      <c r="AO27" s="59">
        <f t="shared" si="36"/>
        <v>196.07869248605735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4.4545454545454541</v>
      </c>
      <c r="BD27" s="12">
        <f>IF('Données projet'!$A$88&gt;35,BD26+BC27-BL26,IF(A27&lt;'Données projet'!$A$88,$BA$205^A27,IF(A27='Données projet'!$A$88,'Données projet'!$B$88,BD26+BC27-BL26)))</f>
        <v>53.545454545454533</v>
      </c>
      <c r="BE27" s="13">
        <f>BD27*VLOOKUP('Données projet'!$B$11,Paramètres!$A$1:$I$89,3,0)*VLOOKUP('Données projet'!$B$11,Paramètres!$A$1:$I$89,5,0)</f>
        <v>57.63632727272725</v>
      </c>
      <c r="BF27" s="13">
        <f t="shared" si="37"/>
        <v>16.569267691463498</v>
      </c>
      <c r="BG27" s="20">
        <f t="shared" si="7"/>
        <v>129.24141122929888</v>
      </c>
      <c r="BH27" s="59">
        <f t="shared" si="8"/>
        <v>355.01211941291865</v>
      </c>
      <c r="BI27" s="59">
        <f ca="1">AVERAGE(OFFSET($BH$3,0,0,'Données projet'!$E$11+1,1))-AVERAGE(OFFSET($H$3,0,0,'Données projet'!$E$11+1,1))</f>
        <v>404.24955007425774</v>
      </c>
      <c r="BJ27" s="59">
        <f t="shared" si="38"/>
        <v>211.49137630071019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4.4545454545454541</v>
      </c>
      <c r="BY27" s="12">
        <f>IF('Données projet'!$A$114&gt;35,BY26+BX27-CG26,IF(A27&lt;'Données projet'!$A$114,$BV$205^A27,IF(A27='Données projet'!$A$114,'Données projet'!$B$114,BY26+BX27-CG26)))</f>
        <v>53.545454545454533</v>
      </c>
      <c r="BZ27" s="13">
        <f>BY27*VLOOKUP('Données projet'!$B$12,Paramètres!$A$1:$I$89,3,0)*VLOOKUP('Données projet'!$B$12,Paramètres!$A$1:$I$89,5,0)</f>
        <v>41.765454545454539</v>
      </c>
      <c r="CA27" s="13">
        <f t="shared" si="39"/>
        <v>12.465398123228336</v>
      </c>
      <c r="CB27" s="20">
        <f t="shared" si="10"/>
        <v>94.452068397955998</v>
      </c>
      <c r="CC27" s="59">
        <f t="shared" si="11"/>
        <v>320.22277658157577</v>
      </c>
      <c r="CD27" s="59">
        <f ca="1">AVERAGE(OFFSET($CC$3,0,0,'Données projet'!$E$12+1,1))-AVERAGE(OFFSET($H$3,0,0,'Données projet'!$E$12+1,1))</f>
        <v>250.01410333089137</v>
      </c>
      <c r="CE27" s="59">
        <f t="shared" si="40"/>
        <v>169.55868564318885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58</v>
      </c>
      <c r="L28" s="12">
        <f>VLOOKUP(A28,'Données projet'!$A$35:$I$55,9,0)</f>
        <v>4.4545454545454541</v>
      </c>
      <c r="M28" s="12">
        <f t="array" ref="M28">INDEX(L:L,MIN(IF(ISNUMBER(L28:L224),ROW(L28:L224),"")))</f>
        <v>4.4545454545454541</v>
      </c>
      <c r="N28" s="13">
        <f>IF('Données projet'!$A$36&gt;35,N27+M28-V27,IF(A28&lt;'Données projet'!$A$36,$K$205^A28,IF(A28='Données projet'!$A$36,'Données projet'!$B$36,N27+M28-V27)))</f>
        <v>57.999999999999986</v>
      </c>
      <c r="O28" s="13">
        <f>N28*VLOOKUP('Données projet'!$B$9,Paramètres!$A$1:$I$89,3,0)*VLOOKUP('Données projet'!$B$9,Paramètres!$A$1:$I$89,5,0)</f>
        <v>52.478399999999979</v>
      </c>
      <c r="P28" s="13">
        <f t="shared" si="33"/>
        <v>15.252003989463883</v>
      </c>
      <c r="Q28" s="20">
        <f t="shared" si="2"/>
        <v>117.96378694831623</v>
      </c>
      <c r="R28" s="59">
        <f t="shared" si="0"/>
        <v>346.00156091464834</v>
      </c>
      <c r="S28" s="59">
        <f ca="1">AVERAGE(OFFSET($R$3,0,0,'Données projet'!$E$9+1,1))-AVERAGE(OFFSET($H$3,0,0,'Données projet'!$E$9+1,1))</f>
        <v>469.5773392354356</v>
      </c>
      <c r="T28" s="59">
        <f t="shared" si="34"/>
        <v>187.25344022835239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58</v>
      </c>
      <c r="AG28" s="12">
        <f>VLOOKUP(A28,'Données projet'!$A$61:$I$81,9,0)</f>
        <v>4.4545454545454541</v>
      </c>
      <c r="AH28" s="12">
        <f t="array" ref="AH28">INDEX(AG:AG,MIN(IF(ISNUMBER(AG28:AG224),ROW(AG28:AG224),"")))</f>
        <v>4.4545454545454541</v>
      </c>
      <c r="AI28" s="13">
        <f>IF('Données projet'!$A$62&gt;35,AI27+AH28-AQ27,IF(A28&lt;'Données projet'!$A$62,$AF$205^A28,IF(A28='Données projet'!$A$62,'Données projet'!$B$62,AI27+AH28-AQ27)))</f>
        <v>57.999999999999986</v>
      </c>
      <c r="AJ28" s="13">
        <f>AI28*VLOOKUP('Données projet'!$B$10,Paramètres!$A$1:$I$89,3,0)*VLOOKUP('Données projet'!$B$10,Paramètres!$A$1:$I$89,5,0)</f>
        <v>56.097599999999993</v>
      </c>
      <c r="AK28" s="13">
        <f t="shared" si="35"/>
        <v>16.177791426098278</v>
      </c>
      <c r="AL28" s="20">
        <f t="shared" si="4"/>
        <v>125.87964006712114</v>
      </c>
      <c r="AM28" s="59">
        <f t="shared" si="5"/>
        <v>353.91741403345327</v>
      </c>
      <c r="AN28" s="59">
        <f ca="1">AVERAGE(OFFSET($AM$3,0,0,'Données projet'!$E$10+1,1))-AVERAGE(OFFSET($H$3,0,0,'Données projet'!$E$10+1,1))</f>
        <v>370.91255999489181</v>
      </c>
      <c r="AO28" s="59">
        <f t="shared" si="36"/>
        <v>196.07869248605735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8.7607606253407813</v>
      </c>
      <c r="AX28" s="21">
        <f t="shared" si="6"/>
        <v>8.7607606253407813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58</v>
      </c>
      <c r="BB28" s="12">
        <f>VLOOKUP(A28,'Données projet'!$A$87:$I$107,9,0)</f>
        <v>4.4545454545454541</v>
      </c>
      <c r="BC28" s="12">
        <f t="array" ref="BC28">INDEX(BB:BB,MIN(IF(ISNUMBER(BB28:BB224),ROW(BB28:BB224),"")))</f>
        <v>4.4545454545454541</v>
      </c>
      <c r="BD28" s="12">
        <f>IF('Données projet'!$A$88&gt;35,BD27+BC28-BL27,IF(A28&lt;'Données projet'!$A$88,$BA$205^A28,IF(A28='Données projet'!$A$88,'Données projet'!$B$88,BD27+BC28-BL27)))</f>
        <v>57.999999999999986</v>
      </c>
      <c r="BE28" s="13">
        <f>BD28*VLOOKUP('Données projet'!$B$11,Paramètres!$A$1:$I$89,3,0)*VLOOKUP('Données projet'!$B$11,Paramètres!$A$1:$I$89,5,0)</f>
        <v>62.431199999999983</v>
      </c>
      <c r="BF28" s="13">
        <f t="shared" si="37"/>
        <v>17.781524466058684</v>
      </c>
      <c r="BG28" s="20">
        <f t="shared" si="7"/>
        <v>139.70382844505215</v>
      </c>
      <c r="BH28" s="59">
        <f t="shared" si="8"/>
        <v>367.74160241138429</v>
      </c>
      <c r="BI28" s="59">
        <f ca="1">AVERAGE(OFFSET($BH$3,0,0,'Données projet'!$E$11+1,1))-AVERAGE(OFFSET($H$3,0,0,'Données projet'!$E$11+1,1))</f>
        <v>404.24955007425774</v>
      </c>
      <c r="BJ28" s="59">
        <f t="shared" si="38"/>
        <v>211.49137630071019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24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0.4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9.749878760459902</v>
      </c>
      <c r="BS28" s="22">
        <f t="shared" si="9"/>
        <v>9.749878760459902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58</v>
      </c>
      <c r="BW28" s="12">
        <f>VLOOKUP(A28,'Données projet'!$A$113:$I$133,9,0)</f>
        <v>4.4545454545454541</v>
      </c>
      <c r="BX28" s="12">
        <f t="array" ref="BX28">INDEX(BW:BW,MIN(IF(ISNUMBER(BW28:BW224),ROW(BW28:BW224),"")))</f>
        <v>4.4545454545454541</v>
      </c>
      <c r="BY28" s="12">
        <f>IF('Données projet'!$A$114&gt;35,BY27+BX28-CG27,IF(A28&lt;'Données projet'!$A$114,$BV$205^A28,IF(A28='Données projet'!$A$114,'Données projet'!$B$114,BY27+BX28-CG27)))</f>
        <v>57.999999999999986</v>
      </c>
      <c r="BZ28" s="13">
        <f>BY28*VLOOKUP('Données projet'!$B$12,Paramètres!$A$1:$I$89,3,0)*VLOOKUP('Données projet'!$B$12,Paramètres!$A$1:$I$89,5,0)</f>
        <v>45.239999999999988</v>
      </c>
      <c r="CA28" s="13">
        <f t="shared" si="39"/>
        <v>13.377403626687906</v>
      </c>
      <c r="CB28" s="20">
        <f t="shared" si="10"/>
        <v>102.09197798314807</v>
      </c>
      <c r="CC28" s="59">
        <f t="shared" si="11"/>
        <v>330.12975194948018</v>
      </c>
      <c r="CD28" s="59">
        <f ca="1">AVERAGE(OFFSET($CC$3,0,0,'Données projet'!$E$12+1,1))-AVERAGE(OFFSET($H$3,0,0,'Données projet'!$E$12+1,1))</f>
        <v>250.01410333089137</v>
      </c>
      <c r="CE28" s="59">
        <f t="shared" si="40"/>
        <v>169.55868564318885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24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0.4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7.0651295365651476</v>
      </c>
      <c r="CN28" s="22">
        <f t="shared" si="12"/>
        <v>7.0651295365651476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6.166666666666667</v>
      </c>
      <c r="N29" s="13">
        <f>IF('Données projet'!$A$36&gt;35,N28+M29-V28,IF(A29&lt;'Données projet'!$A$36,$K$205^A29,IF(A29='Données projet'!$A$36,'Données projet'!$B$36,N28+M29-V28)))</f>
        <v>40.166666666666657</v>
      </c>
      <c r="O29" s="13">
        <f>N29*VLOOKUP('Données projet'!$B$9,Paramètres!$A$1:$I$89,3,0)*VLOOKUP('Données projet'!$B$9,Paramètres!$A$1:$I$89,5,0)</f>
        <v>36.34279999999999</v>
      </c>
      <c r="P29" s="13">
        <f t="shared" si="33"/>
        <v>11.023963054200554</v>
      </c>
      <c r="Q29" s="20">
        <f t="shared" si="2"/>
        <v>82.497112319399278</v>
      </c>
      <c r="R29" s="59">
        <f t="shared" si="0"/>
        <v>312.78382636858947</v>
      </c>
      <c r="S29" s="59">
        <f ca="1">AVERAGE(OFFSET($R$3,0,0,'Données projet'!$E$9+1,1))-AVERAGE(OFFSET($H$3,0,0,'Données projet'!$E$9+1,1))</f>
        <v>469.5773392354356</v>
      </c>
      <c r="T29" s="59">
        <f t="shared" si="34"/>
        <v>187.25344022835239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6.166666666666667</v>
      </c>
      <c r="AI29" s="13">
        <f>IF('Données projet'!$A$62&gt;35,AI28+AH29-AQ28,IF(A29&lt;'Données projet'!$A$62,$AF$205^A29,IF(A29='Données projet'!$A$62,'Données projet'!$B$62,AI28+AH29-AQ28)))</f>
        <v>40.166666666666657</v>
      </c>
      <c r="AJ29" s="13">
        <f>AI29*VLOOKUP('Données projet'!$B$10,Paramètres!$A$1:$I$89,3,0)*VLOOKUP('Données projet'!$B$10,Paramètres!$A$1:$I$89,5,0)</f>
        <v>38.849199999999996</v>
      </c>
      <c r="AK29" s="13">
        <f t="shared" si="35"/>
        <v>11.693110957948205</v>
      </c>
      <c r="AL29" s="20">
        <f t="shared" si="4"/>
        <v>88.027858251759781</v>
      </c>
      <c r="AM29" s="59">
        <f t="shared" si="5"/>
        <v>318.31457230094998</v>
      </c>
      <c r="AN29" s="59">
        <f ca="1">AVERAGE(OFFSET($AM$3,0,0,'Données projet'!$E$10+1,1))-AVERAGE(OFFSET($H$3,0,0,'Données projet'!$E$10+1,1))</f>
        <v>370.91255999489181</v>
      </c>
      <c r="AO29" s="59">
        <f t="shared" si="36"/>
        <v>196.07869248605735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6.1947932465305655</v>
      </c>
      <c r="AX29" s="21">
        <f t="shared" si="6"/>
        <v>6.1947932465305655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6.166666666666667</v>
      </c>
      <c r="BD29" s="12">
        <f>IF('Données projet'!$A$88&gt;35,BD28+BC29-BL28,IF(A29&lt;'Données projet'!$A$88,$BA$205^A29,IF(A29='Données projet'!$A$88,'Données projet'!$B$88,BD28+BC29-BL28)))</f>
        <v>40.166666666666657</v>
      </c>
      <c r="BE29" s="13">
        <f>BD29*VLOOKUP('Données projet'!$B$11,Paramètres!$A$1:$I$89,3,0)*VLOOKUP('Données projet'!$B$11,Paramètres!$A$1:$I$89,5,0)</f>
        <v>43.235399999999991</v>
      </c>
      <c r="BF29" s="13">
        <f t="shared" si="37"/>
        <v>12.852269701516413</v>
      </c>
      <c r="BG29" s="20">
        <f t="shared" si="7"/>
        <v>97.686024730141071</v>
      </c>
      <c r="BH29" s="59">
        <f t="shared" si="8"/>
        <v>327.97273877933128</v>
      </c>
      <c r="BI29" s="59">
        <f ca="1">AVERAGE(OFFSET($BH$3,0,0,'Données projet'!$E$11+1,1))-AVERAGE(OFFSET($H$3,0,0,'Données projet'!$E$11+1,1))</f>
        <v>404.24955007425774</v>
      </c>
      <c r="BJ29" s="59">
        <f t="shared" si="38"/>
        <v>211.49137630071019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6.8942053872678875</v>
      </c>
      <c r="BS29" s="22">
        <f t="shared" si="9"/>
        <v>6.8942053872678875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6.166666666666667</v>
      </c>
      <c r="BY29" s="12">
        <f>IF('Données projet'!$A$114&gt;35,BY28+BX29-CG28,IF(A29&lt;'Données projet'!$A$114,$BV$205^A29,IF(A29='Données projet'!$A$114,'Données projet'!$B$114,BY28+BX29-CG28)))</f>
        <v>40.166666666666657</v>
      </c>
      <c r="BZ29" s="13">
        <f>BY29*VLOOKUP('Données projet'!$B$12,Paramètres!$A$1:$I$89,3,0)*VLOOKUP('Données projet'!$B$12,Paramètres!$A$1:$I$89,5,0)</f>
        <v>31.329999999999995</v>
      </c>
      <c r="CA29" s="13">
        <f t="shared" si="39"/>
        <v>9.6690247028265865</v>
      </c>
      <c r="CB29" s="20">
        <f t="shared" si="10"/>
        <v>71.406634690756292</v>
      </c>
      <c r="CC29" s="59">
        <f t="shared" si="11"/>
        <v>301.69334873994649</v>
      </c>
      <c r="CD29" s="59">
        <f ca="1">AVERAGE(OFFSET($CC$3,0,0,'Données projet'!$E$12+1,1))-AVERAGE(OFFSET($H$3,0,0,'Données projet'!$E$12+1,1))</f>
        <v>250.01410333089137</v>
      </c>
      <c r="CE29" s="59">
        <f t="shared" si="40"/>
        <v>169.55868564318885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4.9958010052665864</v>
      </c>
      <c r="CN29" s="22">
        <f t="shared" si="12"/>
        <v>4.9958010052665864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6.166666666666667</v>
      </c>
      <c r="N30" s="13">
        <f>IF('Données projet'!$A$36&gt;35,N29+M30-V29,IF(A30&lt;'Données projet'!$A$36,$K$205^A30,IF(A30='Données projet'!$A$36,'Données projet'!$B$36,N29+M30-V29)))</f>
        <v>46.333333333333321</v>
      </c>
      <c r="O30" s="13">
        <f>N30*VLOOKUP('Données projet'!$B$9,Paramètres!$A$1:$I$89,3,0)*VLOOKUP('Données projet'!$B$9,Paramètres!$A$1:$I$89,5,0)</f>
        <v>41.922399999999989</v>
      </c>
      <c r="P30" s="13">
        <f t="shared" si="33"/>
        <v>12.506778889785002</v>
      </c>
      <c r="Q30" s="20">
        <f t="shared" si="2"/>
        <v>94.797486566375525</v>
      </c>
      <c r="R30" s="59">
        <f t="shared" si="0"/>
        <v>327.31532943893905</v>
      </c>
      <c r="S30" s="59">
        <f ca="1">AVERAGE(OFFSET($R$3,0,0,'Données projet'!$E$9+1,1))-AVERAGE(OFFSET($H$3,0,0,'Données projet'!$E$9+1,1))</f>
        <v>469.5773392354356</v>
      </c>
      <c r="T30" s="59">
        <f t="shared" si="34"/>
        <v>187.25344022835239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6.166666666666667</v>
      </c>
      <c r="AI30" s="13">
        <f>IF('Données projet'!$A$62&gt;35,AI29+AH30-AQ29,IF(A30&lt;'Données projet'!$A$62,$AF$205^A30,IF(A30='Données projet'!$A$62,'Données projet'!$B$62,AI29+AH30-AQ29)))</f>
        <v>46.333333333333321</v>
      </c>
      <c r="AJ30" s="13">
        <f>AI30*VLOOKUP('Données projet'!$B$10,Paramètres!$A$1:$I$89,3,0)*VLOOKUP('Données projet'!$B$10,Paramètres!$A$1:$I$89,5,0)</f>
        <v>44.813599999999987</v>
      </c>
      <c r="AK30" s="13">
        <f t="shared" si="35"/>
        <v>13.265932819781717</v>
      </c>
      <c r="AL30" s="20">
        <f t="shared" si="4"/>
        <v>101.15518632778647</v>
      </c>
      <c r="AM30" s="59">
        <f t="shared" si="5"/>
        <v>333.67302920034996</v>
      </c>
      <c r="AN30" s="59">
        <f ca="1">AVERAGE(OFFSET($AM$3,0,0,'Données projet'!$E$10+1,1))-AVERAGE(OFFSET($H$3,0,0,'Données projet'!$E$10+1,1))</f>
        <v>370.91255999489181</v>
      </c>
      <c r="AO30" s="59">
        <f t="shared" si="36"/>
        <v>196.07869248605735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4.3803803126703915</v>
      </c>
      <c r="AX30" s="21">
        <f t="shared" si="6"/>
        <v>4.3803803126703915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6.166666666666667</v>
      </c>
      <c r="BD30" s="12">
        <f>IF('Données projet'!$A$88&gt;35,BD29+BC30-BL29,IF(A30&lt;'Données projet'!$A$88,$BA$205^A30,IF(A30='Données projet'!$A$88,'Données projet'!$B$88,BD29+BC30-BL29)))</f>
        <v>46.333333333333321</v>
      </c>
      <c r="BE30" s="13">
        <f>BD30*VLOOKUP('Données projet'!$B$11,Paramètres!$A$1:$I$89,3,0)*VLOOKUP('Données projet'!$B$11,Paramètres!$A$1:$I$89,5,0)</f>
        <v>49.873199999999983</v>
      </c>
      <c r="BF30" s="13">
        <f t="shared" si="37"/>
        <v>14.581008172691625</v>
      </c>
      <c r="BG30" s="20">
        <f t="shared" si="7"/>
        <v>112.25774590077121</v>
      </c>
      <c r="BH30" s="59">
        <f t="shared" si="8"/>
        <v>344.77558877333473</v>
      </c>
      <c r="BI30" s="59">
        <f ca="1">AVERAGE(OFFSET($BH$3,0,0,'Données projet'!$E$11+1,1))-AVERAGE(OFFSET($H$3,0,0,'Données projet'!$E$11+1,1))</f>
        <v>404.24955007425774</v>
      </c>
      <c r="BJ30" s="59">
        <f t="shared" si="38"/>
        <v>211.49137630071019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4.8749393802299519</v>
      </c>
      <c r="BS30" s="22">
        <f t="shared" si="9"/>
        <v>4.8749393802299519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6.166666666666667</v>
      </c>
      <c r="BY30" s="12">
        <f>IF('Données projet'!$A$114&gt;35,BY29+BX30-CG29,IF(A30&lt;'Données projet'!$A$114,$BV$205^A30,IF(A30='Données projet'!$A$114,'Données projet'!$B$114,BY29+BX30-CG29)))</f>
        <v>46.333333333333321</v>
      </c>
      <c r="BZ30" s="13">
        <f>BY30*VLOOKUP('Données projet'!$B$12,Paramètres!$A$1:$I$89,3,0)*VLOOKUP('Données projet'!$B$12,Paramètres!$A$1:$I$89,5,0)</f>
        <v>36.139999999999993</v>
      </c>
      <c r="CA30" s="13">
        <f t="shared" si="39"/>
        <v>10.969589923656621</v>
      </c>
      <c r="CB30" s="20">
        <f t="shared" si="10"/>
        <v>82.049202450368611</v>
      </c>
      <c r="CC30" s="59">
        <f t="shared" si="11"/>
        <v>314.56704532293213</v>
      </c>
      <c r="CD30" s="59">
        <f ca="1">AVERAGE(OFFSET($CC$3,0,0,'Données projet'!$E$12+1,1))-AVERAGE(OFFSET($H$3,0,0,'Données projet'!$E$12+1,1))</f>
        <v>250.01410333089137</v>
      </c>
      <c r="CE30" s="59">
        <f t="shared" si="40"/>
        <v>169.55868564318885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3.5325647682825747</v>
      </c>
      <c r="CN30" s="22">
        <f t="shared" si="12"/>
        <v>3.5325647682825747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6.166666666666667</v>
      </c>
      <c r="N31" s="13">
        <f>IF('Données projet'!$A$36&gt;35,N30+M31-V30,IF(A31&lt;'Données projet'!$A$36,$K$205^A31,IF(A31='Données projet'!$A$36,'Données projet'!$B$36,N30+M31-V30)))</f>
        <v>52.499999999999986</v>
      </c>
      <c r="O31" s="13">
        <f>N31*VLOOKUP('Données projet'!$B$9,Paramètres!$A$1:$I$89,3,0)*VLOOKUP('Données projet'!$B$9,Paramètres!$A$1:$I$89,5,0)</f>
        <v>47.501999999999981</v>
      </c>
      <c r="P31" s="13">
        <f t="shared" si="33"/>
        <v>13.966728648675158</v>
      </c>
      <c r="Q31" s="20">
        <f t="shared" si="2"/>
        <v>107.05803572977585</v>
      </c>
      <c r="R31" s="59">
        <f t="shared" si="0"/>
        <v>341.78950515175995</v>
      </c>
      <c r="S31" s="59">
        <f ca="1">AVERAGE(OFFSET($R$3,0,0,'Données projet'!$E$9+1,1))-AVERAGE(OFFSET($H$3,0,0,'Données projet'!$E$9+1,1))</f>
        <v>469.5773392354356</v>
      </c>
      <c r="T31" s="59">
        <f t="shared" si="34"/>
        <v>187.25344022835239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6.166666666666667</v>
      </c>
      <c r="AI31" s="13">
        <f>IF('Données projet'!$A$62&gt;35,AI30+AH31-AQ30,IF(A31&lt;'Données projet'!$A$62,$AF$205^A31,IF(A31='Données projet'!$A$62,'Données projet'!$B$62,AI30+AH31-AQ30)))</f>
        <v>52.499999999999986</v>
      </c>
      <c r="AJ31" s="13">
        <f>AI31*VLOOKUP('Données projet'!$B$10,Paramètres!$A$1:$I$89,3,0)*VLOOKUP('Données projet'!$B$10,Paramètres!$A$1:$I$89,5,0)</f>
        <v>50.777999999999984</v>
      </c>
      <c r="AK31" s="13">
        <f t="shared" si="35"/>
        <v>14.814500647866696</v>
      </c>
      <c r="AL31" s="20">
        <f t="shared" si="4"/>
        <v>114.24027196170113</v>
      </c>
      <c r="AM31" s="59">
        <f t="shared" si="5"/>
        <v>348.97174138368518</v>
      </c>
      <c r="AN31" s="59">
        <f ca="1">AVERAGE(OFFSET($AM$3,0,0,'Données projet'!$E$10+1,1))-AVERAGE(OFFSET($H$3,0,0,'Données projet'!$E$10+1,1))</f>
        <v>370.91255999489181</v>
      </c>
      <c r="AO31" s="59">
        <f t="shared" si="36"/>
        <v>196.07869248605735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3.0973966232652832</v>
      </c>
      <c r="AX31" s="21">
        <f t="shared" si="6"/>
        <v>3.0973966232652832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6.166666666666667</v>
      </c>
      <c r="BD31" s="12">
        <f>IF('Données projet'!$A$88&gt;35,BD30+BC31-BL30,IF(A31&lt;'Données projet'!$A$88,$BA$205^A31,IF(A31='Données projet'!$A$88,'Données projet'!$B$88,BD30+BC31-BL30)))</f>
        <v>52.499999999999986</v>
      </c>
      <c r="BE31" s="13">
        <f>BD31*VLOOKUP('Données projet'!$B$11,Paramètres!$A$1:$I$89,3,0)*VLOOKUP('Données projet'!$B$11,Paramètres!$A$1:$I$89,5,0)</f>
        <v>56.510999999999981</v>
      </c>
      <c r="BF31" s="13">
        <f t="shared" si="37"/>
        <v>16.283088264911321</v>
      </c>
      <c r="BG31" s="20">
        <f t="shared" si="7"/>
        <v>126.78303706138718</v>
      </c>
      <c r="BH31" s="59">
        <f t="shared" si="8"/>
        <v>361.51450648337129</v>
      </c>
      <c r="BI31" s="59">
        <f ca="1">AVERAGE(OFFSET($BH$3,0,0,'Données projet'!$E$11+1,1))-AVERAGE(OFFSET($H$3,0,0,'Données projet'!$E$11+1,1))</f>
        <v>404.24955007425774</v>
      </c>
      <c r="BJ31" s="59">
        <f t="shared" si="38"/>
        <v>211.49137630071019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3.4471026936339446</v>
      </c>
      <c r="BS31" s="22">
        <f t="shared" si="9"/>
        <v>3.4471026936339446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6.166666666666667</v>
      </c>
      <c r="BY31" s="12">
        <f>IF('Données projet'!$A$114&gt;35,BY30+BX31-CG30,IF(A31&lt;'Données projet'!$A$114,$BV$205^A31,IF(A31='Données projet'!$A$114,'Données projet'!$B$114,BY30+BX31-CG30)))</f>
        <v>52.499999999999986</v>
      </c>
      <c r="BZ31" s="13">
        <f>BY31*VLOOKUP('Données projet'!$B$12,Paramètres!$A$1:$I$89,3,0)*VLOOKUP('Données projet'!$B$12,Paramètres!$A$1:$I$89,5,0)</f>
        <v>40.949999999999989</v>
      </c>
      <c r="CA31" s="13">
        <f t="shared" si="39"/>
        <v>12.250099502125844</v>
      </c>
      <c r="CB31" s="20">
        <f t="shared" si="10"/>
        <v>92.656839966202483</v>
      </c>
      <c r="CC31" s="59">
        <f t="shared" si="11"/>
        <v>327.3883093881866</v>
      </c>
      <c r="CD31" s="59">
        <f ca="1">AVERAGE(OFFSET($CC$3,0,0,'Données projet'!$E$12+1,1))-AVERAGE(OFFSET($H$3,0,0,'Données projet'!$E$12+1,1))</f>
        <v>250.01410333089137</v>
      </c>
      <c r="CE31" s="59">
        <f t="shared" si="40"/>
        <v>169.55868564318885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2.4979005026332937</v>
      </c>
      <c r="CN31" s="22">
        <f t="shared" si="12"/>
        <v>2.4979005026332937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6.166666666666667</v>
      </c>
      <c r="N32" s="13">
        <f>IF('Données projet'!$A$36&gt;35,N31+M32-V31,IF(A32&lt;'Données projet'!$A$36,$K$205^A32,IF(A32='Données projet'!$A$36,'Données projet'!$B$36,N31+M32-V31)))</f>
        <v>58.66666666666665</v>
      </c>
      <c r="O32" s="13">
        <f>N32*VLOOKUP('Données projet'!$B$9,Paramètres!$A$1:$I$89,3,0)*VLOOKUP('Données projet'!$B$9,Paramètres!$A$1:$I$89,5,0)</f>
        <v>53.081599999999987</v>
      </c>
      <c r="P32" s="13">
        <f t="shared" si="33"/>
        <v>15.406805065633717</v>
      </c>
      <c r="Q32" s="20">
        <f t="shared" si="2"/>
        <v>119.2839721559787</v>
      </c>
      <c r="R32" s="59">
        <f t="shared" si="0"/>
        <v>356.21186947875452</v>
      </c>
      <c r="S32" s="59">
        <f ca="1">AVERAGE(OFFSET($R$3,0,0,'Données projet'!$E$9+1,1))-AVERAGE(OFFSET($H$3,0,0,'Données projet'!$E$9+1,1))</f>
        <v>469.5773392354356</v>
      </c>
      <c r="T32" s="59">
        <f t="shared" si="34"/>
        <v>187.25344022835239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6.166666666666667</v>
      </c>
      <c r="AI32" s="13">
        <f>IF('Données projet'!$A$62&gt;35,AI31+AH32-AQ31,IF(A32&lt;'Données projet'!$A$62,$AF$205^A32,IF(A32='Données projet'!$A$62,'Données projet'!$B$62,AI31+AH32-AQ31)))</f>
        <v>58.66666666666665</v>
      </c>
      <c r="AJ32" s="13">
        <f>AI32*VLOOKUP('Données projet'!$B$10,Paramètres!$A$1:$I$89,3,0)*VLOOKUP('Données projet'!$B$10,Paramètres!$A$1:$I$89,5,0)</f>
        <v>56.742399999999982</v>
      </c>
      <c r="AK32" s="13">
        <f t="shared" si="35"/>
        <v>16.341988834159604</v>
      </c>
      <c r="AL32" s="20">
        <f t="shared" si="4"/>
        <v>127.28864388616127</v>
      </c>
      <c r="AM32" s="59">
        <f t="shared" si="5"/>
        <v>364.21654120893709</v>
      </c>
      <c r="AN32" s="59">
        <f ca="1">AVERAGE(OFFSET($AM$3,0,0,'Données projet'!$E$10+1,1))-AVERAGE(OFFSET($H$3,0,0,'Données projet'!$E$10+1,1))</f>
        <v>370.91255999489181</v>
      </c>
      <c r="AO32" s="59">
        <f t="shared" si="36"/>
        <v>196.07869248605735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2.1901901563351958</v>
      </c>
      <c r="AX32" s="21">
        <f t="shared" si="6"/>
        <v>2.1901901563351958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6.166666666666667</v>
      </c>
      <c r="BD32" s="12">
        <f>IF('Données projet'!$A$88&gt;35,BD31+BC32-BL31,IF(A32&lt;'Données projet'!$A$88,$BA$205^A32,IF(A32='Données projet'!$A$88,'Données projet'!$B$88,BD31+BC32-BL31)))</f>
        <v>58.66666666666665</v>
      </c>
      <c r="BE32" s="13">
        <f>BD32*VLOOKUP('Données projet'!$B$11,Paramètres!$A$1:$I$89,3,0)*VLOOKUP('Données projet'!$B$11,Paramètres!$A$1:$I$89,5,0)</f>
        <v>63.148799999999973</v>
      </c>
      <c r="BF32" s="13">
        <f t="shared" si="37"/>
        <v>17.961999053213756</v>
      </c>
      <c r="BG32" s="20">
        <f t="shared" si="7"/>
        <v>141.26797501768056</v>
      </c>
      <c r="BH32" s="59">
        <f t="shared" si="8"/>
        <v>378.19587234045639</v>
      </c>
      <c r="BI32" s="59">
        <f ca="1">AVERAGE(OFFSET($BH$3,0,0,'Données projet'!$E$11+1,1))-AVERAGE(OFFSET($H$3,0,0,'Données projet'!$E$11+1,1))</f>
        <v>404.24955007425774</v>
      </c>
      <c r="BJ32" s="59">
        <f t="shared" si="38"/>
        <v>211.49137630071019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2.4374696901149764</v>
      </c>
      <c r="BS32" s="22">
        <f t="shared" si="9"/>
        <v>2.4374696901149764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6.166666666666667</v>
      </c>
      <c r="BY32" s="12">
        <f>IF('Données projet'!$A$114&gt;35,BY31+BX32-CG31,IF(A32&lt;'Données projet'!$A$114,$BV$205^A32,IF(A32='Données projet'!$A$114,'Données projet'!$B$114,BY31+BX32-CG31)))</f>
        <v>58.66666666666665</v>
      </c>
      <c r="BZ32" s="13">
        <f>BY32*VLOOKUP('Données projet'!$B$12,Paramètres!$A$1:$I$89,3,0)*VLOOKUP('Données projet'!$B$12,Paramètres!$A$1:$I$89,5,0)</f>
        <v>45.759999999999991</v>
      </c>
      <c r="CA32" s="13">
        <f t="shared" si="39"/>
        <v>13.513178340568132</v>
      </c>
      <c r="CB32" s="20">
        <f t="shared" si="10"/>
        <v>103.23411894315613</v>
      </c>
      <c r="CC32" s="59">
        <f t="shared" si="11"/>
        <v>340.16201626593198</v>
      </c>
      <c r="CD32" s="59">
        <f ca="1">AVERAGE(OFFSET($CC$3,0,0,'Données projet'!$E$12+1,1))-AVERAGE(OFFSET($H$3,0,0,'Données projet'!$E$12+1,1))</f>
        <v>250.01410333089137</v>
      </c>
      <c r="CE32" s="59">
        <f t="shared" si="40"/>
        <v>169.55868564318885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1.7662823841412876</v>
      </c>
      <c r="CN32" s="22">
        <f t="shared" si="12"/>
        <v>1.7662823841412876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6.166666666666667</v>
      </c>
      <c r="N33" s="13">
        <f>IF('Données projet'!$A$36&gt;35,N32+M33-V32,IF(A33&lt;'Données projet'!$A$36,$K$205^A33,IF(A33='Données projet'!$A$36,'Données projet'!$B$36,N32+M33-V32)))</f>
        <v>64.833333333333314</v>
      </c>
      <c r="O33" s="13">
        <f>N33*VLOOKUP('Données projet'!$B$9,Paramètres!$A$1:$I$89,3,0)*VLOOKUP('Données projet'!$B$9,Paramètres!$A$1:$I$89,5,0)</f>
        <v>58.66119999999998</v>
      </c>
      <c r="P33" s="13">
        <f t="shared" si="33"/>
        <v>16.829335097785915</v>
      </c>
      <c r="Q33" s="20">
        <f t="shared" si="2"/>
        <v>131.47934862864375</v>
      </c>
      <c r="R33" s="59">
        <f t="shared" si="0"/>
        <v>370.58677356168573</v>
      </c>
      <c r="S33" s="59">
        <f ca="1">AVERAGE(OFFSET($R$3,0,0,'Données projet'!$E$9+1,1))-AVERAGE(OFFSET($H$3,0,0,'Données projet'!$E$9+1,1))</f>
        <v>469.5773392354356</v>
      </c>
      <c r="T33" s="59">
        <f t="shared" si="34"/>
        <v>187.25344022835239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6.166666666666667</v>
      </c>
      <c r="AI33" s="13">
        <f>IF('Données projet'!$A$62&gt;35,AI32+AH33-AQ32,IF(A33&lt;'Données projet'!$A$62,$AF$205^A33,IF(A33='Données projet'!$A$62,'Données projet'!$B$62,AI32+AH33-AQ32)))</f>
        <v>64.833333333333314</v>
      </c>
      <c r="AJ33" s="13">
        <f>AI33*VLOOKUP('Données projet'!$B$10,Paramètres!$A$1:$I$89,3,0)*VLOOKUP('Données projet'!$B$10,Paramètres!$A$1:$I$89,5,0)</f>
        <v>62.70679999999998</v>
      </c>
      <c r="AK33" s="13">
        <f t="shared" si="35"/>
        <v>17.850865580678729</v>
      </c>
      <c r="AL33" s="20">
        <f t="shared" si="4"/>
        <v>140.30460088634871</v>
      </c>
      <c r="AM33" s="59">
        <f t="shared" si="5"/>
        <v>379.41202581939069</v>
      </c>
      <c r="AN33" s="59">
        <f ca="1">AVERAGE(OFFSET($AM$3,0,0,'Données projet'!$E$10+1,1))-AVERAGE(OFFSET($H$3,0,0,'Données projet'!$E$10+1,1))</f>
        <v>370.91255999489181</v>
      </c>
      <c r="AO33" s="59">
        <f t="shared" si="36"/>
        <v>196.07869248605735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1.5486983116326416</v>
      </c>
      <c r="AX33" s="21">
        <f t="shared" si="6"/>
        <v>1.5486983116326416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6.166666666666667</v>
      </c>
      <c r="BD33" s="12">
        <f>IF('Données projet'!$A$88&gt;35,BD32+BC33-BL32,IF(A33&lt;'Données projet'!$A$88,$BA$205^A33,IF(A33='Données projet'!$A$88,'Données projet'!$B$88,BD32+BC33-BL32)))</f>
        <v>64.833333333333314</v>
      </c>
      <c r="BE33" s="13">
        <f>BD33*VLOOKUP('Données projet'!$B$11,Paramètres!$A$1:$I$89,3,0)*VLOOKUP('Données projet'!$B$11,Paramètres!$A$1:$I$89,5,0)</f>
        <v>69.786599999999979</v>
      </c>
      <c r="BF33" s="13">
        <f t="shared" si="37"/>
        <v>19.62045341684302</v>
      </c>
      <c r="BG33" s="20">
        <f t="shared" si="7"/>
        <v>155.71728470100155</v>
      </c>
      <c r="BH33" s="59">
        <f t="shared" si="8"/>
        <v>394.82470963404353</v>
      </c>
      <c r="BI33" s="59">
        <f ca="1">AVERAGE(OFFSET($BH$3,0,0,'Données projet'!$E$11+1,1))-AVERAGE(OFFSET($H$3,0,0,'Données projet'!$E$11+1,1))</f>
        <v>404.24955007425774</v>
      </c>
      <c r="BJ33" s="59">
        <f t="shared" si="38"/>
        <v>211.49137630071019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1.7235513468169725</v>
      </c>
      <c r="BS33" s="22">
        <f t="shared" si="9"/>
        <v>1.7235513468169725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6.166666666666667</v>
      </c>
      <c r="BY33" s="12">
        <f>IF('Données projet'!$A$114&gt;35,BY32+BX33-CG32,IF(A33&lt;'Données projet'!$A$114,$BV$205^A33,IF(A33='Données projet'!$A$114,'Données projet'!$B$114,BY32+BX33-CG32)))</f>
        <v>64.833333333333314</v>
      </c>
      <c r="BZ33" s="13">
        <f>BY33*VLOOKUP('Données projet'!$B$12,Paramètres!$A$1:$I$89,3,0)*VLOOKUP('Données projet'!$B$12,Paramètres!$A$1:$I$89,5,0)</f>
        <v>50.569999999999986</v>
      </c>
      <c r="CA33" s="13">
        <f t="shared" si="39"/>
        <v>14.760867393385777</v>
      </c>
      <c r="CB33" s="20">
        <f t="shared" si="10"/>
        <v>113.78459404348018</v>
      </c>
      <c r="CC33" s="59">
        <f t="shared" si="11"/>
        <v>352.89201897652219</v>
      </c>
      <c r="CD33" s="59">
        <f ca="1">AVERAGE(OFFSET($CC$3,0,0,'Données projet'!$E$12+1,1))-AVERAGE(OFFSET($H$3,0,0,'Données projet'!$E$12+1,1))</f>
        <v>250.01410333089137</v>
      </c>
      <c r="CE33" s="59">
        <f t="shared" si="40"/>
        <v>169.55868564318885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1.2489502513166471</v>
      </c>
      <c r="CN33" s="22">
        <f t="shared" si="12"/>
        <v>1.2489502513166471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6.166666666666667</v>
      </c>
      <c r="N34" s="13">
        <f>IF('Données projet'!$A$36&gt;35,N33+M34-V33,IF(A34&lt;'Données projet'!$A$36,$K$205^A34,IF(A34='Données projet'!$A$36,'Données projet'!$B$36,N33+M34-V33)))</f>
        <v>70.999999999999986</v>
      </c>
      <c r="O34" s="13">
        <f>N34*VLOOKUP('Données projet'!$B$9,Paramètres!$A$1:$I$89,3,0)*VLOOKUP('Données projet'!$B$9,Paramètres!$A$1:$I$89,5,0)</f>
        <v>64.240799999999979</v>
      </c>
      <c r="P34" s="13">
        <f t="shared" si="33"/>
        <v>18.236177554745847</v>
      </c>
      <c r="Q34" s="20">
        <f t="shared" si="2"/>
        <v>143.64740257451564</v>
      </c>
      <c r="R34" s="59">
        <f t="shared" si="0"/>
        <v>383.69552578733317</v>
      </c>
      <c r="S34" s="59">
        <f ca="1">AVERAGE(OFFSET($R$3,0,0,'Données projet'!$E$9+1,1))-AVERAGE(OFFSET($H$3,0,0,'Données projet'!$E$9+1,1))</f>
        <v>469.5773392354356</v>
      </c>
      <c r="T34" s="59">
        <f t="shared" si="34"/>
        <v>187.25344022835239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6.166666666666667</v>
      </c>
      <c r="AI34" s="13">
        <f>IF('Données projet'!$A$62&gt;35,AI33+AH34-AQ33,IF(A34&lt;'Données projet'!$A$62,$AF$205^A34,IF(A34='Données projet'!$A$62,'Données projet'!$B$62,AI33+AH34-AQ33)))</f>
        <v>70.999999999999986</v>
      </c>
      <c r="AJ34" s="13">
        <f>AI34*VLOOKUP('Données projet'!$B$10,Paramètres!$A$1:$I$89,3,0)*VLOOKUP('Données projet'!$B$10,Paramètres!$A$1:$I$89,5,0)</f>
        <v>68.671199999999985</v>
      </c>
      <c r="AK34" s="13">
        <f t="shared" si="35"/>
        <v>19.343102525659866</v>
      </c>
      <c r="AL34" s="20">
        <f t="shared" si="4"/>
        <v>153.29157689885756</v>
      </c>
      <c r="AM34" s="59">
        <f t="shared" si="5"/>
        <v>393.33970011167514</v>
      </c>
      <c r="AN34" s="59">
        <f ca="1">AVERAGE(OFFSET($AM$3,0,0,'Données projet'!$E$10+1,1))-AVERAGE(OFFSET($H$3,0,0,'Données projet'!$E$10+1,1))</f>
        <v>370.91255999489181</v>
      </c>
      <c r="AO34" s="59">
        <f t="shared" si="36"/>
        <v>196.07869248605735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1.0950950781675979</v>
      </c>
      <c r="AX34" s="21">
        <f t="shared" si="6"/>
        <v>1.0950950781675979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6.166666666666667</v>
      </c>
      <c r="BD34" s="12">
        <f>IF('Données projet'!$A$88&gt;35,BD33+BC34-BL33,IF(A34&lt;'Données projet'!$A$88,$BA$205^A34,IF(A34='Données projet'!$A$88,'Données projet'!$B$88,BD33+BC34-BL33)))</f>
        <v>70.999999999999986</v>
      </c>
      <c r="BE34" s="13">
        <f>BD34*VLOOKUP('Données projet'!$B$11,Paramètres!$A$1:$I$89,3,0)*VLOOKUP('Données projet'!$B$11,Paramètres!$A$1:$I$89,5,0)</f>
        <v>76.424399999999977</v>
      </c>
      <c r="BF34" s="13">
        <f t="shared" si="37"/>
        <v>21.260618446015851</v>
      </c>
      <c r="BG34" s="20">
        <f t="shared" si="7"/>
        <v>170.13474046014423</v>
      </c>
      <c r="BH34" s="59">
        <f t="shared" si="8"/>
        <v>410.18286367296179</v>
      </c>
      <c r="BI34" s="59">
        <f ca="1">AVERAGE(OFFSET($BH$3,0,0,'Données projet'!$E$11+1,1))-AVERAGE(OFFSET($H$3,0,0,'Données projet'!$E$11+1,1))</f>
        <v>404.24955007425774</v>
      </c>
      <c r="BJ34" s="59">
        <f t="shared" si="38"/>
        <v>211.49137630071019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1.2187348450574884</v>
      </c>
      <c r="BS34" s="22">
        <f t="shared" si="9"/>
        <v>1.2187348450574884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6.166666666666667</v>
      </c>
      <c r="BY34" s="12">
        <f>IF('Données projet'!$A$114&gt;35,BY33+BX34-CG33,IF(A34&lt;'Données projet'!$A$114,$BV$205^A34,IF(A34='Données projet'!$A$114,'Données projet'!$B$114,BY33+BX34-CG33)))</f>
        <v>70.999999999999986</v>
      </c>
      <c r="BZ34" s="13">
        <f>BY34*VLOOKUP('Données projet'!$B$12,Paramètres!$A$1:$I$89,3,0)*VLOOKUP('Données projet'!$B$12,Paramètres!$A$1:$I$89,5,0)</f>
        <v>55.379999999999988</v>
      </c>
      <c r="CA34" s="13">
        <f t="shared" si="39"/>
        <v>15.994797006760857</v>
      </c>
      <c r="CB34" s="20">
        <f t="shared" si="10"/>
        <v>124.31110478677512</v>
      </c>
      <c r="CC34" s="59">
        <f t="shared" si="11"/>
        <v>364.35922799959269</v>
      </c>
      <c r="CD34" s="59">
        <f ca="1">AVERAGE(OFFSET($CC$3,0,0,'Données projet'!$E$12+1,1))-AVERAGE(OFFSET($H$3,0,0,'Données projet'!$E$12+1,1))</f>
        <v>250.01410333089137</v>
      </c>
      <c r="CE34" s="59">
        <f t="shared" si="40"/>
        <v>169.55868564318885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0.8831411920706439</v>
      </c>
      <c r="CN34" s="22">
        <f t="shared" si="12"/>
        <v>0.8831411920706439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6.166666666666667</v>
      </c>
      <c r="N35" s="13">
        <f>IF('Données projet'!$A$36&gt;35,N34+M35-V34,IF(A35&lt;'Données projet'!$A$36,$K$205^A35,IF(A35='Données projet'!$A$36,'Données projet'!$B$36,N34+M35-V34)))</f>
        <v>77.166666666666657</v>
      </c>
      <c r="O35" s="13">
        <f>N35*VLOOKUP('Données projet'!$B$9,Paramètres!$A$1:$I$89,3,0)*VLOOKUP('Données projet'!$B$9,Paramètres!$A$1:$I$89,5,0)</f>
        <v>69.820399999999992</v>
      </c>
      <c r="P35" s="13">
        <f t="shared" si="33"/>
        <v>19.628849895085235</v>
      </c>
      <c r="Q35" s="20">
        <f t="shared" ref="Q35:Q66" si="53">(O35+P35)*0.475*44/12</f>
        <v>155.79077690060677</v>
      </c>
      <c r="R35" s="59">
        <f t="shared" si="0"/>
        <v>396.76327938113207</v>
      </c>
      <c r="S35" s="59">
        <f ca="1">AVERAGE(OFFSET($R$3,0,0,'Données projet'!$E$9+1,1))-AVERAGE(OFFSET($H$3,0,0,'Données projet'!$E$9+1,1))</f>
        <v>469.5773392354356</v>
      </c>
      <c r="T35" s="59">
        <f t="shared" si="34"/>
        <v>187.25344022835239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6.166666666666667</v>
      </c>
      <c r="AI35" s="13">
        <f>IF('Données projet'!$A$62&gt;35,AI34+AH35-AQ34,IF(A35&lt;'Données projet'!$A$62,$AF$205^A35,IF(A35='Données projet'!$A$62,'Données projet'!$B$62,AI34+AH35-AQ34)))</f>
        <v>77.166666666666657</v>
      </c>
      <c r="AJ35" s="13">
        <f>AI35*VLOOKUP('Données projet'!$B$10,Paramètres!$A$1:$I$89,3,0)*VLOOKUP('Données projet'!$B$10,Paramètres!$A$1:$I$89,5,0)</f>
        <v>74.635599999999997</v>
      </c>
      <c r="AK35" s="13">
        <f t="shared" si="35"/>
        <v>20.820309236494097</v>
      </c>
      <c r="AL35" s="20">
        <f t="shared" si="4"/>
        <v>166.25237525356053</v>
      </c>
      <c r="AM35" s="59">
        <f t="shared" si="5"/>
        <v>407.22487773408585</v>
      </c>
      <c r="AN35" s="59">
        <f ca="1">AVERAGE(OFFSET($AM$3,0,0,'Données projet'!$E$10+1,1))-AVERAGE(OFFSET($H$3,0,0,'Données projet'!$E$10+1,1))</f>
        <v>370.91255999489181</v>
      </c>
      <c r="AO35" s="59">
        <f t="shared" si="36"/>
        <v>196.07869248605735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0.7743491558163208</v>
      </c>
      <c r="AX35" s="21">
        <f t="shared" si="6"/>
        <v>0.7743491558163208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6.166666666666667</v>
      </c>
      <c r="BD35" s="12">
        <f>IF('Données projet'!$A$88&gt;35,BD34+BC35-BL34,IF(A35&lt;'Données projet'!$A$88,$BA$205^A35,IF(A35='Données projet'!$A$88,'Données projet'!$B$88,BD34+BC35-BL34)))</f>
        <v>77.166666666666657</v>
      </c>
      <c r="BE35" s="13">
        <f>BD35*VLOOKUP('Données projet'!$B$11,Paramètres!$A$1:$I$89,3,0)*VLOOKUP('Données projet'!$B$11,Paramètres!$A$1:$I$89,5,0)</f>
        <v>83.06219999999999</v>
      </c>
      <c r="BF35" s="13">
        <f t="shared" si="37"/>
        <v>22.884263267381943</v>
      </c>
      <c r="BG35" s="20">
        <f t="shared" si="7"/>
        <v>184.52342352402351</v>
      </c>
      <c r="BH35" s="59">
        <f t="shared" si="8"/>
        <v>425.49592600454883</v>
      </c>
      <c r="BI35" s="59">
        <f ca="1">AVERAGE(OFFSET($BH$3,0,0,'Données projet'!$E$11+1,1))-AVERAGE(OFFSET($H$3,0,0,'Données projet'!$E$11+1,1))</f>
        <v>404.24955007425774</v>
      </c>
      <c r="BJ35" s="59">
        <f t="shared" si="38"/>
        <v>211.49137630071019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0.86177567340848638</v>
      </c>
      <c r="BS35" s="22">
        <f t="shared" si="9"/>
        <v>0.86177567340848638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6.166666666666667</v>
      </c>
      <c r="BY35" s="12">
        <f>IF('Données projet'!$A$114&gt;35,BY34+BX35-CG34,IF(A35&lt;'Données projet'!$A$114,$BV$205^A35,IF(A35='Données projet'!$A$114,'Données projet'!$B$114,BY34+BX35-CG34)))</f>
        <v>77.166666666666657</v>
      </c>
      <c r="BZ35" s="13">
        <f>BY35*VLOOKUP('Données projet'!$B$12,Paramètres!$A$1:$I$89,3,0)*VLOOKUP('Données projet'!$B$12,Paramètres!$A$1:$I$89,5,0)</f>
        <v>60.19</v>
      </c>
      <c r="CA35" s="13">
        <f t="shared" si="39"/>
        <v>17.216298130764883</v>
      </c>
      <c r="CB35" s="20">
        <f t="shared" si="10"/>
        <v>134.81596924441553</v>
      </c>
      <c r="CC35" s="59">
        <f t="shared" si="11"/>
        <v>375.78847172494085</v>
      </c>
      <c r="CD35" s="59">
        <f ca="1">AVERAGE(OFFSET($CC$3,0,0,'Données projet'!$E$12+1,1))-AVERAGE(OFFSET($H$3,0,0,'Données projet'!$E$12+1,1))</f>
        <v>250.01410333089137</v>
      </c>
      <c r="CE35" s="59">
        <f t="shared" si="40"/>
        <v>169.55868564318885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0.62447512565832353</v>
      </c>
      <c r="CN35" s="22">
        <f t="shared" si="12"/>
        <v>0.62447512565832353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6.166666666666667</v>
      </c>
      <c r="N36" s="13">
        <f>IF('Données projet'!$A$36&gt;35,N35+M36-V35,IF(A36&lt;'Données projet'!$A$36,$K$205^A36,IF(A36='Données projet'!$A$36,'Données projet'!$B$36,N35+M36-V35)))</f>
        <v>83.333333333333329</v>
      </c>
      <c r="O36" s="13">
        <f>N36*VLOOKUP('Données projet'!$B$9,Paramètres!$A$1:$I$89,3,0)*VLOOKUP('Données projet'!$B$9,Paramètres!$A$1:$I$89,5,0)</f>
        <v>75.399999999999991</v>
      </c>
      <c r="P36" s="13">
        <f t="shared" si="33"/>
        <v>21.008613245954479</v>
      </c>
      <c r="Q36" s="20">
        <f t="shared" si="53"/>
        <v>167.91166807003736</v>
      </c>
      <c r="R36" s="59">
        <f t="shared" si="0"/>
        <v>409.79251390457807</v>
      </c>
      <c r="S36" s="59">
        <f ca="1">AVERAGE(OFFSET($R$3,0,0,'Données projet'!$E$9+1,1))-AVERAGE(OFFSET($H$3,0,0,'Données projet'!$E$9+1,1))</f>
        <v>469.5773392354356</v>
      </c>
      <c r="T36" s="59">
        <f t="shared" si="34"/>
        <v>187.25344022835239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6.166666666666667</v>
      </c>
      <c r="AI36" s="13">
        <f>IF('Données projet'!$A$62&gt;35,AI35+AH36-AQ35,IF(A36&lt;'Données projet'!$A$62,$AF$205^A36,IF(A36='Données projet'!$A$62,'Données projet'!$B$62,AI35+AH36-AQ35)))</f>
        <v>83.333333333333329</v>
      </c>
      <c r="AJ36" s="13">
        <f>AI36*VLOOKUP('Données projet'!$B$10,Paramètres!$A$1:$I$89,3,0)*VLOOKUP('Données projet'!$B$10,Paramètres!$A$1:$I$89,5,0)</f>
        <v>80.599999999999994</v>
      </c>
      <c r="AK36" s="13">
        <f t="shared" si="35"/>
        <v>22.283823389988751</v>
      </c>
      <c r="AL36" s="20">
        <f t="shared" si="4"/>
        <v>179.18932573756373</v>
      </c>
      <c r="AM36" s="59">
        <f t="shared" si="5"/>
        <v>421.07017157210447</v>
      </c>
      <c r="AN36" s="59">
        <f ca="1">AVERAGE(OFFSET($AM$3,0,0,'Données projet'!$E$10+1,1))-AVERAGE(OFFSET($H$3,0,0,'Données projet'!$E$10+1,1))</f>
        <v>370.91255999489181</v>
      </c>
      <c r="AO36" s="59">
        <f t="shared" si="36"/>
        <v>196.07869248605735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0.54754753908379894</v>
      </c>
      <c r="AX36" s="21">
        <f t="shared" si="6"/>
        <v>0.54754753908379894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6.166666666666667</v>
      </c>
      <c r="BD36" s="12">
        <f>IF('Données projet'!$A$88&gt;35,BD35+BC36-BL35,IF(A36&lt;'Données projet'!$A$88,$BA$205^A36,IF(A36='Données projet'!$A$88,'Données projet'!$B$88,BD35+BC36-BL35)))</f>
        <v>83.333333333333329</v>
      </c>
      <c r="BE36" s="13">
        <f>BD36*VLOOKUP('Données projet'!$B$11,Paramètres!$A$1:$I$89,3,0)*VLOOKUP('Données projet'!$B$11,Paramètres!$A$1:$I$89,5,0)</f>
        <v>89.699999999999989</v>
      </c>
      <c r="BF36" s="13">
        <f t="shared" si="37"/>
        <v>24.492858164013299</v>
      </c>
      <c r="BG36" s="20">
        <f t="shared" si="7"/>
        <v>198.88589463565646</v>
      </c>
      <c r="BH36" s="59">
        <f t="shared" si="8"/>
        <v>440.76674047019719</v>
      </c>
      <c r="BI36" s="59">
        <f ca="1">AVERAGE(OFFSET($BH$3,0,0,'Données projet'!$E$11+1,1))-AVERAGE(OFFSET($H$3,0,0,'Données projet'!$E$11+1,1))</f>
        <v>404.24955007425774</v>
      </c>
      <c r="BJ36" s="59">
        <f t="shared" si="38"/>
        <v>211.49137630071019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0.60936742252874421</v>
      </c>
      <c r="BS36" s="22">
        <f t="shared" si="9"/>
        <v>0.60936742252874421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6.166666666666667</v>
      </c>
      <c r="BY36" s="12">
        <f>IF('Données projet'!$A$114&gt;35,BY35+BX36-CG35,IF(A36&lt;'Données projet'!$A$114,$BV$205^A36,IF(A36='Données projet'!$A$114,'Données projet'!$B$114,BY35+BX36-CG35)))</f>
        <v>83.333333333333329</v>
      </c>
      <c r="BZ36" s="13">
        <f>BY36*VLOOKUP('Données projet'!$B$12,Paramètres!$A$1:$I$89,3,0)*VLOOKUP('Données projet'!$B$12,Paramètres!$A$1:$I$89,5,0)</f>
        <v>65</v>
      </c>
      <c r="CA36" s="13">
        <f t="shared" si="39"/>
        <v>18.42647688934899</v>
      </c>
      <c r="CB36" s="20">
        <f t="shared" si="10"/>
        <v>145.30111391561616</v>
      </c>
      <c r="CC36" s="59">
        <f t="shared" si="11"/>
        <v>387.18195975015692</v>
      </c>
      <c r="CD36" s="59">
        <f ca="1">AVERAGE(OFFSET($CC$3,0,0,'Données projet'!$E$12+1,1))-AVERAGE(OFFSET($H$3,0,0,'Données projet'!$E$12+1,1))</f>
        <v>250.01410333089137</v>
      </c>
      <c r="CE36" s="59">
        <f t="shared" si="40"/>
        <v>169.55868564318885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0.44157059603532195</v>
      </c>
      <c r="CN36" s="22">
        <f t="shared" si="12"/>
        <v>0.44157059603532195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6.166666666666667</v>
      </c>
      <c r="N37" s="13">
        <f>IF('Données projet'!$A$36&gt;35,N36+M37-V36,IF(A37&lt;'Données projet'!$A$36,$K$205^A37,IF(A37='Données projet'!$A$36,'Données projet'!$B$36,N36+M37-V36)))</f>
        <v>89.5</v>
      </c>
      <c r="O37" s="13">
        <f>N37*VLOOKUP('Données projet'!$B$9,Paramètres!$A$1:$I$89,3,0)*VLOOKUP('Données projet'!$B$9,Paramètres!$A$1:$I$89,5,0)</f>
        <v>80.979599999999991</v>
      </c>
      <c r="P37" s="13">
        <f t="shared" si="33"/>
        <v>22.376531499967907</v>
      </c>
      <c r="Q37" s="20">
        <f t="shared" si="53"/>
        <v>180.01192902911077</v>
      </c>
      <c r="R37" s="59">
        <f t="shared" si="0"/>
        <v>422.78536049122636</v>
      </c>
      <c r="S37" s="59">
        <f ca="1">AVERAGE(OFFSET($R$3,0,0,'Données projet'!$E$9+1,1))-AVERAGE(OFFSET($H$3,0,0,'Données projet'!$E$9+1,1))</f>
        <v>469.5773392354356</v>
      </c>
      <c r="T37" s="59">
        <f t="shared" si="34"/>
        <v>187.25344022835239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6.166666666666667</v>
      </c>
      <c r="AI37" s="13">
        <f>IF('Données projet'!$A$62&gt;35,AI36+AH37-AQ36,IF(A37&lt;'Données projet'!$A$62,$AF$205^A37,IF(A37='Données projet'!$A$62,'Données projet'!$B$62,AI36+AH37-AQ36)))</f>
        <v>89.5</v>
      </c>
      <c r="AJ37" s="13">
        <f>AI37*VLOOKUP('Données projet'!$B$10,Paramètres!$A$1:$I$89,3,0)*VLOOKUP('Données projet'!$B$10,Paramètres!$A$1:$I$89,5,0)</f>
        <v>86.564400000000006</v>
      </c>
      <c r="AK37" s="13">
        <f t="shared" si="35"/>
        <v>23.734773456397676</v>
      </c>
      <c r="AL37" s="20">
        <f t="shared" si="4"/>
        <v>192.10439376989265</v>
      </c>
      <c r="AM37" s="59">
        <f t="shared" si="5"/>
        <v>434.87782523200826</v>
      </c>
      <c r="AN37" s="59">
        <f ca="1">AVERAGE(OFFSET($AM$3,0,0,'Données projet'!$E$10+1,1))-AVERAGE(OFFSET($H$3,0,0,'Données projet'!$E$10+1,1))</f>
        <v>370.91255999489181</v>
      </c>
      <c r="AO37" s="59">
        <f t="shared" si="36"/>
        <v>196.07869248605735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0.3871745779081604</v>
      </c>
      <c r="AX37" s="21">
        <f t="shared" si="6"/>
        <v>0.3871745779081604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6.166666666666667</v>
      </c>
      <c r="BD37" s="12">
        <f>IF('Données projet'!$A$88&gt;35,BD36+BC37-BL36,IF(A37&lt;'Données projet'!$A$88,$BA$205^A37,IF(A37='Données projet'!$A$88,'Données projet'!$B$88,BD36+BC37-BL36)))</f>
        <v>89.5</v>
      </c>
      <c r="BE37" s="13">
        <f>BD37*VLOOKUP('Données projet'!$B$11,Paramètres!$A$1:$I$89,3,0)*VLOOKUP('Données projet'!$B$11,Paramètres!$A$1:$I$89,5,0)</f>
        <v>96.337800000000001</v>
      </c>
      <c r="BF37" s="13">
        <f t="shared" si="37"/>
        <v>26.087643473413369</v>
      </c>
      <c r="BG37" s="20">
        <f t="shared" si="7"/>
        <v>213.22431404952826</v>
      </c>
      <c r="BH37" s="59">
        <f t="shared" si="8"/>
        <v>455.99774551164387</v>
      </c>
      <c r="BI37" s="59">
        <f ca="1">AVERAGE(OFFSET($BH$3,0,0,'Données projet'!$E$11+1,1))-AVERAGE(OFFSET($H$3,0,0,'Données projet'!$E$11+1,1))</f>
        <v>404.24955007425774</v>
      </c>
      <c r="BJ37" s="59">
        <f t="shared" si="38"/>
        <v>211.49137630071019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0.43088783670424319</v>
      </c>
      <c r="BS37" s="22">
        <f t="shared" si="9"/>
        <v>0.43088783670424319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6.166666666666667</v>
      </c>
      <c r="BY37" s="12">
        <f>IF('Données projet'!$A$114&gt;35,BY36+BX37-CG36,IF(A37&lt;'Données projet'!$A$114,$BV$205^A37,IF(A37='Données projet'!$A$114,'Données projet'!$B$114,BY36+BX37-CG36)))</f>
        <v>89.5</v>
      </c>
      <c r="BZ37" s="13">
        <f>BY37*VLOOKUP('Données projet'!$B$12,Paramètres!$A$1:$I$89,3,0)*VLOOKUP('Données projet'!$B$12,Paramètres!$A$1:$I$89,5,0)</f>
        <v>69.81</v>
      </c>
      <c r="CA37" s="13">
        <f t="shared" si="39"/>
        <v>19.626266413721869</v>
      </c>
      <c r="CB37" s="20">
        <f t="shared" si="10"/>
        <v>155.76816400389893</v>
      </c>
      <c r="CC37" s="59">
        <f t="shared" si="11"/>
        <v>398.54159546601454</v>
      </c>
      <c r="CD37" s="59">
        <f ca="1">AVERAGE(OFFSET($CC$3,0,0,'Données projet'!$E$12+1,1))-AVERAGE(OFFSET($H$3,0,0,'Données projet'!$E$12+1,1))</f>
        <v>250.01410333089137</v>
      </c>
      <c r="CE37" s="59">
        <f t="shared" si="40"/>
        <v>169.55868564318885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0.31223756282916176</v>
      </c>
      <c r="CN37" s="22">
        <f t="shared" si="12"/>
        <v>0.31223756282916176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6.166666666666667</v>
      </c>
      <c r="N38" s="13">
        <f>IF('Données projet'!$A$36&gt;35,N37+M38-V37,IF(A38&lt;'Données projet'!$A$36,$K$205^A38,IF(A38='Données projet'!$A$36,'Données projet'!$B$36,N37+M38-V37)))</f>
        <v>95.666666666666671</v>
      </c>
      <c r="O38" s="13">
        <f>N38*VLOOKUP('Données projet'!$B$9,Paramètres!$A$1:$I$89,3,0)*VLOOKUP('Données projet'!$B$9,Paramètres!$A$1:$I$89,5,0)</f>
        <v>86.559200000000004</v>
      </c>
      <c r="P38" s="13">
        <f t="shared" si="33"/>
        <v>23.733513642668559</v>
      </c>
      <c r="Q38" s="20">
        <f t="shared" si="53"/>
        <v>192.09314292764773</v>
      </c>
      <c r="R38" s="59">
        <f t="shared" si="0"/>
        <v>435.74367565222224</v>
      </c>
      <c r="S38" s="59">
        <f ca="1">AVERAGE(OFFSET($R$3,0,0,'Données projet'!$E$9+1,1))-AVERAGE(OFFSET($H$3,0,0,'Données projet'!$E$9+1,1))</f>
        <v>469.5773392354356</v>
      </c>
      <c r="T38" s="59">
        <f t="shared" si="34"/>
        <v>187.25344022835239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6.166666666666667</v>
      </c>
      <c r="AI38" s="13">
        <f>IF('Données projet'!$A$62&gt;35,AI37+AH38-AQ37,IF(A38&lt;'Données projet'!$A$62,$AF$205^A38,IF(A38='Données projet'!$A$62,'Données projet'!$B$62,AI37+AH38-AQ37)))</f>
        <v>95.666666666666671</v>
      </c>
      <c r="AJ38" s="13">
        <f>AI38*VLOOKUP('Données projet'!$B$10,Paramètres!$A$1:$I$89,3,0)*VLOOKUP('Données projet'!$B$10,Paramètres!$A$1:$I$89,5,0)</f>
        <v>92.528800000000004</v>
      </c>
      <c r="AK38" s="13">
        <f t="shared" si="35"/>
        <v>25.174123596137743</v>
      </c>
      <c r="AL38" s="20">
        <f t="shared" si="4"/>
        <v>204.99925859660655</v>
      </c>
      <c r="AM38" s="59">
        <f t="shared" si="5"/>
        <v>448.64979132118106</v>
      </c>
      <c r="AN38" s="59">
        <f ca="1">AVERAGE(OFFSET($AM$3,0,0,'Données projet'!$E$10+1,1))-AVERAGE(OFFSET($H$3,0,0,'Données projet'!$E$10+1,1))</f>
        <v>370.91255999489181</v>
      </c>
      <c r="AO38" s="59">
        <f t="shared" si="36"/>
        <v>196.07869248605735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0.27377376954189947</v>
      </c>
      <c r="AX38" s="21">
        <f t="shared" si="6"/>
        <v>0.27377376954189947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6.166666666666667</v>
      </c>
      <c r="BD38" s="12">
        <f>IF('Données projet'!$A$88&gt;35,BD37+BC38-BL37,IF(A38&lt;'Données projet'!$A$88,$BA$205^A38,IF(A38='Données projet'!$A$88,'Données projet'!$B$88,BD37+BC38-BL37)))</f>
        <v>95.666666666666671</v>
      </c>
      <c r="BE38" s="13">
        <f>BD38*VLOOKUP('Données projet'!$B$11,Paramètres!$A$1:$I$89,3,0)*VLOOKUP('Données projet'!$B$11,Paramètres!$A$1:$I$89,5,0)</f>
        <v>102.97560000000001</v>
      </c>
      <c r="BF38" s="13">
        <f t="shared" si="37"/>
        <v>27.669678934924189</v>
      </c>
      <c r="BG38" s="20">
        <f t="shared" si="7"/>
        <v>227.54052747832631</v>
      </c>
      <c r="BH38" s="59">
        <f t="shared" si="8"/>
        <v>471.19106020290081</v>
      </c>
      <c r="BI38" s="59">
        <f ca="1">AVERAGE(OFFSET($BH$3,0,0,'Données projet'!$E$11+1,1))-AVERAGE(OFFSET($H$3,0,0,'Données projet'!$E$11+1,1))</f>
        <v>404.24955007425774</v>
      </c>
      <c r="BJ38" s="59">
        <f t="shared" si="38"/>
        <v>211.49137630071019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0.3046837112643721</v>
      </c>
      <c r="BS38" s="22">
        <f t="shared" si="9"/>
        <v>0.3046837112643721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6.166666666666667</v>
      </c>
      <c r="BY38" s="12">
        <f>IF('Données projet'!$A$114&gt;35,BY37+BX38-CG37,IF(A38&lt;'Données projet'!$A$114,$BV$205^A38,IF(A38='Données projet'!$A$114,'Données projet'!$B$114,BY37+BX38-CG37)))</f>
        <v>95.666666666666671</v>
      </c>
      <c r="BZ38" s="13">
        <f>BY38*VLOOKUP('Données projet'!$B$12,Paramètres!$A$1:$I$89,3,0)*VLOOKUP('Données projet'!$B$12,Paramètres!$A$1:$I$89,5,0)</f>
        <v>74.62</v>
      </c>
      <c r="CA38" s="13">
        <f t="shared" si="39"/>
        <v>20.816463967410836</v>
      </c>
      <c r="CB38" s="20">
        <f t="shared" si="10"/>
        <v>166.2185080765739</v>
      </c>
      <c r="CC38" s="59">
        <f t="shared" si="11"/>
        <v>409.8690408011484</v>
      </c>
      <c r="CD38" s="59">
        <f ca="1">AVERAGE(OFFSET($CC$3,0,0,'Données projet'!$E$12+1,1))-AVERAGE(OFFSET($H$3,0,0,'Données projet'!$E$12+1,1))</f>
        <v>250.01410333089137</v>
      </c>
      <c r="CE38" s="59">
        <f t="shared" si="40"/>
        <v>169.55868564318885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0.22078529801766097</v>
      </c>
      <c r="CN38" s="22">
        <f t="shared" si="12"/>
        <v>0.22078529801766097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6.166666666666667</v>
      </c>
      <c r="N39" s="13">
        <f>IF('Données projet'!$A$36&gt;35,N38+M39-V38,IF(A39&lt;'Données projet'!$A$36,$K$205^A39,IF(A39='Données projet'!$A$36,'Données projet'!$B$36,N38+M39-V38)))</f>
        <v>101.83333333333334</v>
      </c>
      <c r="O39" s="13">
        <f>N39*VLOOKUP('Données projet'!$B$9,Paramètres!$A$1:$I$89,3,0)*VLOOKUP('Données projet'!$B$9,Paramètres!$A$1:$I$89,5,0)</f>
        <v>92.138800000000003</v>
      </c>
      <c r="P39" s="13">
        <f t="shared" si="33"/>
        <v>25.08034484724805</v>
      </c>
      <c r="Q39" s="20">
        <f t="shared" si="53"/>
        <v>204.15667727562371</v>
      </c>
      <c r="R39" s="59">
        <f t="shared" si="0"/>
        <v>448.6690955166581</v>
      </c>
      <c r="S39" s="59">
        <f ca="1">AVERAGE(OFFSET($R$3,0,0,'Données projet'!$E$9+1,1))-AVERAGE(OFFSET($H$3,0,0,'Données projet'!$E$9+1,1))</f>
        <v>469.5773392354356</v>
      </c>
      <c r="T39" s="59">
        <f t="shared" si="34"/>
        <v>187.25344022835239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6.166666666666667</v>
      </c>
      <c r="AI39" s="13">
        <f>IF('Données projet'!$A$62&gt;35,AI38+AH39-AQ38,IF(A39&lt;'Données projet'!$A$62,$AF$205^A39,IF(A39='Données projet'!$A$62,'Données projet'!$B$62,AI38+AH39-AQ38)))</f>
        <v>101.83333333333334</v>
      </c>
      <c r="AJ39" s="13">
        <f>AI39*VLOOKUP('Données projet'!$B$10,Paramètres!$A$1:$I$89,3,0)*VLOOKUP('Données projet'!$B$10,Paramètres!$A$1:$I$89,5,0)</f>
        <v>98.493200000000016</v>
      </c>
      <c r="AK39" s="13">
        <f t="shared" si="35"/>
        <v>26.602706641939431</v>
      </c>
      <c r="AL39" s="20">
        <f t="shared" si="4"/>
        <v>217.8753707347112</v>
      </c>
      <c r="AM39" s="59">
        <f t="shared" si="5"/>
        <v>462.38778897574559</v>
      </c>
      <c r="AN39" s="59">
        <f ca="1">AVERAGE(OFFSET($AM$3,0,0,'Données projet'!$E$10+1,1))-AVERAGE(OFFSET($H$3,0,0,'Données projet'!$E$10+1,1))</f>
        <v>370.91255999489181</v>
      </c>
      <c r="AO39" s="59">
        <f t="shared" si="36"/>
        <v>196.07869248605735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0.1935872889540802</v>
      </c>
      <c r="AX39" s="21">
        <f t="shared" si="6"/>
        <v>0.1935872889540802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6.166666666666667</v>
      </c>
      <c r="BD39" s="12">
        <f>IF('Données projet'!$A$88&gt;35,BD38+BC39-BL38,IF(A39&lt;'Données projet'!$A$88,$BA$205^A39,IF(A39='Données projet'!$A$88,'Données projet'!$B$88,BD38+BC39-BL38)))</f>
        <v>101.83333333333334</v>
      </c>
      <c r="BE39" s="13">
        <f>BD39*VLOOKUP('Données projet'!$B$11,Paramètres!$A$1:$I$89,3,0)*VLOOKUP('Données projet'!$B$11,Paramètres!$A$1:$I$89,5,0)</f>
        <v>109.6134</v>
      </c>
      <c r="BF39" s="13">
        <f t="shared" si="37"/>
        <v>29.239879941455861</v>
      </c>
      <c r="BG39" s="20">
        <f t="shared" si="7"/>
        <v>241.83612923136897</v>
      </c>
      <c r="BH39" s="59">
        <f t="shared" si="8"/>
        <v>486.34854747240342</v>
      </c>
      <c r="BI39" s="59">
        <f ca="1">AVERAGE(OFFSET($BH$3,0,0,'Données projet'!$E$11+1,1))-AVERAGE(OFFSET($H$3,0,0,'Données projet'!$E$11+1,1))</f>
        <v>404.24955007425774</v>
      </c>
      <c r="BJ39" s="59">
        <f t="shared" si="38"/>
        <v>211.49137630071019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0.21544391835212159</v>
      </c>
      <c r="BS39" s="22">
        <f t="shared" si="9"/>
        <v>0.21544391835212159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6.166666666666667</v>
      </c>
      <c r="BY39" s="12">
        <f>IF('Données projet'!$A$114&gt;35,BY38+BX39-CG38,IF(A39&lt;'Données projet'!$A$114,$BV$205^A39,IF(A39='Données projet'!$A$114,'Données projet'!$B$114,BY38+BX39-CG38)))</f>
        <v>101.83333333333334</v>
      </c>
      <c r="BZ39" s="13">
        <f>BY39*VLOOKUP('Données projet'!$B$12,Paramètres!$A$1:$I$89,3,0)*VLOOKUP('Données projet'!$B$12,Paramètres!$A$1:$I$89,5,0)</f>
        <v>79.430000000000007</v>
      </c>
      <c r="CA39" s="13">
        <f t="shared" si="39"/>
        <v>21.997758219177651</v>
      </c>
      <c r="CB39" s="20">
        <f t="shared" si="10"/>
        <v>176.65334556506775</v>
      </c>
      <c r="CC39" s="59">
        <f t="shared" si="11"/>
        <v>421.16576380610218</v>
      </c>
      <c r="CD39" s="59">
        <f ca="1">AVERAGE(OFFSET($CC$3,0,0,'Données projet'!$E$12+1,1))-AVERAGE(OFFSET($H$3,0,0,'Données projet'!$E$12+1,1))</f>
        <v>250.01410333089137</v>
      </c>
      <c r="CE39" s="59">
        <f t="shared" si="40"/>
        <v>169.55868564318885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0.15611878141458088</v>
      </c>
      <c r="CN39" s="22">
        <f t="shared" si="12"/>
        <v>0.15611878141458088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108</v>
      </c>
      <c r="L40" s="12">
        <f>VLOOKUP(A40,'Données projet'!$A$35:$I$55,9,0)</f>
        <v>6.166666666666667</v>
      </c>
      <c r="M40" s="12">
        <f t="array" ref="M40">INDEX(L:L,MIN(IF(ISNUMBER(L40:L236),ROW(L40:L236),"")))</f>
        <v>6.166666666666667</v>
      </c>
      <c r="N40" s="13">
        <f>IF('Données projet'!$A$36&gt;35,N39+M40-V39,IF(A40&lt;'Données projet'!$A$36,$K$205^A40,IF(A40='Données projet'!$A$36,'Données projet'!$B$36,N39+M40-V39)))</f>
        <v>108.00000000000001</v>
      </c>
      <c r="O40" s="13">
        <f>N40*VLOOKUP('Données projet'!$B$9,Paramètres!$A$1:$I$89,3,0)*VLOOKUP('Données projet'!$B$9,Paramètres!$A$1:$I$89,5,0)</f>
        <v>97.718400000000003</v>
      </c>
      <c r="P40" s="13">
        <f t="shared" si="33"/>
        <v>26.417709819192194</v>
      </c>
      <c r="Q40" s="20">
        <f t="shared" si="53"/>
        <v>216.20372460175975</v>
      </c>
      <c r="R40" s="59">
        <f t="shared" si="0"/>
        <v>461.56307657243087</v>
      </c>
      <c r="S40" s="59">
        <f ca="1">AVERAGE(OFFSET($R$3,0,0,'Données projet'!$E$9+1,1))-AVERAGE(OFFSET($H$3,0,0,'Données projet'!$E$9+1,1))</f>
        <v>469.5773392354356</v>
      </c>
      <c r="T40" s="59">
        <f t="shared" si="34"/>
        <v>187.25344022835239</v>
      </c>
      <c r="U40" s="15">
        <f>IF(ISNA(VLOOKUP(A40,'Données projet'!$A$35:$I$55,3,0)),0,VLOOKUP(A40,'Données projet'!$A$35:$I$55,3,0))</f>
        <v>3</v>
      </c>
      <c r="V40" s="15">
        <f>IF(ISNA(VLOOKUP(A40,'Données projet'!$A$35:$I$55,4,0)),0,VLOOKUP(A40,'Données projet'!$A$35:$I$55,4,0))</f>
        <v>41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0.4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14.000731698293267</v>
      </c>
      <c r="AC40" s="22">
        <f t="shared" si="3"/>
        <v>14.000731698293267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108</v>
      </c>
      <c r="AG40" s="12">
        <f>VLOOKUP(A40,'Données projet'!$A$61:$I$81,9,0)</f>
        <v>6.166666666666667</v>
      </c>
      <c r="AH40" s="12">
        <f t="array" ref="AH40">INDEX(AG:AG,MIN(IF(ISNUMBER(AG40:AG236),ROW(AG40:AG236),"")))</f>
        <v>6.166666666666667</v>
      </c>
      <c r="AI40" s="13">
        <f>IF('Données projet'!$A$62&gt;35,AI39+AH40-AQ39,IF(A40&lt;'Données projet'!$A$62,$AF$205^A40,IF(A40='Données projet'!$A$62,'Données projet'!$B$62,AI39+AH40-AQ39)))</f>
        <v>108.00000000000001</v>
      </c>
      <c r="AJ40" s="13">
        <f>AI40*VLOOKUP('Données projet'!$B$10,Paramètres!$A$1:$I$89,3,0)*VLOOKUP('Données projet'!$B$10,Paramètres!$A$1:$I$89,5,0)</f>
        <v>104.45760000000001</v>
      </c>
      <c r="AK40" s="13">
        <f t="shared" si="35"/>
        <v>28.021248860498272</v>
      </c>
      <c r="AL40" s="20">
        <f t="shared" si="4"/>
        <v>230.73399509870117</v>
      </c>
      <c r="AM40" s="59">
        <f t="shared" si="5"/>
        <v>476.09334706937227</v>
      </c>
      <c r="AN40" s="59">
        <f ca="1">AVERAGE(OFFSET($AM$3,0,0,'Données projet'!$E$10+1,1))-AVERAGE(OFFSET($H$3,0,0,'Données projet'!$E$10+1,1))</f>
        <v>370.91255999489181</v>
      </c>
      <c r="AO40" s="59">
        <f t="shared" si="36"/>
        <v>196.07869248605735</v>
      </c>
      <c r="AP40" s="15">
        <f>IF(ISNA(VLOOKUP(A40,'Données projet'!$A$61:$I$81,3,0)),0,VLOOKUP(A40,'Données projet'!$A$61:$I$81,3,0))</f>
        <v>3</v>
      </c>
      <c r="AQ40" s="15">
        <f>IF(ISNA(VLOOKUP(A40,'Données projet'!$A$61:$I$81,4,0)),0,VLOOKUP(A40,'Données projet'!$A$61:$I$81,4,0))</f>
        <v>41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4.3000000000000003E-2</v>
      </c>
      <c r="AT40" s="16">
        <f>IF(ISNA(VLOOKUP(A40,'Données projet'!$A$61:$I$81,7,0)),0%,VLOOKUP(A40,'Données projet'!$A$61:$I$81,7,0))</f>
        <v>0.4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1.8775968690771336</v>
      </c>
      <c r="AW40" s="21">
        <f>EXP(-LN(2)/2)*AW39+(1-EXP(-LN(2)/2))/(LN(2)/2)*AQ40*AT40*VLOOKUP('Données projet'!$B$10,Paramètres!$A$1:$I$89,3,0)*0.475*44/12</f>
        <v>15.103186286394791</v>
      </c>
      <c r="AX40" s="21">
        <f t="shared" si="6"/>
        <v>16.980783155471926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108</v>
      </c>
      <c r="BB40" s="12">
        <f>VLOOKUP(A40,'Données projet'!$A$87:$I$107,9,0)</f>
        <v>6.166666666666667</v>
      </c>
      <c r="BC40" s="12">
        <f t="array" ref="BC40">INDEX(BB:BB,MIN(IF(ISNUMBER(BB40:BB236),ROW(BB40:BB236),"")))</f>
        <v>6.166666666666667</v>
      </c>
      <c r="BD40" s="12">
        <f>IF('Données projet'!$A$88&gt;35,BD39+BC40-BL39,IF(A40&lt;'Données projet'!$A$88,$BA$205^A40,IF(A40='Données projet'!$A$88,'Données projet'!$B$88,BD39+BC40-BL39)))</f>
        <v>108.00000000000001</v>
      </c>
      <c r="BE40" s="13">
        <f>BD40*VLOOKUP('Données projet'!$B$11,Paramètres!$A$1:$I$89,3,0)*VLOOKUP('Données projet'!$B$11,Paramètres!$A$1:$I$89,5,0)</f>
        <v>116.25120000000003</v>
      </c>
      <c r="BF40" s="13">
        <f t="shared" si="37"/>
        <v>30.799044755804353</v>
      </c>
      <c r="BG40" s="20">
        <f t="shared" si="7"/>
        <v>256.11250961635932</v>
      </c>
      <c r="BH40" s="59">
        <f t="shared" si="8"/>
        <v>501.47186158703039</v>
      </c>
      <c r="BI40" s="59">
        <f ca="1">AVERAGE(OFFSET($BH$3,0,0,'Données projet'!$E$11+1,1))-AVERAGE(OFFSET($H$3,0,0,'Données projet'!$E$11+1,1))</f>
        <v>404.24955007425774</v>
      </c>
      <c r="BJ40" s="59">
        <f t="shared" si="38"/>
        <v>211.49137630071019</v>
      </c>
      <c r="BK40" s="15">
        <f>IF(ISNA(VLOOKUP(A40,'Données projet'!$A$87:$I$107,3,0)),0,VLOOKUP(A40,'Données projet'!$A$87:$I$107,3,0))</f>
        <v>3</v>
      </c>
      <c r="BL40" s="15">
        <f>IF(ISNA(VLOOKUP(A40,'Données projet'!$A$87:$I$107,4,0)),0,VLOOKUP(A40,'Données projet'!$A$87:$I$107,4,0))</f>
        <v>41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4.3000000000000003E-2</v>
      </c>
      <c r="BO40" s="16">
        <f>IF(ISNA(VLOOKUP(A40,'Données projet'!$A$87:$I$107,7,0)),0%,VLOOKUP(A40,'Données projet'!$A$87:$I$107,7,0))</f>
        <v>0.4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2.0895836123600358</v>
      </c>
      <c r="BR40" s="21">
        <f>EXP(-LN(2)/2)*BR39+(1-EXP(-LN(2)/2))/(LN(2)/2)*BL40*BO40*VLOOKUP('Données projet'!$B$11,Paramètres!$A$1:$I$89,3,0)*0.475*44/12</f>
        <v>16.808384738084523</v>
      </c>
      <c r="BS40" s="22">
        <f t="shared" si="9"/>
        <v>18.897968350444557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108</v>
      </c>
      <c r="BW40" s="12">
        <f>VLOOKUP(A40,'Données projet'!$A$113:$I$133,9,0)</f>
        <v>6.166666666666667</v>
      </c>
      <c r="BX40" s="12">
        <f t="array" ref="BX40">INDEX(BW:BW,MIN(IF(ISNUMBER(BW40:BW236),ROW(BW40:BW236),"")))</f>
        <v>6.166666666666667</v>
      </c>
      <c r="BY40" s="12">
        <f>IF('Données projet'!$A$114&gt;35,BY39+BX40-CG39,IF(A40&lt;'Données projet'!$A$114,$BV$205^A40,IF(A40='Données projet'!$A$114,'Données projet'!$B$114,BY39+BX40-CG39)))</f>
        <v>108.00000000000001</v>
      </c>
      <c r="BZ40" s="13">
        <f>BY40*VLOOKUP('Données projet'!$B$12,Paramètres!$A$1:$I$89,3,0)*VLOOKUP('Données projet'!$B$12,Paramètres!$A$1:$I$89,5,0)</f>
        <v>84.240000000000009</v>
      </c>
      <c r="CA40" s="13">
        <f t="shared" si="39"/>
        <v>23.170749718409468</v>
      </c>
      <c r="CB40" s="20">
        <f t="shared" si="10"/>
        <v>187.07372242622981</v>
      </c>
      <c r="CC40" s="59">
        <f t="shared" si="11"/>
        <v>432.43307439690091</v>
      </c>
      <c r="CD40" s="59">
        <f ca="1">AVERAGE(OFFSET($CC$3,0,0,'Données projet'!$E$12+1,1))-AVERAGE(OFFSET($H$3,0,0,'Données projet'!$E$12+1,1))</f>
        <v>250.01410333089137</v>
      </c>
      <c r="CE40" s="59">
        <f t="shared" si="40"/>
        <v>169.55868564318885</v>
      </c>
      <c r="CF40" s="15">
        <f>IF(ISNA(VLOOKUP(A40,'Données projet'!$A$113:$I$133,3,0)),0,VLOOKUP(A40,'Données projet'!$A$113:$I$133,3,0))</f>
        <v>3</v>
      </c>
      <c r="CG40" s="15">
        <f>IF(ISNA(VLOOKUP(A40,'Données projet'!$A$113:$I$133,4,0)),0,VLOOKUP(A40,'Données projet'!$A$113:$I$133,4,0))</f>
        <v>41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4.3000000000000003E-2</v>
      </c>
      <c r="CJ40" s="16">
        <f>IF(ISNA(VLOOKUP(A40,'Données projet'!$A$113:$I$133,7,0)),0%,VLOOKUP(A40,'Données projet'!$A$113:$I$133,7,0))</f>
        <v>0.4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1.5141910234493015</v>
      </c>
      <c r="CM40" s="21">
        <f>EXP(-LN(2)/2)*CM39+(1-EXP(-LN(2)/2))/(LN(2)/2)*CG40*CJ40*VLOOKUP('Données projet'!$B$12,Paramètres!$A$1:$I$89,3,0)*0.475*44/12</f>
        <v>12.179988940640955</v>
      </c>
      <c r="CN40" s="22">
        <f t="shared" si="12"/>
        <v>13.694179964090257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6.5</v>
      </c>
      <c r="N41" s="13">
        <f>IF('Données projet'!$A$36&gt;35,N40+M41-V40,IF(A41&lt;'Données projet'!$A$36,$K$205^A41,IF(A41='Données projet'!$A$36,'Données projet'!$B$36,N40+M41-V40)))</f>
        <v>73.500000000000014</v>
      </c>
      <c r="O41" s="13">
        <f>N41*VLOOKUP('Données projet'!$B$9,Paramètres!$A$1:$I$89,3,0)*VLOOKUP('Données projet'!$B$9,Paramètres!$A$1:$I$89,5,0)</f>
        <v>66.502800000000008</v>
      </c>
      <c r="P41" s="13">
        <f t="shared" si="33"/>
        <v>18.802406075407927</v>
      </c>
      <c r="Q41" s="20">
        <f t="shared" si="53"/>
        <v>148.5732339146688</v>
      </c>
      <c r="R41" s="59">
        <f t="shared" si="0"/>
        <v>394.76482720822753</v>
      </c>
      <c r="S41" s="59">
        <f ca="1">AVERAGE(OFFSET($R$3,0,0,'Données projet'!$E$9+1,1))-AVERAGE(OFFSET($H$3,0,0,'Données projet'!$E$9+1,1))</f>
        <v>469.5773392354356</v>
      </c>
      <c r="T41" s="59">
        <f t="shared" si="34"/>
        <v>187.25344022835239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9.9000123254366184</v>
      </c>
      <c r="AC41" s="22">
        <f t="shared" si="3"/>
        <v>9.9000123254366184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6.5</v>
      </c>
      <c r="AI41" s="13">
        <f>IF('Données projet'!$A$62&gt;35,AI40+AH41-AQ40,IF(A41&lt;'Données projet'!$A$62,$AF$205^A41,IF(A41='Données projet'!$A$62,'Données projet'!$B$62,AI40+AH41-AQ40)))</f>
        <v>73.500000000000014</v>
      </c>
      <c r="AJ41" s="13">
        <f>AI41*VLOOKUP('Données projet'!$B$10,Paramètres!$A$1:$I$89,3,0)*VLOOKUP('Données projet'!$B$10,Paramètres!$A$1:$I$89,5,0)</f>
        <v>71.089200000000019</v>
      </c>
      <c r="AK41" s="13">
        <f t="shared" si="35"/>
        <v>19.94370077577226</v>
      </c>
      <c r="AL41" s="20">
        <f t="shared" si="4"/>
        <v>158.54896885113669</v>
      </c>
      <c r="AM41" s="59">
        <f t="shared" si="5"/>
        <v>404.74056214469545</v>
      </c>
      <c r="AN41" s="59">
        <f ca="1">AVERAGE(OFFSET($AM$3,0,0,'Données projet'!$E$10+1,1))-AVERAGE(OFFSET($H$3,0,0,'Données projet'!$E$10+1,1))</f>
        <v>370.91255999489181</v>
      </c>
      <c r="AO41" s="59">
        <f t="shared" si="36"/>
        <v>196.07869248605735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1.8262538839536915</v>
      </c>
      <c r="AW41" s="21">
        <f>EXP(-LN(2)/2)*AW40+(1-EXP(-LN(2)/2))/(LN(2)/2)*AQ41*AT41*VLOOKUP('Données projet'!$B$10,Paramètres!$A$1:$I$89,3,0)*0.475*44/12</f>
        <v>10.679565440633429</v>
      </c>
      <c r="AX41" s="21">
        <f t="shared" si="6"/>
        <v>12.505819324587121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6.5</v>
      </c>
      <c r="BD41" s="12">
        <f>IF('Données projet'!$A$88&gt;35,BD40+BC41-BL40,IF(A41&lt;'Données projet'!$A$88,$BA$205^A41,IF(A41='Données projet'!$A$88,'Données projet'!$B$88,BD40+BC41-BL40)))</f>
        <v>73.500000000000014</v>
      </c>
      <c r="BE41" s="13">
        <f>BD41*VLOOKUP('Données projet'!$B$11,Paramètres!$A$1:$I$89,3,0)*VLOOKUP('Données projet'!$B$11,Paramètres!$A$1:$I$89,5,0)</f>
        <v>79.115400000000008</v>
      </c>
      <c r="BF41" s="13">
        <f t="shared" si="37"/>
        <v>21.920755061537864</v>
      </c>
      <c r="BG41" s="20">
        <f t="shared" si="7"/>
        <v>175.97130339884509</v>
      </c>
      <c r="BH41" s="59">
        <f t="shared" si="8"/>
        <v>422.16289669240382</v>
      </c>
      <c r="BI41" s="59">
        <f ca="1">AVERAGE(OFFSET($BH$3,0,0,'Données projet'!$E$11+1,1))-AVERAGE(OFFSET($H$3,0,0,'Données projet'!$E$11+1,1))</f>
        <v>404.24955007425774</v>
      </c>
      <c r="BJ41" s="59">
        <f t="shared" si="38"/>
        <v>211.49137630071019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2.0324438385936241</v>
      </c>
      <c r="BR41" s="21">
        <f>EXP(-LN(2)/2)*BR40+(1-EXP(-LN(2)/2))/(LN(2)/2)*BL41*BO41*VLOOKUP('Données projet'!$B$11,Paramètres!$A$1:$I$89,3,0)*0.475*44/12</f>
        <v>11.885322829092038</v>
      </c>
      <c r="BS41" s="22">
        <f t="shared" si="9"/>
        <v>13.917766667685662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6.5</v>
      </c>
      <c r="BY41" s="12">
        <f>IF('Données projet'!$A$114&gt;35,BY40+BX41-CG40,IF(A41&lt;'Données projet'!$A$114,$BV$205^A41,IF(A41='Données projet'!$A$114,'Données projet'!$B$114,BY40+BX41-CG40)))</f>
        <v>73.500000000000014</v>
      </c>
      <c r="BZ41" s="13">
        <f>BY41*VLOOKUP('Données projet'!$B$12,Paramètres!$A$1:$I$89,3,0)*VLOOKUP('Données projet'!$B$12,Paramètres!$A$1:$I$89,5,0)</f>
        <v>57.330000000000013</v>
      </c>
      <c r="CA41" s="13">
        <f t="shared" si="39"/>
        <v>16.491431250436086</v>
      </c>
      <c r="CB41" s="20">
        <f t="shared" si="10"/>
        <v>128.57232609450952</v>
      </c>
      <c r="CC41" s="59">
        <f t="shared" si="11"/>
        <v>374.76391938806825</v>
      </c>
      <c r="CD41" s="59">
        <f ca="1">AVERAGE(OFFSET($CC$3,0,0,'Données projet'!$E$12+1,1))-AVERAGE(OFFSET($H$3,0,0,'Données projet'!$E$12+1,1))</f>
        <v>250.01410333089137</v>
      </c>
      <c r="CE41" s="59">
        <f t="shared" si="40"/>
        <v>169.55868564318885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1.472785390285235</v>
      </c>
      <c r="CM41" s="21">
        <f>EXP(-LN(2)/2)*CM40+(1-EXP(-LN(2)/2))/(LN(2)/2)*CG41*CJ41*VLOOKUP('Données projet'!$B$12,Paramètres!$A$1:$I$89,3,0)*0.475*44/12</f>
        <v>8.6125527747043726</v>
      </c>
      <c r="CN41" s="22">
        <f t="shared" si="12"/>
        <v>10.085338164989608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6.5</v>
      </c>
      <c r="N42" s="13">
        <f>IF('Données projet'!$A$36&gt;35,N41+M42-V41,IF(A42&lt;'Données projet'!$A$36,$K$205^A42,IF(A42='Données projet'!$A$36,'Données projet'!$B$36,N41+M42-V41)))</f>
        <v>80.000000000000014</v>
      </c>
      <c r="O42" s="13">
        <f>N42*VLOOKUP('Données projet'!$B$9,Paramètres!$A$1:$I$89,3,0)*VLOOKUP('Données projet'!$B$9,Paramètres!$A$1:$I$89,5,0)</f>
        <v>72.384000000000015</v>
      </c>
      <c r="P42" s="13">
        <f t="shared" si="33"/>
        <v>20.264329923804397</v>
      </c>
      <c r="Q42" s="20">
        <f t="shared" si="53"/>
        <v>161.362507950626</v>
      </c>
      <c r="R42" s="59">
        <f t="shared" si="0"/>
        <v>408.37190504073311</v>
      </c>
      <c r="S42" s="59">
        <f ca="1">AVERAGE(OFFSET($R$3,0,0,'Données projet'!$E$9+1,1))-AVERAGE(OFFSET($H$3,0,0,'Données projet'!$E$9+1,1))</f>
        <v>469.5773392354356</v>
      </c>
      <c r="T42" s="59">
        <f t="shared" si="34"/>
        <v>187.25344022835239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7.0003658491466352</v>
      </c>
      <c r="AC42" s="22">
        <f t="shared" si="3"/>
        <v>7.0003658491466352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6.5</v>
      </c>
      <c r="AI42" s="13">
        <f>IF('Données projet'!$A$62&gt;35,AI41+AH42-AQ41,IF(A42&lt;'Données projet'!$A$62,$AF$205^A42,IF(A42='Données projet'!$A$62,'Données projet'!$B$62,AI41+AH42-AQ41)))</f>
        <v>80.000000000000014</v>
      </c>
      <c r="AJ42" s="13">
        <f>AI42*VLOOKUP('Données projet'!$B$10,Paramètres!$A$1:$I$89,3,0)*VLOOKUP('Données projet'!$B$10,Paramètres!$A$1:$I$89,5,0)</f>
        <v>77.376000000000019</v>
      </c>
      <c r="AK42" s="13">
        <f t="shared" si="35"/>
        <v>21.494362519405097</v>
      </c>
      <c r="AL42" s="20">
        <f t="shared" si="4"/>
        <v>172.19921472129727</v>
      </c>
      <c r="AM42" s="59">
        <f t="shared" si="5"/>
        <v>419.20861181140435</v>
      </c>
      <c r="AN42" s="59">
        <f ca="1">AVERAGE(OFFSET($AM$3,0,0,'Données projet'!$E$10+1,1))-AVERAGE(OFFSET($H$3,0,0,'Données projet'!$E$10+1,1))</f>
        <v>370.91255999489181</v>
      </c>
      <c r="AO42" s="59">
        <f t="shared" si="36"/>
        <v>196.07869248605735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1.7763148754584599</v>
      </c>
      <c r="AW42" s="21">
        <f>EXP(-LN(2)/2)*AW41+(1-EXP(-LN(2)/2))/(LN(2)/2)*AQ42*AT42*VLOOKUP('Données projet'!$B$10,Paramètres!$A$1:$I$89,3,0)*0.475*44/12</f>
        <v>7.5515931431973975</v>
      </c>
      <c r="AX42" s="21">
        <f t="shared" si="6"/>
        <v>9.3279080186558581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6.5</v>
      </c>
      <c r="BD42" s="12">
        <f>IF('Données projet'!$A$88&gt;35,BD41+BC42-BL41,IF(A42&lt;'Données projet'!$A$88,$BA$205^A42,IF(A42='Données projet'!$A$88,'Données projet'!$B$88,BD41+BC42-BL41)))</f>
        <v>80.000000000000014</v>
      </c>
      <c r="BE42" s="13">
        <f>BD42*VLOOKUP('Données projet'!$B$11,Paramètres!$A$1:$I$89,3,0)*VLOOKUP('Données projet'!$B$11,Paramètres!$A$1:$I$89,5,0)</f>
        <v>86.112000000000009</v>
      </c>
      <c r="BF42" s="13">
        <f t="shared" si="37"/>
        <v>23.625136642852297</v>
      </c>
      <c r="BG42" s="20">
        <f t="shared" si="7"/>
        <v>191.12551298630106</v>
      </c>
      <c r="BH42" s="59">
        <f t="shared" si="8"/>
        <v>438.13491007640818</v>
      </c>
      <c r="BI42" s="59">
        <f ca="1">AVERAGE(OFFSET($BH$3,0,0,'Données projet'!$E$11+1,1))-AVERAGE(OFFSET($H$3,0,0,'Données projet'!$E$11+1,1))</f>
        <v>404.24955007425774</v>
      </c>
      <c r="BJ42" s="59">
        <f t="shared" si="38"/>
        <v>211.49137630071019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1.9768665549457052</v>
      </c>
      <c r="BR42" s="21">
        <f>EXP(-LN(2)/2)*BR41+(1-EXP(-LN(2)/2))/(LN(2)/2)*BL42*BO42*VLOOKUP('Données projet'!$B$11,Paramètres!$A$1:$I$89,3,0)*0.475*44/12</f>
        <v>8.4041923690422617</v>
      </c>
      <c r="BS42" s="22">
        <f t="shared" si="9"/>
        <v>10.381058923987966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6.5</v>
      </c>
      <c r="BY42" s="12">
        <f>IF('Données projet'!$A$114&gt;35,BY41+BX42-CG41,IF(A42&lt;'Données projet'!$A$114,$BV$205^A42,IF(A42='Données projet'!$A$114,'Données projet'!$B$114,BY41+BX42-CG41)))</f>
        <v>80.000000000000014</v>
      </c>
      <c r="BZ42" s="13">
        <f>BY42*VLOOKUP('Données projet'!$B$12,Paramètres!$A$1:$I$89,3,0)*VLOOKUP('Données projet'!$B$12,Paramètres!$A$1:$I$89,5,0)</f>
        <v>62.400000000000013</v>
      </c>
      <c r="CA42" s="13">
        <f t="shared" si="39"/>
        <v>17.773672286105256</v>
      </c>
      <c r="CB42" s="20">
        <f t="shared" si="10"/>
        <v>139.63581256496667</v>
      </c>
      <c r="CC42" s="59">
        <f t="shared" si="11"/>
        <v>386.64520965507381</v>
      </c>
      <c r="CD42" s="59">
        <f ca="1">AVERAGE(OFFSET($CC$3,0,0,'Données projet'!$E$12+1,1))-AVERAGE(OFFSET($H$3,0,0,'Données projet'!$E$12+1,1))</f>
        <v>250.01410333089137</v>
      </c>
      <c r="CE42" s="59">
        <f t="shared" si="40"/>
        <v>169.55868564318885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1.4325119963374677</v>
      </c>
      <c r="CM42" s="21">
        <f>EXP(-LN(2)/2)*CM41+(1-EXP(-LN(2)/2))/(LN(2)/2)*CG42*CJ42*VLOOKUP('Données projet'!$B$12,Paramètres!$A$1:$I$89,3,0)*0.475*44/12</f>
        <v>6.0899944703204776</v>
      </c>
      <c r="CN42" s="22">
        <f t="shared" si="12"/>
        <v>7.5225064666579451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6.5</v>
      </c>
      <c r="N43" s="13">
        <f>IF('Données projet'!$A$36&gt;35,N42+M43-V42,IF(A43&lt;'Données projet'!$A$36,$K$205^A43,IF(A43='Données projet'!$A$36,'Données projet'!$B$36,N42+M43-V42)))</f>
        <v>86.500000000000014</v>
      </c>
      <c r="O43" s="13">
        <f>N43*VLOOKUP('Données projet'!$B$9,Paramètres!$A$1:$I$89,3,0)*VLOOKUP('Données projet'!$B$9,Paramètres!$A$1:$I$89,5,0)</f>
        <v>78.265200000000007</v>
      </c>
      <c r="P43" s="13">
        <f t="shared" si="33"/>
        <v>21.712476811813609</v>
      </c>
      <c r="Q43" s="20">
        <f t="shared" si="53"/>
        <v>174.12778711390868</v>
      </c>
      <c r="R43" s="59">
        <f t="shared" si="0"/>
        <v>421.94080093302949</v>
      </c>
      <c r="S43" s="59">
        <f ca="1">AVERAGE(OFFSET($R$3,0,0,'Données projet'!$E$9+1,1))-AVERAGE(OFFSET($H$3,0,0,'Données projet'!$E$9+1,1))</f>
        <v>469.5773392354356</v>
      </c>
      <c r="T43" s="59">
        <f t="shared" si="34"/>
        <v>187.25344022835239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4.9500061627183101</v>
      </c>
      <c r="AC43" s="22">
        <f t="shared" si="3"/>
        <v>4.9500061627183101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6.5</v>
      </c>
      <c r="AI43" s="13">
        <f>IF('Données projet'!$A$62&gt;35,AI42+AH43-AQ42,IF(A43&lt;'Données projet'!$A$62,$AF$205^A43,IF(A43='Données projet'!$A$62,'Données projet'!$B$62,AI42+AH43-AQ42)))</f>
        <v>86.500000000000014</v>
      </c>
      <c r="AJ43" s="13">
        <f>AI43*VLOOKUP('Données projet'!$B$10,Paramètres!$A$1:$I$89,3,0)*VLOOKUP('Données projet'!$B$10,Paramètres!$A$1:$I$89,5,0)</f>
        <v>83.662800000000018</v>
      </c>
      <c r="AK43" s="13">
        <f t="shared" si="35"/>
        <v>23.030411049470413</v>
      </c>
      <c r="AL43" s="20">
        <f t="shared" si="4"/>
        <v>185.82400924449436</v>
      </c>
      <c r="AM43" s="59">
        <f t="shared" si="5"/>
        <v>433.63702306361517</v>
      </c>
      <c r="AN43" s="59">
        <f ca="1">AVERAGE(OFFSET($AM$3,0,0,'Données projet'!$E$10+1,1))-AVERAGE(OFFSET($H$3,0,0,'Données projet'!$E$10+1,1))</f>
        <v>370.91255999489181</v>
      </c>
      <c r="AO43" s="59">
        <f t="shared" si="36"/>
        <v>196.07869248605735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1.7277414517767089</v>
      </c>
      <c r="AW43" s="21">
        <f>EXP(-LN(2)/2)*AW42+(1-EXP(-LN(2)/2))/(LN(2)/2)*AQ43*AT43*VLOOKUP('Données projet'!$B$10,Paramètres!$A$1:$I$89,3,0)*0.475*44/12</f>
        <v>5.3397827203167152</v>
      </c>
      <c r="AX43" s="21">
        <f t="shared" si="6"/>
        <v>7.0675241720934245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6.5</v>
      </c>
      <c r="BD43" s="12">
        <f>IF('Données projet'!$A$88&gt;35,BD42+BC43-BL42,IF(A43&lt;'Données projet'!$A$88,$BA$205^A43,IF(A43='Données projet'!$A$88,'Données projet'!$B$88,BD42+BC43-BL42)))</f>
        <v>86.500000000000014</v>
      </c>
      <c r="BE43" s="13">
        <f>BD43*VLOOKUP('Données projet'!$B$11,Paramètres!$A$1:$I$89,3,0)*VLOOKUP('Données projet'!$B$11,Paramètres!$A$1:$I$89,5,0)</f>
        <v>93.10860000000001</v>
      </c>
      <c r="BF43" s="13">
        <f t="shared" si="37"/>
        <v>25.313456376925988</v>
      </c>
      <c r="BG43" s="20">
        <f t="shared" si="7"/>
        <v>206.25174818981273</v>
      </c>
      <c r="BH43" s="59">
        <f t="shared" si="8"/>
        <v>454.06476200893354</v>
      </c>
      <c r="BI43" s="59">
        <f ca="1">AVERAGE(OFFSET($BH$3,0,0,'Données projet'!$E$11+1,1))-AVERAGE(OFFSET($H$3,0,0,'Données projet'!$E$11+1,1))</f>
        <v>404.24955007425774</v>
      </c>
      <c r="BJ43" s="59">
        <f t="shared" si="38"/>
        <v>211.49137630071019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1.922809035041821</v>
      </c>
      <c r="BR43" s="21">
        <f>EXP(-LN(2)/2)*BR42+(1-EXP(-LN(2)/2))/(LN(2)/2)*BL43*BO43*VLOOKUP('Données projet'!$B$11,Paramètres!$A$1:$I$89,3,0)*0.475*44/12</f>
        <v>5.942661414546019</v>
      </c>
      <c r="BS43" s="22">
        <f t="shared" si="9"/>
        <v>7.86547044958784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6.5</v>
      </c>
      <c r="BY43" s="12">
        <f>IF('Données projet'!$A$114&gt;35,BY42+BX43-CG42,IF(A43&lt;'Données projet'!$A$114,$BV$205^A43,IF(A43='Données projet'!$A$114,'Données projet'!$B$114,BY42+BX43-CG42)))</f>
        <v>86.500000000000014</v>
      </c>
      <c r="BZ43" s="13">
        <f>BY43*VLOOKUP('Données projet'!$B$12,Paramètres!$A$1:$I$89,3,0)*VLOOKUP('Données projet'!$B$12,Paramètres!$A$1:$I$89,5,0)</f>
        <v>67.470000000000013</v>
      </c>
      <c r="CA43" s="13">
        <f t="shared" si="39"/>
        <v>19.043829666408445</v>
      </c>
      <c r="CB43" s="20">
        <f t="shared" si="10"/>
        <v>150.67825333566137</v>
      </c>
      <c r="CC43" s="59">
        <f t="shared" si="11"/>
        <v>398.49126715478218</v>
      </c>
      <c r="CD43" s="59">
        <f ca="1">AVERAGE(OFFSET($CC$3,0,0,'Données projet'!$E$12+1,1))-AVERAGE(OFFSET($H$3,0,0,'Données projet'!$E$12+1,1))</f>
        <v>250.01410333089137</v>
      </c>
      <c r="CE43" s="59">
        <f t="shared" si="40"/>
        <v>169.55868564318885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1.3933398804650878</v>
      </c>
      <c r="CM43" s="21">
        <f>EXP(-LN(2)/2)*CM42+(1-EXP(-LN(2)/2))/(LN(2)/2)*CG43*CJ43*VLOOKUP('Données projet'!$B$12,Paramètres!$A$1:$I$89,3,0)*0.475*44/12</f>
        <v>4.3062763873521863</v>
      </c>
      <c r="CN43" s="22">
        <f t="shared" si="12"/>
        <v>5.6996162678172739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6.5</v>
      </c>
      <c r="N44" s="13">
        <f>IF('Données projet'!$A$36&gt;35,N43+M44-V43,IF(A44&lt;'Données projet'!$A$36,$K$205^A44,IF(A44='Données projet'!$A$36,'Données projet'!$B$36,N43+M44-V43)))</f>
        <v>93.000000000000014</v>
      </c>
      <c r="O44" s="13">
        <f>N44*VLOOKUP('Données projet'!$B$9,Paramètres!$A$1:$I$89,3,0)*VLOOKUP('Données projet'!$B$9,Paramètres!$A$1:$I$89,5,0)</f>
        <v>84.146400000000014</v>
      </c>
      <c r="P44" s="13">
        <f t="shared" si="33"/>
        <v>23.14799971956144</v>
      </c>
      <c r="Q44" s="20">
        <f t="shared" si="53"/>
        <v>186.87107951156952</v>
      </c>
      <c r="R44" s="59">
        <f t="shared" si="0"/>
        <v>435.47376910607352</v>
      </c>
      <c r="S44" s="59">
        <f ca="1">AVERAGE(OFFSET($R$3,0,0,'Données projet'!$E$9+1,1))-AVERAGE(OFFSET($H$3,0,0,'Données projet'!$E$9+1,1))</f>
        <v>469.5773392354356</v>
      </c>
      <c r="T44" s="59">
        <f t="shared" si="34"/>
        <v>187.25344022835239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3.500182924573318</v>
      </c>
      <c r="AC44" s="22">
        <f t="shared" si="3"/>
        <v>3.500182924573318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</v>
      </c>
      <c r="AI44" s="13">
        <f>IF('Données projet'!$A$62&gt;35,AI43+AH44-AQ43,IF(A44&lt;'Données projet'!$A$62,$AF$205^A44,IF(A44='Données projet'!$A$62,'Données projet'!$B$62,AI43+AH44-AQ43)))</f>
        <v>93.000000000000014</v>
      </c>
      <c r="AJ44" s="13">
        <f>AI44*VLOOKUP('Données projet'!$B$10,Paramètres!$A$1:$I$89,3,0)*VLOOKUP('Données projet'!$B$10,Paramètres!$A$1:$I$89,5,0)</f>
        <v>89.949600000000018</v>
      </c>
      <c r="AK44" s="13">
        <f t="shared" si="35"/>
        <v>24.553069331291834</v>
      </c>
      <c r="AL44" s="20">
        <f t="shared" si="4"/>
        <v>199.42548241866663</v>
      </c>
      <c r="AM44" s="59">
        <f t="shared" si="5"/>
        <v>448.0281720131706</v>
      </c>
      <c r="AN44" s="59">
        <f ca="1">AVERAGE(OFFSET($AM$3,0,0,'Données projet'!$E$10+1,1))-AVERAGE(OFFSET($H$3,0,0,'Données projet'!$E$10+1,1))</f>
        <v>370.91255999489181</v>
      </c>
      <c r="AO44" s="59">
        <f t="shared" si="36"/>
        <v>196.07869248605735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1.6804962709199007</v>
      </c>
      <c r="AW44" s="21">
        <f>EXP(-LN(2)/2)*AW43+(1-EXP(-LN(2)/2))/(LN(2)/2)*AQ44*AT44*VLOOKUP('Données projet'!$B$10,Paramètres!$A$1:$I$89,3,0)*0.475*44/12</f>
        <v>3.7757965715986992</v>
      </c>
      <c r="AX44" s="21">
        <f t="shared" si="6"/>
        <v>5.4562928425186001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6.5</v>
      </c>
      <c r="BD44" s="12">
        <f>IF('Données projet'!$A$88&gt;35,BD43+BC44-BL43,IF(A44&lt;'Données projet'!$A$88,$BA$205^A44,IF(A44='Données projet'!$A$88,'Données projet'!$B$88,BD43+BC44-BL43)))</f>
        <v>93.000000000000014</v>
      </c>
      <c r="BE44" s="13">
        <f>BD44*VLOOKUP('Données projet'!$B$11,Paramètres!$A$1:$I$89,3,0)*VLOOKUP('Données projet'!$B$11,Paramètres!$A$1:$I$89,5,0)</f>
        <v>100.10520000000001</v>
      </c>
      <c r="BF44" s="13">
        <f t="shared" si="37"/>
        <v>26.987058463795307</v>
      </c>
      <c r="BG44" s="20">
        <f t="shared" si="7"/>
        <v>221.35235015777684</v>
      </c>
      <c r="BH44" s="59">
        <f t="shared" si="8"/>
        <v>469.95503975228081</v>
      </c>
      <c r="BI44" s="59">
        <f ca="1">AVERAGE(OFFSET($BH$3,0,0,'Données projet'!$E$11+1,1))-AVERAGE(OFFSET($H$3,0,0,'Données projet'!$E$11+1,1))</f>
        <v>404.24955007425774</v>
      </c>
      <c r="BJ44" s="59">
        <f t="shared" si="38"/>
        <v>211.49137630071019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1.8702297208624699</v>
      </c>
      <c r="BR44" s="21">
        <f>EXP(-LN(2)/2)*BR43+(1-EXP(-LN(2)/2))/(LN(2)/2)*BL44*BO44*VLOOKUP('Données projet'!$B$11,Paramètres!$A$1:$I$89,3,0)*0.475*44/12</f>
        <v>4.2020961845211309</v>
      </c>
      <c r="BS44" s="22">
        <f t="shared" si="9"/>
        <v>6.0723259053836003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6.5</v>
      </c>
      <c r="BY44" s="12">
        <f>IF('Données projet'!$A$114&gt;35,BY43+BX44-CG43,IF(A44&lt;'Données projet'!$A$114,$BV$205^A44,IF(A44='Données projet'!$A$114,'Données projet'!$B$114,BY43+BX44-CG43)))</f>
        <v>93.000000000000014</v>
      </c>
      <c r="BZ44" s="13">
        <f>BY44*VLOOKUP('Données projet'!$B$12,Paramètres!$A$1:$I$89,3,0)*VLOOKUP('Données projet'!$B$12,Paramètres!$A$1:$I$89,5,0)</f>
        <v>72.54000000000002</v>
      </c>
      <c r="CA44" s="13">
        <f t="shared" si="39"/>
        <v>20.302914660456786</v>
      </c>
      <c r="CB44" s="20">
        <f t="shared" si="10"/>
        <v>161.70140970029561</v>
      </c>
      <c r="CC44" s="59">
        <f t="shared" si="11"/>
        <v>410.30409929479958</v>
      </c>
      <c r="CD44" s="59">
        <f ca="1">AVERAGE(OFFSET($CC$3,0,0,'Données projet'!$E$12+1,1))-AVERAGE(OFFSET($H$3,0,0,'Données projet'!$E$12+1,1))</f>
        <v>250.01410333089137</v>
      </c>
      <c r="CE44" s="59">
        <f t="shared" si="40"/>
        <v>169.55868564318885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1.3552389281612103</v>
      </c>
      <c r="CM44" s="21">
        <f>EXP(-LN(2)/2)*CM43+(1-EXP(-LN(2)/2))/(LN(2)/2)*CG44*CJ44*VLOOKUP('Données projet'!$B$12,Paramètres!$A$1:$I$89,3,0)*0.475*44/12</f>
        <v>3.0449972351602388</v>
      </c>
      <c r="CN44" s="22">
        <f t="shared" si="12"/>
        <v>4.4002361633214493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6.5</v>
      </c>
      <c r="N45" s="13">
        <f>IF('Données projet'!$A$36&gt;35,N44+M45-V44,IF(A45&lt;'Données projet'!$A$36,$K$205^A45,IF(A45='Données projet'!$A$36,'Données projet'!$B$36,N44+M45-V44)))</f>
        <v>99.500000000000014</v>
      </c>
      <c r="O45" s="13">
        <f>N45*VLOOKUP('Données projet'!$B$9,Paramètres!$A$1:$I$89,3,0)*VLOOKUP('Données projet'!$B$9,Paramètres!$A$1:$I$89,5,0)</f>
        <v>90.027600000000007</v>
      </c>
      <c r="P45" s="13">
        <f t="shared" si="33"/>
        <v>24.571881330512003</v>
      </c>
      <c r="Q45" s="20">
        <f t="shared" si="53"/>
        <v>199.59409665064175</v>
      </c>
      <c r="R45" s="59">
        <f t="shared" si="0"/>
        <v>448.9727629112765</v>
      </c>
      <c r="S45" s="59">
        <f ca="1">AVERAGE(OFFSET($R$3,0,0,'Données projet'!$E$9+1,1))-AVERAGE(OFFSET($H$3,0,0,'Données projet'!$E$9+1,1))</f>
        <v>469.5773392354356</v>
      </c>
      <c r="T45" s="59">
        <f t="shared" si="34"/>
        <v>187.25344022835239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2.4750030813591555</v>
      </c>
      <c r="AC45" s="22">
        <f t="shared" si="3"/>
        <v>2.4750030813591555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</v>
      </c>
      <c r="AI45" s="13">
        <f>IF('Données projet'!$A$62&gt;35,AI44+AH45-AQ44,IF(A45&lt;'Données projet'!$A$62,$AF$205^A45,IF(A45='Données projet'!$A$62,'Données projet'!$B$62,AI44+AH45-AQ44)))</f>
        <v>99.500000000000014</v>
      </c>
      <c r="AJ45" s="13">
        <f>AI45*VLOOKUP('Données projet'!$B$10,Paramètres!$A$1:$I$89,3,0)*VLOOKUP('Données projet'!$B$10,Paramètres!$A$1:$I$89,5,0)</f>
        <v>96.236400000000017</v>
      </c>
      <c r="AK45" s="13">
        <f t="shared" si="35"/>
        <v>26.063379696626619</v>
      </c>
      <c r="AL45" s="20">
        <f t="shared" si="4"/>
        <v>213.00544963829137</v>
      </c>
      <c r="AM45" s="59">
        <f t="shared" si="5"/>
        <v>462.3841158989261</v>
      </c>
      <c r="AN45" s="59">
        <f ca="1">AVERAGE(OFFSET($AM$3,0,0,'Données projet'!$E$10+1,1))-AVERAGE(OFFSET($H$3,0,0,'Données projet'!$E$10+1,1))</f>
        <v>370.91255999489181</v>
      </c>
      <c r="AO45" s="59">
        <f t="shared" si="36"/>
        <v>196.07869248605735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1.6345430120181379</v>
      </c>
      <c r="AW45" s="21">
        <f>EXP(-LN(2)/2)*AW44+(1-EXP(-LN(2)/2))/(LN(2)/2)*AQ45*AT45*VLOOKUP('Données projet'!$B$10,Paramètres!$A$1:$I$89,3,0)*0.475*44/12</f>
        <v>2.669891360158358</v>
      </c>
      <c r="AX45" s="21">
        <f t="shared" si="6"/>
        <v>4.3044343721764964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6.5</v>
      </c>
      <c r="BD45" s="12">
        <f>IF('Données projet'!$A$88&gt;35,BD44+BC45-BL44,IF(A45&lt;'Données projet'!$A$88,$BA$205^A45,IF(A45='Données projet'!$A$88,'Données projet'!$B$88,BD44+BC45-BL44)))</f>
        <v>99.500000000000014</v>
      </c>
      <c r="BE45" s="13">
        <f>BD45*VLOOKUP('Données projet'!$B$11,Paramètres!$A$1:$I$89,3,0)*VLOOKUP('Données projet'!$B$11,Paramètres!$A$1:$I$89,5,0)</f>
        <v>107.10180000000001</v>
      </c>
      <c r="BF45" s="13">
        <f t="shared" si="37"/>
        <v>28.647088563405728</v>
      </c>
      <c r="BG45" s="20">
        <f t="shared" si="7"/>
        <v>236.42931424793164</v>
      </c>
      <c r="BH45" s="59">
        <f t="shared" si="8"/>
        <v>485.8079805085664</v>
      </c>
      <c r="BI45" s="59">
        <f ca="1">AVERAGE(OFFSET($BH$3,0,0,'Données projet'!$E$11+1,1))-AVERAGE(OFFSET($H$3,0,0,'Données projet'!$E$11+1,1))</f>
        <v>404.24955007425774</v>
      </c>
      <c r="BJ45" s="59">
        <f t="shared" si="38"/>
        <v>211.49137630071019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1.819088190794379</v>
      </c>
      <c r="BR45" s="21">
        <f>EXP(-LN(2)/2)*BR44+(1-EXP(-LN(2)/2))/(LN(2)/2)*BL45*BO45*VLOOKUP('Données projet'!$B$11,Paramètres!$A$1:$I$89,3,0)*0.475*44/12</f>
        <v>2.9713307072730095</v>
      </c>
      <c r="BS45" s="22">
        <f t="shared" si="9"/>
        <v>4.7904188980673883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6.5</v>
      </c>
      <c r="BY45" s="12">
        <f>IF('Données projet'!$A$114&gt;35,BY44+BX45-CG44,IF(A45&lt;'Données projet'!$A$114,$BV$205^A45,IF(A45='Données projet'!$A$114,'Données projet'!$B$114,BY44+BX45-CG44)))</f>
        <v>99.500000000000014</v>
      </c>
      <c r="BZ45" s="13">
        <f>BY45*VLOOKUP('Données projet'!$B$12,Paramètres!$A$1:$I$89,3,0)*VLOOKUP('Données projet'!$B$12,Paramètres!$A$1:$I$89,5,0)</f>
        <v>77.610000000000014</v>
      </c>
      <c r="CA45" s="13">
        <f t="shared" si="39"/>
        <v>21.551789171600536</v>
      </c>
      <c r="CB45" s="20">
        <f t="shared" si="10"/>
        <v>172.70678280720426</v>
      </c>
      <c r="CC45" s="59">
        <f t="shared" si="11"/>
        <v>422.08544906783902</v>
      </c>
      <c r="CD45" s="59">
        <f ca="1">AVERAGE(OFFSET($CC$3,0,0,'Données projet'!$E$12+1,1))-AVERAGE(OFFSET($H$3,0,0,'Données projet'!$E$12+1,1))</f>
        <v>250.01410333089137</v>
      </c>
      <c r="CE45" s="59">
        <f t="shared" si="40"/>
        <v>169.55868564318885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1.3181798484017242</v>
      </c>
      <c r="CM45" s="21">
        <f>EXP(-LN(2)/2)*CM44+(1-EXP(-LN(2)/2))/(LN(2)/2)*CG45*CJ45*VLOOKUP('Données projet'!$B$12,Paramètres!$A$1:$I$89,3,0)*0.475*44/12</f>
        <v>2.1531381936760932</v>
      </c>
      <c r="CN45" s="22">
        <f t="shared" si="12"/>
        <v>3.4713180420778174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6.5</v>
      </c>
      <c r="N46" s="13">
        <f>IF('Données projet'!$A$36&gt;35,N45+M46-V45,IF(A46&lt;'Données projet'!$A$36,$K$205^A46,IF(A46='Données projet'!$A$36,'Données projet'!$B$36,N45+M46-V45)))</f>
        <v>106.00000000000001</v>
      </c>
      <c r="O46" s="13">
        <f>N46*VLOOKUP('Données projet'!$B$9,Paramètres!$A$1:$I$89,3,0)*VLOOKUP('Données projet'!$B$9,Paramètres!$A$1:$I$89,5,0)</f>
        <v>95.908800000000014</v>
      </c>
      <c r="P46" s="13">
        <f t="shared" si="33"/>
        <v>25.984968676228355</v>
      </c>
      <c r="Q46" s="20">
        <f t="shared" si="53"/>
        <v>212.29831377776441</v>
      </c>
      <c r="R46" s="59">
        <f t="shared" si="0"/>
        <v>462.43949524419645</v>
      </c>
      <c r="S46" s="59">
        <f ca="1">AVERAGE(OFFSET($R$3,0,0,'Données projet'!$E$9+1,1))-AVERAGE(OFFSET($H$3,0,0,'Données projet'!$E$9+1,1))</f>
        <v>469.5773392354356</v>
      </c>
      <c r="T46" s="59">
        <f t="shared" si="34"/>
        <v>187.25344022835239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1.7500914622866595</v>
      </c>
      <c r="AC46" s="22">
        <f t="shared" si="3"/>
        <v>1.7500914622866595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</v>
      </c>
      <c r="AI46" s="13">
        <f>IF('Données projet'!$A$62&gt;35,AI45+AH46-AQ45,IF(A46&lt;'Données projet'!$A$62,$AF$205^A46,IF(A46='Données projet'!$A$62,'Données projet'!$B$62,AI45+AH46-AQ45)))</f>
        <v>106.00000000000001</v>
      </c>
      <c r="AJ46" s="13">
        <f>AI46*VLOOKUP('Données projet'!$B$10,Paramètres!$A$1:$I$89,3,0)*VLOOKUP('Données projet'!$B$10,Paramètres!$A$1:$I$89,5,0)</f>
        <v>102.52320000000002</v>
      </c>
      <c r="AK46" s="13">
        <f t="shared" si="35"/>
        <v>27.562240591342476</v>
      </c>
      <c r="AL46" s="20">
        <f t="shared" si="4"/>
        <v>226.56547569658815</v>
      </c>
      <c r="AM46" s="59">
        <f t="shared" si="5"/>
        <v>476.70665716302017</v>
      </c>
      <c r="AN46" s="59">
        <f ca="1">AVERAGE(OFFSET($AM$3,0,0,'Données projet'!$E$10+1,1))-AVERAGE(OFFSET($H$3,0,0,'Données projet'!$E$10+1,1))</f>
        <v>370.91255999489181</v>
      </c>
      <c r="AO46" s="59">
        <f t="shared" si="36"/>
        <v>196.07869248605735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1.5898463473976208</v>
      </c>
      <c r="AW46" s="21">
        <f>EXP(-LN(2)/2)*AW45+(1-EXP(-LN(2)/2))/(LN(2)/2)*AQ46*AT46*VLOOKUP('Données projet'!$B$10,Paramètres!$A$1:$I$89,3,0)*0.475*44/12</f>
        <v>1.88789828579935</v>
      </c>
      <c r="AX46" s="21">
        <f t="shared" si="6"/>
        <v>3.4777446331969708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6.5</v>
      </c>
      <c r="BD46" s="12">
        <f>IF('Données projet'!$A$88&gt;35,BD45+BC46-BL45,IF(A46&lt;'Données projet'!$A$88,$BA$205^A46,IF(A46='Données projet'!$A$88,'Données projet'!$B$88,BD45+BC46-BL45)))</f>
        <v>106.00000000000001</v>
      </c>
      <c r="BE46" s="13">
        <f>BD46*VLOOKUP('Données projet'!$B$11,Paramètres!$A$1:$I$89,3,0)*VLOOKUP('Données projet'!$B$11,Paramètres!$A$1:$I$89,5,0)</f>
        <v>114.0984</v>
      </c>
      <c r="BF46" s="13">
        <f t="shared" si="37"/>
        <v>30.294534186150837</v>
      </c>
      <c r="BG46" s="20">
        <f t="shared" si="7"/>
        <v>251.48436037421268</v>
      </c>
      <c r="BH46" s="59">
        <f t="shared" si="8"/>
        <v>501.6255418406447</v>
      </c>
      <c r="BI46" s="59">
        <f ca="1">AVERAGE(OFFSET($BH$3,0,0,'Données projet'!$E$11+1,1))-AVERAGE(OFFSET($H$3,0,0,'Données projet'!$E$11+1,1))</f>
        <v>404.24955007425774</v>
      </c>
      <c r="BJ46" s="59">
        <f t="shared" si="38"/>
        <v>211.49137630071019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1.7693451285554163</v>
      </c>
      <c r="BR46" s="21">
        <f>EXP(-LN(2)/2)*BR45+(1-EXP(-LN(2)/2))/(LN(2)/2)*BL46*BO46*VLOOKUP('Données projet'!$B$11,Paramètres!$A$1:$I$89,3,0)*0.475*44/12</f>
        <v>2.1010480922605654</v>
      </c>
      <c r="BS46" s="22">
        <f t="shared" si="9"/>
        <v>3.8703932208159815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6.5</v>
      </c>
      <c r="BY46" s="12">
        <f>IF('Données projet'!$A$114&gt;35,BY45+BX46-CG45,IF(A46&lt;'Données projet'!$A$114,$BV$205^A46,IF(A46='Données projet'!$A$114,'Données projet'!$B$114,BY45+BX46-CG45)))</f>
        <v>106.00000000000001</v>
      </c>
      <c r="BZ46" s="13">
        <f>BY46*VLOOKUP('Données projet'!$B$12,Paramètres!$A$1:$I$89,3,0)*VLOOKUP('Données projet'!$B$12,Paramètres!$A$1:$I$89,5,0)</f>
        <v>82.68</v>
      </c>
      <c r="CA46" s="13">
        <f t="shared" si="39"/>
        <v>22.791196124055514</v>
      </c>
      <c r="CB46" s="20">
        <f t="shared" si="10"/>
        <v>183.69566658273004</v>
      </c>
      <c r="CC46" s="59">
        <f t="shared" si="11"/>
        <v>433.83684804916209</v>
      </c>
      <c r="CD46" s="59">
        <f ca="1">AVERAGE(OFFSET($CC$3,0,0,'Données projet'!$E$12+1,1))-AVERAGE(OFFSET($H$3,0,0,'Données projet'!$E$12+1,1))</f>
        <v>250.01410333089137</v>
      </c>
      <c r="CE46" s="59">
        <f t="shared" si="40"/>
        <v>169.55868564318885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1.2821341511271136</v>
      </c>
      <c r="CM46" s="21">
        <f>EXP(-LN(2)/2)*CM45+(1-EXP(-LN(2)/2))/(LN(2)/2)*CG46*CJ46*VLOOKUP('Données projet'!$B$12,Paramètres!$A$1:$I$89,3,0)*0.475*44/12</f>
        <v>1.5224986175801194</v>
      </c>
      <c r="CN46" s="22">
        <f t="shared" si="12"/>
        <v>2.8046327687072328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6.5</v>
      </c>
      <c r="N47" s="13">
        <f>IF('Données projet'!$A$36&gt;35,N46+M47-V46,IF(A47&lt;'Données projet'!$A$36,$K$205^A47,IF(A47='Données projet'!$A$36,'Données projet'!$B$36,N46+M47-V46)))</f>
        <v>112.50000000000001</v>
      </c>
      <c r="O47" s="13">
        <f>N47*VLOOKUP('Données projet'!$B$9,Paramètres!$A$1:$I$89,3,0)*VLOOKUP('Données projet'!$B$9,Paramètres!$A$1:$I$89,5,0)</f>
        <v>101.79</v>
      </c>
      <c r="P47" s="13">
        <f t="shared" si="33"/>
        <v>27.38799903683508</v>
      </c>
      <c r="Q47" s="20">
        <f t="shared" si="53"/>
        <v>224.98501498915439</v>
      </c>
      <c r="R47" s="59">
        <f t="shared" si="0"/>
        <v>475.87548372729179</v>
      </c>
      <c r="S47" s="59">
        <f ca="1">AVERAGE(OFFSET($R$3,0,0,'Données projet'!$E$9+1,1))-AVERAGE(OFFSET($H$3,0,0,'Données projet'!$E$9+1,1))</f>
        <v>469.5773392354356</v>
      </c>
      <c r="T47" s="59">
        <f t="shared" si="34"/>
        <v>187.25344022835239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1.237501540679578</v>
      </c>
      <c r="AC47" s="22">
        <f t="shared" si="3"/>
        <v>1.237501540679578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</v>
      </c>
      <c r="AI47" s="13">
        <f>IF('Données projet'!$A$62&gt;35,AI46+AH47-AQ46,IF(A47&lt;'Données projet'!$A$62,$AF$205^A47,IF(A47='Données projet'!$A$62,'Données projet'!$B$62,AI46+AH47-AQ46)))</f>
        <v>112.50000000000001</v>
      </c>
      <c r="AJ47" s="13">
        <f>AI47*VLOOKUP('Données projet'!$B$10,Paramètres!$A$1:$I$89,3,0)*VLOOKUP('Données projet'!$B$10,Paramètres!$A$1:$I$89,5,0)</f>
        <v>108.81000000000003</v>
      </c>
      <c r="AK47" s="13">
        <f t="shared" si="35"/>
        <v>29.05043404802263</v>
      </c>
      <c r="AL47" s="20">
        <f t="shared" si="4"/>
        <v>240.10692263363944</v>
      </c>
      <c r="AM47" s="59">
        <f t="shared" si="5"/>
        <v>490.99739137177687</v>
      </c>
      <c r="AN47" s="59">
        <f ca="1">AVERAGE(OFFSET($AM$3,0,0,'Données projet'!$E$10+1,1))-AVERAGE(OFFSET($H$3,0,0,'Données projet'!$E$10+1,1))</f>
        <v>370.91255999489181</v>
      </c>
      <c r="AO47" s="59">
        <f t="shared" si="36"/>
        <v>196.07869248605735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1.5463719154216471</v>
      </c>
      <c r="AW47" s="21">
        <f>EXP(-LN(2)/2)*AW46+(1-EXP(-LN(2)/2))/(LN(2)/2)*AQ47*AT47*VLOOKUP('Données projet'!$B$10,Paramètres!$A$1:$I$89,3,0)*0.475*44/12</f>
        <v>1.3349456800791792</v>
      </c>
      <c r="AX47" s="21">
        <f t="shared" si="6"/>
        <v>2.8813175955008266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6.5</v>
      </c>
      <c r="BD47" s="12">
        <f>IF('Données projet'!$A$88&gt;35,BD46+BC47-BL46,IF(A47&lt;'Données projet'!$A$88,$BA$205^A47,IF(A47='Données projet'!$A$88,'Données projet'!$B$88,BD46+BC47-BL46)))</f>
        <v>112.50000000000001</v>
      </c>
      <c r="BE47" s="13">
        <f>BD47*VLOOKUP('Données projet'!$B$11,Paramètres!$A$1:$I$89,3,0)*VLOOKUP('Données projet'!$B$11,Paramètres!$A$1:$I$89,5,0)</f>
        <v>121.095</v>
      </c>
      <c r="BF47" s="13">
        <f t="shared" si="37"/>
        <v>31.930254888885127</v>
      </c>
      <c r="BG47" s="20">
        <f t="shared" si="7"/>
        <v>266.51898559814157</v>
      </c>
      <c r="BH47" s="59">
        <f t="shared" si="8"/>
        <v>517.40945433627894</v>
      </c>
      <c r="BI47" s="59">
        <f ca="1">AVERAGE(OFFSET($BH$3,0,0,'Données projet'!$E$11+1,1))-AVERAGE(OFFSET($H$3,0,0,'Données projet'!$E$11+1,1))</f>
        <v>404.24955007425774</v>
      </c>
      <c r="BJ47" s="59">
        <f t="shared" si="38"/>
        <v>211.49137630071019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1.7209622929692521</v>
      </c>
      <c r="BR47" s="21">
        <f>EXP(-LN(2)/2)*BR46+(1-EXP(-LN(2)/2))/(LN(2)/2)*BL47*BO47*VLOOKUP('Données projet'!$B$11,Paramètres!$A$1:$I$89,3,0)*0.475*44/12</f>
        <v>1.4856653536365048</v>
      </c>
      <c r="BS47" s="22">
        <f t="shared" si="9"/>
        <v>3.2066276466057566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6.5</v>
      </c>
      <c r="BY47" s="12">
        <f>IF('Données projet'!$A$114&gt;35,BY46+BX47-CG46,IF(A47&lt;'Données projet'!$A$114,$BV$205^A47,IF(A47='Données projet'!$A$114,'Données projet'!$B$114,BY46+BX47-CG46)))</f>
        <v>112.50000000000001</v>
      </c>
      <c r="BZ47" s="13">
        <f>BY47*VLOOKUP('Données projet'!$B$12,Paramètres!$A$1:$I$89,3,0)*VLOOKUP('Données projet'!$B$12,Paramètres!$A$1:$I$89,5,0)</f>
        <v>87.750000000000014</v>
      </c>
      <c r="CA47" s="13">
        <f t="shared" si="39"/>
        <v>24.021782179979688</v>
      </c>
      <c r="CB47" s="20">
        <f t="shared" si="10"/>
        <v>194.66918729679799</v>
      </c>
      <c r="CC47" s="59">
        <f t="shared" si="11"/>
        <v>445.55965603493541</v>
      </c>
      <c r="CD47" s="59">
        <f ca="1">AVERAGE(OFFSET($CC$3,0,0,'Données projet'!$E$12+1,1))-AVERAGE(OFFSET($H$3,0,0,'Données projet'!$E$12+1,1))</f>
        <v>250.01410333089137</v>
      </c>
      <c r="CE47" s="59">
        <f t="shared" si="40"/>
        <v>169.55868564318885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1.2470741253400379</v>
      </c>
      <c r="CM47" s="21">
        <f>EXP(-LN(2)/2)*CM46+(1-EXP(-LN(2)/2))/(LN(2)/2)*CG47*CJ47*VLOOKUP('Données projet'!$B$12,Paramètres!$A$1:$I$89,3,0)*0.475*44/12</f>
        <v>1.0765690968380466</v>
      </c>
      <c r="CN47" s="22">
        <f t="shared" si="12"/>
        <v>2.3236432221780845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119</v>
      </c>
      <c r="L48" s="12">
        <f>VLOOKUP(A48,'Données projet'!$A$35:$I$55,9,0)</f>
        <v>6.5</v>
      </c>
      <c r="M48" s="12">
        <f t="array" ref="M48">INDEX(L:L,MIN(IF(ISNUMBER(L48:L244),ROW(L48:L244),"")))</f>
        <v>6.5</v>
      </c>
      <c r="N48" s="13">
        <f>IF('Données projet'!$A$36&gt;35,N47+M48-V47,IF(A48&lt;'Données projet'!$A$36,$K$205^A48,IF(A48='Données projet'!$A$36,'Données projet'!$B$36,N47+M48-V47)))</f>
        <v>119.00000000000001</v>
      </c>
      <c r="O48" s="13">
        <f>N48*VLOOKUP('Données projet'!$B$9,Paramètres!$A$1:$I$89,3,0)*VLOOKUP('Données projet'!$B$9,Paramètres!$A$1:$I$89,5,0)</f>
        <v>107.67120000000001</v>
      </c>
      <c r="P48" s="13">
        <f t="shared" si="33"/>
        <v>28.781619683258381</v>
      </c>
      <c r="Q48" s="20">
        <f t="shared" si="53"/>
        <v>237.65532761500836</v>
      </c>
      <c r="R48" s="59">
        <f t="shared" si="0"/>
        <v>489.28208516584249</v>
      </c>
      <c r="S48" s="59">
        <f ca="1">AVERAGE(OFFSET($R$3,0,0,'Données projet'!$E$9+1,1))-AVERAGE(OFFSET($H$3,0,0,'Données projet'!$E$9+1,1))</f>
        <v>469.5773392354356</v>
      </c>
      <c r="T48" s="59">
        <f t="shared" si="34"/>
        <v>187.25344022835239</v>
      </c>
      <c r="U48" s="15">
        <f>IF(ISNA(VLOOKUP(A48,'Données projet'!$A$35:$I$55,3,0)),0,VLOOKUP(A48,'Données projet'!$A$35:$I$55,3,0))</f>
        <v>4</v>
      </c>
      <c r="V48" s="15">
        <f>IF(ISNA(VLOOKUP(A48,'Données projet'!$A$35:$I$55,4,0)),0,VLOOKUP(A48,'Données projet'!$A$35:$I$55,4,0))</f>
        <v>29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4.3000000000000003E-2</v>
      </c>
      <c r="Y48" s="16">
        <f>IF(ISNA(VLOOKUP(A48,'Données projet'!$A$35:$I$55,7,0)),0%,VLOOKUP(A48,'Données projet'!$A$35:$I$55,7,0))</f>
        <v>0.4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1.2423752689959631</v>
      </c>
      <c r="AB48" s="21">
        <f>EXP(-LN(2)/2)*AB47+(1-EXP(-LN(2)/2))/(LN(2)/2)*V48*Y48*VLOOKUP('Données projet'!$B$9,Paramètres!$A$1:$I$89,3,0)*0.475*44/12</f>
        <v>10.77800229822881</v>
      </c>
      <c r="AC48" s="22">
        <f t="shared" si="3"/>
        <v>12.020377567224772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119</v>
      </c>
      <c r="AG48" s="12">
        <f>VLOOKUP(A48,'Données projet'!$A$61:$I$81,9,0)</f>
        <v>6.5</v>
      </c>
      <c r="AH48" s="12">
        <f t="array" ref="AH48">INDEX(AG:AG,MIN(IF(ISNUMBER(AG48:AG244),ROW(AG48:AG244),"")))</f>
        <v>6.5</v>
      </c>
      <c r="AI48" s="13">
        <f>IF('Données projet'!$A$62&gt;35,AI47+AH48-AQ47,IF(A48&lt;'Données projet'!$A$62,$AF$205^A48,IF(A48='Données projet'!$A$62,'Données projet'!$B$62,AI47+AH48-AQ47)))</f>
        <v>119.00000000000001</v>
      </c>
      <c r="AJ48" s="13">
        <f>AI48*VLOOKUP('Données projet'!$B$10,Paramètres!$A$1:$I$89,3,0)*VLOOKUP('Données projet'!$B$10,Paramètres!$A$1:$I$89,5,0)</f>
        <v>115.09680000000003</v>
      </c>
      <c r="AK48" s="13">
        <f t="shared" si="35"/>
        <v>30.528646626547697</v>
      </c>
      <c r="AL48" s="20">
        <f t="shared" si="4"/>
        <v>253.63098620790393</v>
      </c>
      <c r="AM48" s="59">
        <f t="shared" si="5"/>
        <v>505.25774375873806</v>
      </c>
      <c r="AN48" s="59">
        <f ca="1">AVERAGE(OFFSET($AM$3,0,0,'Données projet'!$E$10+1,1))-AVERAGE(OFFSET($H$3,0,0,'Données projet'!$E$10+1,1))</f>
        <v>370.91255999489181</v>
      </c>
      <c r="AO48" s="59">
        <f t="shared" si="36"/>
        <v>196.07869248605735</v>
      </c>
      <c r="AP48" s="15">
        <f>IF(ISNA(VLOOKUP(A48,'Données projet'!$A$61:$I$81,3,0)),0,VLOOKUP(A48,'Données projet'!$A$61:$I$81,3,0))</f>
        <v>4</v>
      </c>
      <c r="AQ48" s="15">
        <f>IF(ISNA(VLOOKUP(A48,'Données projet'!$A$61:$I$81,4,0)),0,VLOOKUP(A48,'Données projet'!$A$61:$I$81,4,0))</f>
        <v>29</v>
      </c>
      <c r="AR48" s="16">
        <f>IF(ISNA(VLOOKUP(A48,'Données projet'!$A$61:$I$81,5,0)),0%,VLOOKUP(A48,'Données projet'!$A$61:$I$81,5,0)*VLOOKUP('Données projet'!$B$10,Paramètres!$A$1:$I$89,7,0))</f>
        <v>4.3000000000000003E-2</v>
      </c>
      <c r="AS48" s="16">
        <f>IF(ISNA(VLOOKUP(A48,'Données projet'!$A$61:$I$81,6,0)),0%,VLOOKUP(A48,'Données projet'!$A$61:$I$81,6,0)*VLOOKUP('Données projet'!$B$10,Paramètres!$A$1:$I$89,7,0))</f>
        <v>8.6000000000000007E-2</v>
      </c>
      <c r="AT48" s="16">
        <f>IF(ISNA(VLOOKUP(A48,'Données projet'!$A$61:$I$81,7,0)),0%,VLOOKUP(A48,'Données projet'!$A$61:$I$81,7,0))</f>
        <v>0.5</v>
      </c>
      <c r="AU48" s="21">
        <f>EXP(-LN(2)/35)*AU47+(1-EXP(-LN(2)/35))/(LN(2)/35)*AQ48*AR48*VLOOKUP('Données projet'!$B$10,Paramètres!$A$1:$I$89,3,0)*0.475*44/12</f>
        <v>1.333306056002084</v>
      </c>
      <c r="AV48" s="21">
        <f>EXP(-LN(2)/25)*AV47+(1-EXP(-LN(2)/25))/(LN(2)/25)*Calculateur!AQ48*Calculateur!AS48*VLOOKUP('Données projet'!$B$10,Paramètres!$A$1:$I$89,3,0)*0.475*44/12</f>
        <v>4.1601989381346129</v>
      </c>
      <c r="AW48" s="21">
        <f>EXP(-LN(2)/2)*AW47+(1-EXP(-LN(2)/2))/(LN(2)/2)*AQ48*AT48*VLOOKUP('Données projet'!$B$10,Paramètres!$A$1:$I$89,3,0)*0.475*44/12</f>
        <v>14.17634800409148</v>
      </c>
      <c r="AX48" s="21">
        <f t="shared" si="6"/>
        <v>19.669852998228176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119</v>
      </c>
      <c r="BB48" s="12">
        <f>VLOOKUP(A48,'Données projet'!$A$87:$I$107,9,0)</f>
        <v>6.5</v>
      </c>
      <c r="BC48" s="12">
        <f t="array" ref="BC48">INDEX(BB:BB,MIN(IF(ISNUMBER(BB48:BB244),ROW(BB48:BB244),"")))</f>
        <v>6.5</v>
      </c>
      <c r="BD48" s="12">
        <f>IF('Données projet'!$A$88&gt;35,BD47+BC48-BL47,IF(A48&lt;'Données projet'!$A$88,$BA$205^A48,IF(A48='Données projet'!$A$88,'Données projet'!$B$88,BD47+BC48-BL47)))</f>
        <v>119.00000000000001</v>
      </c>
      <c r="BE48" s="13">
        <f>BD48*VLOOKUP('Données projet'!$B$11,Paramètres!$A$1:$I$89,3,0)*VLOOKUP('Données projet'!$B$11,Paramètres!$A$1:$I$89,5,0)</f>
        <v>128.0916</v>
      </c>
      <c r="BF48" s="13">
        <f t="shared" si="37"/>
        <v>33.555005291382955</v>
      </c>
      <c r="BG48" s="20">
        <f t="shared" si="7"/>
        <v>281.53450421582534</v>
      </c>
      <c r="BH48" s="59">
        <f t="shared" si="8"/>
        <v>533.16126176665944</v>
      </c>
      <c r="BI48" s="59">
        <f ca="1">AVERAGE(OFFSET($BH$3,0,0,'Données projet'!$E$11+1,1))-AVERAGE(OFFSET($H$3,0,0,'Données projet'!$E$11+1,1))</f>
        <v>404.24955007425774</v>
      </c>
      <c r="BJ48" s="59">
        <f t="shared" si="38"/>
        <v>211.49137630071019</v>
      </c>
      <c r="BK48" s="15">
        <f>IF(ISNA(VLOOKUP(A48,'Données projet'!$A$87:$I$107,3,0)),0,VLOOKUP(A48,'Données projet'!$A$87:$I$107,3,0))</f>
        <v>4</v>
      </c>
      <c r="BL48" s="15">
        <f>IF(ISNA(VLOOKUP(A48,'Données projet'!$A$87:$I$107,4,0)),0,VLOOKUP(A48,'Données projet'!$A$87:$I$107,4,0))</f>
        <v>29</v>
      </c>
      <c r="BM48" s="16">
        <f>IF(ISNA(VLOOKUP(A48,'Données projet'!$A$87:$I$107,5,0)),0%,VLOOKUP(A48,'Données projet'!$A$87:$I$107,5,0)*VLOOKUP('Données projet'!$B$11,Paramètres!$A$1:$I$89,7,0))</f>
        <v>4.3000000000000003E-2</v>
      </c>
      <c r="BN48" s="16">
        <f>IF(ISNA(VLOOKUP(A48,'Données projet'!$A$87:$I$107,6,0)),0%,VLOOKUP(A48,'Données projet'!$A$87:$I$107,6,0)*VLOOKUP('Données projet'!$B$11,Paramètres!$A$1:$I$89,7,0))</f>
        <v>8.6000000000000007E-2</v>
      </c>
      <c r="BO48" s="16">
        <f>IF(ISNA(VLOOKUP(A48,'Données projet'!$A$87:$I$107,7,0)),0%,VLOOKUP(A48,'Données projet'!$A$87:$I$107,7,0))</f>
        <v>0.5</v>
      </c>
      <c r="BP48" s="21">
        <f>EXP(-LN(2)/35)*BP47+(1-EXP(-LN(2)/35))/(LN(2)/35)*BL48*BM48*VLOOKUP('Données projet'!$B$11,Paramètres!$A$1:$I$89,3,0)*0.475*44/12</f>
        <v>1.4838406107119966</v>
      </c>
      <c r="BQ48" s="21">
        <f>EXP(-LN(2)/25)*BQ47+(1-EXP(-LN(2)/25))/(LN(2)/25)*Calculateur!BL48*Calculateur!BN48*VLOOKUP('Données projet'!$B$11,Paramètres!$A$1:$I$89,3,0)*0.475*44/12</f>
        <v>4.629898818246585</v>
      </c>
      <c r="BR48" s="21">
        <f>EXP(-LN(2)/2)*BR47+(1-EXP(-LN(2)/2))/(LN(2)/2)*BL48*BO48*VLOOKUP('Données projet'!$B$11,Paramètres!$A$1:$I$89,3,0)*0.475*44/12</f>
        <v>15.776903423908262</v>
      </c>
      <c r="BS48" s="22">
        <f t="shared" si="9"/>
        <v>21.890642852866844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119</v>
      </c>
      <c r="BW48" s="12">
        <f>VLOOKUP(A48,'Données projet'!$A$113:$I$133,9,0)</f>
        <v>6.5</v>
      </c>
      <c r="BX48" s="12">
        <f t="array" ref="BX48">INDEX(BW:BW,MIN(IF(ISNUMBER(BW48:BW244),ROW(BW48:BW244),"")))</f>
        <v>6.5</v>
      </c>
      <c r="BY48" s="12">
        <f>IF('Données projet'!$A$114&gt;35,BY47+BX48-CG47,IF(A48&lt;'Données projet'!$A$114,$BV$205^A48,IF(A48='Données projet'!$A$114,'Données projet'!$B$114,BY47+BX48-CG47)))</f>
        <v>119.00000000000001</v>
      </c>
      <c r="BZ48" s="13">
        <f>BY48*VLOOKUP('Données projet'!$B$12,Paramètres!$A$1:$I$89,3,0)*VLOOKUP('Données projet'!$B$12,Paramètres!$A$1:$I$89,5,0)</f>
        <v>92.820000000000007</v>
      </c>
      <c r="CA48" s="13">
        <f t="shared" si="39"/>
        <v>25.244115055224704</v>
      </c>
      <c r="CB48" s="20">
        <f t="shared" si="10"/>
        <v>205.62833372118303</v>
      </c>
      <c r="CC48" s="59">
        <f t="shared" si="11"/>
        <v>457.25509127201713</v>
      </c>
      <c r="CD48" s="59">
        <f ca="1">AVERAGE(OFFSET($CC$3,0,0,'Données projet'!$E$12+1,1))-AVERAGE(OFFSET($H$3,0,0,'Données projet'!$E$12+1,1))</f>
        <v>250.01410333089137</v>
      </c>
      <c r="CE48" s="59">
        <f t="shared" si="40"/>
        <v>169.55868564318885</v>
      </c>
      <c r="CF48" s="15">
        <f>IF(ISNA(VLOOKUP(A48,'Données projet'!$A$113:$I$133,3,0)),0,VLOOKUP(A48,'Données projet'!$A$113:$I$133,3,0))</f>
        <v>4</v>
      </c>
      <c r="CG48" s="15">
        <f>IF(ISNA(VLOOKUP(A48,'Données projet'!$A$113:$I$133,4,0)),0,VLOOKUP(A48,'Données projet'!$A$113:$I$133,4,0))</f>
        <v>29</v>
      </c>
      <c r="CH48" s="16">
        <f>IF(ISNA(VLOOKUP(A48,'Données projet'!$A$113:$I$133,5,0)),0%,VLOOKUP(A48,'Données projet'!$A$113:$I$133,5,0)*VLOOKUP('Données projet'!$B$12,Paramètres!$A$1:$I$89,7,0))</f>
        <v>4.3000000000000003E-2</v>
      </c>
      <c r="CI48" s="16">
        <f>IF(ISNA(VLOOKUP(A48,'Données projet'!$A$113:$I$133,6,0)),0%,VLOOKUP(A48,'Données projet'!$A$113:$I$133,6,0)*VLOOKUP('Données projet'!$B$12,Paramètres!$A$1:$I$89,7,0))</f>
        <v>8.6000000000000007E-2</v>
      </c>
      <c r="CJ48" s="16">
        <f>IF(ISNA(VLOOKUP(A48,'Données projet'!$A$113:$I$133,7,0)),0%,VLOOKUP(A48,'Données projet'!$A$113:$I$133,7,0))</f>
        <v>0.5</v>
      </c>
      <c r="CK48" s="21">
        <f>EXP(-LN(2)/35)*CK47+(1-EXP(-LN(2)/35))/(LN(2)/35)*CG48*CH48*VLOOKUP('Données projet'!$B$12,Paramètres!$A$1:$I$89,3,0)*0.475*44/12</f>
        <v>1.0752468193565192</v>
      </c>
      <c r="CL48" s="21">
        <f>EXP(-LN(2)/25)*CL47+(1-EXP(-LN(2)/25))/(LN(2)/25)*Calculateur!CG48*Calculateur!CI48*VLOOKUP('Données projet'!$B$12,Paramètres!$A$1:$I$89,3,0)*0.475*44/12</f>
        <v>3.3549991436569457</v>
      </c>
      <c r="CM48" s="21">
        <f>EXP(-LN(2)/2)*CM47+(1-EXP(-LN(2)/2))/(LN(2)/2)*CG48*CJ48*VLOOKUP('Données projet'!$B$12,Paramètres!$A$1:$I$89,3,0)*0.475*44/12</f>
        <v>11.432538712977001</v>
      </c>
      <c r="CN48" s="22">
        <f t="shared" si="12"/>
        <v>15.862784675990465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6.5</v>
      </c>
      <c r="N49" s="13">
        <f>IF('Données projet'!$A$36&gt;35,N48+M49-V48,IF(A49&lt;'Données projet'!$A$36,$K$205^A49,IF(A49='Données projet'!$A$36,'Données projet'!$B$36,N48+M49-V48)))</f>
        <v>96.500000000000014</v>
      </c>
      <c r="O49" s="13">
        <f>N49*VLOOKUP('Données projet'!$B$9,Paramètres!$A$1:$I$89,3,0)*VLOOKUP('Données projet'!$B$9,Paramètres!$A$1:$I$89,5,0)</f>
        <v>87.313200000000009</v>
      </c>
      <c r="P49" s="13">
        <f t="shared" si="33"/>
        <v>23.916094961088817</v>
      </c>
      <c r="Q49" s="20">
        <f t="shared" si="53"/>
        <v>193.72435539056303</v>
      </c>
      <c r="R49" s="59">
        <f t="shared" si="0"/>
        <v>446.07462878928868</v>
      </c>
      <c r="S49" s="59">
        <f ca="1">AVERAGE(OFFSET($R$3,0,0,'Données projet'!$E$9+1,1))-AVERAGE(OFFSET($H$3,0,0,'Données projet'!$E$9+1,1))</f>
        <v>469.5773392354356</v>
      </c>
      <c r="T49" s="59">
        <f t="shared" si="34"/>
        <v>187.25344022835239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1.2084024519315926</v>
      </c>
      <c r="AB49" s="21">
        <f>EXP(-LN(2)/2)*AB48+(1-EXP(-LN(2)/2))/(LN(2)/2)*V49*Y49*VLOOKUP('Données projet'!$B$9,Paramètres!$A$1:$I$89,3,0)*0.475*44/12</f>
        <v>7.6211985127217856</v>
      </c>
      <c r="AC49" s="22">
        <f t="shared" si="3"/>
        <v>8.8296009646533786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6.5</v>
      </c>
      <c r="AI49" s="13">
        <f>IF('Données projet'!$A$62&gt;35,AI48+AH49-AQ48,IF(A49&lt;'Données projet'!$A$62,$AF$205^A49,IF(A49='Données projet'!$A$62,'Données projet'!$B$62,AI48+AH49-AQ48)))</f>
        <v>96.500000000000014</v>
      </c>
      <c r="AJ49" s="13">
        <f>AI49*VLOOKUP('Données projet'!$B$10,Paramètres!$A$1:$I$89,3,0)*VLOOKUP('Données projet'!$B$10,Paramètres!$A$1:$I$89,5,0)</f>
        <v>93.334800000000016</v>
      </c>
      <c r="AK49" s="13">
        <f t="shared" si="35"/>
        <v>25.367787490387009</v>
      </c>
      <c r="AL49" s="20">
        <f t="shared" si="4"/>
        <v>206.74033987909073</v>
      </c>
      <c r="AM49" s="59">
        <f t="shared" si="5"/>
        <v>459.09061327781637</v>
      </c>
      <c r="AN49" s="59">
        <f ca="1">AVERAGE(OFFSET($AM$3,0,0,'Données projet'!$E$10+1,1))-AVERAGE(OFFSET($H$3,0,0,'Données projet'!$E$10+1,1))</f>
        <v>370.91255999489181</v>
      </c>
      <c r="AO49" s="59">
        <f t="shared" si="36"/>
        <v>196.07869248605735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1.3071607374802767</v>
      </c>
      <c r="AV49" s="21">
        <f>EXP(-LN(2)/25)*AV48+(1-EXP(-LN(2)/25))/(LN(2)/25)*Calculateur!AQ49*Calculateur!AS49*VLOOKUP('Données projet'!$B$10,Paramètres!$A$1:$I$89,3,0)*0.475*44/12</f>
        <v>4.0464380793959682</v>
      </c>
      <c r="AW49" s="21">
        <f>EXP(-LN(2)/2)*AW48+(1-EXP(-LN(2)/2))/(LN(2)/2)*AQ49*AT49*VLOOKUP('Données projet'!$B$10,Paramètres!$A$1:$I$89,3,0)*0.475*44/12</f>
        <v>10.024191806153464</v>
      </c>
      <c r="AX49" s="21">
        <f t="shared" si="6"/>
        <v>15.377790623029709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6.5</v>
      </c>
      <c r="BD49" s="12">
        <f>IF('Données projet'!$A$88&gt;35,BD48+BC49-BL48,IF(A49&lt;'Données projet'!$A$88,$BA$205^A49,IF(A49='Données projet'!$A$88,'Données projet'!$B$88,BD48+BC49-BL48)))</f>
        <v>96.500000000000014</v>
      </c>
      <c r="BE49" s="13">
        <f>BD49*VLOOKUP('Données projet'!$B$11,Paramètres!$A$1:$I$89,3,0)*VLOOKUP('Données projet'!$B$11,Paramètres!$A$1:$I$89,5,0)</f>
        <v>103.87260000000002</v>
      </c>
      <c r="BF49" s="13">
        <f t="shared" si="37"/>
        <v>27.882541073091591</v>
      </c>
      <c r="BG49" s="20">
        <f t="shared" si="7"/>
        <v>229.47353736896787</v>
      </c>
      <c r="BH49" s="59">
        <f t="shared" si="8"/>
        <v>481.82381076769354</v>
      </c>
      <c r="BI49" s="59">
        <f ca="1">AVERAGE(OFFSET($BH$3,0,0,'Données projet'!$E$11+1,1))-AVERAGE(OFFSET($H$3,0,0,'Données projet'!$E$11+1,1))</f>
        <v>404.24955007425774</v>
      </c>
      <c r="BJ49" s="59">
        <f t="shared" si="38"/>
        <v>211.49137630071019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1.4547434013893403</v>
      </c>
      <c r="BQ49" s="21">
        <f>EXP(-LN(2)/25)*BQ48+(1-EXP(-LN(2)/25))/(LN(2)/25)*Calculateur!BL49*Calculateur!BN49*VLOOKUP('Données projet'!$B$11,Paramètres!$A$1:$I$89,3,0)*0.475*44/12</f>
        <v>4.503293991585835</v>
      </c>
      <c r="BR49" s="21">
        <f>EXP(-LN(2)/2)*BR48+(1-EXP(-LN(2)/2))/(LN(2)/2)*BL49*BO49*VLOOKUP('Données projet'!$B$11,Paramètres!$A$1:$I$89,3,0)*0.475*44/12</f>
        <v>11.155955397170793</v>
      </c>
      <c r="BS49" s="22">
        <f t="shared" si="9"/>
        <v>17.113992790145968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6.5</v>
      </c>
      <c r="BY49" s="12">
        <f>IF('Données projet'!$A$114&gt;35,BY48+BX49-CG48,IF(A49&lt;'Données projet'!$A$114,$BV$205^A49,IF(A49='Données projet'!$A$114,'Données projet'!$B$114,BY48+BX49-CG48)))</f>
        <v>96.500000000000014</v>
      </c>
      <c r="BZ49" s="13">
        <f>BY49*VLOOKUP('Données projet'!$B$12,Paramètres!$A$1:$I$89,3,0)*VLOOKUP('Données projet'!$B$12,Paramètres!$A$1:$I$89,5,0)</f>
        <v>75.27000000000001</v>
      </c>
      <c r="CA49" s="13">
        <f t="shared" si="39"/>
        <v>20.97660449667427</v>
      </c>
      <c r="CB49" s="20">
        <f t="shared" si="10"/>
        <v>167.6295028317077</v>
      </c>
      <c r="CC49" s="59">
        <f t="shared" si="11"/>
        <v>419.97977623043334</v>
      </c>
      <c r="CD49" s="59">
        <f ca="1">AVERAGE(OFFSET($CC$3,0,0,'Données projet'!$E$12+1,1))-AVERAGE(OFFSET($H$3,0,0,'Données projet'!$E$12+1,1))</f>
        <v>250.01410333089137</v>
      </c>
      <c r="CE49" s="59">
        <f t="shared" si="40"/>
        <v>169.55868564318885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1.0541618850647392</v>
      </c>
      <c r="CL49" s="21">
        <f>EXP(-LN(2)/25)*CL48+(1-EXP(-LN(2)/25))/(LN(2)/25)*Calculateur!CG49*Calculateur!CI49*VLOOKUP('Données projet'!$B$12,Paramètres!$A$1:$I$89,3,0)*0.475*44/12</f>
        <v>3.2632565156419093</v>
      </c>
      <c r="CM49" s="21">
        <f>EXP(-LN(2)/2)*CM48+(1-EXP(-LN(2)/2))/(LN(2)/2)*CG49*CJ49*VLOOKUP('Données projet'!$B$12,Paramètres!$A$1:$I$89,3,0)*0.475*44/12</f>
        <v>8.0840256501237633</v>
      </c>
      <c r="CN49" s="22">
        <f t="shared" si="12"/>
        <v>12.401444050830412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6.5</v>
      </c>
      <c r="N50" s="13">
        <f>IF('Données projet'!$A$36&gt;35,N49+M50-V49,IF(A50&lt;'Données projet'!$A$36,$K$205^A50,IF(A50='Données projet'!$A$36,'Données projet'!$B$36,N49+M50-V49)))</f>
        <v>103.00000000000001</v>
      </c>
      <c r="O50" s="13">
        <f>N50*VLOOKUP('Données projet'!$B$9,Paramètres!$A$1:$I$89,3,0)*VLOOKUP('Données projet'!$B$9,Paramètres!$A$1:$I$89,5,0)</f>
        <v>93.194400000000002</v>
      </c>
      <c r="P50" s="13">
        <f t="shared" si="33"/>
        <v>25.33406653691528</v>
      </c>
      <c r="Q50" s="20">
        <f t="shared" si="53"/>
        <v>206.43707921846078</v>
      </c>
      <c r="R50" s="59">
        <f t="shared" si="0"/>
        <v>459.49831708265617</v>
      </c>
      <c r="S50" s="59">
        <f ca="1">AVERAGE(OFFSET($R$3,0,0,'Données projet'!$E$9+1,1))-AVERAGE(OFFSET($H$3,0,0,'Données projet'!$E$9+1,1))</f>
        <v>469.5773392354356</v>
      </c>
      <c r="T50" s="59">
        <f t="shared" si="34"/>
        <v>187.25344022835239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1.1753586233364</v>
      </c>
      <c r="AB50" s="21">
        <f>EXP(-LN(2)/2)*AB49+(1-EXP(-LN(2)/2))/(LN(2)/2)*V50*Y50*VLOOKUP('Données projet'!$B$9,Paramètres!$A$1:$I$89,3,0)*0.475*44/12</f>
        <v>5.3890011491144056</v>
      </c>
      <c r="AC50" s="22">
        <f t="shared" si="3"/>
        <v>6.5643597724508052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6.5</v>
      </c>
      <c r="AI50" s="13">
        <f>IF('Données projet'!$A$62&gt;35,AI49+AH50-AQ49,IF(A50&lt;'Données projet'!$A$62,$AF$205^A50,IF(A50='Données projet'!$A$62,'Données projet'!$B$62,AI49+AH50-AQ49)))</f>
        <v>103.00000000000001</v>
      </c>
      <c r="AJ50" s="13">
        <f>AI50*VLOOKUP('Données projet'!$B$10,Paramètres!$A$1:$I$89,3,0)*VLOOKUP('Données projet'!$B$10,Paramètres!$A$1:$I$89,5,0)</f>
        <v>99.621600000000015</v>
      </c>
      <c r="AK50" s="13">
        <f t="shared" si="35"/>
        <v>26.871829085032747</v>
      </c>
      <c r="AL50" s="20">
        <f t="shared" si="4"/>
        <v>220.30938898976538</v>
      </c>
      <c r="AM50" s="59">
        <f t="shared" si="5"/>
        <v>473.37062685396074</v>
      </c>
      <c r="AN50" s="59">
        <f ca="1">AVERAGE(OFFSET($AM$3,0,0,'Données projet'!$E$10+1,1))-AVERAGE(OFFSET($H$3,0,0,'Données projet'!$E$10+1,1))</f>
        <v>370.91255999489181</v>
      </c>
      <c r="AO50" s="59">
        <f t="shared" si="36"/>
        <v>196.07869248605735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1.2815281127076126</v>
      </c>
      <c r="AV50" s="21">
        <f>EXP(-LN(2)/25)*AV49+(1-EXP(-LN(2)/25))/(LN(2)/25)*Calculateur!AQ50*Calculateur!AS50*VLOOKUP('Données projet'!$B$10,Paramètres!$A$1:$I$89,3,0)*0.475*44/12</f>
        <v>3.935788017321955</v>
      </c>
      <c r="AW50" s="21">
        <f>EXP(-LN(2)/2)*AW49+(1-EXP(-LN(2)/2))/(LN(2)/2)*AQ50*AT50*VLOOKUP('Données projet'!$B$10,Paramètres!$A$1:$I$89,3,0)*0.475*44/12</f>
        <v>7.0881740020457409</v>
      </c>
      <c r="AX50" s="21">
        <f t="shared" si="6"/>
        <v>12.30549013207531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6.5</v>
      </c>
      <c r="BD50" s="12">
        <f>IF('Données projet'!$A$88&gt;35,BD49+BC50-BL49,IF(A50&lt;'Données projet'!$A$88,$BA$205^A50,IF(A50='Données projet'!$A$88,'Données projet'!$B$88,BD49+BC50-BL49)))</f>
        <v>103.00000000000001</v>
      </c>
      <c r="BE50" s="13">
        <f>BD50*VLOOKUP('Données projet'!$B$11,Paramètres!$A$1:$I$89,3,0)*VLOOKUP('Données projet'!$B$11,Paramètres!$A$1:$I$89,5,0)</f>
        <v>110.86920000000002</v>
      </c>
      <c r="BF50" s="13">
        <f t="shared" si="37"/>
        <v>29.535680967701619</v>
      </c>
      <c r="BG50" s="20">
        <f t="shared" si="7"/>
        <v>244.53850101874704</v>
      </c>
      <c r="BH50" s="59">
        <f t="shared" si="8"/>
        <v>497.59973888294246</v>
      </c>
      <c r="BI50" s="59">
        <f ca="1">AVERAGE(OFFSET($BH$3,0,0,'Données projet'!$E$11+1,1))-AVERAGE(OFFSET($H$3,0,0,'Données projet'!$E$11+1,1))</f>
        <v>404.24955007425774</v>
      </c>
      <c r="BJ50" s="59">
        <f t="shared" si="38"/>
        <v>211.49137630071019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1.4262167705939561</v>
      </c>
      <c r="BQ50" s="21">
        <f>EXP(-LN(2)/25)*BQ49+(1-EXP(-LN(2)/25))/(LN(2)/25)*Calculateur!BL50*Calculateur!BN50*VLOOKUP('Données projet'!$B$11,Paramètres!$A$1:$I$89,3,0)*0.475*44/12</f>
        <v>4.3801511805679816</v>
      </c>
      <c r="BR50" s="21">
        <f>EXP(-LN(2)/2)*BR49+(1-EXP(-LN(2)/2))/(LN(2)/2)*BL50*BO50*VLOOKUP('Données projet'!$B$11,Paramètres!$A$1:$I$89,3,0)*0.475*44/12</f>
        <v>7.888451711954132</v>
      </c>
      <c r="BS50" s="22">
        <f t="shared" si="9"/>
        <v>13.694819663116069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6.5</v>
      </c>
      <c r="BY50" s="12">
        <f>IF('Données projet'!$A$114&gt;35,BY49+BX50-CG49,IF(A50&lt;'Données projet'!$A$114,$BV$205^A50,IF(A50='Données projet'!$A$114,'Données projet'!$B$114,BY49+BX50-CG49)))</f>
        <v>103.00000000000001</v>
      </c>
      <c r="BZ50" s="13">
        <f>BY50*VLOOKUP('Données projet'!$B$12,Paramètres!$A$1:$I$89,3,0)*VLOOKUP('Données projet'!$B$12,Paramètres!$A$1:$I$89,5,0)</f>
        <v>80.340000000000018</v>
      </c>
      <c r="CA50" s="13">
        <f t="shared" si="39"/>
        <v>22.220295366025262</v>
      </c>
      <c r="CB50" s="20">
        <f t="shared" si="10"/>
        <v>178.62584776249403</v>
      </c>
      <c r="CC50" s="59">
        <f t="shared" si="11"/>
        <v>431.6870856266894</v>
      </c>
      <c r="CD50" s="59">
        <f ca="1">AVERAGE(OFFSET($CC$3,0,0,'Données projet'!$E$12+1,1))-AVERAGE(OFFSET($H$3,0,0,'Données projet'!$E$12+1,1))</f>
        <v>250.01410333089137</v>
      </c>
      <c r="CE50" s="59">
        <f t="shared" si="40"/>
        <v>169.55868564318885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1.0334904134738809</v>
      </c>
      <c r="CL50" s="21">
        <f>EXP(-LN(2)/25)*CL49+(1-EXP(-LN(2)/25))/(LN(2)/25)*Calculateur!CG50*Calculateur!CI50*VLOOKUP('Données projet'!$B$12,Paramètres!$A$1:$I$89,3,0)*0.475*44/12</f>
        <v>3.1740225946144793</v>
      </c>
      <c r="CM50" s="21">
        <f>EXP(-LN(2)/2)*CM49+(1-EXP(-LN(2)/2))/(LN(2)/2)*CG50*CJ50*VLOOKUP('Données projet'!$B$12,Paramètres!$A$1:$I$89,3,0)*0.475*44/12</f>
        <v>5.7162693564885014</v>
      </c>
      <c r="CN50" s="22">
        <f t="shared" si="12"/>
        <v>9.9237823645768621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6.5</v>
      </c>
      <c r="N51" s="13">
        <f>IF('Données projet'!$A$36&gt;35,N50+M51-V50,IF(A51&lt;'Données projet'!$A$36,$K$205^A51,IF(A51='Données projet'!$A$36,'Données projet'!$B$36,N50+M51-V50)))</f>
        <v>109.50000000000001</v>
      </c>
      <c r="O51" s="13">
        <f>N51*VLOOKUP('Données projet'!$B$9,Paramètres!$A$1:$I$89,3,0)*VLOOKUP('Données projet'!$B$9,Paramètres!$A$1:$I$89,5,0)</f>
        <v>99.075600000000009</v>
      </c>
      <c r="P51" s="13">
        <f t="shared" si="33"/>
        <v>26.741653104410133</v>
      </c>
      <c r="Q51" s="20">
        <f t="shared" si="53"/>
        <v>219.13171582351433</v>
      </c>
      <c r="R51" s="59">
        <f t="shared" si="0"/>
        <v>472.89158450918205</v>
      </c>
      <c r="S51" s="59">
        <f ca="1">AVERAGE(OFFSET($R$3,0,0,'Données projet'!$E$9+1,1))-AVERAGE(OFFSET($H$3,0,0,'Données projet'!$E$9+1,1))</f>
        <v>469.5773392354356</v>
      </c>
      <c r="T51" s="59">
        <f t="shared" si="34"/>
        <v>187.25344022835239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1.1432183799718425</v>
      </c>
      <c r="AB51" s="21">
        <f>EXP(-LN(2)/2)*AB50+(1-EXP(-LN(2)/2))/(LN(2)/2)*V51*Y51*VLOOKUP('Données projet'!$B$9,Paramètres!$A$1:$I$89,3,0)*0.475*44/12</f>
        <v>3.8105992563608932</v>
      </c>
      <c r="AC51" s="22">
        <f t="shared" si="3"/>
        <v>4.9538176363327358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6.5</v>
      </c>
      <c r="AI51" s="13">
        <f>IF('Données projet'!$A$62&gt;35,AI50+AH51-AQ50,IF(A51&lt;'Données projet'!$A$62,$AF$205^A51,IF(A51='Données projet'!$A$62,'Données projet'!$B$62,AI50+AH51-AQ50)))</f>
        <v>109.50000000000001</v>
      </c>
      <c r="AJ51" s="13">
        <f>AI51*VLOOKUP('Données projet'!$B$10,Paramètres!$A$1:$I$89,3,0)*VLOOKUP('Données projet'!$B$10,Paramètres!$A$1:$I$89,5,0)</f>
        <v>105.90840000000003</v>
      </c>
      <c r="AK51" s="13">
        <f t="shared" si="35"/>
        <v>28.36485530760914</v>
      </c>
      <c r="AL51" s="20">
        <f t="shared" si="4"/>
        <v>233.85925299408595</v>
      </c>
      <c r="AM51" s="59">
        <f t="shared" si="5"/>
        <v>487.61912167975368</v>
      </c>
      <c r="AN51" s="59">
        <f ca="1">AVERAGE(OFFSET($AM$3,0,0,'Données projet'!$E$10+1,1))-AVERAGE(OFFSET($H$3,0,0,'Données projet'!$E$10+1,1))</f>
        <v>370.91255999489181</v>
      </c>
      <c r="AO51" s="59">
        <f t="shared" si="36"/>
        <v>196.07869248605735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1.256398128072383</v>
      </c>
      <c r="AV51" s="21">
        <f>EXP(-LN(2)/25)*AV50+(1-EXP(-LN(2)/25))/(LN(2)/25)*Calculateur!AQ51*Calculateur!AS51*VLOOKUP('Données projet'!$B$10,Paramètres!$A$1:$I$89,3,0)*0.475*44/12</f>
        <v>3.8281636870141895</v>
      </c>
      <c r="AW51" s="21">
        <f>EXP(-LN(2)/2)*AW50+(1-EXP(-LN(2)/2))/(LN(2)/2)*AQ51*AT51*VLOOKUP('Données projet'!$B$10,Paramètres!$A$1:$I$89,3,0)*0.475*44/12</f>
        <v>5.0120959030767329</v>
      </c>
      <c r="AX51" s="21">
        <f t="shared" si="6"/>
        <v>10.096657718163305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6.5</v>
      </c>
      <c r="BD51" s="12">
        <f>IF('Données projet'!$A$88&gt;35,BD50+BC51-BL50,IF(A51&lt;'Données projet'!$A$88,$BA$205^A51,IF(A51='Données projet'!$A$88,'Données projet'!$B$88,BD50+BC51-BL50)))</f>
        <v>109.50000000000001</v>
      </c>
      <c r="BE51" s="13">
        <f>BD51*VLOOKUP('Données projet'!$B$11,Paramètres!$A$1:$I$89,3,0)*VLOOKUP('Données projet'!$B$11,Paramètres!$A$1:$I$89,5,0)</f>
        <v>117.86580000000002</v>
      </c>
      <c r="BF51" s="13">
        <f t="shared" si="37"/>
        <v>31.176713516951896</v>
      </c>
      <c r="BG51" s="20">
        <f t="shared" si="7"/>
        <v>259.58237770869124</v>
      </c>
      <c r="BH51" s="59">
        <f t="shared" si="8"/>
        <v>513.34224639435888</v>
      </c>
      <c r="BI51" s="59">
        <f ca="1">AVERAGE(OFFSET($BH$3,0,0,'Données projet'!$E$11+1,1))-AVERAGE(OFFSET($H$3,0,0,'Données projet'!$E$11+1,1))</f>
        <v>404.24955007425774</v>
      </c>
      <c r="BJ51" s="59">
        <f t="shared" si="38"/>
        <v>211.49137630071019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1.3982495296289426</v>
      </c>
      <c r="BQ51" s="21">
        <f>EXP(-LN(2)/25)*BQ50+(1-EXP(-LN(2)/25))/(LN(2)/25)*Calculateur!BL51*Calculateur!BN51*VLOOKUP('Données projet'!$B$11,Paramètres!$A$1:$I$89,3,0)*0.475*44/12</f>
        <v>4.2603757161932103</v>
      </c>
      <c r="BR51" s="21">
        <f>EXP(-LN(2)/2)*BR50+(1-EXP(-LN(2)/2))/(LN(2)/2)*BL51*BO51*VLOOKUP('Données projet'!$B$11,Paramètres!$A$1:$I$89,3,0)*0.475*44/12</f>
        <v>5.5779776985853973</v>
      </c>
      <c r="BS51" s="22">
        <f t="shared" si="9"/>
        <v>11.236602944407551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6.5</v>
      </c>
      <c r="BY51" s="12">
        <f>IF('Données projet'!$A$114&gt;35,BY50+BX51-CG50,IF(A51&lt;'Données projet'!$A$114,$BV$205^A51,IF(A51='Données projet'!$A$114,'Données projet'!$B$114,BY50+BX51-CG50)))</f>
        <v>109.50000000000001</v>
      </c>
      <c r="BZ51" s="13">
        <f>BY51*VLOOKUP('Données projet'!$B$12,Paramètres!$A$1:$I$89,3,0)*VLOOKUP('Données projet'!$B$12,Paramètres!$A$1:$I$89,5,0)</f>
        <v>85.410000000000011</v>
      </c>
      <c r="CA51" s="13">
        <f t="shared" si="39"/>
        <v>23.454877632453368</v>
      </c>
      <c r="CB51" s="20">
        <f t="shared" si="10"/>
        <v>189.60632854318965</v>
      </c>
      <c r="CC51" s="59">
        <f t="shared" si="11"/>
        <v>443.36619722885735</v>
      </c>
      <c r="CD51" s="59">
        <f ca="1">AVERAGE(OFFSET($CC$3,0,0,'Données projet'!$E$12+1,1))-AVERAGE(OFFSET($H$3,0,0,'Données projet'!$E$12+1,1))</f>
        <v>250.01410333089137</v>
      </c>
      <c r="CE51" s="59">
        <f t="shared" si="40"/>
        <v>169.55868564318885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1.0132242968325669</v>
      </c>
      <c r="CL51" s="21">
        <f>EXP(-LN(2)/25)*CL50+(1-EXP(-LN(2)/25))/(LN(2)/25)*Calculateur!CG51*Calculateur!CI51*VLOOKUP('Données projet'!$B$12,Paramètres!$A$1:$I$89,3,0)*0.475*44/12</f>
        <v>3.0872287798501525</v>
      </c>
      <c r="CM51" s="21">
        <f>EXP(-LN(2)/2)*CM50+(1-EXP(-LN(2)/2))/(LN(2)/2)*CG51*CJ51*VLOOKUP('Données projet'!$B$12,Paramètres!$A$1:$I$89,3,0)*0.475*44/12</f>
        <v>4.0420128250618816</v>
      </c>
      <c r="CN51" s="22">
        <f t="shared" si="12"/>
        <v>8.1424659017446004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6.5</v>
      </c>
      <c r="N52" s="13">
        <f>IF('Données projet'!$A$36&gt;35,N51+M52-V51,IF(A52&lt;'Données projet'!$A$36,$K$205^A52,IF(A52='Données projet'!$A$36,'Données projet'!$B$36,N51+M52-V51)))</f>
        <v>116.00000000000001</v>
      </c>
      <c r="O52" s="13">
        <f>N52*VLOOKUP('Données projet'!$B$9,Paramètres!$A$1:$I$89,3,0)*VLOOKUP('Données projet'!$B$9,Paramètres!$A$1:$I$89,5,0)</f>
        <v>104.9568</v>
      </c>
      <c r="P52" s="13">
        <f t="shared" si="33"/>
        <v>28.139541339232373</v>
      </c>
      <c r="Q52" s="20">
        <f t="shared" si="53"/>
        <v>231.8094611658297</v>
      </c>
      <c r="R52" s="59">
        <f t="shared" si="0"/>
        <v>486.25584099012167</v>
      </c>
      <c r="S52" s="59">
        <f ca="1">AVERAGE(OFFSET($R$3,0,0,'Données projet'!$E$9+1,1))-AVERAGE(OFFSET($H$3,0,0,'Données projet'!$E$9+1,1))</f>
        <v>469.5773392354356</v>
      </c>
      <c r="T52" s="59">
        <f t="shared" si="34"/>
        <v>187.25344022835239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1.1119570132522707</v>
      </c>
      <c r="AB52" s="21">
        <f>EXP(-LN(2)/2)*AB51+(1-EXP(-LN(2)/2))/(LN(2)/2)*V52*Y52*VLOOKUP('Données projet'!$B$9,Paramètres!$A$1:$I$89,3,0)*0.475*44/12</f>
        <v>2.6945005745572028</v>
      </c>
      <c r="AC52" s="22">
        <f t="shared" si="3"/>
        <v>3.8064575878094735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6.5</v>
      </c>
      <c r="AI52" s="13">
        <f>IF('Données projet'!$A$62&gt;35,AI51+AH52-AQ51,IF(A52&lt;'Données projet'!$A$62,$AF$205^A52,IF(A52='Données projet'!$A$62,'Données projet'!$B$62,AI51+AH52-AQ51)))</f>
        <v>116.00000000000001</v>
      </c>
      <c r="AJ52" s="13">
        <f>AI52*VLOOKUP('Données projet'!$B$10,Paramètres!$A$1:$I$89,3,0)*VLOOKUP('Données projet'!$B$10,Paramètres!$A$1:$I$89,5,0)</f>
        <v>112.1952</v>
      </c>
      <c r="AK52" s="13">
        <f t="shared" si="35"/>
        <v>29.847594514573263</v>
      </c>
      <c r="AL52" s="20">
        <f t="shared" si="4"/>
        <v>247.39120044621509</v>
      </c>
      <c r="AM52" s="59">
        <f t="shared" si="5"/>
        <v>501.83758027050703</v>
      </c>
      <c r="AN52" s="59">
        <f ca="1">AVERAGE(OFFSET($AM$3,0,0,'Données projet'!$E$10+1,1))-AVERAGE(OFFSET($H$3,0,0,'Données projet'!$E$10+1,1))</f>
        <v>370.91255999489181</v>
      </c>
      <c r="AO52" s="59">
        <f t="shared" si="36"/>
        <v>196.07869248605735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1.2317609271080732</v>
      </c>
      <c r="AV52" s="21">
        <f>EXP(-LN(2)/25)*AV51+(1-EXP(-LN(2)/25))/(LN(2)/25)*Calculateur!AQ52*Calculateur!AS52*VLOOKUP('Données projet'!$B$10,Paramètres!$A$1:$I$89,3,0)*0.475*44/12</f>
        <v>3.7234823496784077</v>
      </c>
      <c r="AW52" s="21">
        <f>EXP(-LN(2)/2)*AW51+(1-EXP(-LN(2)/2))/(LN(2)/2)*AQ52*AT52*VLOOKUP('Données projet'!$B$10,Paramètres!$A$1:$I$89,3,0)*0.475*44/12</f>
        <v>3.5440870010228709</v>
      </c>
      <c r="AX52" s="21">
        <f t="shared" si="6"/>
        <v>8.4993302778093529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6.5</v>
      </c>
      <c r="BD52" s="12">
        <f>IF('Données projet'!$A$88&gt;35,BD51+BC52-BL51,IF(A52&lt;'Données projet'!$A$88,$BA$205^A52,IF(A52='Données projet'!$A$88,'Données projet'!$B$88,BD51+BC52-BL51)))</f>
        <v>116.00000000000001</v>
      </c>
      <c r="BE52" s="13">
        <f>BD52*VLOOKUP('Données projet'!$B$11,Paramètres!$A$1:$I$89,3,0)*VLOOKUP('Données projet'!$B$11,Paramètres!$A$1:$I$89,5,0)</f>
        <v>124.86240000000001</v>
      </c>
      <c r="BF52" s="13">
        <f t="shared" si="37"/>
        <v>32.806439280561598</v>
      </c>
      <c r="BG52" s="20">
        <f t="shared" si="7"/>
        <v>274.60656174697812</v>
      </c>
      <c r="BH52" s="59">
        <f t="shared" si="8"/>
        <v>529.05294157127014</v>
      </c>
      <c r="BI52" s="59">
        <f ca="1">AVERAGE(OFFSET($BH$3,0,0,'Données projet'!$E$11+1,1))-AVERAGE(OFFSET($H$3,0,0,'Données projet'!$E$11+1,1))</f>
        <v>404.24955007425774</v>
      </c>
      <c r="BJ52" s="59">
        <f t="shared" si="38"/>
        <v>211.49137630071019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1.3708307092009204</v>
      </c>
      <c r="BQ52" s="21">
        <f>EXP(-LN(2)/25)*BQ51+(1-EXP(-LN(2)/25))/(LN(2)/25)*Calculateur!BL52*Calculateur!BN52*VLOOKUP('Données projet'!$B$11,Paramètres!$A$1:$I$89,3,0)*0.475*44/12</f>
        <v>4.1438755181904856</v>
      </c>
      <c r="BR52" s="21">
        <f>EXP(-LN(2)/2)*BR51+(1-EXP(-LN(2)/2))/(LN(2)/2)*BL52*BO52*VLOOKUP('Données projet'!$B$11,Paramètres!$A$1:$I$89,3,0)*0.475*44/12</f>
        <v>3.9442258559770669</v>
      </c>
      <c r="BS52" s="22">
        <f t="shared" si="9"/>
        <v>9.458932083368472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6.5</v>
      </c>
      <c r="BY52" s="12">
        <f>IF('Données projet'!$A$114&gt;35,BY51+BX52-CG51,IF(A52&lt;'Données projet'!$A$114,$BV$205^A52,IF(A52='Données projet'!$A$114,'Données projet'!$B$114,BY51+BX52-CG51)))</f>
        <v>116.00000000000001</v>
      </c>
      <c r="BZ52" s="13">
        <f>BY52*VLOOKUP('Données projet'!$B$12,Paramètres!$A$1:$I$89,3,0)*VLOOKUP('Données projet'!$B$12,Paramètres!$A$1:$I$89,5,0)</f>
        <v>90.480000000000018</v>
      </c>
      <c r="CA52" s="13">
        <f t="shared" si="39"/>
        <v>24.680953573367994</v>
      </c>
      <c r="CB52" s="20">
        <f t="shared" si="10"/>
        <v>200.57199414028261</v>
      </c>
      <c r="CC52" s="59">
        <f t="shared" si="11"/>
        <v>455.01837396457461</v>
      </c>
      <c r="CD52" s="59">
        <f ca="1">AVERAGE(OFFSET($CC$3,0,0,'Données projet'!$E$12+1,1))-AVERAGE(OFFSET($H$3,0,0,'Données projet'!$E$12+1,1))</f>
        <v>250.01410333089137</v>
      </c>
      <c r="CE52" s="59">
        <f t="shared" si="40"/>
        <v>169.55868564318885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0.99335558637747834</v>
      </c>
      <c r="CL52" s="21">
        <f>EXP(-LN(2)/25)*CL51+(1-EXP(-LN(2)/25))/(LN(2)/25)*Calculateur!CG52*Calculateur!CI52*VLOOKUP('Données projet'!$B$12,Paramètres!$A$1:$I$89,3,0)*0.475*44/12</f>
        <v>3.0028083465148447</v>
      </c>
      <c r="CM52" s="21">
        <f>EXP(-LN(2)/2)*CM51+(1-EXP(-LN(2)/2))/(LN(2)/2)*CG52*CJ52*VLOOKUP('Données projet'!$B$12,Paramètres!$A$1:$I$89,3,0)*0.475*44/12</f>
        <v>2.8581346782442507</v>
      </c>
      <c r="CN52" s="22">
        <f t="shared" si="12"/>
        <v>6.8542986111365742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6.5</v>
      </c>
      <c r="N53" s="13">
        <f>IF('Données projet'!$A$36&gt;35,N52+M53-V52,IF(A53&lt;'Données projet'!$A$36,$K$205^A53,IF(A53='Données projet'!$A$36,'Données projet'!$B$36,N52+M53-V52)))</f>
        <v>122.50000000000001</v>
      </c>
      <c r="O53" s="13">
        <f>N53*VLOOKUP('Données projet'!$B$9,Paramètres!$A$1:$I$89,3,0)*VLOOKUP('Données projet'!$B$9,Paramètres!$A$1:$I$89,5,0)</f>
        <v>110.83799999999999</v>
      </c>
      <c r="P53" s="13">
        <f t="shared" si="33"/>
        <v>29.528336615603067</v>
      </c>
      <c r="Q53" s="20">
        <f t="shared" si="53"/>
        <v>244.4713696055087</v>
      </c>
      <c r="R53" s="59">
        <f t="shared" si="0"/>
        <v>499.5923511349788</v>
      </c>
      <c r="S53" s="59">
        <f ca="1">AVERAGE(OFFSET($R$3,0,0,'Données projet'!$E$9+1,1))-AVERAGE(OFFSET($H$3,0,0,'Données projet'!$E$9+1,1))</f>
        <v>469.5773392354356</v>
      </c>
      <c r="T53" s="59">
        <f t="shared" si="34"/>
        <v>187.25344022835239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1.0815504902496094</v>
      </c>
      <c r="AB53" s="21">
        <f>EXP(-LN(2)/2)*AB52+(1-EXP(-LN(2)/2))/(LN(2)/2)*V53*Y53*VLOOKUP('Données projet'!$B$9,Paramètres!$A$1:$I$89,3,0)*0.475*44/12</f>
        <v>1.9052996281804466</v>
      </c>
      <c r="AC53" s="22">
        <f t="shared" si="3"/>
        <v>2.986850118430056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6.5</v>
      </c>
      <c r="AI53" s="13">
        <f>IF('Données projet'!$A$62&gt;35,AI52+AH53-AQ52,IF(A53&lt;'Données projet'!$A$62,$AF$205^A53,IF(A53='Données projet'!$A$62,'Données projet'!$B$62,AI52+AH53-AQ52)))</f>
        <v>122.50000000000001</v>
      </c>
      <c r="AJ53" s="13">
        <f>AI53*VLOOKUP('Données projet'!$B$10,Paramètres!$A$1:$I$89,3,0)*VLOOKUP('Données projet'!$B$10,Paramètres!$A$1:$I$89,5,0)</f>
        <v>118.48200000000001</v>
      </c>
      <c r="AK53" s="13">
        <f t="shared" si="35"/>
        <v>31.320688825995962</v>
      </c>
      <c r="AL53" s="20">
        <f t="shared" si="4"/>
        <v>260.90634970527634</v>
      </c>
      <c r="AM53" s="59">
        <f t="shared" si="5"/>
        <v>516.0273312347465</v>
      </c>
      <c r="AN53" s="59">
        <f ca="1">AVERAGE(OFFSET($AM$3,0,0,'Données projet'!$E$10+1,1))-AVERAGE(OFFSET($H$3,0,0,'Données projet'!$E$10+1,1))</f>
        <v>370.91255999489181</v>
      </c>
      <c r="AO53" s="59">
        <f t="shared" si="36"/>
        <v>196.07869248605735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1.2076068466274648</v>
      </c>
      <c r="AV53" s="21">
        <f>EXP(-LN(2)/25)*AV52+(1-EXP(-LN(2)/25))/(LN(2)/25)*Calculateur!AQ53*Calculateur!AS53*VLOOKUP('Données projet'!$B$10,Paramètres!$A$1:$I$89,3,0)*0.475*44/12</f>
        <v>3.6216635290170252</v>
      </c>
      <c r="AW53" s="21">
        <f>EXP(-LN(2)/2)*AW52+(1-EXP(-LN(2)/2))/(LN(2)/2)*AQ53*AT53*VLOOKUP('Données projet'!$B$10,Paramètres!$A$1:$I$89,3,0)*0.475*44/12</f>
        <v>2.5060479515383669</v>
      </c>
      <c r="AX53" s="21">
        <f t="shared" si="6"/>
        <v>7.3353183271828568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6.5</v>
      </c>
      <c r="BD53" s="12">
        <f>IF('Données projet'!$A$88&gt;35,BD52+BC53-BL52,IF(A53&lt;'Données projet'!$A$88,$BA$205^A53,IF(A53='Données projet'!$A$88,'Données projet'!$B$88,BD52+BC53-BL52)))</f>
        <v>122.50000000000001</v>
      </c>
      <c r="BE53" s="13">
        <f>BD53*VLOOKUP('Données projet'!$B$11,Paramètres!$A$1:$I$89,3,0)*VLOOKUP('Données projet'!$B$11,Paramètres!$A$1:$I$89,5,0)</f>
        <v>131.85900000000001</v>
      </c>
      <c r="BF53" s="13">
        <f t="shared" si="37"/>
        <v>34.425564033098446</v>
      </c>
      <c r="BG53" s="20">
        <f t="shared" si="7"/>
        <v>289.61228235764645</v>
      </c>
      <c r="BH53" s="59">
        <f t="shared" si="8"/>
        <v>544.73326388711655</v>
      </c>
      <c r="BI53" s="59">
        <f ca="1">AVERAGE(OFFSET($BH$3,0,0,'Données projet'!$E$11+1,1))-AVERAGE(OFFSET($H$3,0,0,'Données projet'!$E$11+1,1))</f>
        <v>404.24955007425774</v>
      </c>
      <c r="BJ53" s="59">
        <f t="shared" si="38"/>
        <v>211.49137630071019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1.3439495551176626</v>
      </c>
      <c r="BQ53" s="21">
        <f>EXP(-LN(2)/25)*BQ52+(1-EXP(-LN(2)/25))/(LN(2)/25)*Calculateur!BL53*Calculateur!BN53*VLOOKUP('Données projet'!$B$11,Paramètres!$A$1:$I$89,3,0)*0.475*44/12</f>
        <v>4.0305610242286241</v>
      </c>
      <c r="BR53" s="21">
        <f>EXP(-LN(2)/2)*BR52+(1-EXP(-LN(2)/2))/(LN(2)/2)*BL53*BO53*VLOOKUP('Données projet'!$B$11,Paramètres!$A$1:$I$89,3,0)*0.475*44/12</f>
        <v>2.7889888492926991</v>
      </c>
      <c r="BS53" s="22">
        <f t="shared" si="9"/>
        <v>8.1634994286389855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6.5</v>
      </c>
      <c r="BY53" s="12">
        <f>IF('Données projet'!$A$114&gt;35,BY52+BX53-CG52,IF(A53&lt;'Données projet'!$A$114,$BV$205^A53,IF(A53='Données projet'!$A$114,'Données projet'!$B$114,BY52+BX53-CG52)))</f>
        <v>122.50000000000001</v>
      </c>
      <c r="BZ53" s="13">
        <f>BY53*VLOOKUP('Données projet'!$B$12,Paramètres!$A$1:$I$89,3,0)*VLOOKUP('Données projet'!$B$12,Paramètres!$A$1:$I$89,5,0)</f>
        <v>95.550000000000011</v>
      </c>
      <c r="CA53" s="13">
        <f t="shared" si="39"/>
        <v>25.899054157375318</v>
      </c>
      <c r="CB53" s="20">
        <f t="shared" si="10"/>
        <v>211.52376932409535</v>
      </c>
      <c r="CC53" s="59">
        <f t="shared" si="11"/>
        <v>466.64475085356548</v>
      </c>
      <c r="CD53" s="59">
        <f ca="1">AVERAGE(OFFSET($CC$3,0,0,'Données projet'!$E$12+1,1))-AVERAGE(OFFSET($H$3,0,0,'Données projet'!$E$12+1,1))</f>
        <v>250.01410333089137</v>
      </c>
      <c r="CE53" s="59">
        <f t="shared" si="40"/>
        <v>169.55868564318885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0.97387648921569725</v>
      </c>
      <c r="CL53" s="21">
        <f>EXP(-LN(2)/25)*CL52+(1-EXP(-LN(2)/25))/(LN(2)/25)*Calculateur!CG53*Calculateur!CI53*VLOOKUP('Données projet'!$B$12,Paramètres!$A$1:$I$89,3,0)*0.475*44/12</f>
        <v>2.9206963943685684</v>
      </c>
      <c r="CM53" s="21">
        <f>EXP(-LN(2)/2)*CM52+(1-EXP(-LN(2)/2))/(LN(2)/2)*CG53*CJ53*VLOOKUP('Données projet'!$B$12,Paramètres!$A$1:$I$89,3,0)*0.475*44/12</f>
        <v>2.0210064125309408</v>
      </c>
      <c r="CN53" s="22">
        <f t="shared" si="12"/>
        <v>5.9155792961152063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6.5</v>
      </c>
      <c r="N54" s="13">
        <f>IF('Données projet'!$A$36&gt;35,N53+M54-V53,IF(A54&lt;'Données projet'!$A$36,$K$205^A54,IF(A54='Données projet'!$A$36,'Données projet'!$B$36,N53+M54-V53)))</f>
        <v>129</v>
      </c>
      <c r="O54" s="13">
        <f>N54*VLOOKUP('Données projet'!$B$9,Paramètres!$A$1:$I$89,3,0)*VLOOKUP('Données projet'!$B$9,Paramètres!$A$1:$I$89,5,0)</f>
        <v>116.71919999999999</v>
      </c>
      <c r="P54" s="13">
        <f t="shared" si="33"/>
        <v>30.908576435525887</v>
      </c>
      <c r="Q54" s="20">
        <f t="shared" si="53"/>
        <v>257.1183772918742</v>
      </c>
      <c r="R54" s="59">
        <f t="shared" si="0"/>
        <v>512.90225769512108</v>
      </c>
      <c r="S54" s="59">
        <f ca="1">AVERAGE(OFFSET($R$3,0,0,'Données projet'!$E$9+1,1))-AVERAGE(OFFSET($H$3,0,0,'Données projet'!$E$9+1,1))</f>
        <v>469.5773392354356</v>
      </c>
      <c r="T54" s="59">
        <f t="shared" si="34"/>
        <v>187.25344022835239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1.0519754352174655</v>
      </c>
      <c r="AB54" s="21">
        <f>EXP(-LN(2)/2)*AB53+(1-EXP(-LN(2)/2))/(LN(2)/2)*V54*Y54*VLOOKUP('Données projet'!$B$9,Paramètres!$A$1:$I$89,3,0)*0.475*44/12</f>
        <v>1.3472502872786014</v>
      </c>
      <c r="AC54" s="22">
        <f t="shared" si="3"/>
        <v>2.3992257224960669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6.5</v>
      </c>
      <c r="AI54" s="13">
        <f>IF('Données projet'!$A$62&gt;35,AI53+AH54-AQ53,IF(A54&lt;'Données projet'!$A$62,$AF$205^A54,IF(A54='Données projet'!$A$62,'Données projet'!$B$62,AI53+AH54-AQ53)))</f>
        <v>129</v>
      </c>
      <c r="AJ54" s="13">
        <f>AI54*VLOOKUP('Données projet'!$B$10,Paramètres!$A$1:$I$89,3,0)*VLOOKUP('Données projet'!$B$10,Paramètres!$A$1:$I$89,5,0)</f>
        <v>124.76880000000001</v>
      </c>
      <c r="AK54" s="13">
        <f t="shared" si="35"/>
        <v>32.784708369928126</v>
      </c>
      <c r="AL54" s="20">
        <f t="shared" si="4"/>
        <v>274.40569374429145</v>
      </c>
      <c r="AM54" s="59">
        <f t="shared" si="5"/>
        <v>530.18957414753822</v>
      </c>
      <c r="AN54" s="59">
        <f ca="1">AVERAGE(OFFSET($AM$3,0,0,'Données projet'!$E$10+1,1))-AVERAGE(OFFSET($H$3,0,0,'Données projet'!$E$10+1,1))</f>
        <v>370.91255999489181</v>
      </c>
      <c r="AO54" s="59">
        <f t="shared" si="36"/>
        <v>196.07869248605735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1.1839264129325466</v>
      </c>
      <c r="AV54" s="21">
        <f>EXP(-LN(2)/25)*AV53+(1-EXP(-LN(2)/25))/(LN(2)/25)*Calculateur!AQ54*Calculateur!AS54*VLOOKUP('Données projet'!$B$10,Paramètres!$A$1:$I$89,3,0)*0.475*44/12</f>
        <v>3.5226289493610472</v>
      </c>
      <c r="AW54" s="21">
        <f>EXP(-LN(2)/2)*AW53+(1-EXP(-LN(2)/2))/(LN(2)/2)*AQ54*AT54*VLOOKUP('Données projet'!$B$10,Paramètres!$A$1:$I$89,3,0)*0.475*44/12</f>
        <v>1.7720435005114359</v>
      </c>
      <c r="AX54" s="21">
        <f t="shared" si="6"/>
        <v>6.4785988628050299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6.5</v>
      </c>
      <c r="BD54" s="12">
        <f>IF('Données projet'!$A$88&gt;35,BD53+BC54-BL53,IF(A54&lt;'Données projet'!$A$88,$BA$205^A54,IF(A54='Données projet'!$A$88,'Données projet'!$B$88,BD53+BC54-BL53)))</f>
        <v>129</v>
      </c>
      <c r="BE54" s="13">
        <f>BD54*VLOOKUP('Données projet'!$B$11,Paramètres!$A$1:$I$89,3,0)*VLOOKUP('Données projet'!$B$11,Paramètres!$A$1:$I$89,5,0)</f>
        <v>138.85559999999998</v>
      </c>
      <c r="BF54" s="13">
        <f t="shared" si="37"/>
        <v>36.034714420414154</v>
      </c>
      <c r="BG54" s="20">
        <f t="shared" si="7"/>
        <v>304.60063094888795</v>
      </c>
      <c r="BH54" s="59">
        <f t="shared" si="8"/>
        <v>560.38451135213472</v>
      </c>
      <c r="BI54" s="59">
        <f ca="1">AVERAGE(OFFSET($BH$3,0,0,'Données projet'!$E$11+1,1))-AVERAGE(OFFSET($H$3,0,0,'Données projet'!$E$11+1,1))</f>
        <v>404.24955007425774</v>
      </c>
      <c r="BJ54" s="59">
        <f t="shared" si="38"/>
        <v>211.49137630071019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1.3175955240700923</v>
      </c>
      <c r="BQ54" s="21">
        <f>EXP(-LN(2)/25)*BQ53+(1-EXP(-LN(2)/25))/(LN(2)/25)*Calculateur!BL54*Calculateur!BN54*VLOOKUP('Données projet'!$B$11,Paramètres!$A$1:$I$89,3,0)*0.475*44/12</f>
        <v>3.9203451210631002</v>
      </c>
      <c r="BR54" s="21">
        <f>EXP(-LN(2)/2)*BR53+(1-EXP(-LN(2)/2))/(LN(2)/2)*BL54*BO54*VLOOKUP('Données projet'!$B$11,Paramètres!$A$1:$I$89,3,0)*0.475*44/12</f>
        <v>1.9721129279885337</v>
      </c>
      <c r="BS54" s="22">
        <f t="shared" si="9"/>
        <v>7.2100535731217263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6.5</v>
      </c>
      <c r="BY54" s="12">
        <f>IF('Données projet'!$A$114&gt;35,BY53+BX54-CG53,IF(A54&lt;'Données projet'!$A$114,$BV$205^A54,IF(A54='Données projet'!$A$114,'Données projet'!$B$114,BY53+BX54-CG53)))</f>
        <v>129</v>
      </c>
      <c r="BZ54" s="13">
        <f>BY54*VLOOKUP('Données projet'!$B$12,Paramètres!$A$1:$I$89,3,0)*VLOOKUP('Données projet'!$B$12,Paramètres!$A$1:$I$89,5,0)</f>
        <v>100.62</v>
      </c>
      <c r="CA54" s="13">
        <f t="shared" si="39"/>
        <v>27.10965082293415</v>
      </c>
      <c r="CB54" s="20">
        <f t="shared" si="10"/>
        <v>222.46247518327698</v>
      </c>
      <c r="CC54" s="59">
        <f t="shared" si="11"/>
        <v>478.2463555865238</v>
      </c>
      <c r="CD54" s="59">
        <f ca="1">AVERAGE(OFFSET($CC$3,0,0,'Données projet'!$E$12+1,1))-AVERAGE(OFFSET($H$3,0,0,'Données projet'!$E$12+1,1))</f>
        <v>250.01410333089137</v>
      </c>
      <c r="CE54" s="59">
        <f t="shared" si="40"/>
        <v>169.55868564318885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0.95477936526818263</v>
      </c>
      <c r="CL54" s="21">
        <f>EXP(-LN(2)/25)*CL53+(1-EXP(-LN(2)/25))/(LN(2)/25)*Calculateur!CG54*Calculateur!CI54*VLOOKUP('Données projet'!$B$12,Paramètres!$A$1:$I$89,3,0)*0.475*44/12</f>
        <v>2.840829797871812</v>
      </c>
      <c r="CM54" s="21">
        <f>EXP(-LN(2)/2)*CM53+(1-EXP(-LN(2)/2))/(LN(2)/2)*CG54*CJ54*VLOOKUP('Données projet'!$B$12,Paramètres!$A$1:$I$89,3,0)*0.475*44/12</f>
        <v>1.4290673391221254</v>
      </c>
      <c r="CN54" s="22">
        <f t="shared" si="12"/>
        <v>5.2246765022621204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6.5</v>
      </c>
      <c r="N55" s="13">
        <f>IF('Données projet'!$A$36&gt;35,N54+M55-V54,IF(A55&lt;'Données projet'!$A$36,$K$205^A55,IF(A55='Données projet'!$A$36,'Données projet'!$B$36,N54+M55-V54)))</f>
        <v>135.5</v>
      </c>
      <c r="O55" s="13">
        <f>N55*VLOOKUP('Données projet'!$B$9,Paramètres!$A$1:$I$89,3,0)*VLOOKUP('Données projet'!$B$9,Paramètres!$A$1:$I$89,5,0)</f>
        <v>122.60039999999999</v>
      </c>
      <c r="P55" s="13">
        <f t="shared" si="33"/>
        <v>32.280741074383755</v>
      </c>
      <c r="Q55" s="20">
        <f t="shared" si="53"/>
        <v>269.75132070455169</v>
      </c>
      <c r="R55" s="59">
        <f t="shared" si="0"/>
        <v>526.1866001681351</v>
      </c>
      <c r="S55" s="59">
        <f ca="1">AVERAGE(OFFSET($R$3,0,0,'Données projet'!$E$9+1,1))-AVERAGE(OFFSET($H$3,0,0,'Données projet'!$E$9+1,1))</f>
        <v>469.5773392354356</v>
      </c>
      <c r="T55" s="59">
        <f t="shared" si="34"/>
        <v>187.25344022835239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1.02320911162046</v>
      </c>
      <c r="AB55" s="21">
        <f>EXP(-LN(2)/2)*AB54+(1-EXP(-LN(2)/2))/(LN(2)/2)*V55*Y55*VLOOKUP('Données projet'!$B$9,Paramètres!$A$1:$I$89,3,0)*0.475*44/12</f>
        <v>0.95264981409022331</v>
      </c>
      <c r="AC55" s="22">
        <f t="shared" si="3"/>
        <v>1.9758589257106833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6.5</v>
      </c>
      <c r="AI55" s="13">
        <f>IF('Données projet'!$A$62&gt;35,AI54+AH55-AQ54,IF(A55&lt;'Données projet'!$A$62,$AF$205^A55,IF(A55='Données projet'!$A$62,'Données projet'!$B$62,AI54+AH55-AQ54)))</f>
        <v>135.5</v>
      </c>
      <c r="AJ55" s="13">
        <f>AI55*VLOOKUP('Données projet'!$B$10,Paramètres!$A$1:$I$89,3,0)*VLOOKUP('Données projet'!$B$10,Paramètres!$A$1:$I$89,5,0)</f>
        <v>131.0556</v>
      </c>
      <c r="AK55" s="13">
        <f t="shared" si="35"/>
        <v>34.240162574178584</v>
      </c>
      <c r="AL55" s="20">
        <f t="shared" si="4"/>
        <v>287.89011981669432</v>
      </c>
      <c r="AM55" s="59">
        <f t="shared" si="5"/>
        <v>544.32539928027768</v>
      </c>
      <c r="AN55" s="59">
        <f ca="1">AVERAGE(OFFSET($AM$3,0,0,'Données projet'!$E$10+1,1))-AVERAGE(OFFSET($H$3,0,0,'Données projet'!$E$10+1,1))</f>
        <v>370.91255999489181</v>
      </c>
      <c r="AO55" s="59">
        <f t="shared" si="36"/>
        <v>196.07869248605735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1.1607103380987476</v>
      </c>
      <c r="AV55" s="21">
        <f>EXP(-LN(2)/25)*AV54+(1-EXP(-LN(2)/25))/(LN(2)/25)*Calculateur!AQ55*Calculateur!AS55*VLOOKUP('Données projet'!$B$10,Paramètres!$A$1:$I$89,3,0)*0.475*44/12</f>
        <v>3.4263024754937641</v>
      </c>
      <c r="AW55" s="21">
        <f>EXP(-LN(2)/2)*AW54+(1-EXP(-LN(2)/2))/(LN(2)/2)*AQ55*AT55*VLOOKUP('Données projet'!$B$10,Paramètres!$A$1:$I$89,3,0)*0.475*44/12</f>
        <v>1.2530239757691837</v>
      </c>
      <c r="AX55" s="21">
        <f t="shared" si="6"/>
        <v>5.8400367893616956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6.5</v>
      </c>
      <c r="BD55" s="12">
        <f>IF('Données projet'!$A$88&gt;35,BD54+BC55-BL54,IF(A55&lt;'Données projet'!$A$88,$BA$205^A55,IF(A55='Données projet'!$A$88,'Données projet'!$B$88,BD54+BC55-BL54)))</f>
        <v>135.5</v>
      </c>
      <c r="BE55" s="13">
        <f>BD55*VLOOKUP('Données projet'!$B$11,Paramètres!$A$1:$I$89,3,0)*VLOOKUP('Données projet'!$B$11,Paramètres!$A$1:$I$89,5,0)</f>
        <v>145.85219999999998</v>
      </c>
      <c r="BF55" s="13">
        <f t="shared" si="37"/>
        <v>37.634450370795903</v>
      </c>
      <c r="BG55" s="20">
        <f t="shared" si="7"/>
        <v>319.57258272913612</v>
      </c>
      <c r="BH55" s="59">
        <f t="shared" si="8"/>
        <v>576.00786219271947</v>
      </c>
      <c r="BI55" s="59">
        <f ca="1">AVERAGE(OFFSET($BH$3,0,0,'Données projet'!$E$11+1,1))-AVERAGE(OFFSET($H$3,0,0,'Données projet'!$E$11+1,1))</f>
        <v>404.24955007425774</v>
      </c>
      <c r="BJ55" s="59">
        <f t="shared" si="38"/>
        <v>211.49137630071019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1.2917582794969933</v>
      </c>
      <c r="BQ55" s="21">
        <f>EXP(-LN(2)/25)*BQ54+(1-EXP(-LN(2)/25))/(LN(2)/25)*Calculateur!BL55*Calculateur!BN55*VLOOKUP('Données projet'!$B$11,Paramètres!$A$1:$I$89,3,0)*0.475*44/12</f>
        <v>3.8131430775656399</v>
      </c>
      <c r="BR55" s="21">
        <f>EXP(-LN(2)/2)*BR54+(1-EXP(-LN(2)/2))/(LN(2)/2)*BL55*BO55*VLOOKUP('Données projet'!$B$11,Paramètres!$A$1:$I$89,3,0)*0.475*44/12</f>
        <v>1.3944944246463498</v>
      </c>
      <c r="BS55" s="22">
        <f t="shared" si="9"/>
        <v>6.4993957817089836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6.5</v>
      </c>
      <c r="BY55" s="12">
        <f>IF('Données projet'!$A$114&gt;35,BY54+BX55-CG54,IF(A55&lt;'Données projet'!$A$114,$BV$205^A55,IF(A55='Données projet'!$A$114,'Données projet'!$B$114,BY54+BX55-CG54)))</f>
        <v>135.5</v>
      </c>
      <c r="BZ55" s="13">
        <f>BY55*VLOOKUP('Données projet'!$B$12,Paramètres!$A$1:$I$89,3,0)*VLOOKUP('Données projet'!$B$12,Paramètres!$A$1:$I$89,5,0)</f>
        <v>105.69</v>
      </c>
      <c r="CA55" s="13">
        <f t="shared" si="39"/>
        <v>28.313164815518345</v>
      </c>
      <c r="CB55" s="20">
        <f t="shared" si="10"/>
        <v>233.38884538702777</v>
      </c>
      <c r="CC55" s="59">
        <f t="shared" si="11"/>
        <v>489.82412485061116</v>
      </c>
      <c r="CD55" s="59">
        <f ca="1">AVERAGE(OFFSET($CC$3,0,0,'Données projet'!$E$12+1,1))-AVERAGE(OFFSET($H$3,0,0,'Données projet'!$E$12+1,1))</f>
        <v>250.01410333089137</v>
      </c>
      <c r="CE55" s="59">
        <f t="shared" si="40"/>
        <v>169.55868564318885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0.93605672427318332</v>
      </c>
      <c r="CL55" s="21">
        <f>EXP(-LN(2)/25)*CL54+(1-EXP(-LN(2)/25))/(LN(2)/25)*Calculateur!CG55*Calculateur!CI55*VLOOKUP('Données projet'!$B$12,Paramètres!$A$1:$I$89,3,0)*0.475*44/12</f>
        <v>2.763147157656261</v>
      </c>
      <c r="CM55" s="21">
        <f>EXP(-LN(2)/2)*CM54+(1-EXP(-LN(2)/2))/(LN(2)/2)*CG55*CJ55*VLOOKUP('Données projet'!$B$12,Paramètres!$A$1:$I$89,3,0)*0.475*44/12</f>
        <v>1.0105032062654704</v>
      </c>
      <c r="CN55" s="22">
        <f t="shared" si="12"/>
        <v>4.7097070881949143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>
        <f>VLOOKUP(A56,'Données projet'!$A$35:$I$55,2,0)</f>
        <v>142</v>
      </c>
      <c r="L56" s="12">
        <f>VLOOKUP(A56,'Données projet'!$A$35:$I$55,9,0)</f>
        <v>6.5</v>
      </c>
      <c r="M56" s="12">
        <f t="array" ref="M56">INDEX(L:L,MIN(IF(ISNUMBER(L56:L252),ROW(L56:L252),"")))</f>
        <v>6.5</v>
      </c>
      <c r="N56" s="13">
        <f>IF('Données projet'!$A$36&gt;35,N55+M56-V55,IF(A56&lt;'Données projet'!$A$36,$K$205^A56,IF(A56='Données projet'!$A$36,'Données projet'!$B$36,N55+M56-V55)))</f>
        <v>142</v>
      </c>
      <c r="O56" s="13">
        <f>N56*VLOOKUP('Données projet'!$B$9,Paramètres!$A$1:$I$89,3,0)*VLOOKUP('Données projet'!$B$9,Paramètres!$A$1:$I$89,5,0)</f>
        <v>128.48160000000001</v>
      </c>
      <c r="P56" s="13">
        <f t="shared" si="33"/>
        <v>33.645262125937215</v>
      </c>
      <c r="Q56" s="20">
        <f t="shared" si="53"/>
        <v>282.37095153600734</v>
      </c>
      <c r="R56" s="59">
        <f t="shared" si="0"/>
        <v>539.44632974254057</v>
      </c>
      <c r="S56" s="59">
        <f ca="1">AVERAGE(OFFSET($R$3,0,0,'Données projet'!$E$9+1,1))-AVERAGE(OFFSET($H$3,0,0,'Données projet'!$E$9+1,1))</f>
        <v>469.5773392354356</v>
      </c>
      <c r="T56" s="59">
        <f t="shared" si="34"/>
        <v>187.25344022835239</v>
      </c>
      <c r="U56" s="15">
        <f>IF(ISNA(VLOOKUP(A56,'Données projet'!$A$35:$I$55,3,0)),0,VLOOKUP(A56,'Données projet'!$A$35:$I$55,3,0))</f>
        <v>5</v>
      </c>
      <c r="V56" s="15">
        <f>IF(ISNA(VLOOKUP(A56,'Données projet'!$A$35:$I$55,4,0)),0,VLOOKUP(A56,'Données projet'!$A$35:$I$55,4,0))</f>
        <v>30</v>
      </c>
      <c r="W56" s="16">
        <f>IF(ISNA(VLOOKUP(A56,'Données projet'!$A$35:$I$55,5,0)),0%,VLOOKUP(A56,'Données projet'!$A$35:$I$55,5,0)*VLOOKUP('Données projet'!$B$9,Paramètres!$A$1:$I$89,7,0))</f>
        <v>4.3000000000000003E-2</v>
      </c>
      <c r="X56" s="16">
        <f>IF(ISNA(VLOOKUP(A56,'Données projet'!$A$35:$I$55,6,0)),0%,VLOOKUP(A56,'Données projet'!$A$35:$I$55,6,0)*VLOOKUP('Données projet'!$B$9,Paramètres!$A$1:$I$89,7,0))</f>
        <v>8.6000000000000007E-2</v>
      </c>
      <c r="Y56" s="16">
        <f>IF(ISNA(VLOOKUP(A56,'Données projet'!$A$35:$I$55,7,0)),0%,VLOOKUP(A56,'Données projet'!$A$35:$I$55,7,0))</f>
        <v>0.5</v>
      </c>
      <c r="Z56" s="21">
        <f>EXP(-LN(2)/35)*Z55+(1-EXP(-LN(2)/35))/(LN(2)/35)*V56*W56*VLOOKUP('Données projet'!$B$9,Paramètres!$A$1:$I$89,3,0)*0.475*44/12</f>
        <v>1.290296183227823</v>
      </c>
      <c r="AA56" s="21">
        <f>EXP(-LN(2)/25)*AA55+(1-EXP(-LN(2)/25))/(LN(2)/25)*Calculateur!V56*Calculateur!X56*VLOOKUP('Données projet'!$B$9,Paramètres!$A$1:$I$89,3,0)*0.475*44/12</f>
        <v>3.5656609956811005</v>
      </c>
      <c r="AB56" s="21">
        <f>EXP(-LN(2)/2)*AB55+(1-EXP(-LN(2)/2))/(LN(2)/2)*V56*Y56*VLOOKUP('Données projet'!$B$9,Paramètres!$A$1:$I$89,3,0)*0.475*44/12</f>
        <v>13.479172428663627</v>
      </c>
      <c r="AC56" s="22">
        <f t="shared" si="3"/>
        <v>18.335129607572551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>
        <f>VLOOKUP(A56,'Données projet'!$A$61:$I$81,2,0)</f>
        <v>142</v>
      </c>
      <c r="AG56" s="12">
        <f>VLOOKUP(A56,'Données projet'!$A$61:$I$81,9,0)</f>
        <v>6.5</v>
      </c>
      <c r="AH56" s="12">
        <f t="array" ref="AH56">INDEX(AG:AG,MIN(IF(ISNUMBER(AG56:AG252),ROW(AG56:AG252),"")))</f>
        <v>6.5</v>
      </c>
      <c r="AI56" s="13">
        <f>IF('Données projet'!$A$62&gt;35,AI55+AH56-AQ55,IF(A56&lt;'Données projet'!$A$62,$AF$205^A56,IF(A56='Données projet'!$A$62,'Données projet'!$B$62,AI55+AH56-AQ55)))</f>
        <v>142</v>
      </c>
      <c r="AJ56" s="13">
        <f>AI56*VLOOKUP('Données projet'!$B$10,Paramètres!$A$1:$I$89,3,0)*VLOOKUP('Données projet'!$B$10,Paramètres!$A$1:$I$89,5,0)</f>
        <v>137.34240000000003</v>
      </c>
      <c r="AK56" s="13">
        <f t="shared" si="35"/>
        <v>35.687509229988642</v>
      </c>
      <c r="AL56" s="20">
        <f t="shared" si="4"/>
        <v>301.36042524223024</v>
      </c>
      <c r="AM56" s="59">
        <f t="shared" si="5"/>
        <v>558.43580344876341</v>
      </c>
      <c r="AN56" s="59">
        <f ca="1">AVERAGE(OFFSET($AM$3,0,0,'Données projet'!$E$10+1,1))-AVERAGE(OFFSET($H$3,0,0,'Données projet'!$E$10+1,1))</f>
        <v>370.91255999489181</v>
      </c>
      <c r="AO56" s="59">
        <f t="shared" si="36"/>
        <v>196.07869248605735</v>
      </c>
      <c r="AP56" s="15">
        <f>IF(ISNA(VLOOKUP(A56,'Données projet'!$A$61:$I$81,3,0)),0,VLOOKUP(A56,'Données projet'!$A$61:$I$81,3,0))</f>
        <v>5</v>
      </c>
      <c r="AQ56" s="15">
        <f>IF(ISNA(VLOOKUP(A56,'Données projet'!$A$61:$I$81,4,0)),0,VLOOKUP(A56,'Données projet'!$A$61:$I$81,4,0))</f>
        <v>30</v>
      </c>
      <c r="AR56" s="16">
        <f>IF(ISNA(VLOOKUP(A56,'Données projet'!$A$61:$I$81,5,0)),0%,VLOOKUP(A56,'Données projet'!$A$61:$I$81,5,0)*VLOOKUP('Données projet'!$B$10,Paramètres!$A$1:$I$89,7,0))</f>
        <v>8.6000000000000007E-2</v>
      </c>
      <c r="AS56" s="16">
        <f>IF(ISNA(VLOOKUP(A56,'Données projet'!$A$61:$I$81,6,0)),0%,VLOOKUP(A56,'Données projet'!$A$61:$I$81,6,0)*VLOOKUP('Données projet'!$B$10,Paramètres!$A$1:$I$89,7,0))</f>
        <v>8.6000000000000007E-2</v>
      </c>
      <c r="AT56" s="16">
        <f>IF(ISNA(VLOOKUP(A56,'Données projet'!$A$61:$I$81,7,0)),0%,VLOOKUP(A56,'Données projet'!$A$61:$I$81,7,0))</f>
        <v>0.4</v>
      </c>
      <c r="AU56" s="21">
        <f>EXP(-LN(2)/35)*AU55+(1-EXP(-LN(2)/35))/(LN(2)/35)*AQ56*AR56*VLOOKUP('Données projet'!$B$10,Paramètres!$A$1:$I$89,3,0)*0.475*44/12</f>
        <v>3.896513770129447</v>
      </c>
      <c r="AV56" s="21">
        <f>EXP(-LN(2)/25)*AV55+(1-EXP(-LN(2)/25))/(LN(2)/25)*Calculateur!AQ56*Calculateur!AS56*VLOOKUP('Données projet'!$B$10,Paramètres!$A$1:$I$89,3,0)*0.475*44/12</f>
        <v>6.0803127893548012</v>
      </c>
      <c r="AW56" s="21">
        <f>EXP(-LN(2)/2)*AW55+(1-EXP(-LN(2)/2))/(LN(2)/2)*AQ56*AT56*VLOOKUP('Données projet'!$B$10,Paramètres!$A$1:$I$89,3,0)*0.475*44/12</f>
        <v>11.836972531931698</v>
      </c>
      <c r="AX56" s="21">
        <f t="shared" si="6"/>
        <v>21.813799091415945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>
        <f>VLOOKUP(A56,'Données projet'!$A$87:$I$107,2,0)</f>
        <v>142</v>
      </c>
      <c r="BB56" s="12">
        <f>VLOOKUP(A56,'Données projet'!$A$87:$I$107,9,0)</f>
        <v>6.5</v>
      </c>
      <c r="BC56" s="12">
        <f t="array" ref="BC56">INDEX(BB:BB,MIN(IF(ISNUMBER(BB56:BB252),ROW(BB56:BB252),"")))</f>
        <v>6.5</v>
      </c>
      <c r="BD56" s="12">
        <f>IF('Données projet'!$A$88&gt;35,BD55+BC56-BL55,IF(A56&lt;'Données projet'!$A$88,$BA$205^A56,IF(A56='Données projet'!$A$88,'Données projet'!$B$88,BD55+BC56-BL55)))</f>
        <v>142</v>
      </c>
      <c r="BE56" s="13">
        <f>BD56*VLOOKUP('Données projet'!$B$11,Paramètres!$A$1:$I$89,3,0)*VLOOKUP('Données projet'!$B$11,Paramètres!$A$1:$I$89,5,0)</f>
        <v>152.84879999999998</v>
      </c>
      <c r="BF56" s="13">
        <f t="shared" si="37"/>
        <v>39.225275057139491</v>
      </c>
      <c r="BG56" s="20">
        <f t="shared" si="7"/>
        <v>334.52901405785127</v>
      </c>
      <c r="BH56" s="59">
        <f t="shared" si="8"/>
        <v>591.6043922643845</v>
      </c>
      <c r="BI56" s="59">
        <f ca="1">AVERAGE(OFFSET($BH$3,0,0,'Données projet'!$E$11+1,1))-AVERAGE(OFFSET($H$3,0,0,'Données projet'!$E$11+1,1))</f>
        <v>404.24955007425774</v>
      </c>
      <c r="BJ56" s="59">
        <f t="shared" si="38"/>
        <v>211.49137630071019</v>
      </c>
      <c r="BK56" s="15">
        <f>IF(ISNA(VLOOKUP(A56,'Données projet'!$A$87:$I$107,3,0)),0,VLOOKUP(A56,'Données projet'!$A$87:$I$107,3,0))</f>
        <v>5</v>
      </c>
      <c r="BL56" s="15">
        <f>IF(ISNA(VLOOKUP(A56,'Données projet'!$A$87:$I$107,4,0)),0,VLOOKUP(A56,'Données projet'!$A$87:$I$107,4,0))</f>
        <v>30</v>
      </c>
      <c r="BM56" s="16">
        <f>IF(ISNA(VLOOKUP(A56,'Données projet'!$A$87:$I$107,5,0)),0%,VLOOKUP(A56,'Données projet'!$A$87:$I$107,5,0)*VLOOKUP('Données projet'!$B$11,Paramètres!$A$1:$I$89,7,0))</f>
        <v>8.6000000000000007E-2</v>
      </c>
      <c r="BN56" s="16">
        <f>IF(ISNA(VLOOKUP(A56,'Données projet'!$A$87:$I$107,6,0)),0%,VLOOKUP(A56,'Données projet'!$A$87:$I$107,6,0)*VLOOKUP('Données projet'!$B$11,Paramètres!$A$1:$I$89,7,0))</f>
        <v>8.6000000000000007E-2</v>
      </c>
      <c r="BO56" s="16">
        <f>IF(ISNA(VLOOKUP(A56,'Données projet'!$A$87:$I$107,7,0)),0%,VLOOKUP(A56,'Données projet'!$A$87:$I$107,7,0))</f>
        <v>0.4</v>
      </c>
      <c r="BP56" s="21">
        <f>EXP(-LN(2)/35)*BP55+(1-EXP(-LN(2)/35))/(LN(2)/35)*BL56*BM56*VLOOKUP('Données projet'!$B$11,Paramètres!$A$1:$I$89,3,0)*0.475*44/12</f>
        <v>4.3364427441763196</v>
      </c>
      <c r="BQ56" s="21">
        <f>EXP(-LN(2)/25)*BQ55+(1-EXP(-LN(2)/25))/(LN(2)/25)*Calculateur!BL56*Calculateur!BN56*VLOOKUP('Données projet'!$B$11,Paramètres!$A$1:$I$89,3,0)*0.475*44/12</f>
        <v>6.7667997171851804</v>
      </c>
      <c r="BR56" s="21">
        <f>EXP(-LN(2)/2)*BR55+(1-EXP(-LN(2)/2))/(LN(2)/2)*BL56*BO56*VLOOKUP('Données projet'!$B$11,Paramètres!$A$1:$I$89,3,0)*0.475*44/12</f>
        <v>13.173404914569145</v>
      </c>
      <c r="BS56" s="22">
        <f t="shared" si="9"/>
        <v>24.276647375930644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>
        <f>VLOOKUP(A56,'Données projet'!$A$113:$I$133,2,0)</f>
        <v>142</v>
      </c>
      <c r="BW56" s="12">
        <f>VLOOKUP(A56,'Données projet'!$A$113:$I$133,9,0)</f>
        <v>6.5</v>
      </c>
      <c r="BX56" s="12">
        <f t="array" ref="BX56">INDEX(BW:BW,MIN(IF(ISNUMBER(BW56:BW252),ROW(BW56:BW252),"")))</f>
        <v>6.5</v>
      </c>
      <c r="BY56" s="12">
        <f>IF('Données projet'!$A$114&gt;35,BY55+BX56-CG55,IF(A56&lt;'Données projet'!$A$114,$BV$205^A56,IF(A56='Données projet'!$A$114,'Données projet'!$B$114,BY55+BX56-CG55)))</f>
        <v>142</v>
      </c>
      <c r="BZ56" s="13">
        <f>BY56*VLOOKUP('Données projet'!$B$12,Paramètres!$A$1:$I$89,3,0)*VLOOKUP('Données projet'!$B$12,Paramètres!$A$1:$I$89,5,0)</f>
        <v>110.76</v>
      </c>
      <c r="CA56" s="13">
        <f t="shared" si="39"/>
        <v>29.509974682362923</v>
      </c>
      <c r="CB56" s="20">
        <f t="shared" si="10"/>
        <v>244.30353923844879</v>
      </c>
      <c r="CC56" s="59">
        <f t="shared" si="11"/>
        <v>501.37891744498199</v>
      </c>
      <c r="CD56" s="59">
        <f ca="1">AVERAGE(OFFSET($CC$3,0,0,'Données projet'!$E$12+1,1))-AVERAGE(OFFSET($H$3,0,0,'Données projet'!$E$12+1,1))</f>
        <v>250.01410333089137</v>
      </c>
      <c r="CE56" s="59">
        <f t="shared" si="40"/>
        <v>169.55868564318885</v>
      </c>
      <c r="CF56" s="15">
        <f>IF(ISNA(VLOOKUP(A56,'Données projet'!$A$113:$I$133,3,0)),0,VLOOKUP(A56,'Données projet'!$A$113:$I$133,3,0))</f>
        <v>5</v>
      </c>
      <c r="CG56" s="15">
        <f>IF(ISNA(VLOOKUP(A56,'Données projet'!$A$113:$I$133,4,0)),0,VLOOKUP(A56,'Données projet'!$A$113:$I$133,4,0))</f>
        <v>30</v>
      </c>
      <c r="CH56" s="16">
        <f>IF(ISNA(VLOOKUP(A56,'Données projet'!$A$113:$I$133,5,0)),0%,VLOOKUP(A56,'Données projet'!$A$113:$I$133,5,0)*VLOOKUP('Données projet'!$B$12,Paramètres!$A$1:$I$89,7,0))</f>
        <v>8.6000000000000007E-2</v>
      </c>
      <c r="CI56" s="16">
        <f>IF(ISNA(VLOOKUP(A56,'Données projet'!$A$113:$I$133,6,0)),0%,VLOOKUP(A56,'Données projet'!$A$113:$I$133,6,0)*VLOOKUP('Données projet'!$B$12,Paramètres!$A$1:$I$89,7,0))</f>
        <v>8.6000000000000007E-2</v>
      </c>
      <c r="CJ56" s="16">
        <f>IF(ISNA(VLOOKUP(A56,'Données projet'!$A$113:$I$133,7,0)),0%,VLOOKUP(A56,'Données projet'!$A$113:$I$133,7,0))</f>
        <v>0.4</v>
      </c>
      <c r="CK56" s="21">
        <f>EXP(-LN(2)/35)*CK55+(1-EXP(-LN(2)/35))/(LN(2)/35)*CG56*CH56*VLOOKUP('Données projet'!$B$12,Paramètres!$A$1:$I$89,3,0)*0.475*44/12</f>
        <v>3.1423498146205215</v>
      </c>
      <c r="CL56" s="21">
        <f>EXP(-LN(2)/25)*CL55+(1-EXP(-LN(2)/25))/(LN(2)/25)*Calculateur!CG56*Calculateur!CI56*VLOOKUP('Données projet'!$B$12,Paramètres!$A$1:$I$89,3,0)*0.475*44/12</f>
        <v>4.9034780559312905</v>
      </c>
      <c r="CM56" s="21">
        <f>EXP(-LN(2)/2)*CM55+(1-EXP(-LN(2)/2))/(LN(2)/2)*CG56*CJ56*VLOOKUP('Données projet'!$B$12,Paramètres!$A$1:$I$89,3,0)*0.475*44/12</f>
        <v>9.5459455902674968</v>
      </c>
      <c r="CN56" s="22">
        <f t="shared" si="12"/>
        <v>17.591773460819308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6.625</v>
      </c>
      <c r="N57" s="13">
        <f>IF('Données projet'!$A$36&gt;35,N56+M57-V56,IF(A57&lt;'Données projet'!$A$36,$K$205^A57,IF(A57='Données projet'!$A$36,'Données projet'!$B$36,N56+M57-V56)))</f>
        <v>118.625</v>
      </c>
      <c r="O57" s="13">
        <f>N57*VLOOKUP('Données projet'!$B$9,Paramètres!$A$1:$I$89,3,0)*VLOOKUP('Données projet'!$B$9,Paramètres!$A$1:$I$89,5,0)</f>
        <v>107.33189999999999</v>
      </c>
      <c r="P57" s="13">
        <f t="shared" si="33"/>
        <v>28.701463878082876</v>
      </c>
      <c r="Q57" s="20">
        <f t="shared" si="53"/>
        <v>236.92477542099428</v>
      </c>
      <c r="R57" s="59">
        <f t="shared" si="0"/>
        <v>494.62914808833364</v>
      </c>
      <c r="S57" s="59">
        <f ca="1">AVERAGE(OFFSET($R$3,0,0,'Données projet'!$E$9+1,1))-AVERAGE(OFFSET($H$3,0,0,'Données projet'!$E$9+1,1))</f>
        <v>469.5773392354356</v>
      </c>
      <c r="T57" s="59">
        <f t="shared" si="34"/>
        <v>187.25344022835239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1.2649942620776871</v>
      </c>
      <c r="AA57" s="21">
        <f>EXP(-LN(2)/25)*AA56+(1-EXP(-LN(2)/25))/(LN(2)/25)*Calculateur!V57*Calculateur!X57*VLOOKUP('Données projet'!$B$9,Paramètres!$A$1:$I$89,3,0)*0.475*44/12</f>
        <v>3.4681578082442384</v>
      </c>
      <c r="AB57" s="21">
        <f>EXP(-LN(2)/2)*AB56+(1-EXP(-LN(2)/2))/(LN(2)/2)*V57*Y57*VLOOKUP('Données projet'!$B$9,Paramètres!$A$1:$I$89,3,0)*0.475*44/12</f>
        <v>9.5312142290907964</v>
      </c>
      <c r="AC57" s="22">
        <f t="shared" si="3"/>
        <v>14.264366299412721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6.625</v>
      </c>
      <c r="AI57" s="13">
        <f>IF('Données projet'!$A$62&gt;35,AI56+AH57-AQ56,IF(A57&lt;'Données projet'!$A$62,$AF$205^A57,IF(A57='Données projet'!$A$62,'Données projet'!$B$62,AI56+AH57-AQ56)))</f>
        <v>118.625</v>
      </c>
      <c r="AJ57" s="13">
        <f>AI57*VLOOKUP('Données projet'!$B$10,Paramètres!$A$1:$I$89,3,0)*VLOOKUP('Données projet'!$B$10,Paramètres!$A$1:$I$89,5,0)</f>
        <v>114.7341</v>
      </c>
      <c r="AK57" s="13">
        <f t="shared" si="35"/>
        <v>30.443625412377017</v>
      </c>
      <c r="AL57" s="20">
        <f t="shared" si="4"/>
        <v>252.85120509322329</v>
      </c>
      <c r="AM57" s="59">
        <f t="shared" si="5"/>
        <v>510.55557776056264</v>
      </c>
      <c r="AN57" s="59">
        <f ca="1">AVERAGE(OFFSET($AM$3,0,0,'Données projet'!$E$10+1,1))-AVERAGE(OFFSET($H$3,0,0,'Données projet'!$E$10+1,1))</f>
        <v>370.91255999489181</v>
      </c>
      <c r="AO57" s="59">
        <f t="shared" si="36"/>
        <v>196.07869248605735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3.8201055117359348</v>
      </c>
      <c r="AV57" s="21">
        <f>EXP(-LN(2)/25)*AV56+(1-EXP(-LN(2)/25))/(LN(2)/25)*Calculateur!AQ57*Calculateur!AS57*VLOOKUP('Données projet'!$B$10,Paramètres!$A$1:$I$89,3,0)*0.475*44/12</f>
        <v>5.9140463163801416</v>
      </c>
      <c r="AW57" s="21">
        <f>EXP(-LN(2)/2)*AW56+(1-EXP(-LN(2)/2))/(LN(2)/2)*AQ57*AT57*VLOOKUP('Données projet'!$B$10,Paramètres!$A$1:$I$89,3,0)*0.475*44/12</f>
        <v>8.3700035460478013</v>
      </c>
      <c r="AX57" s="21">
        <f t="shared" si="6"/>
        <v>18.104155374163877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6.625</v>
      </c>
      <c r="BD57" s="12">
        <f>IF('Données projet'!$A$88&gt;35,BD56+BC57-BL56,IF(A57&lt;'Données projet'!$A$88,$BA$205^A57,IF(A57='Données projet'!$A$88,'Données projet'!$B$88,BD56+BC57-BL56)))</f>
        <v>118.625</v>
      </c>
      <c r="BE57" s="13">
        <f>BD57*VLOOKUP('Données projet'!$B$11,Paramètres!$A$1:$I$89,3,0)*VLOOKUP('Données projet'!$B$11,Paramètres!$A$1:$I$89,5,0)</f>
        <v>127.68795</v>
      </c>
      <c r="BF57" s="13">
        <f t="shared" si="37"/>
        <v>33.461555774073034</v>
      </c>
      <c r="BG57" s="20">
        <f t="shared" si="7"/>
        <v>280.66872255651049</v>
      </c>
      <c r="BH57" s="59">
        <f t="shared" si="8"/>
        <v>538.37309522384976</v>
      </c>
      <c r="BI57" s="59">
        <f ca="1">AVERAGE(OFFSET($BH$3,0,0,'Données projet'!$E$11+1,1))-AVERAGE(OFFSET($H$3,0,0,'Données projet'!$E$11+1,1))</f>
        <v>404.24955007425774</v>
      </c>
      <c r="BJ57" s="59">
        <f t="shared" si="38"/>
        <v>211.49137630071019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4.2514077469319274</v>
      </c>
      <c r="BQ57" s="21">
        <f>EXP(-LN(2)/25)*BQ56+(1-EXP(-LN(2)/25))/(LN(2)/25)*Calculateur!BL57*Calculateur!BN57*VLOOKUP('Données projet'!$B$11,Paramètres!$A$1:$I$89,3,0)*0.475*44/12</f>
        <v>6.5817612230682201</v>
      </c>
      <c r="BR57" s="21">
        <f>EXP(-LN(2)/2)*BR56+(1-EXP(-LN(2)/2))/(LN(2)/2)*BL57*BO57*VLOOKUP('Données projet'!$B$11,Paramètres!$A$1:$I$89,3,0)*0.475*44/12</f>
        <v>9.3150039464080354</v>
      </c>
      <c r="BS57" s="22">
        <f t="shared" si="9"/>
        <v>20.148172916408186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6.625</v>
      </c>
      <c r="BY57" s="12">
        <f>IF('Données projet'!$A$114&gt;35,BY56+BX57-CG56,IF(A57&lt;'Données projet'!$A$114,$BV$205^A57,IF(A57='Données projet'!$A$114,'Données projet'!$B$114,BY56+BX57-CG56)))</f>
        <v>118.625</v>
      </c>
      <c r="BZ57" s="13">
        <f>BY57*VLOOKUP('Données projet'!$B$12,Paramètres!$A$1:$I$89,3,0)*VLOOKUP('Données projet'!$B$12,Paramètres!$A$1:$I$89,5,0)</f>
        <v>92.527500000000003</v>
      </c>
      <c r="CA57" s="13">
        <f t="shared" si="39"/>
        <v>25.173811076836337</v>
      </c>
      <c r="CB57" s="20">
        <f t="shared" si="10"/>
        <v>204.99645012548993</v>
      </c>
      <c r="CC57" s="59">
        <f t="shared" si="11"/>
        <v>462.70082279282929</v>
      </c>
      <c r="CD57" s="59">
        <f ca="1">AVERAGE(OFFSET($CC$3,0,0,'Données projet'!$E$12+1,1))-AVERAGE(OFFSET($H$3,0,0,'Données projet'!$E$12+1,1))</f>
        <v>250.01410333089137</v>
      </c>
      <c r="CE57" s="59">
        <f t="shared" si="40"/>
        <v>169.55868564318885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3.0807302513999471</v>
      </c>
      <c r="CL57" s="21">
        <f>EXP(-LN(2)/25)*CL56+(1-EXP(-LN(2)/25))/(LN(2)/25)*Calculateur!CG57*Calculateur!CI57*VLOOKUP('Données projet'!$B$12,Paramètres!$A$1:$I$89,3,0)*0.475*44/12</f>
        <v>4.7693921906291452</v>
      </c>
      <c r="CM57" s="21">
        <f>EXP(-LN(2)/2)*CM56+(1-EXP(-LN(2)/2))/(LN(2)/2)*CG57*CJ57*VLOOKUP('Données projet'!$B$12,Paramètres!$A$1:$I$89,3,0)*0.475*44/12</f>
        <v>6.7500028597159671</v>
      </c>
      <c r="CN57" s="22">
        <f t="shared" si="12"/>
        <v>14.600125301745059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6.625</v>
      </c>
      <c r="N58" s="13">
        <f>IF('Données projet'!$A$36&gt;35,N57+M58-V57,IF(A58&lt;'Données projet'!$A$36,$K$205^A58,IF(A58='Données projet'!$A$36,'Données projet'!$B$36,N57+M58-V57)))</f>
        <v>125.25</v>
      </c>
      <c r="O58" s="13">
        <f>N58*VLOOKUP('Données projet'!$B$9,Paramètres!$A$1:$I$89,3,0)*VLOOKUP('Données projet'!$B$9,Paramètres!$A$1:$I$89,5,0)</f>
        <v>113.3262</v>
      </c>
      <c r="P58" s="13">
        <f t="shared" si="33"/>
        <v>30.113299345067208</v>
      </c>
      <c r="Q58" s="20">
        <f t="shared" si="53"/>
        <v>249.82379469265871</v>
      </c>
      <c r="R58" s="59">
        <f t="shared" si="0"/>
        <v>508.14625017313006</v>
      </c>
      <c r="S58" s="59">
        <f ca="1">AVERAGE(OFFSET($R$3,0,0,'Données projet'!$E$9+1,1))-AVERAGE(OFFSET($H$3,0,0,'Données projet'!$E$9+1,1))</f>
        <v>469.5773392354356</v>
      </c>
      <c r="T58" s="59">
        <f t="shared" si="34"/>
        <v>187.25344022835239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1.2401884961686573</v>
      </c>
      <c r="AA58" s="21">
        <f>EXP(-LN(2)/25)*AA57+(1-EXP(-LN(2)/25))/(LN(2)/25)*Calculateur!V58*Calculateur!X58*VLOOKUP('Données projet'!$B$9,Paramètres!$A$1:$I$89,3,0)*0.475*44/12</f>
        <v>3.3733208505953072</v>
      </c>
      <c r="AB58" s="21">
        <f>EXP(-LN(2)/2)*AB57+(1-EXP(-LN(2)/2))/(LN(2)/2)*V58*Y58*VLOOKUP('Données projet'!$B$9,Paramètres!$A$1:$I$89,3,0)*0.475*44/12</f>
        <v>6.7395862143318146</v>
      </c>
      <c r="AC58" s="22">
        <f t="shared" si="3"/>
        <v>11.353095561095779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6.625</v>
      </c>
      <c r="AI58" s="13">
        <f>IF('Données projet'!$A$62&gt;35,AI57+AH58-AQ57,IF(A58&lt;'Données projet'!$A$62,$AF$205^A58,IF(A58='Données projet'!$A$62,'Données projet'!$B$62,AI57+AH58-AQ57)))</f>
        <v>125.25</v>
      </c>
      <c r="AJ58" s="13">
        <f>AI58*VLOOKUP('Données projet'!$B$10,Paramètres!$A$1:$I$89,3,0)*VLOOKUP('Données projet'!$B$10,Paramètres!$A$1:$I$89,5,0)</f>
        <v>121.1418</v>
      </c>
      <c r="AK58" s="13">
        <f t="shared" si="35"/>
        <v>31.941158440077427</v>
      </c>
      <c r="AL58" s="20">
        <f t="shared" si="4"/>
        <v>266.61948594980146</v>
      </c>
      <c r="AM58" s="59">
        <f t="shared" si="5"/>
        <v>524.94194143027289</v>
      </c>
      <c r="AN58" s="59">
        <f ca="1">AVERAGE(OFFSET($AM$3,0,0,'Données projet'!$E$10+1,1))-AVERAGE(OFFSET($H$3,0,0,'Données projet'!$E$10+1,1))</f>
        <v>370.91255999489181</v>
      </c>
      <c r="AO58" s="59">
        <f t="shared" si="36"/>
        <v>196.07869248605735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3.7451955726850836</v>
      </c>
      <c r="AV58" s="21">
        <f>EXP(-LN(2)/25)*AV57+(1-EXP(-LN(2)/25))/(LN(2)/25)*Calculateur!AQ58*Calculateur!AS58*VLOOKUP('Données projet'!$B$10,Paramètres!$A$1:$I$89,3,0)*0.475*44/12</f>
        <v>5.7523264088525474</v>
      </c>
      <c r="AW58" s="21">
        <f>EXP(-LN(2)/2)*AW57+(1-EXP(-LN(2)/2))/(LN(2)/2)*AQ58*AT58*VLOOKUP('Données projet'!$B$10,Paramètres!$A$1:$I$89,3,0)*0.475*44/12</f>
        <v>5.9184862659658499</v>
      </c>
      <c r="AX58" s="21">
        <f t="shared" si="6"/>
        <v>15.416008247503481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6.625</v>
      </c>
      <c r="BD58" s="12">
        <f>IF('Données projet'!$A$88&gt;35,BD57+BC58-BL57,IF(A58&lt;'Données projet'!$A$88,$BA$205^A58,IF(A58='Données projet'!$A$88,'Données projet'!$B$88,BD57+BC58-BL57)))</f>
        <v>125.25</v>
      </c>
      <c r="BE58" s="13">
        <f>BD58*VLOOKUP('Données projet'!$B$11,Paramètres!$A$1:$I$89,3,0)*VLOOKUP('Données projet'!$B$11,Paramètres!$A$1:$I$89,5,0)</f>
        <v>134.81909999999999</v>
      </c>
      <c r="BF58" s="13">
        <f t="shared" si="37"/>
        <v>35.107541895999937</v>
      </c>
      <c r="BG58" s="20">
        <f t="shared" si="7"/>
        <v>295.95556796886649</v>
      </c>
      <c r="BH58" s="59">
        <f t="shared" si="8"/>
        <v>554.27802344933787</v>
      </c>
      <c r="BI58" s="59">
        <f ca="1">AVERAGE(OFFSET($BH$3,0,0,'Données projet'!$E$11+1,1))-AVERAGE(OFFSET($H$3,0,0,'Données projet'!$E$11+1,1))</f>
        <v>404.24955007425774</v>
      </c>
      <c r="BJ58" s="59">
        <f t="shared" si="38"/>
        <v>211.49137630071019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4.16804023411727</v>
      </c>
      <c r="BQ58" s="21">
        <f>EXP(-LN(2)/25)*BQ57+(1-EXP(-LN(2)/25))/(LN(2)/25)*Calculateur!BL58*Calculateur!BN58*VLOOKUP('Données projet'!$B$11,Paramètres!$A$1:$I$89,3,0)*0.475*44/12</f>
        <v>6.40178261630364</v>
      </c>
      <c r="BR58" s="21">
        <f>EXP(-LN(2)/2)*BR57+(1-EXP(-LN(2)/2))/(LN(2)/2)*BL58*BO58*VLOOKUP('Données projet'!$B$11,Paramètres!$A$1:$I$89,3,0)*0.475*44/12</f>
        <v>6.5867024572845736</v>
      </c>
      <c r="BS58" s="22">
        <f t="shared" si="9"/>
        <v>17.156525307705483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6.625</v>
      </c>
      <c r="BY58" s="12">
        <f>IF('Données projet'!$A$114&gt;35,BY57+BX58-CG57,IF(A58&lt;'Données projet'!$A$114,$BV$205^A58,IF(A58='Données projet'!$A$114,'Données projet'!$B$114,BY57+BX58-CG57)))</f>
        <v>125.25</v>
      </c>
      <c r="BZ58" s="13">
        <f>BY58*VLOOKUP('Données projet'!$B$12,Paramètres!$A$1:$I$89,3,0)*VLOOKUP('Données projet'!$B$12,Paramètres!$A$1:$I$89,5,0)</f>
        <v>97.695000000000007</v>
      </c>
      <c r="CA58" s="13">
        <f t="shared" si="39"/>
        <v>26.412120017049666</v>
      </c>
      <c r="CB58" s="20">
        <f t="shared" si="10"/>
        <v>216.15323402969486</v>
      </c>
      <c r="CC58" s="59">
        <f t="shared" si="11"/>
        <v>474.47568951016626</v>
      </c>
      <c r="CD58" s="59">
        <f ca="1">AVERAGE(OFFSET($CC$3,0,0,'Données projet'!$E$12+1,1))-AVERAGE(OFFSET($H$3,0,0,'Données projet'!$E$12+1,1))</f>
        <v>250.01410333089137</v>
      </c>
      <c r="CE58" s="59">
        <f t="shared" si="40"/>
        <v>169.55868564318885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3.0203190102299056</v>
      </c>
      <c r="CL58" s="21">
        <f>EXP(-LN(2)/25)*CL57+(1-EXP(-LN(2)/25))/(LN(2)/25)*Calculateur!CG58*Calculateur!CI58*VLOOKUP('Données projet'!$B$12,Paramètres!$A$1:$I$89,3,0)*0.475*44/12</f>
        <v>4.6389729103649566</v>
      </c>
      <c r="CM58" s="21">
        <f>EXP(-LN(2)/2)*CM57+(1-EXP(-LN(2)/2))/(LN(2)/2)*CG58*CJ58*VLOOKUP('Données projet'!$B$12,Paramètres!$A$1:$I$89,3,0)*0.475*44/12</f>
        <v>4.7729727951337484</v>
      </c>
      <c r="CN58" s="22">
        <f t="shared" si="12"/>
        <v>12.432264715728611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6.625</v>
      </c>
      <c r="N59" s="13">
        <f>IF('Données projet'!$A$36&gt;35,N58+M59-V58,IF(A59&lt;'Données projet'!$A$36,$K$205^A59,IF(A59='Données projet'!$A$36,'Données projet'!$B$36,N58+M59-V58)))</f>
        <v>131.875</v>
      </c>
      <c r="O59" s="13">
        <f>N59*VLOOKUP('Données projet'!$B$9,Paramètres!$A$1:$I$89,3,0)*VLOOKUP('Données projet'!$B$9,Paramètres!$A$1:$I$89,5,0)</f>
        <v>119.3205</v>
      </c>
      <c r="P59" s="13">
        <f t="shared" si="33"/>
        <v>31.516464738388702</v>
      </c>
      <c r="Q59" s="20">
        <f t="shared" si="53"/>
        <v>262.70771358602695</v>
      </c>
      <c r="R59" s="59">
        <f t="shared" si="0"/>
        <v>521.6375295246487</v>
      </c>
      <c r="S59" s="59">
        <f ca="1">AVERAGE(OFFSET($R$3,0,0,'Données projet'!$E$9+1,1))-AVERAGE(OFFSET($H$3,0,0,'Données projet'!$E$9+1,1))</f>
        <v>469.5773392354356</v>
      </c>
      <c r="T59" s="59">
        <f t="shared" si="34"/>
        <v>187.25344022835239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1.2158691561990804</v>
      </c>
      <c r="AA59" s="21">
        <f>EXP(-LN(2)/25)*AA58+(1-EXP(-LN(2)/25))/(LN(2)/25)*Calculateur!V59*Calculateur!X59*VLOOKUP('Données projet'!$B$9,Paramètres!$A$1:$I$89,3,0)*0.475*44/12</f>
        <v>3.2810772145405447</v>
      </c>
      <c r="AB59" s="21">
        <f>EXP(-LN(2)/2)*AB58+(1-EXP(-LN(2)/2))/(LN(2)/2)*V59*Y59*VLOOKUP('Données projet'!$B$9,Paramètres!$A$1:$I$89,3,0)*0.475*44/12</f>
        <v>4.7656071145453991</v>
      </c>
      <c r="AC59" s="22">
        <f t="shared" si="3"/>
        <v>9.2625534852850251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6.625</v>
      </c>
      <c r="AI59" s="13">
        <f>IF('Données projet'!$A$62&gt;35,AI58+AH59-AQ58,IF(A59&lt;'Données projet'!$A$62,$AF$205^A59,IF(A59='Données projet'!$A$62,'Données projet'!$B$62,AI58+AH59-AQ58)))</f>
        <v>131.875</v>
      </c>
      <c r="AJ59" s="13">
        <f>AI59*VLOOKUP('Données projet'!$B$10,Paramètres!$A$1:$I$89,3,0)*VLOOKUP('Données projet'!$B$10,Paramètres!$A$1:$I$89,5,0)</f>
        <v>127.54950000000001</v>
      </c>
      <c r="AK59" s="13">
        <f t="shared" si="35"/>
        <v>33.429495125876585</v>
      </c>
      <c r="AL59" s="20">
        <f t="shared" si="4"/>
        <v>280.37174984423507</v>
      </c>
      <c r="AM59" s="59">
        <f t="shared" si="5"/>
        <v>539.30156578285687</v>
      </c>
      <c r="AN59" s="59">
        <f ca="1">AVERAGE(OFFSET($AM$3,0,0,'Données projet'!$E$10+1,1))-AVERAGE(OFFSET($H$3,0,0,'Données projet'!$E$10+1,1))</f>
        <v>370.91255999489181</v>
      </c>
      <c r="AO59" s="59">
        <f t="shared" si="36"/>
        <v>196.07869248605735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3.6717545718484681</v>
      </c>
      <c r="AV59" s="21">
        <f>EXP(-LN(2)/25)*AV58+(1-EXP(-LN(2)/25))/(LN(2)/25)*Calculateur!AQ59*Calculateur!AS59*VLOOKUP('Données projet'!$B$10,Paramètres!$A$1:$I$89,3,0)*0.475*44/12</f>
        <v>5.5950287407007755</v>
      </c>
      <c r="AW59" s="21">
        <f>EXP(-LN(2)/2)*AW58+(1-EXP(-LN(2)/2))/(LN(2)/2)*AQ59*AT59*VLOOKUP('Données projet'!$B$10,Paramètres!$A$1:$I$89,3,0)*0.475*44/12</f>
        <v>4.1850017730239015</v>
      </c>
      <c r="AX59" s="21">
        <f t="shared" si="6"/>
        <v>13.451785085573146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6.625</v>
      </c>
      <c r="BD59" s="12">
        <f>IF('Données projet'!$A$88&gt;35,BD58+BC59-BL58,IF(A59&lt;'Données projet'!$A$88,$BA$205^A59,IF(A59='Données projet'!$A$88,'Données projet'!$B$88,BD58+BC59-BL58)))</f>
        <v>131.875</v>
      </c>
      <c r="BE59" s="13">
        <f>BD59*VLOOKUP('Données projet'!$B$11,Paramètres!$A$1:$I$89,3,0)*VLOOKUP('Données projet'!$B$11,Paramètres!$A$1:$I$89,5,0)</f>
        <v>141.95024999999998</v>
      </c>
      <c r="BF59" s="13">
        <f t="shared" si="37"/>
        <v>36.743420026408785</v>
      </c>
      <c r="BG59" s="20">
        <f t="shared" si="7"/>
        <v>311.22480862932861</v>
      </c>
      <c r="BH59" s="59">
        <f t="shared" si="8"/>
        <v>570.15462456795035</v>
      </c>
      <c r="BI59" s="59">
        <f ca="1">AVERAGE(OFFSET($BH$3,0,0,'Données projet'!$E$11+1,1))-AVERAGE(OFFSET($H$3,0,0,'Données projet'!$E$11+1,1))</f>
        <v>404.24955007425774</v>
      </c>
      <c r="BJ59" s="59">
        <f t="shared" si="38"/>
        <v>211.49137630071019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4.0863075073797468</v>
      </c>
      <c r="BQ59" s="21">
        <f>EXP(-LN(2)/25)*BQ58+(1-EXP(-LN(2)/25))/(LN(2)/25)*Calculateur!BL59*Calculateur!BN59*VLOOKUP('Données projet'!$B$11,Paramètres!$A$1:$I$89,3,0)*0.475*44/12</f>
        <v>6.2267255340057011</v>
      </c>
      <c r="BR59" s="21">
        <f>EXP(-LN(2)/2)*BR58+(1-EXP(-LN(2)/2))/(LN(2)/2)*BL59*BO59*VLOOKUP('Données projet'!$B$11,Paramètres!$A$1:$I$89,3,0)*0.475*44/12</f>
        <v>4.6575019732040186</v>
      </c>
      <c r="BS59" s="22">
        <f t="shared" si="9"/>
        <v>14.970535014589467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6.625</v>
      </c>
      <c r="BY59" s="12">
        <f>IF('Données projet'!$A$114&gt;35,BY58+BX59-CG58,IF(A59&lt;'Données projet'!$A$114,$BV$205^A59,IF(A59='Données projet'!$A$114,'Données projet'!$B$114,BY58+BX59-CG58)))</f>
        <v>131.875</v>
      </c>
      <c r="BZ59" s="13">
        <f>BY59*VLOOKUP('Données projet'!$B$12,Paramètres!$A$1:$I$89,3,0)*VLOOKUP('Données projet'!$B$12,Paramètres!$A$1:$I$89,5,0)</f>
        <v>102.8625</v>
      </c>
      <c r="CA59" s="13">
        <f t="shared" si="39"/>
        <v>27.642824509025196</v>
      </c>
      <c r="CB59" s="20">
        <f t="shared" si="10"/>
        <v>227.29677351988553</v>
      </c>
      <c r="CC59" s="59">
        <f t="shared" si="11"/>
        <v>486.22658945850731</v>
      </c>
      <c r="CD59" s="59">
        <f ca="1">AVERAGE(OFFSET($CC$3,0,0,'Données projet'!$E$12+1,1))-AVERAGE(OFFSET($H$3,0,0,'Données projet'!$E$12+1,1))</f>
        <v>250.01410333089137</v>
      </c>
      <c r="CE59" s="59">
        <f t="shared" si="40"/>
        <v>169.55868564318885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2.9610923966519898</v>
      </c>
      <c r="CL59" s="21">
        <f>EXP(-LN(2)/25)*CL58+(1-EXP(-LN(2)/25))/(LN(2)/25)*Calculateur!CG59*Calculateur!CI59*VLOOKUP('Données projet'!$B$12,Paramètres!$A$1:$I$89,3,0)*0.475*44/12</f>
        <v>4.5121199521780442</v>
      </c>
      <c r="CM59" s="21">
        <f>EXP(-LN(2)/2)*CM58+(1-EXP(-LN(2)/2))/(LN(2)/2)*CG59*CJ59*VLOOKUP('Données projet'!$B$12,Paramètres!$A$1:$I$89,3,0)*0.475*44/12</f>
        <v>3.3750014298579836</v>
      </c>
      <c r="CN59" s="22">
        <f t="shared" si="12"/>
        <v>10.848213778688017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6.625</v>
      </c>
      <c r="N60" s="13">
        <f>IF('Données projet'!$A$36&gt;35,N59+M60-V59,IF(A60&lt;'Données projet'!$A$36,$K$205^A60,IF(A60='Données projet'!$A$36,'Données projet'!$B$36,N59+M60-V59)))</f>
        <v>138.5</v>
      </c>
      <c r="O60" s="13">
        <f>N60*VLOOKUP('Données projet'!$B$9,Paramètres!$A$1:$I$89,3,0)*VLOOKUP('Données projet'!$B$9,Paramètres!$A$1:$I$89,5,0)</f>
        <v>125.31480000000001</v>
      </c>
      <c r="P60" s="13">
        <f t="shared" si="33"/>
        <v>32.911445314387194</v>
      </c>
      <c r="Q60" s="20">
        <f t="shared" si="53"/>
        <v>275.57737725589101</v>
      </c>
      <c r="R60" s="59">
        <f t="shared" si="0"/>
        <v>535.10401730656872</v>
      </c>
      <c r="S60" s="59">
        <f ca="1">AVERAGE(OFFSET($R$3,0,0,'Données projet'!$E$9+1,1))-AVERAGE(OFFSET($H$3,0,0,'Données projet'!$E$9+1,1))</f>
        <v>469.5773392354356</v>
      </c>
      <c r="T60" s="59">
        <f t="shared" si="34"/>
        <v>187.25344022835239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1.1920267036529741</v>
      </c>
      <c r="AA60" s="21">
        <f>EXP(-LN(2)/25)*AA59+(1-EXP(-LN(2)/25))/(LN(2)/25)*Calculateur!V60*Calculateur!X60*VLOOKUP('Données projet'!$B$9,Paramètres!$A$1:$I$89,3,0)*0.475*44/12</f>
        <v>3.1913559855645817</v>
      </c>
      <c r="AB60" s="21">
        <f>EXP(-LN(2)/2)*AB59+(1-EXP(-LN(2)/2))/(LN(2)/2)*V60*Y60*VLOOKUP('Données projet'!$B$9,Paramètres!$A$1:$I$89,3,0)*0.475*44/12</f>
        <v>3.3697931071659077</v>
      </c>
      <c r="AC60" s="22">
        <f t="shared" si="3"/>
        <v>7.7531757963834638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6.625</v>
      </c>
      <c r="AI60" s="13">
        <f>IF('Données projet'!$A$62&gt;35,AI59+AH60-AQ59,IF(A60&lt;'Données projet'!$A$62,$AF$205^A60,IF(A60='Données projet'!$A$62,'Données projet'!$B$62,AI59+AH60-AQ59)))</f>
        <v>138.5</v>
      </c>
      <c r="AJ60" s="13">
        <f>AI60*VLOOKUP('Données projet'!$B$10,Paramètres!$A$1:$I$89,3,0)*VLOOKUP('Données projet'!$B$10,Paramètres!$A$1:$I$89,5,0)</f>
        <v>133.9572</v>
      </c>
      <c r="AK60" s="13">
        <f t="shared" si="35"/>
        <v>34.909150180881291</v>
      </c>
      <c r="AL60" s="20">
        <f t="shared" si="4"/>
        <v>294.10889323170153</v>
      </c>
      <c r="AM60" s="59">
        <f t="shared" si="5"/>
        <v>553.63553328237924</v>
      </c>
      <c r="AN60" s="59">
        <f ca="1">AVERAGE(OFFSET($AM$3,0,0,'Données projet'!$E$10+1,1))-AVERAGE(OFFSET($H$3,0,0,'Données projet'!$E$10+1,1))</f>
        <v>370.91255999489181</v>
      </c>
      <c r="AO60" s="59">
        <f t="shared" si="36"/>
        <v>196.07869248605735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3.5997537042436711</v>
      </c>
      <c r="AV60" s="21">
        <f>EXP(-LN(2)/25)*AV59+(1-EXP(-LN(2)/25))/(LN(2)/25)*Calculateur!AQ60*Calculateur!AS60*VLOOKUP('Données projet'!$B$10,Paramètres!$A$1:$I$89,3,0)*0.475*44/12</f>
        <v>5.4420323855565389</v>
      </c>
      <c r="AW60" s="21">
        <f>EXP(-LN(2)/2)*AW59+(1-EXP(-LN(2)/2))/(LN(2)/2)*AQ60*AT60*VLOOKUP('Données projet'!$B$10,Paramètres!$A$1:$I$89,3,0)*0.475*44/12</f>
        <v>2.9592431329829254</v>
      </c>
      <c r="AX60" s="21">
        <f t="shared" si="6"/>
        <v>12.001029222783135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6.625</v>
      </c>
      <c r="BD60" s="12">
        <f>IF('Données projet'!$A$88&gt;35,BD59+BC60-BL59,IF(A60&lt;'Données projet'!$A$88,$BA$205^A60,IF(A60='Données projet'!$A$88,'Données projet'!$B$88,BD59+BC60-BL59)))</f>
        <v>138.5</v>
      </c>
      <c r="BE60" s="13">
        <f>BD60*VLOOKUP('Données projet'!$B$11,Paramètres!$A$1:$I$89,3,0)*VLOOKUP('Données projet'!$B$11,Paramètres!$A$1:$I$89,5,0)</f>
        <v>149.0814</v>
      </c>
      <c r="BF60" s="13">
        <f t="shared" si="37"/>
        <v>38.369755900627652</v>
      </c>
      <c r="BG60" s="20">
        <f t="shared" si="7"/>
        <v>326.47742986025986</v>
      </c>
      <c r="BH60" s="59">
        <f t="shared" si="8"/>
        <v>586.00406991093757</v>
      </c>
      <c r="BI60" s="59">
        <f ca="1">AVERAGE(OFFSET($BH$3,0,0,'Données projet'!$E$11+1,1))-AVERAGE(OFFSET($H$3,0,0,'Données projet'!$E$11+1,1))</f>
        <v>404.24955007425774</v>
      </c>
      <c r="BJ60" s="59">
        <f t="shared" si="38"/>
        <v>211.49137630071019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4.0061775095615051</v>
      </c>
      <c r="BQ60" s="21">
        <f>EXP(-LN(2)/25)*BQ59+(1-EXP(-LN(2)/25))/(LN(2)/25)*Calculateur!BL60*Calculateur!BN60*VLOOKUP('Données projet'!$B$11,Paramètres!$A$1:$I$89,3,0)*0.475*44/12</f>
        <v>6.0564553968290511</v>
      </c>
      <c r="BR60" s="21">
        <f>EXP(-LN(2)/2)*BR59+(1-EXP(-LN(2)/2))/(LN(2)/2)*BL60*BO60*VLOOKUP('Données projet'!$B$11,Paramètres!$A$1:$I$89,3,0)*0.475*44/12</f>
        <v>3.2933512286422877</v>
      </c>
      <c r="BS60" s="22">
        <f t="shared" si="9"/>
        <v>13.355984135032845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6.625</v>
      </c>
      <c r="BY60" s="12">
        <f>IF('Données projet'!$A$114&gt;35,BY59+BX60-CG59,IF(A60&lt;'Données projet'!$A$114,$BV$205^A60,IF(A60='Données projet'!$A$114,'Données projet'!$B$114,BY59+BX60-CG59)))</f>
        <v>138.5</v>
      </c>
      <c r="BZ60" s="13">
        <f>BY60*VLOOKUP('Données projet'!$B$12,Paramètres!$A$1:$I$89,3,0)*VLOOKUP('Données projet'!$B$12,Paramètres!$A$1:$I$89,5,0)</f>
        <v>108.03</v>
      </c>
      <c r="CA60" s="13">
        <f t="shared" si="39"/>
        <v>28.866350166992046</v>
      </c>
      <c r="CB60" s="20">
        <f t="shared" si="10"/>
        <v>238.4278098741778</v>
      </c>
      <c r="CC60" s="59">
        <f t="shared" si="11"/>
        <v>497.95444992485551</v>
      </c>
      <c r="CD60" s="59">
        <f ca="1">AVERAGE(OFFSET($CC$3,0,0,'Données projet'!$E$12+1,1))-AVERAGE(OFFSET($H$3,0,0,'Données projet'!$E$12+1,1))</f>
        <v>250.01410333089137</v>
      </c>
      <c r="CE60" s="59">
        <f t="shared" si="40"/>
        <v>169.55868564318885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2.9030271808416699</v>
      </c>
      <c r="CL60" s="21">
        <f>EXP(-LN(2)/25)*CL59+(1-EXP(-LN(2)/25))/(LN(2)/25)*Calculateur!CG60*Calculateur!CI60*VLOOKUP('Données projet'!$B$12,Paramètres!$A$1:$I$89,3,0)*0.475*44/12</f>
        <v>4.3887357948036598</v>
      </c>
      <c r="CM60" s="21">
        <f>EXP(-LN(2)/2)*CM59+(1-EXP(-LN(2)/2))/(LN(2)/2)*CG60*CJ60*VLOOKUP('Données projet'!$B$12,Paramètres!$A$1:$I$89,3,0)*0.475*44/12</f>
        <v>2.3864863975668742</v>
      </c>
      <c r="CN60" s="22">
        <f t="shared" si="12"/>
        <v>9.6782493732122035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6.625</v>
      </c>
      <c r="N61" s="13">
        <f>IF('Données projet'!$A$36&gt;35,N60+M61-V60,IF(A61&lt;'Données projet'!$A$36,$K$205^A61,IF(A61='Données projet'!$A$36,'Données projet'!$B$36,N60+M61-V60)))</f>
        <v>145.125</v>
      </c>
      <c r="O61" s="13">
        <f>N61*VLOOKUP('Données projet'!$B$9,Paramètres!$A$1:$I$89,3,0)*VLOOKUP('Données projet'!$B$9,Paramètres!$A$1:$I$89,5,0)</f>
        <v>131.3091</v>
      </c>
      <c r="P61" s="13">
        <f t="shared" si="33"/>
        <v>34.298677282857057</v>
      </c>
      <c r="Q61" s="20">
        <f t="shared" si="53"/>
        <v>288.43354543430939</v>
      </c>
      <c r="R61" s="59">
        <f t="shared" si="0"/>
        <v>548.54665603299782</v>
      </c>
      <c r="S61" s="59">
        <f ca="1">AVERAGE(OFFSET($R$3,0,0,'Données projet'!$E$9+1,1))-AVERAGE(OFFSET($H$3,0,0,'Données projet'!$E$9+1,1))</f>
        <v>469.5773392354356</v>
      </c>
      <c r="T61" s="59">
        <f t="shared" si="34"/>
        <v>187.25344022835239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1.1686517870588369</v>
      </c>
      <c r="AA61" s="21">
        <f>EXP(-LN(2)/25)*AA60+(1-EXP(-LN(2)/25))/(LN(2)/25)*Calculateur!V61*Calculateur!X61*VLOOKUP('Données projet'!$B$9,Paramètres!$A$1:$I$89,3,0)*0.475*44/12</f>
        <v>3.104088188313201</v>
      </c>
      <c r="AB61" s="21">
        <f>EXP(-LN(2)/2)*AB60+(1-EXP(-LN(2)/2))/(LN(2)/2)*V61*Y61*VLOOKUP('Données projet'!$B$9,Paramètres!$A$1:$I$89,3,0)*0.475*44/12</f>
        <v>2.3828035572727</v>
      </c>
      <c r="AC61" s="22">
        <f t="shared" si="3"/>
        <v>6.6555435326447379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6.625</v>
      </c>
      <c r="AI61" s="13">
        <f>IF('Données projet'!$A$62&gt;35,AI60+AH61-AQ60,IF(A61&lt;'Données projet'!$A$62,$AF$205^A61,IF(A61='Données projet'!$A$62,'Données projet'!$B$62,AI60+AH61-AQ60)))</f>
        <v>145.125</v>
      </c>
      <c r="AJ61" s="13">
        <f>AI61*VLOOKUP('Données projet'!$B$10,Paramètres!$A$1:$I$89,3,0)*VLOOKUP('Données projet'!$B$10,Paramètres!$A$1:$I$89,5,0)</f>
        <v>140.36490000000001</v>
      </c>
      <c r="AK61" s="13">
        <f t="shared" si="35"/>
        <v>36.380586292557162</v>
      </c>
      <c r="AL61" s="20">
        <f t="shared" si="4"/>
        <v>307.83172195953699</v>
      </c>
      <c r="AM61" s="59">
        <f t="shared" si="5"/>
        <v>567.94483255822547</v>
      </c>
      <c r="AN61" s="59">
        <f ca="1">AVERAGE(OFFSET($AM$3,0,0,'Données projet'!$E$10+1,1))-AVERAGE(OFFSET($H$3,0,0,'Données projet'!$E$10+1,1))</f>
        <v>370.91255999489181</v>
      </c>
      <c r="AO61" s="59">
        <f t="shared" si="36"/>
        <v>196.07869248605735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3.5291647297364115</v>
      </c>
      <c r="AV61" s="21">
        <f>EXP(-LN(2)/25)*AV60+(1-EXP(-LN(2)/25))/(LN(2)/25)*Calculateur!AQ61*Calculateur!AS61*VLOOKUP('Données projet'!$B$10,Paramètres!$A$1:$I$89,3,0)*0.475*44/12</f>
        <v>5.2932197237894503</v>
      </c>
      <c r="AW61" s="21">
        <f>EXP(-LN(2)/2)*AW60+(1-EXP(-LN(2)/2))/(LN(2)/2)*AQ61*AT61*VLOOKUP('Données projet'!$B$10,Paramètres!$A$1:$I$89,3,0)*0.475*44/12</f>
        <v>2.0925008865119508</v>
      </c>
      <c r="AX61" s="21">
        <f t="shared" si="6"/>
        <v>10.914885340037813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6.625</v>
      </c>
      <c r="BD61" s="12">
        <f>IF('Données projet'!$A$88&gt;35,BD60+BC61-BL60,IF(A61&lt;'Données projet'!$A$88,$BA$205^A61,IF(A61='Données projet'!$A$88,'Données projet'!$B$88,BD60+BC61-BL60)))</f>
        <v>145.125</v>
      </c>
      <c r="BE61" s="13">
        <f>BD61*VLOOKUP('Données projet'!$B$11,Paramètres!$A$1:$I$89,3,0)*VLOOKUP('Données projet'!$B$11,Paramètres!$A$1:$I$89,5,0)</f>
        <v>156.21254999999999</v>
      </c>
      <c r="BF61" s="13">
        <f t="shared" si="37"/>
        <v>39.987058073147779</v>
      </c>
      <c r="BG61" s="20">
        <f t="shared" si="7"/>
        <v>341.71431739406574</v>
      </c>
      <c r="BH61" s="59">
        <f t="shared" si="8"/>
        <v>601.82742799275411</v>
      </c>
      <c r="BI61" s="59">
        <f ca="1">AVERAGE(OFFSET($BH$3,0,0,'Données projet'!$E$11+1,1))-AVERAGE(OFFSET($H$3,0,0,'Données projet'!$E$11+1,1))</f>
        <v>404.24955007425774</v>
      </c>
      <c r="BJ61" s="59">
        <f t="shared" si="38"/>
        <v>211.49137630071019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3.9276188121260067</v>
      </c>
      <c r="BQ61" s="21">
        <f>EXP(-LN(2)/25)*BQ60+(1-EXP(-LN(2)/25))/(LN(2)/25)*Calculateur!BL61*Calculateur!BN61*VLOOKUP('Données projet'!$B$11,Paramètres!$A$1:$I$89,3,0)*0.475*44/12</f>
        <v>5.8908413055076139</v>
      </c>
      <c r="BR61" s="21">
        <f>EXP(-LN(2)/2)*BR60+(1-EXP(-LN(2)/2))/(LN(2)/2)*BL61*BO61*VLOOKUP('Données projet'!$B$11,Paramètres!$A$1:$I$89,3,0)*0.475*44/12</f>
        <v>2.3287509866020097</v>
      </c>
      <c r="BS61" s="22">
        <f t="shared" si="9"/>
        <v>12.14721110423563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6.625</v>
      </c>
      <c r="BY61" s="12">
        <f>IF('Données projet'!$A$114&gt;35,BY60+BX61-CG60,IF(A61&lt;'Données projet'!$A$114,$BV$205^A61,IF(A61='Données projet'!$A$114,'Données projet'!$B$114,BY60+BX61-CG60)))</f>
        <v>145.125</v>
      </c>
      <c r="BZ61" s="13">
        <f>BY61*VLOOKUP('Données projet'!$B$12,Paramètres!$A$1:$I$89,3,0)*VLOOKUP('Données projet'!$B$12,Paramètres!$A$1:$I$89,5,0)</f>
        <v>113.19750000000001</v>
      </c>
      <c r="CA61" s="13">
        <f t="shared" si="39"/>
        <v>30.083079586869282</v>
      </c>
      <c r="CB61" s="20">
        <f t="shared" si="10"/>
        <v>249.54700944713068</v>
      </c>
      <c r="CC61" s="59">
        <f t="shared" si="11"/>
        <v>509.6601200458191</v>
      </c>
      <c r="CD61" s="59">
        <f ca="1">AVERAGE(OFFSET($CC$3,0,0,'Données projet'!$E$12+1,1))-AVERAGE(OFFSET($H$3,0,0,'Données projet'!$E$12+1,1))</f>
        <v>250.01410333089137</v>
      </c>
      <c r="CE61" s="59">
        <f t="shared" si="40"/>
        <v>169.55868564318885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2.8461005884971056</v>
      </c>
      <c r="CL61" s="21">
        <f>EXP(-LN(2)/25)*CL60+(1-EXP(-LN(2)/25))/(LN(2)/25)*Calculateur!CG61*Calculateur!CI61*VLOOKUP('Données projet'!$B$12,Paramètres!$A$1:$I$89,3,0)*0.475*44/12</f>
        <v>4.2687255837011691</v>
      </c>
      <c r="CM61" s="21">
        <f>EXP(-LN(2)/2)*CM60+(1-EXP(-LN(2)/2))/(LN(2)/2)*CG61*CJ61*VLOOKUP('Données projet'!$B$12,Paramètres!$A$1:$I$89,3,0)*0.475*44/12</f>
        <v>1.6875007149289918</v>
      </c>
      <c r="CN61" s="22">
        <f t="shared" si="12"/>
        <v>8.8023268871272666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6.625</v>
      </c>
      <c r="N62" s="13">
        <f>IF('Données projet'!$A$36&gt;35,N61+M62-V61,IF(A62&lt;'Données projet'!$A$36,$K$205^A62,IF(A62='Données projet'!$A$36,'Données projet'!$B$36,N61+M62-V61)))</f>
        <v>151.75</v>
      </c>
      <c r="O62" s="13">
        <f>N62*VLOOKUP('Données projet'!$B$9,Paramètres!$A$1:$I$89,3,0)*VLOOKUP('Données projet'!$B$9,Paramètres!$A$1:$I$89,5,0)</f>
        <v>137.30340000000001</v>
      </c>
      <c r="P62" s="13">
        <f t="shared" si="33"/>
        <v>35.678554776231465</v>
      </c>
      <c r="Q62" s="20">
        <f t="shared" si="53"/>
        <v>301.27690456860313</v>
      </c>
      <c r="R62" s="59">
        <f t="shared" si="0"/>
        <v>561.96631176244591</v>
      </c>
      <c r="S62" s="59">
        <f ca="1">AVERAGE(OFFSET($R$3,0,0,'Données projet'!$E$9+1,1))-AVERAGE(OFFSET($H$3,0,0,'Données projet'!$E$9+1,1))</f>
        <v>469.5773392354356</v>
      </c>
      <c r="T62" s="59">
        <f t="shared" si="34"/>
        <v>187.25344022835239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1.1457352383218193</v>
      </c>
      <c r="AA62" s="21">
        <f>EXP(-LN(2)/25)*AA61+(1-EXP(-LN(2)/25))/(LN(2)/25)*Calculateur!V62*Calculateur!X62*VLOOKUP('Données projet'!$B$9,Paramètres!$A$1:$I$89,3,0)*0.475*44/12</f>
        <v>3.0192067335668731</v>
      </c>
      <c r="AB62" s="21">
        <f>EXP(-LN(2)/2)*AB61+(1-EXP(-LN(2)/2))/(LN(2)/2)*V62*Y62*VLOOKUP('Données projet'!$B$9,Paramètres!$A$1:$I$89,3,0)*0.475*44/12</f>
        <v>1.6848965535829543</v>
      </c>
      <c r="AC62" s="22">
        <f t="shared" si="3"/>
        <v>5.8498385254716467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6.625</v>
      </c>
      <c r="AI62" s="13">
        <f>IF('Données projet'!$A$62&gt;35,AI61+AH62-AQ61,IF(A62&lt;'Données projet'!$A$62,$AF$205^A62,IF(A62='Données projet'!$A$62,'Données projet'!$B$62,AI61+AH62-AQ61)))</f>
        <v>151.75</v>
      </c>
      <c r="AJ62" s="13">
        <f>AI62*VLOOKUP('Données projet'!$B$10,Paramètres!$A$1:$I$89,3,0)*VLOOKUP('Données projet'!$B$10,Paramètres!$A$1:$I$89,5,0)</f>
        <v>146.77259999999998</v>
      </c>
      <c r="AK62" s="13">
        <f t="shared" si="35"/>
        <v>37.844221516938099</v>
      </c>
      <c r="AL62" s="20">
        <f t="shared" si="4"/>
        <v>321.54096414200046</v>
      </c>
      <c r="AM62" s="59">
        <f t="shared" si="5"/>
        <v>582.2303713358433</v>
      </c>
      <c r="AN62" s="59">
        <f ca="1">AVERAGE(OFFSET($AM$3,0,0,'Données projet'!$E$10+1,1))-AVERAGE(OFFSET($H$3,0,0,'Données projet'!$E$10+1,1))</f>
        <v>370.91255999489181</v>
      </c>
      <c r="AO62" s="59">
        <f t="shared" si="36"/>
        <v>196.07869248605735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3.4599599619642163</v>
      </c>
      <c r="AV62" s="21">
        <f>EXP(-LN(2)/25)*AV61+(1-EXP(-LN(2)/25))/(LN(2)/25)*Calculateur!AQ62*Calculateur!AS62*VLOOKUP('Données projet'!$B$10,Paramètres!$A$1:$I$89,3,0)*0.475*44/12</f>
        <v>5.1484763520841001</v>
      </c>
      <c r="AW62" s="21">
        <f>EXP(-LN(2)/2)*AW61+(1-EXP(-LN(2)/2))/(LN(2)/2)*AQ62*AT62*VLOOKUP('Données projet'!$B$10,Paramètres!$A$1:$I$89,3,0)*0.475*44/12</f>
        <v>1.4796215664914627</v>
      </c>
      <c r="AX62" s="21">
        <f t="shared" si="6"/>
        <v>10.088057880539779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6.625</v>
      </c>
      <c r="BD62" s="12">
        <f>IF('Données projet'!$A$88&gt;35,BD61+BC62-BL61,IF(A62&lt;'Données projet'!$A$88,$BA$205^A62,IF(A62='Données projet'!$A$88,'Données projet'!$B$88,BD61+BC62-BL61)))</f>
        <v>151.75</v>
      </c>
      <c r="BE62" s="13">
        <f>BD62*VLOOKUP('Données projet'!$B$11,Paramètres!$A$1:$I$89,3,0)*VLOOKUP('Données projet'!$B$11,Paramètres!$A$1:$I$89,5,0)</f>
        <v>163.34370000000001</v>
      </c>
      <c r="BF62" s="13">
        <f t="shared" si="37"/>
        <v>41.595786042636277</v>
      </c>
      <c r="BG62" s="20">
        <f t="shared" si="7"/>
        <v>356.93627152425819</v>
      </c>
      <c r="BH62" s="59">
        <f t="shared" si="8"/>
        <v>617.62567871810097</v>
      </c>
      <c r="BI62" s="59">
        <f ca="1">AVERAGE(OFFSET($BH$3,0,0,'Données projet'!$E$11+1,1))-AVERAGE(OFFSET($H$3,0,0,'Données projet'!$E$11+1,1))</f>
        <v>404.24955007425774</v>
      </c>
      <c r="BJ62" s="59">
        <f t="shared" si="38"/>
        <v>211.49137630071019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3.8506006028311441</v>
      </c>
      <c r="BQ62" s="21">
        <f>EXP(-LN(2)/25)*BQ61+(1-EXP(-LN(2)/25))/(LN(2)/25)*Calculateur!BL62*Calculateur!BN62*VLOOKUP('Données projet'!$B$11,Paramètres!$A$1:$I$89,3,0)*0.475*44/12</f>
        <v>5.7297559402226277</v>
      </c>
      <c r="BR62" s="21">
        <f>EXP(-LN(2)/2)*BR61+(1-EXP(-LN(2)/2))/(LN(2)/2)*BL62*BO62*VLOOKUP('Données projet'!$B$11,Paramètres!$A$1:$I$89,3,0)*0.475*44/12</f>
        <v>1.6466756143211441</v>
      </c>
      <c r="BS62" s="22">
        <f t="shared" si="9"/>
        <v>11.227032157374914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6.625</v>
      </c>
      <c r="BY62" s="12">
        <f>IF('Données projet'!$A$114&gt;35,BY61+BX62-CG61,IF(A62&lt;'Données projet'!$A$114,$BV$205^A62,IF(A62='Données projet'!$A$114,'Données projet'!$B$114,BY61+BX62-CG61)))</f>
        <v>151.75</v>
      </c>
      <c r="BZ62" s="13">
        <f>BY62*VLOOKUP('Données projet'!$B$12,Paramètres!$A$1:$I$89,3,0)*VLOOKUP('Données projet'!$B$12,Paramètres!$A$1:$I$89,5,0)</f>
        <v>118.36500000000001</v>
      </c>
      <c r="CA62" s="13">
        <f t="shared" si="39"/>
        <v>31.29335845887875</v>
      </c>
      <c r="CB62" s="20">
        <f t="shared" si="10"/>
        <v>260.65497431588045</v>
      </c>
      <c r="CC62" s="59">
        <f t="shared" si="11"/>
        <v>521.34438150972323</v>
      </c>
      <c r="CD62" s="59">
        <f ca="1">AVERAGE(OFFSET($CC$3,0,0,'Données projet'!$E$12+1,1))-AVERAGE(OFFSET($H$3,0,0,'Données projet'!$E$12+1,1))</f>
        <v>250.01410333089137</v>
      </c>
      <c r="CE62" s="59">
        <f t="shared" si="40"/>
        <v>169.55868564318885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2.7902902919066257</v>
      </c>
      <c r="CL62" s="21">
        <f>EXP(-LN(2)/25)*CL61+(1-EXP(-LN(2)/25))/(LN(2)/25)*Calculateur!CG62*Calculateur!CI62*VLOOKUP('Données projet'!$B$12,Paramètres!$A$1:$I$89,3,0)*0.475*44/12</f>
        <v>4.1519970581323387</v>
      </c>
      <c r="CM62" s="21">
        <f>EXP(-LN(2)/2)*CM61+(1-EXP(-LN(2)/2))/(LN(2)/2)*CG62*CJ62*VLOOKUP('Données projet'!$B$12,Paramètres!$A$1:$I$89,3,0)*0.475*44/12</f>
        <v>1.1932431987834371</v>
      </c>
      <c r="CN62" s="22">
        <f t="shared" si="12"/>
        <v>8.1355305488224019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6.625</v>
      </c>
      <c r="N63" s="13">
        <f>IF('Données projet'!$A$36&gt;35,N62+M63-V62,IF(A63&lt;'Données projet'!$A$36,$K$205^A63,IF(A63='Données projet'!$A$36,'Données projet'!$B$36,N62+M63-V62)))</f>
        <v>158.375</v>
      </c>
      <c r="O63" s="13">
        <f>N63*VLOOKUP('Données projet'!$B$9,Paramètres!$A$1:$I$89,3,0)*VLOOKUP('Données projet'!$B$9,Paramètres!$A$1:$I$89,5,0)</f>
        <v>143.29769999999999</v>
      </c>
      <c r="P63" s="13">
        <f t="shared" si="33"/>
        <v>37.051435567396794</v>
      </c>
      <c r="Q63" s="20">
        <f t="shared" si="53"/>
        <v>314.10807777988271</v>
      </c>
      <c r="R63" s="59">
        <f t="shared" si="0"/>
        <v>575.36378411136025</v>
      </c>
      <c r="S63" s="59">
        <f ca="1">AVERAGE(OFFSET($R$3,0,0,'Données projet'!$E$9+1,1))-AVERAGE(OFFSET($H$3,0,0,'Données projet'!$E$9+1,1))</f>
        <v>469.5773392354356</v>
      </c>
      <c r="T63" s="59">
        <f t="shared" si="34"/>
        <v>187.25344022835239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1.1232680691278201</v>
      </c>
      <c r="AA63" s="21">
        <f>EXP(-LN(2)/25)*AA62+(1-EXP(-LN(2)/25))/(LN(2)/25)*Calculateur!V63*Calculateur!X63*VLOOKUP('Données projet'!$B$9,Paramètres!$A$1:$I$89,3,0)*0.475*44/12</f>
        <v>2.9366463666643052</v>
      </c>
      <c r="AB63" s="21">
        <f>EXP(-LN(2)/2)*AB62+(1-EXP(-LN(2)/2))/(LN(2)/2)*V63*Y63*VLOOKUP('Données projet'!$B$9,Paramètres!$A$1:$I$89,3,0)*0.475*44/12</f>
        <v>1.1914017786363502</v>
      </c>
      <c r="AC63" s="22">
        <f t="shared" si="3"/>
        <v>5.2513162144284751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6.625</v>
      </c>
      <c r="AI63" s="13">
        <f>IF('Données projet'!$A$62&gt;35,AI62+AH63-AQ62,IF(A63&lt;'Données projet'!$A$62,$AF$205^A63,IF(A63='Données projet'!$A$62,'Données projet'!$B$62,AI62+AH63-AQ62)))</f>
        <v>158.375</v>
      </c>
      <c r="AJ63" s="13">
        <f>AI63*VLOOKUP('Données projet'!$B$10,Paramètres!$A$1:$I$89,3,0)*VLOOKUP('Données projet'!$B$10,Paramètres!$A$1:$I$89,5,0)</f>
        <v>153.18029999999999</v>
      </c>
      <c r="AK63" s="13">
        <f t="shared" si="35"/>
        <v>39.300435343508816</v>
      </c>
      <c r="AL63" s="20">
        <f t="shared" si="4"/>
        <v>335.23728072327782</v>
      </c>
      <c r="AM63" s="59">
        <f t="shared" si="5"/>
        <v>596.4929870547553</v>
      </c>
      <c r="AN63" s="59">
        <f ca="1">AVERAGE(OFFSET($AM$3,0,0,'Données projet'!$E$10+1,1))-AVERAGE(OFFSET($H$3,0,0,'Données projet'!$E$10+1,1))</f>
        <v>370.91255999489181</v>
      </c>
      <c r="AO63" s="59">
        <f t="shared" si="36"/>
        <v>196.07869248605735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3.3921122574772933</v>
      </c>
      <c r="AV63" s="21">
        <f>EXP(-LN(2)/25)*AV62+(1-EXP(-LN(2)/25))/(LN(2)/25)*Calculateur!AQ63*Calculateur!AS63*VLOOKUP('Données projet'!$B$10,Paramètres!$A$1:$I$89,3,0)*0.475*44/12</f>
        <v>5.0076909954897557</v>
      </c>
      <c r="AW63" s="21">
        <f>EXP(-LN(2)/2)*AW62+(1-EXP(-LN(2)/2))/(LN(2)/2)*AQ63*AT63*VLOOKUP('Données projet'!$B$10,Paramètres!$A$1:$I$89,3,0)*0.475*44/12</f>
        <v>1.0462504432559754</v>
      </c>
      <c r="AX63" s="21">
        <f t="shared" si="6"/>
        <v>9.4460536962230233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6.625</v>
      </c>
      <c r="BD63" s="12">
        <f>IF('Données projet'!$A$88&gt;35,BD62+BC63-BL62,IF(A63&lt;'Données projet'!$A$88,$BA$205^A63,IF(A63='Données projet'!$A$88,'Données projet'!$B$88,BD62+BC63-BL62)))</f>
        <v>158.375</v>
      </c>
      <c r="BE63" s="13">
        <f>BD63*VLOOKUP('Données projet'!$B$11,Paramètres!$A$1:$I$89,3,0)*VLOOKUP('Données projet'!$B$11,Paramètres!$A$1:$I$89,5,0)</f>
        <v>170.47484999999998</v>
      </c>
      <c r="BF63" s="13">
        <f t="shared" si="37"/>
        <v>43.196356918040692</v>
      </c>
      <c r="BG63" s="20">
        <f t="shared" si="7"/>
        <v>372.14401871558749</v>
      </c>
      <c r="BH63" s="59">
        <f t="shared" si="8"/>
        <v>633.39972504706498</v>
      </c>
      <c r="BI63" s="59">
        <f ca="1">AVERAGE(OFFSET($BH$3,0,0,'Données projet'!$E$11+1,1))-AVERAGE(OFFSET($H$3,0,0,'Données projet'!$E$11+1,1))</f>
        <v>404.24955007425774</v>
      </c>
      <c r="BJ63" s="59">
        <f t="shared" si="38"/>
        <v>211.49137630071019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3.7750926736440849</v>
      </c>
      <c r="BQ63" s="21">
        <f>EXP(-LN(2)/25)*BQ62+(1-EXP(-LN(2)/25))/(LN(2)/25)*Calculateur!BL63*Calculateur!BN63*VLOOKUP('Données projet'!$B$11,Paramètres!$A$1:$I$89,3,0)*0.475*44/12</f>
        <v>5.5730754627224703</v>
      </c>
      <c r="BR63" s="21">
        <f>EXP(-LN(2)/2)*BR62+(1-EXP(-LN(2)/2))/(LN(2)/2)*BL63*BO63*VLOOKUP('Données projet'!$B$11,Paramètres!$A$1:$I$89,3,0)*0.475*44/12</f>
        <v>1.1643754933010051</v>
      </c>
      <c r="BS63" s="22">
        <f t="shared" si="9"/>
        <v>10.51254362966756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6.625</v>
      </c>
      <c r="BY63" s="12">
        <f>IF('Données projet'!$A$114&gt;35,BY62+BX63-CG62,IF(A63&lt;'Données projet'!$A$114,$BV$205^A63,IF(A63='Données projet'!$A$114,'Données projet'!$B$114,BY62+BX63-CG62)))</f>
        <v>158.375</v>
      </c>
      <c r="BZ63" s="13">
        <f>BY63*VLOOKUP('Données projet'!$B$12,Paramètres!$A$1:$I$89,3,0)*VLOOKUP('Données projet'!$B$12,Paramètres!$A$1:$I$89,5,0)</f>
        <v>123.5325</v>
      </c>
      <c r="CA63" s="13">
        <f t="shared" si="39"/>
        <v>32.497500582591272</v>
      </c>
      <c r="CB63" s="20">
        <f t="shared" si="10"/>
        <v>271.75225101467981</v>
      </c>
      <c r="CC63" s="59">
        <f t="shared" si="11"/>
        <v>533.00795734615735</v>
      </c>
      <c r="CD63" s="59">
        <f ca="1">AVERAGE(OFFSET($CC$3,0,0,'Données projet'!$E$12+1,1))-AVERAGE(OFFSET($H$3,0,0,'Données projet'!$E$12+1,1))</f>
        <v>250.01410333089137</v>
      </c>
      <c r="CE63" s="59">
        <f t="shared" si="40"/>
        <v>169.55868564318885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2.7355744011913652</v>
      </c>
      <c r="CL63" s="21">
        <f>EXP(-LN(2)/25)*CL62+(1-EXP(-LN(2)/25))/(LN(2)/25)*Calculateur!CG63*Calculateur!CI63*VLOOKUP('Données projet'!$B$12,Paramètres!$A$1:$I$89,3,0)*0.475*44/12</f>
        <v>4.0384604802336739</v>
      </c>
      <c r="CM63" s="21">
        <f>EXP(-LN(2)/2)*CM62+(1-EXP(-LN(2)/2))/(LN(2)/2)*CG63*CJ63*VLOOKUP('Données projet'!$B$12,Paramètres!$A$1:$I$89,3,0)*0.475*44/12</f>
        <v>0.84375035746449589</v>
      </c>
      <c r="CN63" s="22">
        <f t="shared" si="12"/>
        <v>7.6177852388895353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>
        <f>VLOOKUP(A64,'Données projet'!$A$35:$I$55,2,0)</f>
        <v>165</v>
      </c>
      <c r="L64" s="12">
        <f>VLOOKUP(A64,'Données projet'!$A$35:$I$55,9,0)</f>
        <v>6.625</v>
      </c>
      <c r="M64" s="12">
        <f t="array" ref="M64">INDEX(L:L,MIN(IF(ISNUMBER(L64:L260),ROW(L64:L260),"")))</f>
        <v>6.625</v>
      </c>
      <c r="N64" s="13">
        <f>IF('Données projet'!$A$36&gt;35,N63+M64-V63,IF(A64&lt;'Données projet'!$A$36,$K$205^A64,IF(A64='Données projet'!$A$36,'Données projet'!$B$36,N63+M64-V63)))</f>
        <v>165</v>
      </c>
      <c r="O64" s="13">
        <f>N64*VLOOKUP('Données projet'!$B$9,Paramètres!$A$1:$I$89,3,0)*VLOOKUP('Données projet'!$B$9,Paramètres!$A$1:$I$89,5,0)</f>
        <v>149.29199999999997</v>
      </c>
      <c r="P64" s="13">
        <f t="shared" si="33"/>
        <v>38.417645803815411</v>
      </c>
      <c r="Q64" s="20">
        <f t="shared" si="53"/>
        <v>326.9276331083118</v>
      </c>
      <c r="R64" s="59">
        <f t="shared" si="0"/>
        <v>588.73981455344119</v>
      </c>
      <c r="S64" s="59">
        <f ca="1">AVERAGE(OFFSET($R$3,0,0,'Données projet'!$E$9+1,1))-AVERAGE(OFFSET($H$3,0,0,'Données projet'!$E$9+1,1))</f>
        <v>469.5773392354356</v>
      </c>
      <c r="T64" s="59">
        <f t="shared" si="34"/>
        <v>187.25344022835239</v>
      </c>
      <c r="U64" s="15">
        <f>IF(ISNA(VLOOKUP(A64,'Données projet'!$A$35:$I$55,3,0)),0,VLOOKUP(A64,'Données projet'!$A$35:$I$55,3,0))</f>
        <v>6</v>
      </c>
      <c r="V64" s="15">
        <f>IF(ISNA(VLOOKUP(A64,'Données projet'!$A$35:$I$55,4,0)),0,VLOOKUP(A64,'Données projet'!$A$35:$I$55,4,0))</f>
        <v>33</v>
      </c>
      <c r="W64" s="16">
        <f>IF(ISNA(VLOOKUP(A64,'Données projet'!$A$35:$I$55,5,0)),0%,VLOOKUP(A64,'Données projet'!$A$35:$I$55,5,0)*VLOOKUP('Données projet'!$B$9,Paramètres!$A$1:$I$89,7,0))</f>
        <v>8.6000000000000007E-2</v>
      </c>
      <c r="X64" s="16">
        <f>IF(ISNA(VLOOKUP(A64,'Données projet'!$A$35:$I$55,6,0)),0%,VLOOKUP(A64,'Données projet'!$A$35:$I$55,6,0)*VLOOKUP('Données projet'!$B$9,Paramètres!$A$1:$I$89,7,0))</f>
        <v>8.6000000000000007E-2</v>
      </c>
      <c r="Y64" s="16">
        <f>IF(ISNA(VLOOKUP(A64,'Données projet'!$A$35:$I$55,7,0)),0%,VLOOKUP(A64,'Données projet'!$A$35:$I$55,7,0))</f>
        <v>0.4</v>
      </c>
      <c r="Z64" s="21">
        <f>EXP(-LN(2)/35)*Z63+(1-EXP(-LN(2)/35))/(LN(2)/35)*V64*W64*VLOOKUP('Données projet'!$B$9,Paramètres!$A$1:$I$89,3,0)*0.475*44/12</f>
        <v>3.9398930705193056</v>
      </c>
      <c r="AA64" s="21">
        <f>EXP(-LN(2)/25)*AA63+(1-EXP(-LN(2)/25))/(LN(2)/25)*Calculateur!V64*Calculateur!X64*VLOOKUP('Données projet'!$B$9,Paramètres!$A$1:$I$89,3,0)*0.475*44/12</f>
        <v>5.6838183674650926</v>
      </c>
      <c r="AB64" s="21">
        <f>EXP(-LN(2)/2)*AB63+(1-EXP(-LN(2)/2))/(LN(2)/2)*V64*Y64*VLOOKUP('Données projet'!$B$9,Paramètres!$A$1:$I$89,3,0)*0.475*44/12</f>
        <v>12.111329887612886</v>
      </c>
      <c r="AC64" s="22">
        <f t="shared" si="3"/>
        <v>21.735041325597283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>
        <f>VLOOKUP(A64,'Données projet'!$A$61:$I$81,2,0)</f>
        <v>165</v>
      </c>
      <c r="AG64" s="12">
        <f>VLOOKUP(A64,'Données projet'!$A$61:$I$81,9,0)</f>
        <v>6.625</v>
      </c>
      <c r="AH64" s="12">
        <f t="array" ref="AH64">INDEX(AG:AG,MIN(IF(ISNUMBER(AG64:AG260),ROW(AG64:AG260),"")))</f>
        <v>6.625</v>
      </c>
      <c r="AI64" s="13">
        <f>IF('Données projet'!$A$62&gt;35,AI63+AH64-AQ63,IF(A64&lt;'Données projet'!$A$62,$AF$205^A64,IF(A64='Données projet'!$A$62,'Données projet'!$B$62,AI63+AH64-AQ63)))</f>
        <v>165</v>
      </c>
      <c r="AJ64" s="13">
        <f>AI64*VLOOKUP('Données projet'!$B$10,Paramètres!$A$1:$I$89,3,0)*VLOOKUP('Données projet'!$B$10,Paramètres!$A$1:$I$89,5,0)</f>
        <v>159.58799999999999</v>
      </c>
      <c r="AK64" s="13">
        <f t="shared" si="35"/>
        <v>40.74957371668588</v>
      </c>
      <c r="AL64" s="20">
        <f t="shared" si="4"/>
        <v>348.92127422322784</v>
      </c>
      <c r="AM64" s="59">
        <f t="shared" si="5"/>
        <v>610.73345566835724</v>
      </c>
      <c r="AN64" s="59">
        <f ca="1">AVERAGE(OFFSET($AM$3,0,0,'Données projet'!$E$10+1,1))-AVERAGE(OFFSET($H$3,0,0,'Données projet'!$E$10+1,1))</f>
        <v>370.91255999489181</v>
      </c>
      <c r="AO64" s="59">
        <f t="shared" si="36"/>
        <v>196.07869248605735</v>
      </c>
      <c r="AP64" s="15">
        <f>IF(ISNA(VLOOKUP(A64,'Données projet'!$A$61:$I$81,3,0)),0,VLOOKUP(A64,'Données projet'!$A$61:$I$81,3,0))</f>
        <v>6</v>
      </c>
      <c r="AQ64" s="15">
        <f>IF(ISNA(VLOOKUP(A64,'Données projet'!$A$61:$I$81,4,0)),0,VLOOKUP(A64,'Données projet'!$A$61:$I$81,4,0))</f>
        <v>33</v>
      </c>
      <c r="AR64" s="16">
        <f>IF(ISNA(VLOOKUP(A64,'Données projet'!$A$61:$I$81,5,0)),0%,VLOOKUP(A64,'Données projet'!$A$61:$I$81,5,0)*VLOOKUP('Données projet'!$B$10,Paramètres!$A$1:$I$89,7,0))</f>
        <v>0.17200000000000001</v>
      </c>
      <c r="AS64" s="16">
        <f>IF(ISNA(VLOOKUP(A64,'Données projet'!$A$61:$I$81,6,0)),0%,VLOOKUP(A64,'Données projet'!$A$61:$I$81,6,0)*VLOOKUP('Données projet'!$B$10,Paramètres!$A$1:$I$89,7,0))</f>
        <v>8.6000000000000007E-2</v>
      </c>
      <c r="AT64" s="16">
        <f>IF(ISNA(VLOOKUP(A64,'Données projet'!$A$61:$I$81,7,0)),0%,VLOOKUP(A64,'Données projet'!$A$61:$I$81,7,0))</f>
        <v>0.2</v>
      </c>
      <c r="AU64" s="21">
        <f>EXP(-LN(2)/35)*AU63+(1-EXP(-LN(2)/35))/(LN(2)/35)*AQ64*AR64*VLOOKUP('Données projet'!$B$10,Paramètres!$A$1:$I$89,3,0)*0.475*44/12</f>
        <v>9.3944363634466583</v>
      </c>
      <c r="AV64" s="21">
        <f>EXP(-LN(2)/25)*AV63+(1-EXP(-LN(2)/25))/(LN(2)/25)*Calculateur!AQ64*Calculateur!AS64*VLOOKUP('Données projet'!$B$10,Paramètres!$A$1:$I$89,3,0)*0.475*44/12</f>
        <v>7.8932284306333766</v>
      </c>
      <c r="AW64" s="21">
        <f>EXP(-LN(2)/2)*AW63+(1-EXP(-LN(2)/2))/(LN(2)/2)*AQ64*AT64*VLOOKUP('Données projet'!$B$10,Paramètres!$A$1:$I$89,3,0)*0.475*44/12</f>
        <v>6.7628337131675194</v>
      </c>
      <c r="AX64" s="21">
        <f t="shared" si="6"/>
        <v>24.050498507247557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165</v>
      </c>
      <c r="BB64" s="12">
        <f>VLOOKUP(A64,'Données projet'!$A$87:$I$107,9,0)</f>
        <v>6.625</v>
      </c>
      <c r="BC64" s="12">
        <f t="array" ref="BC64">INDEX(BB:BB,MIN(IF(ISNUMBER(BB64:BB260),ROW(BB64:BB260),"")))</f>
        <v>6.625</v>
      </c>
      <c r="BD64" s="12">
        <f>IF('Données projet'!$A$88&gt;35,BD63+BC64-BL63,IF(A64&lt;'Données projet'!$A$88,$BA$205^A64,IF(A64='Données projet'!$A$88,'Données projet'!$B$88,BD63+BC64-BL63)))</f>
        <v>165</v>
      </c>
      <c r="BE64" s="13">
        <f>BD64*VLOOKUP('Données projet'!$B$11,Paramètres!$A$1:$I$89,3,0)*VLOOKUP('Données projet'!$B$11,Paramètres!$A$1:$I$89,5,0)</f>
        <v>177.60599999999999</v>
      </c>
      <c r="BF64" s="13">
        <f t="shared" si="37"/>
        <v>44.789150937858665</v>
      </c>
      <c r="BG64" s="20">
        <f t="shared" si="7"/>
        <v>387.33822121677048</v>
      </c>
      <c r="BH64" s="59">
        <f t="shared" si="8"/>
        <v>649.15040266189976</v>
      </c>
      <c r="BI64" s="59">
        <f ca="1">AVERAGE(OFFSET($BH$3,0,0,'Données projet'!$E$11+1,1))-AVERAGE(OFFSET($H$3,0,0,'Données projet'!$E$11+1,1))</f>
        <v>404.24955007425774</v>
      </c>
      <c r="BJ64" s="59">
        <f t="shared" si="38"/>
        <v>211.49137630071019</v>
      </c>
      <c r="BK64" s="15">
        <f>IF(ISNA(VLOOKUP(A64,'Données projet'!$A$87:$I$107,3,0)),0,VLOOKUP(A64,'Données projet'!$A$87:$I$107,3,0))</f>
        <v>6</v>
      </c>
      <c r="BL64" s="15">
        <f>IF(ISNA(VLOOKUP(A64,'Données projet'!$A$87:$I$107,4,0)),0,VLOOKUP(A64,'Données projet'!$A$87:$I$107,4,0))</f>
        <v>33</v>
      </c>
      <c r="BM64" s="16">
        <f>IF(ISNA(VLOOKUP(A64,'Données projet'!$A$87:$I$107,5,0)),0%,VLOOKUP(A64,'Données projet'!$A$87:$I$107,5,0)*VLOOKUP('Données projet'!$B$11,Paramètres!$A$1:$I$89,7,0))</f>
        <v>0.17200000000000001</v>
      </c>
      <c r="BN64" s="16">
        <f>IF(ISNA(VLOOKUP(A64,'Données projet'!$A$87:$I$107,6,0)),0%,VLOOKUP(A64,'Données projet'!$A$87:$I$107,6,0)*VLOOKUP('Données projet'!$B$11,Paramètres!$A$1:$I$89,7,0))</f>
        <v>8.6000000000000007E-2</v>
      </c>
      <c r="BO64" s="16">
        <f>IF(ISNA(VLOOKUP(A64,'Données projet'!$A$87:$I$107,7,0)),0%,VLOOKUP(A64,'Données projet'!$A$87:$I$107,7,0))</f>
        <v>0.2</v>
      </c>
      <c r="BP64" s="21">
        <f>EXP(-LN(2)/35)*BP63+(1-EXP(-LN(2)/35))/(LN(2)/35)*BL64*BM64*VLOOKUP('Données projet'!$B$11,Paramètres!$A$1:$I$89,3,0)*0.475*44/12</f>
        <v>10.455098533513217</v>
      </c>
      <c r="BQ64" s="21">
        <f>EXP(-LN(2)/25)*BQ63+(1-EXP(-LN(2)/25))/(LN(2)/25)*Calculateur!BL64*Calculateur!BN64*VLOOKUP('Données projet'!$B$11,Paramètres!$A$1:$I$89,3,0)*0.475*44/12</f>
        <v>8.78439938247908</v>
      </c>
      <c r="BR64" s="21">
        <f>EXP(-LN(2)/2)*BR63+(1-EXP(-LN(2)/2))/(LN(2)/2)*BL64*BO64*VLOOKUP('Données projet'!$B$11,Paramètres!$A$1:$I$89,3,0)*0.475*44/12</f>
        <v>7.5263794549767535</v>
      </c>
      <c r="BS64" s="22">
        <f t="shared" si="9"/>
        <v>26.765877370969051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>
        <f>VLOOKUP(A64,'Données projet'!$A$113:$I$133,2,0)</f>
        <v>165</v>
      </c>
      <c r="BW64" s="12">
        <f>VLOOKUP(A64,'Données projet'!$A$113:$I$133,9,0)</f>
        <v>6.625</v>
      </c>
      <c r="BX64" s="12">
        <f t="array" ref="BX64">INDEX(BW:BW,MIN(IF(ISNUMBER(BW64:BW260),ROW(BW64:BW260),"")))</f>
        <v>6.625</v>
      </c>
      <c r="BY64" s="12">
        <f>IF('Données projet'!$A$114&gt;35,BY63+BX64-CG63,IF(A64&lt;'Données projet'!$A$114,$BV$205^A64,IF(A64='Données projet'!$A$114,'Données projet'!$B$114,BY63+BX64-CG63)))</f>
        <v>165</v>
      </c>
      <c r="BZ64" s="13">
        <f>BY64*VLOOKUP('Données projet'!$B$12,Paramètres!$A$1:$I$89,3,0)*VLOOKUP('Données projet'!$B$12,Paramètres!$A$1:$I$89,5,0)</f>
        <v>128.70000000000002</v>
      </c>
      <c r="CA64" s="13">
        <f t="shared" si="39"/>
        <v>33.695792019186115</v>
      </c>
      <c r="CB64" s="20">
        <f t="shared" si="10"/>
        <v>282.83933776674917</v>
      </c>
      <c r="CC64" s="59">
        <f t="shared" si="11"/>
        <v>544.65151921187851</v>
      </c>
      <c r="CD64" s="59">
        <f ca="1">AVERAGE(OFFSET($CC$3,0,0,'Données projet'!$E$12+1,1))-AVERAGE(OFFSET($H$3,0,0,'Données projet'!$E$12+1,1))</f>
        <v>250.01410333089137</v>
      </c>
      <c r="CE64" s="59">
        <f t="shared" si="40"/>
        <v>169.55868564318885</v>
      </c>
      <c r="CF64" s="15">
        <f>IF(ISNA(VLOOKUP(A64,'Données projet'!$A$113:$I$133,3,0)),0,VLOOKUP(A64,'Données projet'!$A$113:$I$133,3,0))</f>
        <v>6</v>
      </c>
      <c r="CG64" s="15">
        <f>IF(ISNA(VLOOKUP(A64,'Données projet'!$A$113:$I$133,4,0)),0,VLOOKUP(A64,'Données projet'!$A$113:$I$133,4,0))</f>
        <v>33</v>
      </c>
      <c r="CH64" s="16">
        <f>IF(ISNA(VLOOKUP(A64,'Données projet'!$A$113:$I$133,5,0)),0%,VLOOKUP(A64,'Données projet'!$A$113:$I$133,5,0)*VLOOKUP('Données projet'!$B$12,Paramètres!$A$1:$I$89,7,0))</f>
        <v>0.17200000000000001</v>
      </c>
      <c r="CI64" s="16">
        <f>IF(ISNA(VLOOKUP(A64,'Données projet'!$A$113:$I$133,6,0)),0%,VLOOKUP(A64,'Données projet'!$A$113:$I$133,6,0)*VLOOKUP('Données projet'!$B$12,Paramètres!$A$1:$I$89,7,0))</f>
        <v>8.6000000000000007E-2</v>
      </c>
      <c r="CJ64" s="16">
        <f>IF(ISNA(VLOOKUP(A64,'Données projet'!$A$113:$I$133,7,0)),0%,VLOOKUP(A64,'Données projet'!$A$113:$I$133,7,0))</f>
        <v>0.2</v>
      </c>
      <c r="CK64" s="21">
        <f>EXP(-LN(2)/35)*CK63+(1-EXP(-LN(2)/35))/(LN(2)/35)*CG64*CH64*VLOOKUP('Données projet'!$B$12,Paramètres!$A$1:$I$89,3,0)*0.475*44/12</f>
        <v>7.5761583576182732</v>
      </c>
      <c r="CL64" s="21">
        <f>EXP(-LN(2)/25)*CL63+(1-EXP(-LN(2)/25))/(LN(2)/25)*Calculateur!CG64*Calculateur!CI64*VLOOKUP('Données projet'!$B$12,Paramètres!$A$1:$I$89,3,0)*0.475*44/12</f>
        <v>6.3655067988978846</v>
      </c>
      <c r="CM64" s="21">
        <f>EXP(-LN(2)/2)*CM63+(1-EXP(-LN(2)/2))/(LN(2)/2)*CG64*CJ64*VLOOKUP('Données projet'!$B$12,Paramètres!$A$1:$I$89,3,0)*0.475*44/12</f>
        <v>5.4538981557802568</v>
      </c>
      <c r="CN64" s="22">
        <f t="shared" si="12"/>
        <v>19.395563312296417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6.125</v>
      </c>
      <c r="N65" s="13">
        <f>IF('Données projet'!$A$36&gt;35,N64+M65-V64,IF(A65&lt;'Données projet'!$A$36,$K$205^A65,IF(A65='Données projet'!$A$36,'Données projet'!$B$36,N64+M65-V64)))</f>
        <v>138.125</v>
      </c>
      <c r="O65" s="13">
        <f>N65*VLOOKUP('Données projet'!$B$9,Paramètres!$A$1:$I$89,3,0)*VLOOKUP('Données projet'!$B$9,Paramètres!$A$1:$I$89,5,0)</f>
        <v>124.9755</v>
      </c>
      <c r="P65" s="13">
        <f t="shared" si="33"/>
        <v>32.832694934640919</v>
      </c>
      <c r="Q65" s="20">
        <f t="shared" si="53"/>
        <v>274.84927284449958</v>
      </c>
      <c r="R65" s="59">
        <f t="shared" si="0"/>
        <v>537.20827580415084</v>
      </c>
      <c r="S65" s="59">
        <f ca="1">AVERAGE(OFFSET($R$3,0,0,'Données projet'!$E$9+1,1))-AVERAGE(OFFSET($H$3,0,0,'Données projet'!$E$9+1,1))</f>
        <v>469.5773392354356</v>
      </c>
      <c r="T65" s="59">
        <f t="shared" si="34"/>
        <v>187.25344022835239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3.8626341705039087</v>
      </c>
      <c r="AA65" s="21">
        <f>EXP(-LN(2)/25)*AA64+(1-EXP(-LN(2)/25))/(LN(2)/25)*Calculateur!V65*Calculateur!X65*VLOOKUP('Données projet'!$B$9,Paramètres!$A$1:$I$89,3,0)*0.475*44/12</f>
        <v>5.528394055307742</v>
      </c>
      <c r="AB65" s="21">
        <f>EXP(-LN(2)/2)*AB64+(1-EXP(-LN(2)/2))/(LN(2)/2)*V65*Y65*VLOOKUP('Données projet'!$B$9,Paramètres!$A$1:$I$89,3,0)*0.475*44/12</f>
        <v>8.5640034927183795</v>
      </c>
      <c r="AC65" s="22">
        <f t="shared" si="3"/>
        <v>17.95503171853003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6.125</v>
      </c>
      <c r="AI65" s="13">
        <f>IF('Données projet'!$A$62&gt;35,AI64+AH65-AQ64,IF(A65&lt;'Données projet'!$A$62,$AF$205^A65,IF(A65='Données projet'!$A$62,'Données projet'!$B$62,AI64+AH65-AQ64)))</f>
        <v>138.125</v>
      </c>
      <c r="AJ65" s="13">
        <f>AI65*VLOOKUP('Données projet'!$B$10,Paramètres!$A$1:$I$89,3,0)*VLOOKUP('Données projet'!$B$10,Paramètres!$A$1:$I$89,5,0)</f>
        <v>133.59450000000001</v>
      </c>
      <c r="AK65" s="13">
        <f t="shared" si="35"/>
        <v>34.825619700615128</v>
      </c>
      <c r="AL65" s="20">
        <f t="shared" si="4"/>
        <v>293.33170847857133</v>
      </c>
      <c r="AM65" s="59">
        <f t="shared" si="5"/>
        <v>555.69071143822271</v>
      </c>
      <c r="AN65" s="59">
        <f ca="1">AVERAGE(OFFSET($AM$3,0,0,'Données projet'!$E$10+1,1))-AVERAGE(OFFSET($H$3,0,0,'Données projet'!$E$10+1,1))</f>
        <v>370.91255999489181</v>
      </c>
      <c r="AO65" s="59">
        <f t="shared" si="36"/>
        <v>196.07869248605735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9.2102171963998565</v>
      </c>
      <c r="AV65" s="21">
        <f>EXP(-LN(2)/25)*AV64+(1-EXP(-LN(2)/25))/(LN(2)/25)*Calculateur!AQ65*Calculateur!AS65*VLOOKUP('Données projet'!$B$10,Paramètres!$A$1:$I$89,3,0)*0.475*44/12</f>
        <v>7.6773876841108644</v>
      </c>
      <c r="AW65" s="21">
        <f>EXP(-LN(2)/2)*AW64+(1-EXP(-LN(2)/2))/(LN(2)/2)*AQ65*AT65*VLOOKUP('Données projet'!$B$10,Paramètres!$A$1:$I$89,3,0)*0.475*44/12</f>
        <v>4.782045578617752</v>
      </c>
      <c r="AX65" s="21">
        <f t="shared" si="6"/>
        <v>21.669650459128473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6.125</v>
      </c>
      <c r="BD65" s="12">
        <f>IF('Données projet'!$A$88&gt;35,BD64+BC65-BL64,IF(A65&lt;'Données projet'!$A$88,$BA$205^A65,IF(A65='Données projet'!$A$88,'Données projet'!$B$88,BD64+BC65-BL64)))</f>
        <v>138.125</v>
      </c>
      <c r="BE65" s="13">
        <f>BD65*VLOOKUP('Données projet'!$B$11,Paramètres!$A$1:$I$89,3,0)*VLOOKUP('Données projet'!$B$11,Paramètres!$A$1:$I$89,5,0)</f>
        <v>148.67775</v>
      </c>
      <c r="BF65" s="13">
        <f t="shared" si="37"/>
        <v>38.277944896307325</v>
      </c>
      <c r="BG65" s="20">
        <f t="shared" si="7"/>
        <v>325.61450194440192</v>
      </c>
      <c r="BH65" s="59">
        <f t="shared" si="8"/>
        <v>587.97350490405324</v>
      </c>
      <c r="BI65" s="59">
        <f ca="1">AVERAGE(OFFSET($BH$3,0,0,'Données projet'!$E$11+1,1))-AVERAGE(OFFSET($H$3,0,0,'Données projet'!$E$11+1,1))</f>
        <v>404.24955007425774</v>
      </c>
      <c r="BJ65" s="59">
        <f t="shared" si="38"/>
        <v>211.49137630071019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10.250080428251454</v>
      </c>
      <c r="BQ65" s="21">
        <f>EXP(-LN(2)/25)*BQ64+(1-EXP(-LN(2)/25))/(LN(2)/25)*Calculateur!BL65*Calculateur!BN65*VLOOKUP('Données projet'!$B$11,Paramètres!$A$1:$I$89,3,0)*0.475*44/12</f>
        <v>8.5441895194137025</v>
      </c>
      <c r="BR65" s="21">
        <f>EXP(-LN(2)/2)*BR64+(1-EXP(-LN(2)/2))/(LN(2)/2)*BL65*BO65*VLOOKUP('Données projet'!$B$11,Paramètres!$A$1:$I$89,3,0)*0.475*44/12</f>
        <v>5.321953950397174</v>
      </c>
      <c r="BS65" s="22">
        <f t="shared" si="9"/>
        <v>24.11622389806233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6.125</v>
      </c>
      <c r="BY65" s="12">
        <f>IF('Données projet'!$A$114&gt;35,BY64+BX65-CG64,IF(A65&lt;'Données projet'!$A$114,$BV$205^A65,IF(A65='Données projet'!$A$114,'Données projet'!$B$114,BY64+BX65-CG64)))</f>
        <v>138.125</v>
      </c>
      <c r="BZ65" s="13">
        <f>BY65*VLOOKUP('Données projet'!$B$12,Paramètres!$A$1:$I$89,3,0)*VLOOKUP('Données projet'!$B$12,Paramètres!$A$1:$I$89,5,0)</f>
        <v>107.7375</v>
      </c>
      <c r="CA65" s="13">
        <f t="shared" si="39"/>
        <v>28.797278875353978</v>
      </c>
      <c r="CB65" s="20">
        <f t="shared" si="10"/>
        <v>237.79807320790815</v>
      </c>
      <c r="CC65" s="59">
        <f t="shared" si="11"/>
        <v>500.15707616755947</v>
      </c>
      <c r="CD65" s="59">
        <f ca="1">AVERAGE(OFFSET($CC$3,0,0,'Données projet'!$E$12+1,1))-AVERAGE(OFFSET($H$3,0,0,'Données projet'!$E$12+1,1))</f>
        <v>250.01410333089137</v>
      </c>
      <c r="CE65" s="59">
        <f t="shared" si="40"/>
        <v>169.55868564318885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7.4275945132256913</v>
      </c>
      <c r="CL65" s="21">
        <f>EXP(-LN(2)/25)*CL64+(1-EXP(-LN(2)/25))/(LN(2)/25)*Calculateur!CG65*Calculateur!CI65*VLOOKUP('Données projet'!$B$12,Paramètres!$A$1:$I$89,3,0)*0.475*44/12</f>
        <v>6.1914416807345676</v>
      </c>
      <c r="CM65" s="21">
        <f>EXP(-LN(2)/2)*CM64+(1-EXP(-LN(2)/2))/(LN(2)/2)*CG65*CJ65*VLOOKUP('Données projet'!$B$12,Paramètres!$A$1:$I$89,3,0)*0.475*44/12</f>
        <v>3.8564883698530252</v>
      </c>
      <c r="CN65" s="22">
        <f t="shared" si="12"/>
        <v>17.475524563813284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6.125</v>
      </c>
      <c r="N66" s="13">
        <f>IF('Données projet'!$A$36&gt;35,N65+M66-V65,IF(A66&lt;'Données projet'!$A$36,$K$205^A66,IF(A66='Données projet'!$A$36,'Données projet'!$B$36,N65+M66-V65)))</f>
        <v>144.25</v>
      </c>
      <c r="O66" s="13">
        <f>N66*VLOOKUP('Données projet'!$B$9,Paramètres!$A$1:$I$89,3,0)*VLOOKUP('Données projet'!$B$9,Paramètres!$A$1:$I$89,5,0)</f>
        <v>130.51739999999998</v>
      </c>
      <c r="P66" s="13">
        <f t="shared" si="33"/>
        <v>34.115887628580509</v>
      </c>
      <c r="Q66" s="20">
        <f t="shared" si="53"/>
        <v>286.73630928644434</v>
      </c>
      <c r="R66" s="59">
        <f t="shared" si="0"/>
        <v>549.63264762985045</v>
      </c>
      <c r="S66" s="59">
        <f ca="1">AVERAGE(OFFSET($R$3,0,0,'Données projet'!$E$9+1,1))-AVERAGE(OFFSET($H$3,0,0,'Données projet'!$E$9+1,1))</f>
        <v>469.5773392354356</v>
      </c>
      <c r="T66" s="59">
        <f t="shared" si="34"/>
        <v>187.25344022835239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3.786890270394538</v>
      </c>
      <c r="AA66" s="21">
        <f>EXP(-LN(2)/25)*AA65+(1-EXP(-LN(2)/25))/(LN(2)/25)*Calculateur!V66*Calculateur!X66*VLOOKUP('Données projet'!$B$9,Paramètres!$A$1:$I$89,3,0)*0.475*44/12</f>
        <v>5.3772198291397437</v>
      </c>
      <c r="AB66" s="21">
        <f>EXP(-LN(2)/2)*AB65+(1-EXP(-LN(2)/2))/(LN(2)/2)*V66*Y66*VLOOKUP('Données projet'!$B$9,Paramètres!$A$1:$I$89,3,0)*0.475*44/12</f>
        <v>6.0556649438064447</v>
      </c>
      <c r="AC66" s="22">
        <f t="shared" si="3"/>
        <v>15.219775043340727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6.125</v>
      </c>
      <c r="AI66" s="13">
        <f>IF('Données projet'!$A$62&gt;35,AI65+AH66-AQ65,IF(A66&lt;'Données projet'!$A$62,$AF$205^A66,IF(A66='Données projet'!$A$62,'Données projet'!$B$62,AI65+AH66-AQ65)))</f>
        <v>144.25</v>
      </c>
      <c r="AJ66" s="13">
        <f>AI66*VLOOKUP('Données projet'!$B$10,Paramètres!$A$1:$I$89,3,0)*VLOOKUP('Données projet'!$B$10,Paramètres!$A$1:$I$89,5,0)</f>
        <v>139.51860000000002</v>
      </c>
      <c r="AK66" s="13">
        <f t="shared" si="35"/>
        <v>36.186701416590871</v>
      </c>
      <c r="AL66" s="20">
        <f t="shared" si="4"/>
        <v>306.02006663389579</v>
      </c>
      <c r="AM66" s="59">
        <f t="shared" si="5"/>
        <v>568.91640497730191</v>
      </c>
      <c r="AN66" s="59">
        <f ca="1">AVERAGE(OFFSET($AM$3,0,0,'Données projet'!$E$10+1,1))-AVERAGE(OFFSET($H$3,0,0,'Données projet'!$E$10+1,1))</f>
        <v>370.91255999489181</v>
      </c>
      <c r="AO66" s="59">
        <f t="shared" si="36"/>
        <v>196.07869248605735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9.029610454856245</v>
      </c>
      <c r="AV66" s="21">
        <f>EXP(-LN(2)/25)*AV65+(1-EXP(-LN(2)/25))/(LN(2)/25)*Calculateur!AQ66*Calculateur!AS66*VLOOKUP('Données projet'!$B$10,Paramètres!$A$1:$I$89,3,0)*0.475*44/12</f>
        <v>7.4674491141525809</v>
      </c>
      <c r="AW66" s="21">
        <f>EXP(-LN(2)/2)*AW65+(1-EXP(-LN(2)/2))/(LN(2)/2)*AQ66*AT66*VLOOKUP('Données projet'!$B$10,Paramètres!$A$1:$I$89,3,0)*0.475*44/12</f>
        <v>3.3814168565837601</v>
      </c>
      <c r="AX66" s="21">
        <f t="shared" si="6"/>
        <v>19.878476425592588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6.125</v>
      </c>
      <c r="BD66" s="12">
        <f>IF('Données projet'!$A$88&gt;35,BD65+BC66-BL65,IF(A66&lt;'Données projet'!$A$88,$BA$205^A66,IF(A66='Données projet'!$A$88,'Données projet'!$B$88,BD65+BC66-BL65)))</f>
        <v>144.25</v>
      </c>
      <c r="BE66" s="13">
        <f>BD66*VLOOKUP('Données projet'!$B$11,Paramètres!$A$1:$I$89,3,0)*VLOOKUP('Données projet'!$B$11,Paramètres!$A$1:$I$89,5,0)</f>
        <v>155.27070000000001</v>
      </c>
      <c r="BF66" s="13">
        <f t="shared" si="37"/>
        <v>39.773953046955413</v>
      </c>
      <c r="BG66" s="20">
        <f t="shared" si="7"/>
        <v>339.70277072344737</v>
      </c>
      <c r="BH66" s="59">
        <f t="shared" si="8"/>
        <v>602.59910906685354</v>
      </c>
      <c r="BI66" s="59">
        <f ca="1">AVERAGE(OFFSET($BH$3,0,0,'Données projet'!$E$11+1,1))-AVERAGE(OFFSET($H$3,0,0,'Données projet'!$E$11+1,1))</f>
        <v>404.24955007425774</v>
      </c>
      <c r="BJ66" s="59">
        <f t="shared" si="38"/>
        <v>211.49137630071019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10.049082602985177</v>
      </c>
      <c r="BQ66" s="21">
        <f>EXP(-LN(2)/25)*BQ65+(1-EXP(-LN(2)/25))/(LN(2)/25)*Calculateur!BL66*Calculateur!BN66*VLOOKUP('Données projet'!$B$11,Paramètres!$A$1:$I$89,3,0)*0.475*44/12</f>
        <v>8.3105482076859367</v>
      </c>
      <c r="BR66" s="21">
        <f>EXP(-LN(2)/2)*BR65+(1-EXP(-LN(2)/2))/(LN(2)/2)*BL66*BO66*VLOOKUP('Données projet'!$B$11,Paramètres!$A$1:$I$89,3,0)*0.475*44/12</f>
        <v>3.7631897274883768</v>
      </c>
      <c r="BS66" s="22">
        <f t="shared" si="9"/>
        <v>22.122820538159491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6.125</v>
      </c>
      <c r="BY66" s="12">
        <f>IF('Données projet'!$A$114&gt;35,BY65+BX66-CG65,IF(A66&lt;'Données projet'!$A$114,$BV$205^A66,IF(A66='Données projet'!$A$114,'Données projet'!$B$114,BY65+BX66-CG65)))</f>
        <v>144.25</v>
      </c>
      <c r="BZ66" s="13">
        <f>BY66*VLOOKUP('Données projet'!$B$12,Paramètres!$A$1:$I$89,3,0)*VLOOKUP('Données projet'!$B$12,Paramètres!$A$1:$I$89,5,0)</f>
        <v>112.515</v>
      </c>
      <c r="CA66" s="13">
        <f t="shared" si="39"/>
        <v>29.922756327989383</v>
      </c>
      <c r="CB66" s="20">
        <f t="shared" si="10"/>
        <v>248.07909227124819</v>
      </c>
      <c r="CC66" s="59">
        <f t="shared" si="11"/>
        <v>510.97543061465433</v>
      </c>
      <c r="CD66" s="59">
        <f ca="1">AVERAGE(OFFSET($CC$3,0,0,'Données projet'!$E$12+1,1))-AVERAGE(OFFSET($H$3,0,0,'Données projet'!$E$12+1,1))</f>
        <v>250.01410333089137</v>
      </c>
      <c r="CE66" s="59">
        <f t="shared" si="40"/>
        <v>169.55868564318885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7.2819439152066501</v>
      </c>
      <c r="CL66" s="21">
        <f>EXP(-LN(2)/25)*CL65+(1-EXP(-LN(2)/25))/(LN(2)/25)*Calculateur!CG66*Calculateur!CI66*VLOOKUP('Données projet'!$B$12,Paramètres!$A$1:$I$89,3,0)*0.475*44/12</f>
        <v>6.0221363823811132</v>
      </c>
      <c r="CM66" s="21">
        <f>EXP(-LN(2)/2)*CM65+(1-EXP(-LN(2)/2))/(LN(2)/2)*CG66*CJ66*VLOOKUP('Données projet'!$B$12,Paramètres!$A$1:$I$89,3,0)*0.475*44/12</f>
        <v>2.7269490778901289</v>
      </c>
      <c r="CN66" s="22">
        <f t="shared" si="12"/>
        <v>16.031029375477893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6.125</v>
      </c>
      <c r="N67" s="13">
        <f>IF('Données projet'!$A$36&gt;35,N66+M67-V66,IF(A67&lt;'Données projet'!$A$36,$K$205^A67,IF(A67='Données projet'!$A$36,'Données projet'!$B$36,N66+M67-V66)))</f>
        <v>150.375</v>
      </c>
      <c r="O67" s="13">
        <f>N67*VLOOKUP('Données projet'!$B$9,Paramètres!$A$1:$I$89,3,0)*VLOOKUP('Données projet'!$B$9,Paramètres!$A$1:$I$89,5,0)</f>
        <v>136.05929999999998</v>
      </c>
      <c r="P67" s="13">
        <f t="shared" si="33"/>
        <v>35.392751831514005</v>
      </c>
      <c r="Q67" s="20">
        <f t="shared" ref="Q67:Q98" si="54">(O67+P67)*0.475*44/12</f>
        <v>298.6123236065535</v>
      </c>
      <c r="R67" s="59">
        <f t="shared" ref="R67:R130" si="55">Q67+(I67+J67)*44/12</f>
        <v>562.03667576610826</v>
      </c>
      <c r="S67" s="59">
        <f ca="1">AVERAGE(OFFSET($R$3,0,0,'Données projet'!$E$9+1,1))-AVERAGE(OFFSET($H$3,0,0,'Données projet'!$E$9+1,1))</f>
        <v>469.5773392354356</v>
      </c>
      <c r="T67" s="59">
        <f t="shared" si="34"/>
        <v>187.25344022835239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3.7126316619670945</v>
      </c>
      <c r="AA67" s="21">
        <f>EXP(-LN(2)/25)*AA66+(1-EXP(-LN(2)/25))/(LN(2)/25)*Calculateur!V67*Calculateur!X67*VLOOKUP('Données projet'!$B$9,Paramètres!$A$1:$I$89,3,0)*0.475*44/12</f>
        <v>5.2301794701362168</v>
      </c>
      <c r="AB67" s="21">
        <f>EXP(-LN(2)/2)*AB66+(1-EXP(-LN(2)/2))/(LN(2)/2)*V67*Y67*VLOOKUP('Données projet'!$B$9,Paramètres!$A$1:$I$89,3,0)*0.475*44/12</f>
        <v>4.2820017463591906</v>
      </c>
      <c r="AC67" s="22">
        <f t="shared" si="3"/>
        <v>13.224812878462503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6.125</v>
      </c>
      <c r="AI67" s="13">
        <f>IF('Données projet'!$A$62&gt;35,AI66+AH67-AQ66,IF(A67&lt;'Données projet'!$A$62,$AF$205^A67,IF(A67='Données projet'!$A$62,'Données projet'!$B$62,AI66+AH67-AQ66)))</f>
        <v>150.375</v>
      </c>
      <c r="AJ67" s="13">
        <f>AI67*VLOOKUP('Données projet'!$B$10,Paramètres!$A$1:$I$89,3,0)*VLOOKUP('Données projet'!$B$10,Paramètres!$A$1:$I$89,5,0)</f>
        <v>145.4427</v>
      </c>
      <c r="AK67" s="13">
        <f t="shared" si="35"/>
        <v>37.541070505976016</v>
      </c>
      <c r="AL67" s="20">
        <f t="shared" si="4"/>
        <v>318.69673363124156</v>
      </c>
      <c r="AM67" s="59">
        <f t="shared" si="5"/>
        <v>582.12108579079631</v>
      </c>
      <c r="AN67" s="59">
        <f ca="1">AVERAGE(OFFSET($AM$3,0,0,'Données projet'!$E$10+1,1))-AVERAGE(OFFSET($H$3,0,0,'Données projet'!$E$10+1,1))</f>
        <v>370.91255999489181</v>
      </c>
      <c r="AO67" s="59">
        <f t="shared" si="36"/>
        <v>196.07869248605735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8.8525453013550699</v>
      </c>
      <c r="AV67" s="21">
        <f>EXP(-LN(2)/25)*AV66+(1-EXP(-LN(2)/25))/(LN(2)/25)*Calculateur!AQ67*Calculateur!AS67*VLOOKUP('Données projet'!$B$10,Paramètres!$A$1:$I$89,3,0)*0.475*44/12</f>
        <v>7.2632513254299971</v>
      </c>
      <c r="AW67" s="21">
        <f>EXP(-LN(2)/2)*AW66+(1-EXP(-LN(2)/2))/(LN(2)/2)*AQ67*AT67*VLOOKUP('Données projet'!$B$10,Paramètres!$A$1:$I$89,3,0)*0.475*44/12</f>
        <v>2.3910227893088765</v>
      </c>
      <c r="AX67" s="21">
        <f t="shared" si="6"/>
        <v>18.506819416093943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6.125</v>
      </c>
      <c r="BD67" s="12">
        <f>IF('Données projet'!$A$88&gt;35,BD66+BC67-BL66,IF(A67&lt;'Données projet'!$A$88,$BA$205^A67,IF(A67='Données projet'!$A$88,'Données projet'!$B$88,BD66+BC67-BL66)))</f>
        <v>150.375</v>
      </c>
      <c r="BE67" s="13">
        <f>BD67*VLOOKUP('Données projet'!$B$11,Paramètres!$A$1:$I$89,3,0)*VLOOKUP('Données projet'!$B$11,Paramètres!$A$1:$I$89,5,0)</f>
        <v>161.86365000000001</v>
      </c>
      <c r="BF67" s="13">
        <f t="shared" si="37"/>
        <v>41.262583136482021</v>
      </c>
      <c r="BG67" s="20">
        <f t="shared" si="7"/>
        <v>353.77818937937286</v>
      </c>
      <c r="BH67" s="59">
        <f t="shared" si="8"/>
        <v>617.20254153892756</v>
      </c>
      <c r="BI67" s="59">
        <f ca="1">AVERAGE(OFFSET($BH$3,0,0,'Données projet'!$E$11+1,1))-AVERAGE(OFFSET($H$3,0,0,'Données projet'!$E$11+1,1))</f>
        <v>404.24955007425774</v>
      </c>
      <c r="BJ67" s="59">
        <f t="shared" si="38"/>
        <v>211.49137630071019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9.8520262224758035</v>
      </c>
      <c r="BQ67" s="21">
        <f>EXP(-LN(2)/25)*BQ66+(1-EXP(-LN(2)/25))/(LN(2)/25)*Calculateur!BL67*Calculateur!BN67*VLOOKUP('Données projet'!$B$11,Paramètres!$A$1:$I$89,3,0)*0.475*44/12</f>
        <v>8.0832958299140287</v>
      </c>
      <c r="BR67" s="21">
        <f>EXP(-LN(2)/2)*BR66+(1-EXP(-LN(2)/2))/(LN(2)/2)*BL67*BO67*VLOOKUP('Données projet'!$B$11,Paramètres!$A$1:$I$89,3,0)*0.475*44/12</f>
        <v>2.660976975198587</v>
      </c>
      <c r="BS67" s="22">
        <f t="shared" si="9"/>
        <v>20.596299027588419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6.125</v>
      </c>
      <c r="BY67" s="12">
        <f>IF('Données projet'!$A$114&gt;35,BY66+BX67-CG66,IF(A67&lt;'Données projet'!$A$114,$BV$205^A67,IF(A67='Données projet'!$A$114,'Données projet'!$B$114,BY66+BX67-CG66)))</f>
        <v>150.375</v>
      </c>
      <c r="BZ67" s="13">
        <f>BY67*VLOOKUP('Données projet'!$B$12,Paramètres!$A$1:$I$89,3,0)*VLOOKUP('Données projet'!$B$12,Paramètres!$A$1:$I$89,5,0)</f>
        <v>117.2925</v>
      </c>
      <c r="CA67" s="13">
        <f t="shared" si="39"/>
        <v>31.042683114719193</v>
      </c>
      <c r="CB67" s="20">
        <f t="shared" si="10"/>
        <v>258.35044392480262</v>
      </c>
      <c r="CC67" s="59">
        <f t="shared" si="11"/>
        <v>521.77479608435738</v>
      </c>
      <c r="CD67" s="59">
        <f ca="1">AVERAGE(OFFSET($CC$3,0,0,'Données projet'!$E$12+1,1))-AVERAGE(OFFSET($H$3,0,0,'Données projet'!$E$12+1,1))</f>
        <v>250.01410333089137</v>
      </c>
      <c r="CE67" s="59">
        <f t="shared" si="40"/>
        <v>169.55868564318885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7.1391494365766697</v>
      </c>
      <c r="CL67" s="21">
        <f>EXP(-LN(2)/25)*CL66+(1-EXP(-LN(2)/25))/(LN(2)/25)*Calculateur!CG67*Calculateur!CI67*VLOOKUP('Données projet'!$B$12,Paramètres!$A$1:$I$89,3,0)*0.475*44/12</f>
        <v>5.857460746314513</v>
      </c>
      <c r="CM67" s="21">
        <f>EXP(-LN(2)/2)*CM66+(1-EXP(-LN(2)/2))/(LN(2)/2)*CG67*CJ67*VLOOKUP('Données projet'!$B$12,Paramètres!$A$1:$I$89,3,0)*0.475*44/12</f>
        <v>1.9282441849265131</v>
      </c>
      <c r="CN67" s="22">
        <f t="shared" si="12"/>
        <v>14.924854367817694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6.125</v>
      </c>
      <c r="N68" s="13">
        <f>IF('Données projet'!$A$36&gt;35,N67+M68-V67,IF(A68&lt;'Données projet'!$A$36,$K$205^A68,IF(A68='Données projet'!$A$36,'Données projet'!$B$36,N67+M68-V67)))</f>
        <v>156.5</v>
      </c>
      <c r="O68" s="13">
        <f>N68*VLOOKUP('Données projet'!$B$9,Paramètres!$A$1:$I$89,3,0)*VLOOKUP('Données projet'!$B$9,Paramètres!$A$1:$I$89,5,0)</f>
        <v>141.60120000000001</v>
      </c>
      <c r="P68" s="13">
        <f t="shared" si="33"/>
        <v>36.66357479752002</v>
      </c>
      <c r="Q68" s="20">
        <f t="shared" si="54"/>
        <v>310.47781610568069</v>
      </c>
      <c r="R68" s="59">
        <f t="shared" si="55"/>
        <v>574.42102222213589</v>
      </c>
      <c r="S68" s="59">
        <f ca="1">AVERAGE(OFFSET($R$3,0,0,'Données projet'!$E$9+1,1))-AVERAGE(OFFSET($H$3,0,0,'Données projet'!$E$9+1,1))</f>
        <v>469.5773392354356</v>
      </c>
      <c r="T68" s="59">
        <f t="shared" si="34"/>
        <v>187.25344022835239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3.6398292195576345</v>
      </c>
      <c r="AA68" s="21">
        <f>EXP(-LN(2)/25)*AA67+(1-EXP(-LN(2)/25))/(LN(2)/25)*Calculateur!V68*Calculateur!X68*VLOOKUP('Données projet'!$B$9,Paramètres!$A$1:$I$89,3,0)*0.475*44/12</f>
        <v>5.0871599374821574</v>
      </c>
      <c r="AB68" s="21">
        <f>EXP(-LN(2)/2)*AB67+(1-EXP(-LN(2)/2))/(LN(2)/2)*V68*Y68*VLOOKUP('Données projet'!$B$9,Paramètres!$A$1:$I$89,3,0)*0.475*44/12</f>
        <v>3.0278324719032228</v>
      </c>
      <c r="AC68" s="22">
        <f t="shared" ref="AC68:AC131" si="57">SUM(Z68:AB68)</f>
        <v>11.754821628943015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6.125</v>
      </c>
      <c r="AI68" s="13">
        <f>IF('Données projet'!$A$62&gt;35,AI67+AH68-AQ67,IF(A68&lt;'Données projet'!$A$62,$AF$205^A68,IF(A68='Données projet'!$A$62,'Données projet'!$B$62,AI67+AH68-AQ67)))</f>
        <v>156.5</v>
      </c>
      <c r="AJ68" s="13">
        <f>AI68*VLOOKUP('Données projet'!$B$10,Paramètres!$A$1:$I$89,3,0)*VLOOKUP('Données projet'!$B$10,Paramètres!$A$1:$I$89,5,0)</f>
        <v>151.36680000000001</v>
      </c>
      <c r="AK68" s="13">
        <f t="shared" si="35"/>
        <v>38.889031658998476</v>
      </c>
      <c r="AL68" s="20">
        <f t="shared" ref="AL68:AL131" si="58">(AJ68+AK68)*0.475*44/12</f>
        <v>331.36224013942234</v>
      </c>
      <c r="AM68" s="59">
        <f t="shared" ref="AM68:AM131" si="59">AL68+(AD68+AE68)*44/12</f>
        <v>595.30544625587754</v>
      </c>
      <c r="AN68" s="59">
        <f ca="1">AVERAGE(OFFSET($AM$3,0,0,'Données projet'!$E$10+1,1))-AVERAGE(OFFSET($H$3,0,0,'Données projet'!$E$10+1,1))</f>
        <v>370.91255999489181</v>
      </c>
      <c r="AO68" s="59">
        <f t="shared" si="36"/>
        <v>196.07869248605735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8.6789522875149725</v>
      </c>
      <c r="AV68" s="21">
        <f>EXP(-LN(2)/25)*AV67+(1-EXP(-LN(2)/25))/(LN(2)/25)*Calculateur!AQ68*Calculateur!AS68*VLOOKUP('Données projet'!$B$10,Paramètres!$A$1:$I$89,3,0)*0.475*44/12</f>
        <v>7.0646373359783272</v>
      </c>
      <c r="AW68" s="21">
        <f>EXP(-LN(2)/2)*AW67+(1-EXP(-LN(2)/2))/(LN(2)/2)*AQ68*AT68*VLOOKUP('Données projet'!$B$10,Paramètres!$A$1:$I$89,3,0)*0.475*44/12</f>
        <v>1.6907084282918803</v>
      </c>
      <c r="AX68" s="21">
        <f t="shared" ref="AX68:AX131" si="60">SUM(AU68:AW68)</f>
        <v>17.434298051785181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6.125</v>
      </c>
      <c r="BD68" s="12">
        <f>IF('Données projet'!$A$88&gt;35,BD67+BC68-BL67,IF(A68&lt;'Données projet'!$A$88,$BA$205^A68,IF(A68='Données projet'!$A$88,'Données projet'!$B$88,BD67+BC68-BL67)))</f>
        <v>156.5</v>
      </c>
      <c r="BE68" s="13">
        <f>BD68*VLOOKUP('Données projet'!$B$11,Paramètres!$A$1:$I$89,3,0)*VLOOKUP('Données projet'!$B$11,Paramètres!$A$1:$I$89,5,0)</f>
        <v>168.45659999999998</v>
      </c>
      <c r="BF68" s="13">
        <f t="shared" si="37"/>
        <v>42.744170059595596</v>
      </c>
      <c r="BG68" s="20">
        <f t="shared" ref="BG68:BG131" si="61">(BE68+BF68)*0.475*44/12</f>
        <v>367.84134118712899</v>
      </c>
      <c r="BH68" s="59">
        <f t="shared" ref="BH68:BH131" si="62">BG68+(AY68+AZ68)*44/12</f>
        <v>631.78454730358419</v>
      </c>
      <c r="BI68" s="59">
        <f ca="1">AVERAGE(OFFSET($BH$3,0,0,'Données projet'!$E$11+1,1))-AVERAGE(OFFSET($H$3,0,0,'Données projet'!$E$11+1,1))</f>
        <v>404.24955007425774</v>
      </c>
      <c r="BJ68" s="59">
        <f t="shared" si="38"/>
        <v>211.49137630071019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9.6588339973956945</v>
      </c>
      <c r="BQ68" s="21">
        <f>EXP(-LN(2)/25)*BQ67+(1-EXP(-LN(2)/25))/(LN(2)/25)*Calculateur!BL68*Calculateur!BN68*VLOOKUP('Données projet'!$B$11,Paramètres!$A$1:$I$89,3,0)*0.475*44/12</f>
        <v>7.8622576803629762</v>
      </c>
      <c r="BR68" s="21">
        <f>EXP(-LN(2)/2)*BR67+(1-EXP(-LN(2)/2))/(LN(2)/2)*BL68*BO68*VLOOKUP('Données projet'!$B$11,Paramètres!$A$1:$I$89,3,0)*0.475*44/12</f>
        <v>1.8815948637441884</v>
      </c>
      <c r="BS68" s="22">
        <f t="shared" ref="BS68:BS131" si="63">SUM(BP68:BR68)</f>
        <v>19.402686541502856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6.125</v>
      </c>
      <c r="BY68" s="12">
        <f>IF('Données projet'!$A$114&gt;35,BY67+BX68-CG67,IF(A68&lt;'Données projet'!$A$114,$BV$205^A68,IF(A68='Données projet'!$A$114,'Données projet'!$B$114,BY67+BX68-CG67)))</f>
        <v>156.5</v>
      </c>
      <c r="BZ68" s="13">
        <f>BY68*VLOOKUP('Données projet'!$B$12,Paramètres!$A$1:$I$89,3,0)*VLOOKUP('Données projet'!$B$12,Paramètres!$A$1:$I$89,5,0)</f>
        <v>122.07000000000001</v>
      </c>
      <c r="CA68" s="13">
        <f t="shared" si="39"/>
        <v>32.157311183664817</v>
      </c>
      <c r="CB68" s="20">
        <f t="shared" ref="CB68:CB131" si="64">(BZ68+CA68)*0.475*44/12</f>
        <v>268.61256697821625</v>
      </c>
      <c r="CC68" s="59">
        <f t="shared" ref="CC68:CC131" si="65">CB68+(BT68+BU68)*44/12</f>
        <v>532.55577309467139</v>
      </c>
      <c r="CD68" s="59">
        <f ca="1">AVERAGE(OFFSET($CC$3,0,0,'Données projet'!$E$12+1,1))-AVERAGE(OFFSET($H$3,0,0,'Données projet'!$E$12+1,1))</f>
        <v>250.01410333089137</v>
      </c>
      <c r="CE68" s="59">
        <f t="shared" si="40"/>
        <v>169.55868564318885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6.9991550705765908</v>
      </c>
      <c r="CL68" s="21">
        <f>EXP(-LN(2)/25)*CL67+(1-EXP(-LN(2)/25))/(LN(2)/25)*Calculateur!CG68*Calculateur!CI68*VLOOKUP('Données projet'!$B$12,Paramètres!$A$1:$I$89,3,0)*0.475*44/12</f>
        <v>5.6972881741760695</v>
      </c>
      <c r="CM68" s="21">
        <f>EXP(-LN(2)/2)*CM67+(1-EXP(-LN(2)/2))/(LN(2)/2)*CG68*CJ68*VLOOKUP('Données projet'!$B$12,Paramètres!$A$1:$I$89,3,0)*0.475*44/12</f>
        <v>1.3634745389450647</v>
      </c>
      <c r="CN68" s="22">
        <f t="shared" ref="CN68:CN131" si="66">SUM(CK68:CM68)</f>
        <v>14.059917783697726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6.125</v>
      </c>
      <c r="N69" s="13">
        <f>IF('Données projet'!$A$36&gt;35,N68+M69-V68,IF(A69&lt;'Données projet'!$A$36,$K$205^A69,IF(A69='Données projet'!$A$36,'Données projet'!$B$36,N68+M69-V68)))</f>
        <v>162.625</v>
      </c>
      <c r="O69" s="13">
        <f>N69*VLOOKUP('Données projet'!$B$9,Paramètres!$A$1:$I$89,3,0)*VLOOKUP('Données projet'!$B$9,Paramètres!$A$1:$I$89,5,0)</f>
        <v>147.1431</v>
      </c>
      <c r="P69" s="13">
        <f t="shared" ref="P69:P132" si="87">EXP(-1.0587+0.8836*LN(O69)+0.284)</f>
        <v>37.928620022878611</v>
      </c>
      <c r="Q69" s="20">
        <f t="shared" si="54"/>
        <v>322.33324570651359</v>
      </c>
      <c r="R69" s="59">
        <f t="shared" si="55"/>
        <v>586.78630482370068</v>
      </c>
      <c r="S69" s="59">
        <f ca="1">AVERAGE(OFFSET($R$3,0,0,'Données projet'!$E$9+1,1))-AVERAGE(OFFSET($H$3,0,0,'Données projet'!$E$9+1,1))</f>
        <v>469.5773392354356</v>
      </c>
      <c r="T69" s="59">
        <f t="shared" ref="T69:T132" si="88">$T$3</f>
        <v>187.25344022835239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3.568454388638719</v>
      </c>
      <c r="AA69" s="21">
        <f>EXP(-LN(2)/25)*AA68+(1-EXP(-LN(2)/25))/(LN(2)/25)*Calculateur!V69*Calculateur!X69*VLOOKUP('Données projet'!$B$9,Paramètres!$A$1:$I$89,3,0)*0.475*44/12</f>
        <v>4.9480512814695938</v>
      </c>
      <c r="AB69" s="21">
        <f>EXP(-LN(2)/2)*AB68+(1-EXP(-LN(2)/2))/(LN(2)/2)*V69*Y69*VLOOKUP('Données projet'!$B$9,Paramètres!$A$1:$I$89,3,0)*0.475*44/12</f>
        <v>2.1410008731795958</v>
      </c>
      <c r="AC69" s="22">
        <f t="shared" si="57"/>
        <v>10.657506543287909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6.125</v>
      </c>
      <c r="AI69" s="13">
        <f>IF('Données projet'!$A$62&gt;35,AI68+AH69-AQ68,IF(A69&lt;'Données projet'!$A$62,$AF$205^A69,IF(A69='Données projet'!$A$62,'Données projet'!$B$62,AI68+AH69-AQ68)))</f>
        <v>162.625</v>
      </c>
      <c r="AJ69" s="13">
        <f>AI69*VLOOKUP('Données projet'!$B$10,Paramètres!$A$1:$I$89,3,0)*VLOOKUP('Données projet'!$B$10,Paramètres!$A$1:$I$89,5,0)</f>
        <v>157.29089999999999</v>
      </c>
      <c r="AK69" s="13">
        <f t="shared" ref="AK69:AK132" si="89">EXP(-1.0587+0.8836*LN(AJ69)+0.284)</f>
        <v>40.230864366003431</v>
      </c>
      <c r="AL69" s="20">
        <f t="shared" si="58"/>
        <v>344.01707293745602</v>
      </c>
      <c r="AM69" s="59">
        <f t="shared" si="59"/>
        <v>608.47013205464305</v>
      </c>
      <c r="AN69" s="59">
        <f ca="1">AVERAGE(OFFSET($AM$3,0,0,'Données projet'!$E$10+1,1))-AVERAGE(OFFSET($H$3,0,0,'Données projet'!$E$10+1,1))</f>
        <v>370.91255999489181</v>
      </c>
      <c r="AO69" s="59">
        <f t="shared" ref="AO69:AO132" si="90">$AO$3</f>
        <v>196.07869248605735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8.5087633267949965</v>
      </c>
      <c r="AV69" s="21">
        <f>EXP(-LN(2)/25)*AV68+(1-EXP(-LN(2)/25))/(LN(2)/25)*Calculateur!AQ69*Calculateur!AS69*VLOOKUP('Données projet'!$B$10,Paramètres!$A$1:$I$89,3,0)*0.475*44/12</f>
        <v>6.8714544565128692</v>
      </c>
      <c r="AW69" s="21">
        <f>EXP(-LN(2)/2)*AW68+(1-EXP(-LN(2)/2))/(LN(2)/2)*AQ69*AT69*VLOOKUP('Données projet'!$B$10,Paramètres!$A$1:$I$89,3,0)*0.475*44/12</f>
        <v>1.1955113946544385</v>
      </c>
      <c r="AX69" s="21">
        <f t="shared" si="60"/>
        <v>16.575729177962305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6.125</v>
      </c>
      <c r="BD69" s="12">
        <f>IF('Données projet'!$A$88&gt;35,BD68+BC69-BL68,IF(A69&lt;'Données projet'!$A$88,$BA$205^A69,IF(A69='Données projet'!$A$88,'Données projet'!$B$88,BD68+BC69-BL68)))</f>
        <v>162.625</v>
      </c>
      <c r="BE69" s="13">
        <f>BD69*VLOOKUP('Données projet'!$B$11,Paramètres!$A$1:$I$89,3,0)*VLOOKUP('Données projet'!$B$11,Paramètres!$A$1:$I$89,5,0)</f>
        <v>175.04954999999998</v>
      </c>
      <c r="BF69" s="13">
        <f t="shared" ref="BF69:BF132" si="91">EXP(-1.0587+0.8836*LN(BE69)+0.284)</f>
        <v>44.219021013012807</v>
      </c>
      <c r="BG69" s="20">
        <f t="shared" si="61"/>
        <v>381.89276118099724</v>
      </c>
      <c r="BH69" s="59">
        <f t="shared" si="62"/>
        <v>646.34582029818432</v>
      </c>
      <c r="BI69" s="59">
        <f ca="1">AVERAGE(OFFSET($BH$3,0,0,'Données projet'!$E$11+1,1))-AVERAGE(OFFSET($H$3,0,0,'Données projet'!$E$11+1,1))</f>
        <v>404.24955007425774</v>
      </c>
      <c r="BJ69" s="59">
        <f t="shared" ref="BJ69:BJ132" si="92">$BJ$3</f>
        <v>211.49137630071019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9.4694301540137857</v>
      </c>
      <c r="BQ69" s="21">
        <f>EXP(-LN(2)/25)*BQ68+(1-EXP(-LN(2)/25))/(LN(2)/25)*Calculateur!BL69*Calculateur!BN69*VLOOKUP('Données projet'!$B$11,Paramètres!$A$1:$I$89,3,0)*0.475*44/12</f>
        <v>7.6472638306352883</v>
      </c>
      <c r="BR69" s="21">
        <f>EXP(-LN(2)/2)*BR68+(1-EXP(-LN(2)/2))/(LN(2)/2)*BL69*BO69*VLOOKUP('Données projet'!$B$11,Paramètres!$A$1:$I$89,3,0)*0.475*44/12</f>
        <v>1.3304884875992935</v>
      </c>
      <c r="BS69" s="22">
        <f t="shared" si="63"/>
        <v>18.447182472248368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6.125</v>
      </c>
      <c r="BY69" s="12">
        <f>IF('Données projet'!$A$114&gt;35,BY68+BX69-CG68,IF(A69&lt;'Données projet'!$A$114,$BV$205^A69,IF(A69='Données projet'!$A$114,'Données projet'!$B$114,BY68+BX69-CG68)))</f>
        <v>162.625</v>
      </c>
      <c r="BZ69" s="13">
        <f>BY69*VLOOKUP('Données projet'!$B$12,Paramètres!$A$1:$I$89,3,0)*VLOOKUP('Données projet'!$B$12,Paramètres!$A$1:$I$89,5,0)</f>
        <v>126.84750000000001</v>
      </c>
      <c r="CA69" s="13">
        <f t="shared" ref="CA69:CA132" si="93">EXP(-1.0587+0.8836*LN(BZ69)+0.284)</f>
        <v>33.26687164518362</v>
      </c>
      <c r="CB69" s="20">
        <f t="shared" si="64"/>
        <v>278.86586394869482</v>
      </c>
      <c r="CC69" s="59">
        <f t="shared" si="65"/>
        <v>543.3189230658819</v>
      </c>
      <c r="CD69" s="59">
        <f ca="1">AVERAGE(OFFSET($CC$3,0,0,'Données projet'!$E$12+1,1))-AVERAGE(OFFSET($H$3,0,0,'Données projet'!$E$12+1,1))</f>
        <v>250.01410333089137</v>
      </c>
      <c r="CE69" s="59">
        <f t="shared" ref="CE69:CE132" si="94">$CE$3</f>
        <v>169.55868564318885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6.8619059087056415</v>
      </c>
      <c r="CL69" s="21">
        <f>EXP(-LN(2)/25)*CL68+(1-EXP(-LN(2)/25))/(LN(2)/25)*Calculateur!CG69*Calculateur!CI69*VLOOKUP('Données projet'!$B$12,Paramètres!$A$1:$I$89,3,0)*0.475*44/12</f>
        <v>5.5414955294458608</v>
      </c>
      <c r="CM69" s="21">
        <f>EXP(-LN(2)/2)*CM68+(1-EXP(-LN(2)/2))/(LN(2)/2)*CG69*CJ69*VLOOKUP('Données projet'!$B$12,Paramètres!$A$1:$I$89,3,0)*0.475*44/12</f>
        <v>0.96412209246325664</v>
      </c>
      <c r="CN69" s="22">
        <f t="shared" si="66"/>
        <v>13.367523530614758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6.125</v>
      </c>
      <c r="N70" s="13">
        <f>IF('Données projet'!$A$36&gt;35,N69+M70-V69,IF(A70&lt;'Données projet'!$A$36,$K$205^A70,IF(A70='Données projet'!$A$36,'Données projet'!$B$36,N69+M70-V69)))</f>
        <v>168.75</v>
      </c>
      <c r="O70" s="13">
        <f>N70*VLOOKUP('Données projet'!$B$9,Paramètres!$A$1:$I$89,3,0)*VLOOKUP('Données projet'!$B$9,Paramètres!$A$1:$I$89,5,0)</f>
        <v>152.685</v>
      </c>
      <c r="P70" s="13">
        <f t="shared" si="87"/>
        <v>39.188130031226947</v>
      </c>
      <c r="Q70" s="20">
        <f t="shared" si="54"/>
        <v>334.1790348043869</v>
      </c>
      <c r="R70" s="59">
        <f t="shared" si="55"/>
        <v>599.13310211260386</v>
      </c>
      <c r="S70" s="59">
        <f ca="1">AVERAGE(OFFSET($R$3,0,0,'Données projet'!$E$9+1,1))-AVERAGE(OFFSET($H$3,0,0,'Données projet'!$E$9+1,1))</f>
        <v>469.5773392354356</v>
      </c>
      <c r="T70" s="59">
        <f t="shared" si="88"/>
        <v>187.25344022835239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3.4984791746197752</v>
      </c>
      <c r="AA70" s="21">
        <f>EXP(-LN(2)/25)*AA69+(1-EXP(-LN(2)/25))/(LN(2)/25)*Calculateur!V70*Calculateur!X70*VLOOKUP('Données projet'!$B$9,Paramètres!$A$1:$I$89,3,0)*0.475*44/12</f>
        <v>4.8127465589711003</v>
      </c>
      <c r="AB70" s="21">
        <f>EXP(-LN(2)/2)*AB69+(1-EXP(-LN(2)/2))/(LN(2)/2)*V70*Y70*VLOOKUP('Données projet'!$B$9,Paramètres!$A$1:$I$89,3,0)*0.475*44/12</f>
        <v>1.5139162359516116</v>
      </c>
      <c r="AC70" s="22">
        <f t="shared" si="57"/>
        <v>9.8251419695424875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6.125</v>
      </c>
      <c r="AI70" s="13">
        <f>IF('Données projet'!$A$62&gt;35,AI69+AH70-AQ69,IF(A70&lt;'Données projet'!$A$62,$AF$205^A70,IF(A70='Données projet'!$A$62,'Données projet'!$B$62,AI69+AH70-AQ69)))</f>
        <v>168.75</v>
      </c>
      <c r="AJ70" s="13">
        <f>AI70*VLOOKUP('Données projet'!$B$10,Paramètres!$A$1:$I$89,3,0)*VLOOKUP('Données projet'!$B$10,Paramètres!$A$1:$I$89,5,0)</f>
        <v>163.215</v>
      </c>
      <c r="AK70" s="13">
        <f t="shared" si="89"/>
        <v>41.56682587166646</v>
      </c>
      <c r="AL70" s="20">
        <f t="shared" si="58"/>
        <v>356.66168005981905</v>
      </c>
      <c r="AM70" s="59">
        <f t="shared" si="59"/>
        <v>621.61574736803595</v>
      </c>
      <c r="AN70" s="59">
        <f ca="1">AVERAGE(OFFSET($AM$3,0,0,'Données projet'!$E$10+1,1))-AVERAGE(OFFSET($H$3,0,0,'Données projet'!$E$10+1,1))</f>
        <v>370.91255999489181</v>
      </c>
      <c r="AO70" s="59">
        <f t="shared" si="90"/>
        <v>196.07869248605735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8.3419116677897218</v>
      </c>
      <c r="AV70" s="21">
        <f>EXP(-LN(2)/25)*AV69+(1-EXP(-LN(2)/25))/(LN(2)/25)*Calculateur!AQ70*Calculateur!AS70*VLOOKUP('Données projet'!$B$10,Paramètres!$A$1:$I$89,3,0)*0.475*44/12</f>
        <v>6.6835541730454402</v>
      </c>
      <c r="AW70" s="21">
        <f>EXP(-LN(2)/2)*AW69+(1-EXP(-LN(2)/2))/(LN(2)/2)*AQ70*AT70*VLOOKUP('Données projet'!$B$10,Paramètres!$A$1:$I$89,3,0)*0.475*44/12</f>
        <v>0.84535421414594036</v>
      </c>
      <c r="AX70" s="21">
        <f t="shared" si="60"/>
        <v>15.870820054981102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6.125</v>
      </c>
      <c r="BD70" s="12">
        <f>IF('Données projet'!$A$88&gt;35,BD69+BC70-BL69,IF(A70&lt;'Données projet'!$A$88,$BA$205^A70,IF(A70='Données projet'!$A$88,'Données projet'!$B$88,BD69+BC70-BL69)))</f>
        <v>168.75</v>
      </c>
      <c r="BE70" s="13">
        <f>BD70*VLOOKUP('Données projet'!$B$11,Paramètres!$A$1:$I$89,3,0)*VLOOKUP('Données projet'!$B$11,Paramètres!$A$1:$I$89,5,0)</f>
        <v>181.64249999999998</v>
      </c>
      <c r="BF70" s="13">
        <f t="shared" si="91"/>
        <v>45.687418742528415</v>
      </c>
      <c r="BG70" s="20">
        <f t="shared" si="61"/>
        <v>395.93294180990364</v>
      </c>
      <c r="BH70" s="59">
        <f t="shared" si="62"/>
        <v>660.88700911812055</v>
      </c>
      <c r="BI70" s="59">
        <f ca="1">AVERAGE(OFFSET($BH$3,0,0,'Données projet'!$E$11+1,1))-AVERAGE(OFFSET($H$3,0,0,'Données projet'!$E$11+1,1))</f>
        <v>404.24955007425774</v>
      </c>
      <c r="BJ70" s="59">
        <f t="shared" si="92"/>
        <v>211.49137630071019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9.2837404044756582</v>
      </c>
      <c r="BQ70" s="21">
        <f>EXP(-LN(2)/25)*BQ69+(1-EXP(-LN(2)/25))/(LN(2)/25)*Calculateur!BL70*Calculateur!BN70*VLOOKUP('Données projet'!$B$11,Paramètres!$A$1:$I$89,3,0)*0.475*44/12</f>
        <v>7.4381489990344392</v>
      </c>
      <c r="BR70" s="21">
        <f>EXP(-LN(2)/2)*BR69+(1-EXP(-LN(2)/2))/(LN(2)/2)*BL70*BO70*VLOOKUP('Données projet'!$B$11,Paramètres!$A$1:$I$89,3,0)*0.475*44/12</f>
        <v>0.94079743187209419</v>
      </c>
      <c r="BS70" s="22">
        <f t="shared" si="63"/>
        <v>17.662686835382193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6.125</v>
      </c>
      <c r="BY70" s="12">
        <f>IF('Données projet'!$A$114&gt;35,BY69+BX70-CG69,IF(A70&lt;'Données projet'!$A$114,$BV$205^A70,IF(A70='Données projet'!$A$114,'Données projet'!$B$114,BY69+BX70-CG69)))</f>
        <v>168.75</v>
      </c>
      <c r="BZ70" s="13">
        <f>BY70*VLOOKUP('Données projet'!$B$12,Paramètres!$A$1:$I$89,3,0)*VLOOKUP('Données projet'!$B$12,Paramètres!$A$1:$I$89,5,0)</f>
        <v>131.625</v>
      </c>
      <c r="CA70" s="13">
        <f t="shared" si="93"/>
        <v>34.371577214705376</v>
      </c>
      <c r="CB70" s="20">
        <f t="shared" si="64"/>
        <v>289.11070531561182</v>
      </c>
      <c r="CC70" s="59">
        <f t="shared" si="65"/>
        <v>554.06477262382873</v>
      </c>
      <c r="CD70" s="59">
        <f ca="1">AVERAGE(OFFSET($CC$3,0,0,'Données projet'!$E$12+1,1))-AVERAGE(OFFSET($H$3,0,0,'Données projet'!$E$12+1,1))</f>
        <v>250.01410333089137</v>
      </c>
      <c r="CE70" s="59">
        <f t="shared" si="94"/>
        <v>169.55868564318885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6.7273481191852591</v>
      </c>
      <c r="CL70" s="21">
        <f>EXP(-LN(2)/25)*CL69+(1-EXP(-LN(2)/25))/(LN(2)/25)*Calculateur!CG70*Calculateur!CI70*VLOOKUP('Données projet'!$B$12,Paramètres!$A$1:$I$89,3,0)*0.475*44/12</f>
        <v>5.3899630427785787</v>
      </c>
      <c r="CM70" s="21">
        <f>EXP(-LN(2)/2)*CM69+(1-EXP(-LN(2)/2))/(LN(2)/2)*CG70*CJ70*VLOOKUP('Données projet'!$B$12,Paramètres!$A$1:$I$89,3,0)*0.475*44/12</f>
        <v>0.68173726947253244</v>
      </c>
      <c r="CN70" s="22">
        <f t="shared" si="66"/>
        <v>12.79904843143637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6.125</v>
      </c>
      <c r="N71" s="13">
        <f>IF('Données projet'!$A$36&gt;35,N70+M71-V70,IF(A71&lt;'Données projet'!$A$36,$K$205^A71,IF(A71='Données projet'!$A$36,'Données projet'!$B$36,N70+M71-V70)))</f>
        <v>174.875</v>
      </c>
      <c r="O71" s="13">
        <f>N71*VLOOKUP('Données projet'!$B$9,Paramètres!$A$1:$I$89,3,0)*VLOOKUP('Données projet'!$B$9,Paramètres!$A$1:$I$89,5,0)</f>
        <v>158.2269</v>
      </c>
      <c r="P71" s="13">
        <f t="shared" si="87"/>
        <v>40.442328742987101</v>
      </c>
      <c r="Q71" s="20">
        <f t="shared" si="54"/>
        <v>346.01557339403593</v>
      </c>
      <c r="R71" s="59">
        <f t="shared" si="55"/>
        <v>611.46195752125482</v>
      </c>
      <c r="S71" s="59">
        <f ca="1">AVERAGE(OFFSET($R$3,0,0,'Données projet'!$E$9+1,1))-AVERAGE(OFFSET($H$3,0,0,'Données projet'!$E$9+1,1))</f>
        <v>469.5773392354356</v>
      </c>
      <c r="T71" s="59">
        <f t="shared" si="88"/>
        <v>187.25344022835239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3.4298761318670765</v>
      </c>
      <c r="AA71" s="21">
        <f>EXP(-LN(2)/25)*AA70+(1-EXP(-LN(2)/25))/(LN(2)/25)*Calculateur!V71*Calculateur!X71*VLOOKUP('Données projet'!$B$9,Paramètres!$A$1:$I$89,3,0)*0.475*44/12</f>
        <v>4.6811417512246933</v>
      </c>
      <c r="AB71" s="21">
        <f>EXP(-LN(2)/2)*AB70+(1-EXP(-LN(2)/2))/(LN(2)/2)*V71*Y71*VLOOKUP('Données projet'!$B$9,Paramètres!$A$1:$I$89,3,0)*0.475*44/12</f>
        <v>1.0705004365897979</v>
      </c>
      <c r="AC71" s="22">
        <f t="shared" si="57"/>
        <v>9.1815183196815671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6.125</v>
      </c>
      <c r="AI71" s="13">
        <f>IF('Données projet'!$A$62&gt;35,AI70+AH71-AQ70,IF(A71&lt;'Données projet'!$A$62,$AF$205^A71,IF(A71='Données projet'!$A$62,'Données projet'!$B$62,AI70+AH71-AQ70)))</f>
        <v>174.875</v>
      </c>
      <c r="AJ71" s="13">
        <f>AI71*VLOOKUP('Données projet'!$B$10,Paramètres!$A$1:$I$89,3,0)*VLOOKUP('Données projet'!$B$10,Paramètres!$A$1:$I$89,5,0)</f>
        <v>169.13910000000001</v>
      </c>
      <c r="AK71" s="13">
        <f t="shared" si="89"/>
        <v>42.897153688244138</v>
      </c>
      <c r="AL71" s="20">
        <f t="shared" si="58"/>
        <v>369.29647517369193</v>
      </c>
      <c r="AM71" s="59">
        <f t="shared" si="59"/>
        <v>634.74285930091082</v>
      </c>
      <c r="AN71" s="59">
        <f ca="1">AVERAGE(OFFSET($AM$3,0,0,'Données projet'!$E$10+1,1))-AVERAGE(OFFSET($H$3,0,0,'Données projet'!$E$10+1,1))</f>
        <v>370.91255999489181</v>
      </c>
      <c r="AO71" s="59">
        <f t="shared" si="90"/>
        <v>196.07869248605735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8.1783318680480779</v>
      </c>
      <c r="AV71" s="21">
        <f>EXP(-LN(2)/25)*AV70+(1-EXP(-LN(2)/25))/(LN(2)/25)*Calculateur!AQ71*Calculateur!AS71*VLOOKUP('Données projet'!$B$10,Paramètres!$A$1:$I$89,3,0)*0.475*44/12</f>
        <v>6.5007920327106739</v>
      </c>
      <c r="AW71" s="21">
        <f>EXP(-LN(2)/2)*AW70+(1-EXP(-LN(2)/2))/(LN(2)/2)*AQ71*AT71*VLOOKUP('Données projet'!$B$10,Paramètres!$A$1:$I$89,3,0)*0.475*44/12</f>
        <v>0.59775569732721934</v>
      </c>
      <c r="AX71" s="21">
        <f t="shared" si="60"/>
        <v>15.276879598085971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6.125</v>
      </c>
      <c r="BD71" s="12">
        <f>IF('Données projet'!$A$88&gt;35,BD70+BC71-BL70,IF(A71&lt;'Données projet'!$A$88,$BA$205^A71,IF(A71='Données projet'!$A$88,'Données projet'!$B$88,BD70+BC71-BL70)))</f>
        <v>174.875</v>
      </c>
      <c r="BE71" s="13">
        <f>BD71*VLOOKUP('Données projet'!$B$11,Paramètres!$A$1:$I$89,3,0)*VLOOKUP('Données projet'!$B$11,Paramètres!$A$1:$I$89,5,0)</f>
        <v>188.23544999999999</v>
      </c>
      <c r="BF71" s="13">
        <f t="shared" si="91"/>
        <v>47.149624305408437</v>
      </c>
      <c r="BG71" s="20">
        <f t="shared" si="61"/>
        <v>409.96233774858632</v>
      </c>
      <c r="BH71" s="59">
        <f t="shared" si="62"/>
        <v>675.40872187580521</v>
      </c>
      <c r="BI71" s="59">
        <f ca="1">AVERAGE(OFFSET($BH$3,0,0,'Données projet'!$E$11+1,1))-AVERAGE(OFFSET($H$3,0,0,'Données projet'!$E$11+1,1))</f>
        <v>404.24955007425774</v>
      </c>
      <c r="BJ71" s="59">
        <f t="shared" si="92"/>
        <v>211.49137630071019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9.1016919176664093</v>
      </c>
      <c r="BQ71" s="21">
        <f>EXP(-LN(2)/25)*BQ70+(1-EXP(-LN(2)/25))/(LN(2)/25)*Calculateur!BL71*Calculateur!BN71*VLOOKUP('Données projet'!$B$11,Paramètres!$A$1:$I$89,3,0)*0.475*44/12</f>
        <v>7.2347524235005869</v>
      </c>
      <c r="BR71" s="21">
        <f>EXP(-LN(2)/2)*BR70+(1-EXP(-LN(2)/2))/(LN(2)/2)*BL71*BO71*VLOOKUP('Données projet'!$B$11,Paramètres!$A$1:$I$89,3,0)*0.475*44/12</f>
        <v>0.66524424379964675</v>
      </c>
      <c r="BS71" s="22">
        <f t="shared" si="63"/>
        <v>17.001688584966644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6.125</v>
      </c>
      <c r="BY71" s="12">
        <f>IF('Données projet'!$A$114&gt;35,BY70+BX71-CG70,IF(A71&lt;'Données projet'!$A$114,$BV$205^A71,IF(A71='Données projet'!$A$114,'Données projet'!$B$114,BY70+BX71-CG70)))</f>
        <v>174.875</v>
      </c>
      <c r="BZ71" s="13">
        <f>BY71*VLOOKUP('Données projet'!$B$12,Paramètres!$A$1:$I$89,3,0)*VLOOKUP('Données projet'!$B$12,Paramètres!$A$1:$I$89,5,0)</f>
        <v>136.4025</v>
      </c>
      <c r="CA71" s="13">
        <f t="shared" si="93"/>
        <v>35.471624290937314</v>
      </c>
      <c r="CB71" s="20">
        <f t="shared" si="64"/>
        <v>299.34743314004913</v>
      </c>
      <c r="CC71" s="59">
        <f t="shared" si="65"/>
        <v>564.79381726726797</v>
      </c>
      <c r="CD71" s="59">
        <f ca="1">AVERAGE(OFFSET($CC$3,0,0,'Données projet'!$E$12+1,1))-AVERAGE(OFFSET($H$3,0,0,'Données projet'!$E$12+1,1))</f>
        <v>250.01410333089137</v>
      </c>
      <c r="CE71" s="59">
        <f t="shared" si="94"/>
        <v>169.55868564318885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6.5954289258452237</v>
      </c>
      <c r="CL71" s="21">
        <f>EXP(-LN(2)/25)*CL70+(1-EXP(-LN(2)/25))/(LN(2)/25)*Calculateur!CG71*Calculateur!CI71*VLOOKUP('Données projet'!$B$12,Paramètres!$A$1:$I$89,3,0)*0.475*44/12</f>
        <v>5.2425742199279606</v>
      </c>
      <c r="CM71" s="21">
        <f>EXP(-LN(2)/2)*CM70+(1-EXP(-LN(2)/2))/(LN(2)/2)*CG71*CJ71*VLOOKUP('Données projet'!$B$12,Paramètres!$A$1:$I$89,3,0)*0.475*44/12</f>
        <v>0.48206104623162843</v>
      </c>
      <c r="CN71" s="22">
        <f t="shared" si="66"/>
        <v>12.320064192004812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181</v>
      </c>
      <c r="L72" s="12">
        <f>VLOOKUP(A72,'Données projet'!$A$35:$I$55,9,0)</f>
        <v>6.125</v>
      </c>
      <c r="M72" s="12">
        <f t="array" ref="M72">INDEX(L:L,MIN(IF(ISNUMBER(L72:L268),ROW(L72:L268),"")))</f>
        <v>6.125</v>
      </c>
      <c r="N72" s="13">
        <f>IF('Données projet'!$A$36&gt;35,N71+M72-V71,IF(A72&lt;'Données projet'!$A$36,$K$205^A72,IF(A72='Données projet'!$A$36,'Données projet'!$B$36,N71+M72-V71)))</f>
        <v>181</v>
      </c>
      <c r="O72" s="13">
        <f>N72*VLOOKUP('Données projet'!$B$9,Paramètres!$A$1:$I$89,3,0)*VLOOKUP('Données projet'!$B$9,Paramètres!$A$1:$I$89,5,0)</f>
        <v>163.7688</v>
      </c>
      <c r="P72" s="13">
        <f t="shared" si="87"/>
        <v>41.691423503509803</v>
      </c>
      <c r="Q72" s="20">
        <f t="shared" si="54"/>
        <v>357.84322260194625</v>
      </c>
      <c r="R72" s="59">
        <f t="shared" si="55"/>
        <v>623.77338295201275</v>
      </c>
      <c r="S72" s="59">
        <f ca="1">AVERAGE(OFFSET($R$3,0,0,'Données projet'!$E$9+1,1))-AVERAGE(OFFSET($H$3,0,0,'Données projet'!$E$9+1,1))</f>
        <v>469.5773392354356</v>
      </c>
      <c r="T72" s="59">
        <f t="shared" si="88"/>
        <v>187.25344022835239</v>
      </c>
      <c r="U72" s="15">
        <f>IF(ISNA(VLOOKUP(A72,'Données projet'!$A$35:$I$55,3,0)),0,VLOOKUP(A72,'Données projet'!$A$35:$I$55,3,0))</f>
        <v>7</v>
      </c>
      <c r="V72" s="15">
        <f>IF(ISNA(VLOOKUP(A72,'Données projet'!$A$35:$I$55,4,0)),0,VLOOKUP(A72,'Données projet'!$A$35:$I$55,4,0))</f>
        <v>32</v>
      </c>
      <c r="W72" s="16">
        <f>IF(ISNA(VLOOKUP(A72,'Données projet'!$A$35:$I$55,5,0)),0%,VLOOKUP(A72,'Données projet'!$A$35:$I$55,5,0)*VLOOKUP('Données projet'!$B$9,Paramètres!$A$1:$I$89,7,0))</f>
        <v>0.17200000000000001</v>
      </c>
      <c r="X72" s="16">
        <f>IF(ISNA(VLOOKUP(A72,'Données projet'!$A$35:$I$55,6,0)),0%,VLOOKUP(A72,'Données projet'!$A$35:$I$55,6,0)*VLOOKUP('Données projet'!$B$9,Paramètres!$A$1:$I$89,7,0))</f>
        <v>8.6000000000000007E-2</v>
      </c>
      <c r="Y72" s="16">
        <f>IF(ISNA(VLOOKUP(A72,'Données projet'!$A$35:$I$55,7,0)),0%,VLOOKUP(A72,'Données projet'!$A$35:$I$55,7,0))</f>
        <v>0.2</v>
      </c>
      <c r="Z72" s="21">
        <f>EXP(-LN(2)/35)*Z71+(1-EXP(-LN(2)/35))/(LN(2)/35)*V72*W72*VLOOKUP('Données projet'!$B$9,Paramètres!$A$1:$I$89,3,0)*0.475*44/12</f>
        <v>8.8678820680444126</v>
      </c>
      <c r="AA72" s="21">
        <f>EXP(-LN(2)/25)*AA71+(1-EXP(-LN(2)/25))/(LN(2)/25)*Calculateur!V72*Calculateur!X72*VLOOKUP('Données projet'!$B$9,Paramètres!$A$1:$I$89,3,0)*0.475*44/12</f>
        <v>7.2949293809614479</v>
      </c>
      <c r="AB72" s="21">
        <f>EXP(-LN(2)/2)*AB71+(1-EXP(-LN(2)/2))/(LN(2)/2)*V72*Y72*VLOOKUP('Données projet'!$B$9,Paramètres!$A$1:$I$89,3,0)*0.475*44/12</f>
        <v>6.22065829291952</v>
      </c>
      <c r="AC72" s="22">
        <f t="shared" si="57"/>
        <v>22.383469741925381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>
        <f>VLOOKUP(A72,'Données projet'!$A$61:$I$81,2,0)</f>
        <v>181</v>
      </c>
      <c r="AG72" s="12">
        <f>VLOOKUP(A72,'Données projet'!$A$61:$I$81,9,0)</f>
        <v>6.125</v>
      </c>
      <c r="AH72" s="12">
        <f t="array" ref="AH72">INDEX(AG:AG,MIN(IF(ISNUMBER(AG72:AG268),ROW(AG72:AG268),"")))</f>
        <v>6.125</v>
      </c>
      <c r="AI72" s="13">
        <f>IF('Données projet'!$A$62&gt;35,AI71+AH72-AQ71,IF(A72&lt;'Données projet'!$A$62,$AF$205^A72,IF(A72='Données projet'!$A$62,'Données projet'!$B$62,AI71+AH72-AQ71)))</f>
        <v>181</v>
      </c>
      <c r="AJ72" s="13">
        <f>AI72*VLOOKUP('Données projet'!$B$10,Paramètres!$A$1:$I$89,3,0)*VLOOKUP('Données projet'!$B$10,Paramètres!$A$1:$I$89,5,0)</f>
        <v>175.06319999999999</v>
      </c>
      <c r="AK72" s="13">
        <f t="shared" si="89"/>
        <v>44.22206774682472</v>
      </c>
      <c r="AL72" s="20">
        <f t="shared" si="58"/>
        <v>381.9218413257197</v>
      </c>
      <c r="AM72" s="59">
        <f t="shared" si="59"/>
        <v>647.85200167578625</v>
      </c>
      <c r="AN72" s="59">
        <f ca="1">AVERAGE(OFFSET($AM$3,0,0,'Données projet'!$E$10+1,1))-AVERAGE(OFFSET($H$3,0,0,'Données projet'!$E$10+1,1))</f>
        <v>370.91255999489181</v>
      </c>
      <c r="AO72" s="59">
        <f t="shared" si="90"/>
        <v>196.07869248605735</v>
      </c>
      <c r="AP72" s="15">
        <f>IF(ISNA(VLOOKUP(A72,'Données projet'!$A$61:$I$81,3,0)),0,VLOOKUP(A72,'Données projet'!$A$61:$I$81,3,0))</f>
        <v>7</v>
      </c>
      <c r="AQ72" s="15">
        <f>IF(ISNA(VLOOKUP(A72,'Données projet'!$A$61:$I$81,4,0)),0,VLOOKUP(A72,'Données projet'!$A$61:$I$81,4,0))</f>
        <v>32</v>
      </c>
      <c r="AR72" s="16">
        <f>IF(ISNA(VLOOKUP(A72,'Données projet'!$A$61:$I$81,5,0)),0%,VLOOKUP(A72,'Données projet'!$A$61:$I$81,5,0)*VLOOKUP('Données projet'!$B$10,Paramètres!$A$1:$I$89,7,0))</f>
        <v>0.17200000000000001</v>
      </c>
      <c r="AS72" s="16">
        <f>IF(ISNA(VLOOKUP(A72,'Données projet'!$A$61:$I$81,6,0)),0%,VLOOKUP(A72,'Données projet'!$A$61:$I$81,6,0)*VLOOKUP('Données projet'!$B$10,Paramètres!$A$1:$I$89,7,0))</f>
        <v>8.6000000000000007E-2</v>
      </c>
      <c r="AT72" s="16">
        <f>IF(ISNA(VLOOKUP(A72,'Données projet'!$A$61:$I$81,7,0)),0%,VLOOKUP(A72,'Données projet'!$A$61:$I$81,7,0))</f>
        <v>0.2</v>
      </c>
      <c r="AU72" s="21">
        <f>EXP(-LN(2)/35)*AU71+(1-EXP(-LN(2)/35))/(LN(2)/35)*AQ72*AR72*VLOOKUP('Données projet'!$B$10,Paramètres!$A$1:$I$89,3,0)*0.475*44/12</f>
        <v>13.902896843173361</v>
      </c>
      <c r="AV72" s="21">
        <f>EXP(-LN(2)/25)*AV71+(1-EXP(-LN(2)/25))/(LN(2)/25)*Calculateur!AQ72*Calculateur!AS72*VLOOKUP('Données projet'!$B$10,Paramètres!$A$1:$I$89,3,0)*0.475*44/12</f>
        <v>9.253910450298223</v>
      </c>
      <c r="AW72" s="21">
        <f>EXP(-LN(2)/2)*AW71+(1-EXP(-LN(2)/2))/(LN(2)/2)*AQ72*AT72*VLOOKUP('Données projet'!$B$10,Paramètres!$A$1:$I$89,3,0)*0.475*44/12</f>
        <v>6.263184190633492</v>
      </c>
      <c r="AX72" s="21">
        <f t="shared" si="60"/>
        <v>29.419991484105076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181</v>
      </c>
      <c r="BB72" s="12">
        <f>VLOOKUP(A72,'Données projet'!$A$87:$I$107,9,0)</f>
        <v>6.125</v>
      </c>
      <c r="BC72" s="12">
        <f t="array" ref="BC72">INDEX(BB:BB,MIN(IF(ISNUMBER(BB72:BB268),ROW(BB72:BB268),"")))</f>
        <v>6.125</v>
      </c>
      <c r="BD72" s="12">
        <f>IF('Données projet'!$A$88&gt;35,BD71+BC72-BL71,IF(A72&lt;'Données projet'!$A$88,$BA$205^A72,IF(A72='Données projet'!$A$88,'Données projet'!$B$88,BD71+BC72-BL71)))</f>
        <v>181</v>
      </c>
      <c r="BE72" s="13">
        <f>BD72*VLOOKUP('Données projet'!$B$11,Paramètres!$A$1:$I$89,3,0)*VLOOKUP('Données projet'!$B$11,Paramètres!$A$1:$I$89,5,0)</f>
        <v>194.82839999999999</v>
      </c>
      <c r="BF72" s="13">
        <f t="shared" si="91"/>
        <v>48.605879434898533</v>
      </c>
      <c r="BG72" s="20">
        <f t="shared" si="61"/>
        <v>423.98137001578152</v>
      </c>
      <c r="BH72" s="59">
        <f t="shared" si="62"/>
        <v>689.91153036584808</v>
      </c>
      <c r="BI72" s="59">
        <f ca="1">AVERAGE(OFFSET($BH$3,0,0,'Données projet'!$E$11+1,1))-AVERAGE(OFFSET($H$3,0,0,'Données projet'!$E$11+1,1))</f>
        <v>404.24955007425774</v>
      </c>
      <c r="BJ72" s="59">
        <f t="shared" si="92"/>
        <v>211.49137630071019</v>
      </c>
      <c r="BK72" s="15">
        <f>IF(ISNA(VLOOKUP(A72,'Données projet'!$A$87:$I$107,3,0)),0,VLOOKUP(A72,'Données projet'!$A$87:$I$107,3,0))</f>
        <v>7</v>
      </c>
      <c r="BL72" s="15">
        <f>IF(ISNA(VLOOKUP(A72,'Données projet'!$A$87:$I$107,4,0)),0,VLOOKUP(A72,'Données projet'!$A$87:$I$107,4,0))</f>
        <v>32</v>
      </c>
      <c r="BM72" s="16">
        <f>IF(ISNA(VLOOKUP(A72,'Données projet'!$A$87:$I$107,5,0)),0%,VLOOKUP(A72,'Données projet'!$A$87:$I$107,5,0)*VLOOKUP('Données projet'!$B$11,Paramètres!$A$1:$I$89,7,0))</f>
        <v>0.17200000000000001</v>
      </c>
      <c r="BN72" s="16">
        <f>IF(ISNA(VLOOKUP(A72,'Données projet'!$A$87:$I$107,6,0)),0%,VLOOKUP(A72,'Données projet'!$A$87:$I$107,6,0)*VLOOKUP('Données projet'!$B$11,Paramètres!$A$1:$I$89,7,0))</f>
        <v>8.6000000000000007E-2</v>
      </c>
      <c r="BO72" s="16">
        <f>IF(ISNA(VLOOKUP(A72,'Données projet'!$A$87:$I$107,7,0)),0%,VLOOKUP(A72,'Données projet'!$A$87:$I$107,7,0))</f>
        <v>0.2</v>
      </c>
      <c r="BP72" s="21">
        <f>EXP(-LN(2)/35)*BP71+(1-EXP(-LN(2)/35))/(LN(2)/35)*BL72*BM72*VLOOKUP('Données projet'!$B$11,Paramètres!$A$1:$I$89,3,0)*0.475*44/12</f>
        <v>15.472578744821966</v>
      </c>
      <c r="BQ72" s="21">
        <f>EXP(-LN(2)/25)*BQ71+(1-EXP(-LN(2)/25))/(LN(2)/25)*Calculateur!BL72*Calculateur!BN72*VLOOKUP('Données projet'!$B$11,Paramètres!$A$1:$I$89,3,0)*0.475*44/12</f>
        <v>10.298706791460924</v>
      </c>
      <c r="BR72" s="21">
        <f>EXP(-LN(2)/2)*BR71+(1-EXP(-LN(2)/2))/(LN(2)/2)*BL72*BO72*VLOOKUP('Données projet'!$B$11,Paramètres!$A$1:$I$89,3,0)*0.475*44/12</f>
        <v>6.9703178895759814</v>
      </c>
      <c r="BS72" s="22">
        <f t="shared" si="63"/>
        <v>32.74160342585887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181</v>
      </c>
      <c r="BW72" s="12">
        <f>VLOOKUP(A72,'Données projet'!$A$113:$I$133,9,0)</f>
        <v>6.125</v>
      </c>
      <c r="BX72" s="12">
        <f t="array" ref="BX72">INDEX(BW:BW,MIN(IF(ISNUMBER(BW72:BW268),ROW(BW72:BW268),"")))</f>
        <v>6.125</v>
      </c>
      <c r="BY72" s="12">
        <f>IF('Données projet'!$A$114&gt;35,BY71+BX72-CG71,IF(A72&lt;'Données projet'!$A$114,$BV$205^A72,IF(A72='Données projet'!$A$114,'Données projet'!$B$114,BY71+BX72-CG71)))</f>
        <v>181</v>
      </c>
      <c r="BZ72" s="13">
        <f>BY72*VLOOKUP('Données projet'!$B$12,Paramètres!$A$1:$I$89,3,0)*VLOOKUP('Données projet'!$B$12,Paramètres!$A$1:$I$89,5,0)</f>
        <v>141.18</v>
      </c>
      <c r="CA72" s="13">
        <f t="shared" si="93"/>
        <v>36.567194734731871</v>
      </c>
      <c r="CB72" s="20">
        <f t="shared" si="64"/>
        <v>309.5763641629913</v>
      </c>
      <c r="CC72" s="59">
        <f t="shared" si="65"/>
        <v>575.50652451305791</v>
      </c>
      <c r="CD72" s="59">
        <f ca="1">AVERAGE(OFFSET($CC$3,0,0,'Données projet'!$E$12+1,1))-AVERAGE(OFFSET($H$3,0,0,'Données projet'!$E$12+1,1))</f>
        <v>250.01410333089137</v>
      </c>
      <c r="CE72" s="59">
        <f t="shared" si="94"/>
        <v>169.55868564318885</v>
      </c>
      <c r="CF72" s="15">
        <f>IF(ISNA(VLOOKUP(A72,'Données projet'!$A$113:$I$133,3,0)),0,VLOOKUP(A72,'Données projet'!$A$113:$I$133,3,0))</f>
        <v>7</v>
      </c>
      <c r="CG72" s="15">
        <f>IF(ISNA(VLOOKUP(A72,'Données projet'!$A$113:$I$133,4,0)),0,VLOOKUP(A72,'Données projet'!$A$113:$I$133,4,0))</f>
        <v>32</v>
      </c>
      <c r="CH72" s="16">
        <f>IF(ISNA(VLOOKUP(A72,'Données projet'!$A$113:$I$133,5,0)),0%,VLOOKUP(A72,'Données projet'!$A$113:$I$133,5,0)*VLOOKUP('Données projet'!$B$12,Paramètres!$A$1:$I$89,7,0))</f>
        <v>0.17200000000000001</v>
      </c>
      <c r="CI72" s="16">
        <f>IF(ISNA(VLOOKUP(A72,'Données projet'!$A$113:$I$133,6,0)),0%,VLOOKUP(A72,'Données projet'!$A$113:$I$133,6,0)*VLOOKUP('Données projet'!$B$12,Paramètres!$A$1:$I$89,7,0))</f>
        <v>8.6000000000000007E-2</v>
      </c>
      <c r="CJ72" s="16">
        <f>IF(ISNA(VLOOKUP(A72,'Données projet'!$A$113:$I$133,7,0)),0%,VLOOKUP(A72,'Données projet'!$A$113:$I$133,7,0))</f>
        <v>0.2</v>
      </c>
      <c r="CK72" s="21">
        <f>EXP(-LN(2)/35)*CK71+(1-EXP(-LN(2)/35))/(LN(2)/35)*CG72*CH72*VLOOKUP('Données projet'!$B$12,Paramètres!$A$1:$I$89,3,0)*0.475*44/12</f>
        <v>11.212013583204325</v>
      </c>
      <c r="CL72" s="21">
        <f>EXP(-LN(2)/25)*CL71+(1-EXP(-LN(2)/25))/(LN(2)/25)*Calculateur!CG72*Calculateur!CI72*VLOOKUP('Données projet'!$B$12,Paramètres!$A$1:$I$89,3,0)*0.475*44/12</f>
        <v>7.4628310083050167</v>
      </c>
      <c r="CM72" s="21">
        <f>EXP(-LN(2)/2)*CM71+(1-EXP(-LN(2)/2))/(LN(2)/2)*CG72*CJ72*VLOOKUP('Données projet'!$B$12,Paramètres!$A$1:$I$89,3,0)*0.475*44/12</f>
        <v>5.0509549924463641</v>
      </c>
      <c r="CN72" s="22">
        <f t="shared" si="66"/>
        <v>23.725799583955705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6</v>
      </c>
      <c r="N73" s="13">
        <f>IF('Données projet'!$A$36&gt;35,N72+M73-V72,IF(A73&lt;'Données projet'!$A$36,$K$205^A73,IF(A73='Données projet'!$A$36,'Données projet'!$B$36,N72+M73-V72)))</f>
        <v>155</v>
      </c>
      <c r="O73" s="13">
        <f>N73*VLOOKUP('Données projet'!$B$9,Paramètres!$A$1:$I$89,3,0)*VLOOKUP('Données projet'!$B$9,Paramètres!$A$1:$I$89,5,0)</f>
        <v>140.244</v>
      </c>
      <c r="P73" s="13">
        <f t="shared" si="87"/>
        <v>36.352896802451752</v>
      </c>
      <c r="Q73" s="20">
        <f t="shared" si="54"/>
        <v>307.57292859760338</v>
      </c>
      <c r="R73" s="59">
        <f t="shared" si="55"/>
        <v>573.97847273461286</v>
      </c>
      <c r="S73" s="59">
        <f ca="1">AVERAGE(OFFSET($R$3,0,0,'Données projet'!$E$9+1,1))-AVERAGE(OFFSET($H$3,0,0,'Données projet'!$E$9+1,1))</f>
        <v>469.5773392354356</v>
      </c>
      <c r="T73" s="59">
        <f t="shared" si="88"/>
        <v>187.25344022835239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8.6939883095640411</v>
      </c>
      <c r="AA73" s="21">
        <f>EXP(-LN(2)/25)*AA72+(1-EXP(-LN(2)/25))/(LN(2)/25)*Calculateur!V73*Calculateur!X73*VLOOKUP('Données projet'!$B$9,Paramètres!$A$1:$I$89,3,0)*0.475*44/12</f>
        <v>7.0954491534153936</v>
      </c>
      <c r="AB73" s="21">
        <f>EXP(-LN(2)/2)*AB72+(1-EXP(-LN(2)/2))/(LN(2)/2)*V73*Y73*VLOOKUP('Données projet'!$B$9,Paramètres!$A$1:$I$89,3,0)*0.475*44/12</f>
        <v>4.3986696623677259</v>
      </c>
      <c r="AC73" s="22">
        <f t="shared" si="57"/>
        <v>20.188107125347162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</v>
      </c>
      <c r="AI73" s="13">
        <f>IF('Données projet'!$A$62&gt;35,AI72+AH73-AQ72,IF(A73&lt;'Données projet'!$A$62,$AF$205^A73,IF(A73='Données projet'!$A$62,'Données projet'!$B$62,AI72+AH73-AQ72)))</f>
        <v>155</v>
      </c>
      <c r="AJ73" s="13">
        <f>AI73*VLOOKUP('Données projet'!$B$10,Paramètres!$A$1:$I$89,3,0)*VLOOKUP('Données projet'!$B$10,Paramètres!$A$1:$I$89,5,0)</f>
        <v>149.916</v>
      </c>
      <c r="AK73" s="13">
        <f t="shared" si="89"/>
        <v>38.559495697142914</v>
      </c>
      <c r="AL73" s="20">
        <f t="shared" si="58"/>
        <v>328.26148833919052</v>
      </c>
      <c r="AM73" s="59">
        <f t="shared" si="59"/>
        <v>594.66703247620001</v>
      </c>
      <c r="AN73" s="59">
        <f ca="1">AVERAGE(OFFSET($AM$3,0,0,'Données projet'!$E$10+1,1))-AVERAGE(OFFSET($H$3,0,0,'Données projet'!$E$10+1,1))</f>
        <v>370.91255999489181</v>
      </c>
      <c r="AO73" s="59">
        <f t="shared" si="90"/>
        <v>196.07869248605735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13.630269516008482</v>
      </c>
      <c r="AV73" s="21">
        <f>EXP(-LN(2)/25)*AV72+(1-EXP(-LN(2)/25))/(LN(2)/25)*Calculateur!AQ73*Calculateur!AS73*VLOOKUP('Données projet'!$B$10,Paramètres!$A$1:$I$89,3,0)*0.475*44/12</f>
        <v>9.0008617823928176</v>
      </c>
      <c r="AW73" s="21">
        <f>EXP(-LN(2)/2)*AW72+(1-EXP(-LN(2)/2))/(LN(2)/2)*AQ73*AT73*VLOOKUP('Données projet'!$B$10,Paramètres!$A$1:$I$89,3,0)*0.475*44/12</f>
        <v>4.4287400130173209</v>
      </c>
      <c r="AX73" s="21">
        <f t="shared" si="60"/>
        <v>27.059871311418622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</v>
      </c>
      <c r="BD73" s="12">
        <f>IF('Données projet'!$A$88&gt;35,BD72+BC73-BL72,IF(A73&lt;'Données projet'!$A$88,$BA$205^A73,IF(A73='Données projet'!$A$88,'Données projet'!$B$88,BD72+BC73-BL72)))</f>
        <v>155</v>
      </c>
      <c r="BE73" s="13">
        <f>BD73*VLOOKUP('Données projet'!$B$11,Paramètres!$A$1:$I$89,3,0)*VLOOKUP('Données projet'!$B$11,Paramètres!$A$1:$I$89,5,0)</f>
        <v>166.84199999999998</v>
      </c>
      <c r="BF73" s="13">
        <f t="shared" si="91"/>
        <v>42.381966615760334</v>
      </c>
      <c r="BG73" s="20">
        <f t="shared" si="61"/>
        <v>364.39840852244924</v>
      </c>
      <c r="BH73" s="59">
        <f t="shared" si="62"/>
        <v>630.80395265945867</v>
      </c>
      <c r="BI73" s="59">
        <f ca="1">AVERAGE(OFFSET($BH$3,0,0,'Données projet'!$E$11+1,1))-AVERAGE(OFFSET($H$3,0,0,'Données projet'!$E$11+1,1))</f>
        <v>404.24955007425774</v>
      </c>
      <c r="BJ73" s="59">
        <f t="shared" si="92"/>
        <v>211.49137630071019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15.169170912977181</v>
      </c>
      <c r="BQ73" s="21">
        <f>EXP(-LN(2)/25)*BQ72+(1-EXP(-LN(2)/25))/(LN(2)/25)*Calculateur!BL73*Calculateur!BN73*VLOOKUP('Données projet'!$B$11,Paramètres!$A$1:$I$89,3,0)*0.475*44/12</f>
        <v>10.017088112662973</v>
      </c>
      <c r="BR73" s="21">
        <f>EXP(-LN(2)/2)*BR72+(1-EXP(-LN(2)/2))/(LN(2)/2)*BL73*BO73*VLOOKUP('Données projet'!$B$11,Paramètres!$A$1:$I$89,3,0)*0.475*44/12</f>
        <v>4.9287590467450819</v>
      </c>
      <c r="BS73" s="22">
        <f t="shared" si="63"/>
        <v>30.115018072385237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</v>
      </c>
      <c r="BY73" s="12">
        <f>IF('Données projet'!$A$114&gt;35,BY72+BX73-CG72,IF(A73&lt;'Données projet'!$A$114,$BV$205^A73,IF(A73='Données projet'!$A$114,'Données projet'!$B$114,BY72+BX73-CG72)))</f>
        <v>155</v>
      </c>
      <c r="BZ73" s="13">
        <f>BY73*VLOOKUP('Données projet'!$B$12,Paramètres!$A$1:$I$89,3,0)*VLOOKUP('Données projet'!$B$12,Paramètres!$A$1:$I$89,5,0)</f>
        <v>120.9</v>
      </c>
      <c r="CA73" s="13">
        <f t="shared" si="93"/>
        <v>31.884818143351602</v>
      </c>
      <c r="CB73" s="20">
        <f t="shared" si="64"/>
        <v>266.10022493300403</v>
      </c>
      <c r="CC73" s="59">
        <f t="shared" si="65"/>
        <v>532.50576907001346</v>
      </c>
      <c r="CD73" s="59">
        <f ca="1">AVERAGE(OFFSET($CC$3,0,0,'Données projet'!$E$12+1,1))-AVERAGE(OFFSET($H$3,0,0,'Données projet'!$E$12+1,1))</f>
        <v>250.01410333089137</v>
      </c>
      <c r="CE73" s="59">
        <f t="shared" si="94"/>
        <v>169.55868564318885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10.992152835490712</v>
      </c>
      <c r="CL73" s="21">
        <f>EXP(-LN(2)/25)*CL72+(1-EXP(-LN(2)/25))/(LN(2)/25)*Calculateur!CG73*Calculateur!CI73*VLOOKUP('Données projet'!$B$12,Paramètres!$A$1:$I$89,3,0)*0.475*44/12</f>
        <v>7.2587595019296902</v>
      </c>
      <c r="CM73" s="21">
        <f>EXP(-LN(2)/2)*CM72+(1-EXP(-LN(2)/2))/(LN(2)/2)*CG73*CJ73*VLOOKUP('Données projet'!$B$12,Paramètres!$A$1:$I$89,3,0)*0.475*44/12</f>
        <v>3.5715645266268714</v>
      </c>
      <c r="CN73" s="22">
        <f t="shared" si="66"/>
        <v>21.822476864047275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</v>
      </c>
      <c r="N74" s="13">
        <f>IF('Données projet'!$A$36&gt;35,N73+M74-V73,IF(A74&lt;'Données projet'!$A$36,$K$205^A74,IF(A74='Données projet'!$A$36,'Données projet'!$B$36,N73+M74-V73)))</f>
        <v>161</v>
      </c>
      <c r="O74" s="13">
        <f>N74*VLOOKUP('Données projet'!$B$9,Paramètres!$A$1:$I$89,3,0)*VLOOKUP('Données projet'!$B$9,Paramètres!$A$1:$I$89,5,0)</f>
        <v>145.6728</v>
      </c>
      <c r="P74" s="13">
        <f t="shared" si="87"/>
        <v>37.593544857919731</v>
      </c>
      <c r="Q74" s="20">
        <f t="shared" si="54"/>
        <v>319.18888396087686</v>
      </c>
      <c r="R74" s="59">
        <f t="shared" si="55"/>
        <v>586.06156503892475</v>
      </c>
      <c r="S74" s="59">
        <f ca="1">AVERAGE(OFFSET($R$3,0,0,'Données projet'!$E$9+1,1))-AVERAGE(OFFSET($H$3,0,0,'Données projet'!$E$9+1,1))</f>
        <v>469.5773392354356</v>
      </c>
      <c r="T74" s="59">
        <f t="shared" si="88"/>
        <v>187.25344022835239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8.5235045016227495</v>
      </c>
      <c r="AA74" s="21">
        <f>EXP(-LN(2)/25)*AA73+(1-EXP(-LN(2)/25))/(LN(2)/25)*Calculateur!V74*Calculateur!X74*VLOOKUP('Données projet'!$B$9,Paramètres!$A$1:$I$89,3,0)*0.475*44/12</f>
        <v>6.9014237231817956</v>
      </c>
      <c r="AB74" s="21">
        <f>EXP(-LN(2)/2)*AB73+(1-EXP(-LN(2)/2))/(LN(2)/2)*V74*Y74*VLOOKUP('Données projet'!$B$9,Paramètres!$A$1:$I$89,3,0)*0.475*44/12</f>
        <v>3.1103291464597609</v>
      </c>
      <c r="AC74" s="22">
        <f t="shared" si="57"/>
        <v>18.535257371264308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</v>
      </c>
      <c r="AI74" s="13">
        <f>IF('Données projet'!$A$62&gt;35,AI73+AH74-AQ73,IF(A74&lt;'Données projet'!$A$62,$AF$205^A74,IF(A74='Données projet'!$A$62,'Données projet'!$B$62,AI73+AH74-AQ73)))</f>
        <v>161</v>
      </c>
      <c r="AJ74" s="13">
        <f>AI74*VLOOKUP('Données projet'!$B$10,Paramètres!$A$1:$I$89,3,0)*VLOOKUP('Données projet'!$B$10,Paramètres!$A$1:$I$89,5,0)</f>
        <v>155.7192</v>
      </c>
      <c r="AK74" s="13">
        <f t="shared" si="89"/>
        <v>39.875450340770094</v>
      </c>
      <c r="AL74" s="20">
        <f t="shared" si="58"/>
        <v>340.66068267684119</v>
      </c>
      <c r="AM74" s="59">
        <f t="shared" si="59"/>
        <v>607.53336375488914</v>
      </c>
      <c r="AN74" s="59">
        <f ca="1">AVERAGE(OFFSET($AM$3,0,0,'Données projet'!$E$10+1,1))-AVERAGE(OFFSET($H$3,0,0,'Données projet'!$E$10+1,1))</f>
        <v>370.91255999489181</v>
      </c>
      <c r="AO74" s="59">
        <f t="shared" si="90"/>
        <v>196.07869248605735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13.362988244443057</v>
      </c>
      <c r="AV74" s="21">
        <f>EXP(-LN(2)/25)*AV73+(1-EXP(-LN(2)/25))/(LN(2)/25)*Calculateur!AQ74*Calculateur!AS74*VLOOKUP('Données projet'!$B$10,Paramètres!$A$1:$I$89,3,0)*0.475*44/12</f>
        <v>8.7547327436185363</v>
      </c>
      <c r="AW74" s="21">
        <f>EXP(-LN(2)/2)*AW73+(1-EXP(-LN(2)/2))/(LN(2)/2)*AQ74*AT74*VLOOKUP('Données projet'!$B$10,Paramètres!$A$1:$I$89,3,0)*0.475*44/12</f>
        <v>3.1315920953167464</v>
      </c>
      <c r="AX74" s="21">
        <f t="shared" si="60"/>
        <v>25.24931308337834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</v>
      </c>
      <c r="BD74" s="12">
        <f>IF('Données projet'!$A$88&gt;35,BD73+BC74-BL73,IF(A74&lt;'Données projet'!$A$88,$BA$205^A74,IF(A74='Données projet'!$A$88,'Données projet'!$B$88,BD73+BC74-BL73)))</f>
        <v>161</v>
      </c>
      <c r="BE74" s="13">
        <f>BD74*VLOOKUP('Données projet'!$B$11,Paramètres!$A$1:$I$89,3,0)*VLOOKUP('Données projet'!$B$11,Paramètres!$A$1:$I$89,5,0)</f>
        <v>173.3004</v>
      </c>
      <c r="BF74" s="13">
        <f t="shared" si="91"/>
        <v>43.82837416766705</v>
      </c>
      <c r="BG74" s="20">
        <f t="shared" si="61"/>
        <v>378.1659483420201</v>
      </c>
      <c r="BH74" s="59">
        <f t="shared" si="62"/>
        <v>645.03862942006799</v>
      </c>
      <c r="BI74" s="59">
        <f ca="1">AVERAGE(OFFSET($BH$3,0,0,'Données projet'!$E$11+1,1))-AVERAGE(OFFSET($H$3,0,0,'Données projet'!$E$11+1,1))</f>
        <v>404.24955007425774</v>
      </c>
      <c r="BJ74" s="59">
        <f t="shared" si="92"/>
        <v>211.49137630071019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14.871712723654369</v>
      </c>
      <c r="BQ74" s="21">
        <f>EXP(-LN(2)/25)*BQ73+(1-EXP(-LN(2)/25))/(LN(2)/25)*Calculateur!BL74*Calculateur!BN74*VLOOKUP('Données projet'!$B$11,Paramètres!$A$1:$I$89,3,0)*0.475*44/12</f>
        <v>9.7431703114464341</v>
      </c>
      <c r="BR74" s="21">
        <f>EXP(-LN(2)/2)*BR73+(1-EXP(-LN(2)/2))/(LN(2)/2)*BL74*BO74*VLOOKUP('Données projet'!$B$11,Paramètres!$A$1:$I$89,3,0)*0.475*44/12</f>
        <v>3.4851589447879916</v>
      </c>
      <c r="BS74" s="22">
        <f t="shared" si="63"/>
        <v>28.100041979888793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</v>
      </c>
      <c r="BY74" s="12">
        <f>IF('Données projet'!$A$114&gt;35,BY73+BX74-CG73,IF(A74&lt;'Données projet'!$A$114,$BV$205^A74,IF(A74='Données projet'!$A$114,'Données projet'!$B$114,BY73+BX74-CG73)))</f>
        <v>161</v>
      </c>
      <c r="BZ74" s="13">
        <f>BY74*VLOOKUP('Données projet'!$B$12,Paramètres!$A$1:$I$89,3,0)*VLOOKUP('Données projet'!$B$12,Paramètres!$A$1:$I$89,5,0)</f>
        <v>125.58</v>
      </c>
      <c r="CA74" s="13">
        <f t="shared" si="93"/>
        <v>32.972980053624219</v>
      </c>
      <c r="CB74" s="20">
        <f t="shared" si="64"/>
        <v>276.14644026006221</v>
      </c>
      <c r="CC74" s="59">
        <f t="shared" si="65"/>
        <v>543.01912133811015</v>
      </c>
      <c r="CD74" s="59">
        <f ca="1">AVERAGE(OFFSET($CC$3,0,0,'Données projet'!$E$12+1,1))-AVERAGE(OFFSET($H$3,0,0,'Données projet'!$E$12+1,1))</f>
        <v>250.01410333089137</v>
      </c>
      <c r="CE74" s="59">
        <f t="shared" si="94"/>
        <v>169.55868564318885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10.776603422937949</v>
      </c>
      <c r="CL74" s="21">
        <f>EXP(-LN(2)/25)*CL73+(1-EXP(-LN(2)/25))/(LN(2)/25)*Calculateur!CG74*Calculateur!CI74*VLOOKUP('Données projet'!$B$12,Paramètres!$A$1:$I$89,3,0)*0.475*44/12</f>
        <v>7.0602683416278511</v>
      </c>
      <c r="CM74" s="21">
        <f>EXP(-LN(2)/2)*CM73+(1-EXP(-LN(2)/2))/(LN(2)/2)*CG74*CJ74*VLOOKUP('Données projet'!$B$12,Paramètres!$A$1:$I$89,3,0)*0.475*44/12</f>
        <v>2.5254774962231825</v>
      </c>
      <c r="CN74" s="22">
        <f t="shared" si="66"/>
        <v>20.362349260788982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</v>
      </c>
      <c r="N75" s="13">
        <f>IF('Données projet'!$A$36&gt;35,N74+M75-V74,IF(A75&lt;'Données projet'!$A$36,$K$205^A75,IF(A75='Données projet'!$A$36,'Données projet'!$B$36,N74+M75-V74)))</f>
        <v>167</v>
      </c>
      <c r="O75" s="13">
        <f>N75*VLOOKUP('Données projet'!$B$9,Paramètres!$A$1:$I$89,3,0)*VLOOKUP('Données projet'!$B$9,Paramètres!$A$1:$I$89,5,0)</f>
        <v>151.10159999999999</v>
      </c>
      <c r="P75" s="13">
        <f t="shared" si="87"/>
        <v>38.82882146347977</v>
      </c>
      <c r="Q75" s="20">
        <f t="shared" si="54"/>
        <v>330.79548404889391</v>
      </c>
      <c r="R75" s="59">
        <f t="shared" si="55"/>
        <v>598.12719828641502</v>
      </c>
      <c r="S75" s="59">
        <f ca="1">AVERAGE(OFFSET($R$3,0,0,'Données projet'!$E$9+1,1))-AVERAGE(OFFSET($H$3,0,0,'Données projet'!$E$9+1,1))</f>
        <v>469.5773392354356</v>
      </c>
      <c r="T75" s="59">
        <f t="shared" si="88"/>
        <v>187.25344022835239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8.3563637771703316</v>
      </c>
      <c r="AA75" s="21">
        <f>EXP(-LN(2)/25)*AA74+(1-EXP(-LN(2)/25))/(LN(2)/25)*Calculateur!V75*Calculateur!X75*VLOOKUP('Données projet'!$B$9,Paramètres!$A$1:$I$89,3,0)*0.475*44/12</f>
        <v>6.7127039285412895</v>
      </c>
      <c r="AB75" s="21">
        <f>EXP(-LN(2)/2)*AB74+(1-EXP(-LN(2)/2))/(LN(2)/2)*V75*Y75*VLOOKUP('Données projet'!$B$9,Paramètres!$A$1:$I$89,3,0)*0.475*44/12</f>
        <v>2.1993348311838634</v>
      </c>
      <c r="AC75" s="22">
        <f t="shared" si="57"/>
        <v>17.268402536895486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</v>
      </c>
      <c r="AI75" s="13">
        <f>IF('Données projet'!$A$62&gt;35,AI74+AH75-AQ74,IF(A75&lt;'Données projet'!$A$62,$AF$205^A75,IF(A75='Données projet'!$A$62,'Données projet'!$B$62,AI74+AH75-AQ74)))</f>
        <v>167</v>
      </c>
      <c r="AJ75" s="13">
        <f>AI75*VLOOKUP('Données projet'!$B$10,Paramètres!$A$1:$I$89,3,0)*VLOOKUP('Données projet'!$B$10,Paramètres!$A$1:$I$89,5,0)</f>
        <v>161.5224</v>
      </c>
      <c r="AK75" s="13">
        <f t="shared" si="89"/>
        <v>41.185707490721896</v>
      </c>
      <c r="AL75" s="20">
        <f t="shared" si="58"/>
        <v>353.04995387967392</v>
      </c>
      <c r="AM75" s="59">
        <f t="shared" si="59"/>
        <v>620.38166811719498</v>
      </c>
      <c r="AN75" s="59">
        <f ca="1">AVERAGE(OFFSET($AM$3,0,0,'Données projet'!$E$10+1,1))-AVERAGE(OFFSET($H$3,0,0,'Données projet'!$E$10+1,1))</f>
        <v>370.91255999489181</v>
      </c>
      <c r="AO75" s="59">
        <f t="shared" si="90"/>
        <v>196.07869248605735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13.100948195587552</v>
      </c>
      <c r="AV75" s="21">
        <f>EXP(-LN(2)/25)*AV74+(1-EXP(-LN(2)/25))/(LN(2)/25)*Calculateur!AQ75*Calculateur!AS75*VLOOKUP('Données projet'!$B$10,Paramètres!$A$1:$I$89,3,0)*0.475*44/12</f>
        <v>8.5153341163529017</v>
      </c>
      <c r="AW75" s="21">
        <f>EXP(-LN(2)/2)*AW74+(1-EXP(-LN(2)/2))/(LN(2)/2)*AQ75*AT75*VLOOKUP('Données projet'!$B$10,Paramètres!$A$1:$I$89,3,0)*0.475*44/12</f>
        <v>2.2143700065086604</v>
      </c>
      <c r="AX75" s="21">
        <f t="shared" si="60"/>
        <v>23.830652318449111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</v>
      </c>
      <c r="BD75" s="12">
        <f>IF('Données projet'!$A$88&gt;35,BD74+BC75-BL74,IF(A75&lt;'Données projet'!$A$88,$BA$205^A75,IF(A75='Données projet'!$A$88,'Données projet'!$B$88,BD74+BC75-BL74)))</f>
        <v>167</v>
      </c>
      <c r="BE75" s="13">
        <f>BD75*VLOOKUP('Données projet'!$B$11,Paramètres!$A$1:$I$89,3,0)*VLOOKUP('Données projet'!$B$11,Paramètres!$A$1:$I$89,5,0)</f>
        <v>179.75879999999998</v>
      </c>
      <c r="BF75" s="13">
        <f t="shared" si="91"/>
        <v>45.268519423286527</v>
      </c>
      <c r="BG75" s="20">
        <f t="shared" si="61"/>
        <v>391.92258132889066</v>
      </c>
      <c r="BH75" s="59">
        <f t="shared" si="62"/>
        <v>659.25429556641177</v>
      </c>
      <c r="BI75" s="59">
        <f ca="1">AVERAGE(OFFSET($BH$3,0,0,'Données projet'!$E$11+1,1))-AVERAGE(OFFSET($H$3,0,0,'Données projet'!$E$11+1,1))</f>
        <v>404.24955007425774</v>
      </c>
      <c r="BJ75" s="59">
        <f t="shared" si="92"/>
        <v>211.49137630071019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14.580087507992596</v>
      </c>
      <c r="BQ75" s="21">
        <f>EXP(-LN(2)/25)*BQ74+(1-EXP(-LN(2)/25))/(LN(2)/25)*Calculateur!BL75*Calculateur!BN75*VLOOKUP('Données projet'!$B$11,Paramètres!$A$1:$I$89,3,0)*0.475*44/12</f>
        <v>9.4767428069088737</v>
      </c>
      <c r="BR75" s="21">
        <f>EXP(-LN(2)/2)*BR74+(1-EXP(-LN(2)/2))/(LN(2)/2)*BL75*BO75*VLOOKUP('Données projet'!$B$11,Paramètres!$A$1:$I$89,3,0)*0.475*44/12</f>
        <v>2.4643795233725414</v>
      </c>
      <c r="BS75" s="22">
        <f t="shared" si="63"/>
        <v>26.521209838274011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</v>
      </c>
      <c r="BY75" s="12">
        <f>IF('Données projet'!$A$114&gt;35,BY74+BX75-CG74,IF(A75&lt;'Données projet'!$A$114,$BV$205^A75,IF(A75='Données projet'!$A$114,'Données projet'!$B$114,BY74+BX75-CG74)))</f>
        <v>167</v>
      </c>
      <c r="BZ75" s="13">
        <f>BY75*VLOOKUP('Données projet'!$B$12,Paramètres!$A$1:$I$89,3,0)*VLOOKUP('Données projet'!$B$12,Paramètres!$A$1:$I$89,5,0)</f>
        <v>130.26</v>
      </c>
      <c r="CA75" s="13">
        <f t="shared" si="93"/>
        <v>34.056430710639319</v>
      </c>
      <c r="CB75" s="20">
        <f t="shared" si="64"/>
        <v>286.18445015436345</v>
      </c>
      <c r="CC75" s="59">
        <f t="shared" si="65"/>
        <v>553.51616439188456</v>
      </c>
      <c r="CD75" s="59">
        <f ca="1">AVERAGE(OFFSET($CC$3,0,0,'Données projet'!$E$12+1,1))-AVERAGE(OFFSET($H$3,0,0,'Données projet'!$E$12+1,1))</f>
        <v>250.01410333089137</v>
      </c>
      <c r="CE75" s="59">
        <f t="shared" si="94"/>
        <v>169.55868564318885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10.565280802893186</v>
      </c>
      <c r="CL75" s="21">
        <f>EXP(-LN(2)/25)*CL74+(1-EXP(-LN(2)/25))/(LN(2)/25)*Calculateur!CG75*Calculateur!CI75*VLOOKUP('Données projet'!$B$12,Paramètres!$A$1:$I$89,3,0)*0.475*44/12</f>
        <v>6.8672049325426618</v>
      </c>
      <c r="CM75" s="21">
        <f>EXP(-LN(2)/2)*CM74+(1-EXP(-LN(2)/2))/(LN(2)/2)*CG75*CJ75*VLOOKUP('Données projet'!$B$12,Paramètres!$A$1:$I$89,3,0)*0.475*44/12</f>
        <v>1.7857822633134359</v>
      </c>
      <c r="CN75" s="22">
        <f t="shared" si="66"/>
        <v>19.218267998749283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</v>
      </c>
      <c r="N76" s="13">
        <f>IF('Données projet'!$A$36&gt;35,N75+M76-V75,IF(A76&lt;'Données projet'!$A$36,$K$205^A76,IF(A76='Données projet'!$A$36,'Données projet'!$B$36,N75+M76-V75)))</f>
        <v>173</v>
      </c>
      <c r="O76" s="13">
        <f>N76*VLOOKUP('Données projet'!$B$9,Paramètres!$A$1:$I$89,3,0)*VLOOKUP('Données projet'!$B$9,Paramètres!$A$1:$I$89,5,0)</f>
        <v>156.53039999999999</v>
      </c>
      <c r="P76" s="13">
        <f t="shared" si="87"/>
        <v>40.058941713182037</v>
      </c>
      <c r="Q76" s="20">
        <f t="shared" si="54"/>
        <v>342.393103483792</v>
      </c>
      <c r="R76" s="59">
        <f t="shared" si="55"/>
        <v>610.17588768171379</v>
      </c>
      <c r="S76" s="59">
        <f ca="1">AVERAGE(OFFSET($R$3,0,0,'Données projet'!$E$9+1,1))-AVERAGE(OFFSET($H$3,0,0,'Données projet'!$E$9+1,1))</f>
        <v>469.5773392354356</v>
      </c>
      <c r="T76" s="59">
        <f t="shared" si="88"/>
        <v>187.25344022835239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8.1925005803786508</v>
      </c>
      <c r="AA76" s="21">
        <f>EXP(-LN(2)/25)*AA75+(1-EXP(-LN(2)/25))/(LN(2)/25)*Calculateur!V76*Calculateur!X76*VLOOKUP('Données projet'!$B$9,Paramètres!$A$1:$I$89,3,0)*0.475*44/12</f>
        <v>6.5291446866095706</v>
      </c>
      <c r="AB76" s="21">
        <f>EXP(-LN(2)/2)*AB75+(1-EXP(-LN(2)/2))/(LN(2)/2)*V76*Y76*VLOOKUP('Données projet'!$B$9,Paramètres!$A$1:$I$89,3,0)*0.475*44/12</f>
        <v>1.5551645732298807</v>
      </c>
      <c r="AC76" s="22">
        <f t="shared" si="57"/>
        <v>16.276809840218103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</v>
      </c>
      <c r="AI76" s="13">
        <f>IF('Données projet'!$A$62&gt;35,AI75+AH76-AQ75,IF(A76&lt;'Données projet'!$A$62,$AF$205^A76,IF(A76='Données projet'!$A$62,'Données projet'!$B$62,AI75+AH76-AQ75)))</f>
        <v>173</v>
      </c>
      <c r="AJ76" s="13">
        <f>AI76*VLOOKUP('Données projet'!$B$10,Paramètres!$A$1:$I$89,3,0)*VLOOKUP('Données projet'!$B$10,Paramètres!$A$1:$I$89,5,0)</f>
        <v>167.32560000000001</v>
      </c>
      <c r="AK76" s="13">
        <f t="shared" si="89"/>
        <v>42.490495297127609</v>
      </c>
      <c r="AL76" s="20">
        <f t="shared" si="58"/>
        <v>365.42969930916388</v>
      </c>
      <c r="AM76" s="59">
        <f t="shared" si="59"/>
        <v>633.21248350708561</v>
      </c>
      <c r="AN76" s="59">
        <f ca="1">AVERAGE(OFFSET($AM$3,0,0,'Données projet'!$E$10+1,1))-AVERAGE(OFFSET($H$3,0,0,'Données projet'!$E$10+1,1))</f>
        <v>370.91255999489181</v>
      </c>
      <c r="AO76" s="59">
        <f t="shared" si="90"/>
        <v>196.07869248605735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12.844046592261455</v>
      </c>
      <c r="AV76" s="21">
        <f>EXP(-LN(2)/25)*AV75+(1-EXP(-LN(2)/25))/(LN(2)/25)*Calculateur!AQ76*Calculateur!AS76*VLOOKUP('Données projet'!$B$10,Paramètres!$A$1:$I$89,3,0)*0.475*44/12</f>
        <v>8.2824818571392722</v>
      </c>
      <c r="AW76" s="21">
        <f>EXP(-LN(2)/2)*AW75+(1-EXP(-LN(2)/2))/(LN(2)/2)*AQ76*AT76*VLOOKUP('Données projet'!$B$10,Paramètres!$A$1:$I$89,3,0)*0.475*44/12</f>
        <v>1.5657960476583732</v>
      </c>
      <c r="AX76" s="21">
        <f t="shared" si="60"/>
        <v>22.692324497059101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</v>
      </c>
      <c r="BD76" s="12">
        <f>IF('Données projet'!$A$88&gt;35,BD75+BC76-BL75,IF(A76&lt;'Données projet'!$A$88,$BA$205^A76,IF(A76='Données projet'!$A$88,'Données projet'!$B$88,BD75+BC76-BL75)))</f>
        <v>173</v>
      </c>
      <c r="BE76" s="13">
        <f>BD76*VLOOKUP('Données projet'!$B$11,Paramètres!$A$1:$I$89,3,0)*VLOOKUP('Données projet'!$B$11,Paramètres!$A$1:$I$89,5,0)</f>
        <v>186.21719999999999</v>
      </c>
      <c r="BF76" s="13">
        <f t="shared" si="91"/>
        <v>46.702653149673253</v>
      </c>
      <c r="BG76" s="20">
        <f t="shared" si="61"/>
        <v>405.66874423568089</v>
      </c>
      <c r="BH76" s="59">
        <f t="shared" si="62"/>
        <v>673.45152843360268</v>
      </c>
      <c r="BI76" s="59">
        <f ca="1">AVERAGE(OFFSET($BH$3,0,0,'Données projet'!$E$11+1,1))-AVERAGE(OFFSET($H$3,0,0,'Données projet'!$E$11+1,1))</f>
        <v>404.24955007425774</v>
      </c>
      <c r="BJ76" s="59">
        <f t="shared" si="92"/>
        <v>211.49137630071019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14.294180884936132</v>
      </c>
      <c r="BQ76" s="21">
        <f>EXP(-LN(2)/25)*BQ75+(1-EXP(-LN(2)/25))/(LN(2)/25)*Calculateur!BL76*Calculateur!BN76*VLOOKUP('Données projet'!$B$11,Paramètres!$A$1:$I$89,3,0)*0.475*44/12</f>
        <v>9.2176007764937058</v>
      </c>
      <c r="BR76" s="21">
        <f>EXP(-LN(2)/2)*BR75+(1-EXP(-LN(2)/2))/(LN(2)/2)*BL76*BO76*VLOOKUP('Données projet'!$B$11,Paramètres!$A$1:$I$89,3,0)*0.475*44/12</f>
        <v>1.742579472393996</v>
      </c>
      <c r="BS76" s="22">
        <f t="shared" si="63"/>
        <v>25.254361133823831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</v>
      </c>
      <c r="BY76" s="12">
        <f>IF('Données projet'!$A$114&gt;35,BY75+BX76-CG75,IF(A76&lt;'Données projet'!$A$114,$BV$205^A76,IF(A76='Données projet'!$A$114,'Données projet'!$B$114,BY75+BX76-CG75)))</f>
        <v>173</v>
      </c>
      <c r="BZ76" s="13">
        <f>BY76*VLOOKUP('Données projet'!$B$12,Paramètres!$A$1:$I$89,3,0)*VLOOKUP('Données projet'!$B$12,Paramètres!$A$1:$I$89,5,0)</f>
        <v>134.94</v>
      </c>
      <c r="CA76" s="13">
        <f t="shared" si="93"/>
        <v>35.135358771568036</v>
      </c>
      <c r="CB76" s="20">
        <f t="shared" si="64"/>
        <v>296.21458319381429</v>
      </c>
      <c r="CC76" s="59">
        <f t="shared" si="65"/>
        <v>563.99736739173613</v>
      </c>
      <c r="CD76" s="59">
        <f ca="1">AVERAGE(OFFSET($CC$3,0,0,'Données projet'!$E$12+1,1))-AVERAGE(OFFSET($H$3,0,0,'Données projet'!$E$12+1,1))</f>
        <v>250.01410333089137</v>
      </c>
      <c r="CE76" s="59">
        <f t="shared" si="94"/>
        <v>169.55868564318885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10.35810209053343</v>
      </c>
      <c r="CL76" s="21">
        <f>EXP(-LN(2)/25)*CL75+(1-EXP(-LN(2)/25))/(LN(2)/25)*Calculateur!CG76*Calculateur!CI76*VLOOKUP('Données projet'!$B$12,Paramètres!$A$1:$I$89,3,0)*0.475*44/12</f>
        <v>6.6794208525316705</v>
      </c>
      <c r="CM76" s="21">
        <f>EXP(-LN(2)/2)*CM75+(1-EXP(-LN(2)/2))/(LN(2)/2)*CG76*CJ76*VLOOKUP('Données projet'!$B$12,Paramètres!$A$1:$I$89,3,0)*0.475*44/12</f>
        <v>1.2627387481115915</v>
      </c>
      <c r="CN76" s="22">
        <f t="shared" si="66"/>
        <v>18.30026169117669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</v>
      </c>
      <c r="N77" s="13">
        <f>IF('Données projet'!$A$36&gt;35,N76+M77-V76,IF(A77&lt;'Données projet'!$A$36,$K$205^A77,IF(A77='Données projet'!$A$36,'Données projet'!$B$36,N76+M77-V76)))</f>
        <v>179</v>
      </c>
      <c r="O77" s="13">
        <f>N77*VLOOKUP('Données projet'!$B$9,Paramètres!$A$1:$I$89,3,0)*VLOOKUP('Données projet'!$B$9,Paramètres!$A$1:$I$89,5,0)</f>
        <v>161.95919999999998</v>
      </c>
      <c r="P77" s="13">
        <f t="shared" si="87"/>
        <v>41.284104935125683</v>
      </c>
      <c r="Q77" s="20">
        <f t="shared" si="54"/>
        <v>353.98208942867717</v>
      </c>
      <c r="R77" s="59">
        <f t="shared" si="55"/>
        <v>622.20811853162809</v>
      </c>
      <c r="S77" s="59">
        <f ca="1">AVERAGE(OFFSET($R$3,0,0,'Données projet'!$E$9+1,1))-AVERAGE(OFFSET($H$3,0,0,'Données projet'!$E$9+1,1))</f>
        <v>469.5773392354356</v>
      </c>
      <c r="T77" s="59">
        <f t="shared" si="88"/>
        <v>187.25344022835239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8.031850640929374</v>
      </c>
      <c r="AA77" s="21">
        <f>EXP(-LN(2)/25)*AA76+(1-EXP(-LN(2)/25))/(LN(2)/25)*Calculateur!V77*Calculateur!X77*VLOOKUP('Données projet'!$B$9,Paramètres!$A$1:$I$89,3,0)*0.475*44/12</f>
        <v>6.3506048818014351</v>
      </c>
      <c r="AB77" s="21">
        <f>EXP(-LN(2)/2)*AB76+(1-EXP(-LN(2)/2))/(LN(2)/2)*V77*Y77*VLOOKUP('Données projet'!$B$9,Paramètres!$A$1:$I$89,3,0)*0.475*44/12</f>
        <v>1.0996674155919319</v>
      </c>
      <c r="AC77" s="22">
        <f t="shared" si="57"/>
        <v>15.482122938322741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</v>
      </c>
      <c r="AI77" s="13">
        <f>IF('Données projet'!$A$62&gt;35,AI76+AH77-AQ76,IF(A77&lt;'Données projet'!$A$62,$AF$205^A77,IF(A77='Données projet'!$A$62,'Données projet'!$B$62,AI76+AH77-AQ76)))</f>
        <v>179</v>
      </c>
      <c r="AJ77" s="13">
        <f>AI77*VLOOKUP('Données projet'!$B$10,Paramètres!$A$1:$I$89,3,0)*VLOOKUP('Données projet'!$B$10,Paramètres!$A$1:$I$89,5,0)</f>
        <v>173.12880000000001</v>
      </c>
      <c r="AK77" s="13">
        <f t="shared" si="89"/>
        <v>43.790025187181634</v>
      </c>
      <c r="AL77" s="20">
        <f t="shared" si="58"/>
        <v>377.80028720100808</v>
      </c>
      <c r="AM77" s="59">
        <f t="shared" si="59"/>
        <v>646.02631630395899</v>
      </c>
      <c r="AN77" s="59">
        <f ca="1">AVERAGE(OFFSET($AM$3,0,0,'Données projet'!$E$10+1,1))-AVERAGE(OFFSET($H$3,0,0,'Données projet'!$E$10+1,1))</f>
        <v>370.91255999489181</v>
      </c>
      <c r="AO77" s="59">
        <f t="shared" si="90"/>
        <v>196.07869248605735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12.592182672682076</v>
      </c>
      <c r="AV77" s="21">
        <f>EXP(-LN(2)/25)*AV76+(1-EXP(-LN(2)/25))/(LN(2)/25)*Calculateur!AQ77*Calculateur!AS77*VLOOKUP('Données projet'!$B$10,Paramètres!$A$1:$I$89,3,0)*0.475*44/12</f>
        <v>8.0559969551990083</v>
      </c>
      <c r="AW77" s="21">
        <f>EXP(-LN(2)/2)*AW76+(1-EXP(-LN(2)/2))/(LN(2)/2)*AQ77*AT77*VLOOKUP('Données projet'!$B$10,Paramètres!$A$1:$I$89,3,0)*0.475*44/12</f>
        <v>1.1071850032543302</v>
      </c>
      <c r="AX77" s="21">
        <f t="shared" si="60"/>
        <v>21.755364631135414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</v>
      </c>
      <c r="BD77" s="12">
        <f>IF('Données projet'!$A$88&gt;35,BD76+BC77-BL76,IF(A77&lt;'Données projet'!$A$88,$BA$205^A77,IF(A77='Données projet'!$A$88,'Données projet'!$B$88,BD76+BC77-BL76)))</f>
        <v>179</v>
      </c>
      <c r="BE77" s="13">
        <f>BD77*VLOOKUP('Données projet'!$B$11,Paramètres!$A$1:$I$89,3,0)*VLOOKUP('Données projet'!$B$11,Paramètres!$A$1:$I$89,5,0)</f>
        <v>192.6756</v>
      </c>
      <c r="BF77" s="13">
        <f t="shared" si="91"/>
        <v>48.131007733172986</v>
      </c>
      <c r="BG77" s="20">
        <f t="shared" si="61"/>
        <v>419.40484180194295</v>
      </c>
      <c r="BH77" s="59">
        <f t="shared" si="62"/>
        <v>687.63087090489375</v>
      </c>
      <c r="BI77" s="59">
        <f ca="1">AVERAGE(OFFSET($BH$3,0,0,'Données projet'!$E$11+1,1))-AVERAGE(OFFSET($H$3,0,0,'Données projet'!$E$11+1,1))</f>
        <v>404.24955007425774</v>
      </c>
      <c r="BJ77" s="59">
        <f t="shared" si="92"/>
        <v>211.49137630071019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14.013880716371986</v>
      </c>
      <c r="BQ77" s="21">
        <f>EXP(-LN(2)/25)*BQ76+(1-EXP(-LN(2)/25))/(LN(2)/25)*Calculateur!BL77*Calculateur!BN77*VLOOKUP('Données projet'!$B$11,Paramètres!$A$1:$I$89,3,0)*0.475*44/12</f>
        <v>8.9655449985279283</v>
      </c>
      <c r="BR77" s="21">
        <f>EXP(-LN(2)/2)*BR76+(1-EXP(-LN(2)/2))/(LN(2)/2)*BL77*BO77*VLOOKUP('Données projet'!$B$11,Paramètres!$A$1:$I$89,3,0)*0.475*44/12</f>
        <v>1.2321897616862709</v>
      </c>
      <c r="BS77" s="22">
        <f t="shared" si="63"/>
        <v>24.211615476586186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</v>
      </c>
      <c r="BY77" s="12">
        <f>IF('Données projet'!$A$114&gt;35,BY76+BX77-CG76,IF(A77&lt;'Données projet'!$A$114,$BV$205^A77,IF(A77='Données projet'!$A$114,'Données projet'!$B$114,BY76+BX77-CG76)))</f>
        <v>179</v>
      </c>
      <c r="BZ77" s="13">
        <f>BY77*VLOOKUP('Données projet'!$B$12,Paramètres!$A$1:$I$89,3,0)*VLOOKUP('Données projet'!$B$12,Paramètres!$A$1:$I$89,5,0)</f>
        <v>139.62</v>
      </c>
      <c r="CA77" s="13">
        <f t="shared" si="93"/>
        <v>36.209939065399325</v>
      </c>
      <c r="CB77" s="20">
        <f t="shared" si="64"/>
        <v>306.23714387223714</v>
      </c>
      <c r="CC77" s="59">
        <f t="shared" si="65"/>
        <v>574.46317297518794</v>
      </c>
      <c r="CD77" s="59">
        <f ca="1">AVERAGE(OFFSET($CC$3,0,0,'Données projet'!$E$12+1,1))-AVERAGE(OFFSET($H$3,0,0,'Données projet'!$E$12+1,1))</f>
        <v>250.01410333089137</v>
      </c>
      <c r="CE77" s="59">
        <f t="shared" si="94"/>
        <v>169.55868564318885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10.154986026356513</v>
      </c>
      <c r="CL77" s="21">
        <f>EXP(-LN(2)/25)*CL76+(1-EXP(-LN(2)/25))/(LN(2)/25)*Calculateur!CG77*Calculateur!CI77*VLOOKUP('Données projet'!$B$12,Paramètres!$A$1:$I$89,3,0)*0.475*44/12</f>
        <v>6.4967717380637158</v>
      </c>
      <c r="CM77" s="21">
        <f>EXP(-LN(2)/2)*CM76+(1-EXP(-LN(2)/2))/(LN(2)/2)*CG77*CJ77*VLOOKUP('Données projet'!$B$12,Paramètres!$A$1:$I$89,3,0)*0.475*44/12</f>
        <v>0.89289113165671807</v>
      </c>
      <c r="CN77" s="22">
        <f t="shared" si="66"/>
        <v>17.544648896076946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</v>
      </c>
      <c r="N78" s="13">
        <f>IF('Données projet'!$A$36&gt;35,N77+M78-V77,IF(A78&lt;'Données projet'!$A$36,$K$205^A78,IF(A78='Données projet'!$A$36,'Données projet'!$B$36,N77+M78-V77)))</f>
        <v>185</v>
      </c>
      <c r="O78" s="13">
        <f>N78*VLOOKUP('Données projet'!$B$9,Paramètres!$A$1:$I$89,3,0)*VLOOKUP('Données projet'!$B$9,Paramètres!$A$1:$I$89,5,0)</f>
        <v>167.38800000000001</v>
      </c>
      <c r="P78" s="13">
        <f t="shared" si="87"/>
        <v>42.5044963364263</v>
      </c>
      <c r="Q78" s="20">
        <f t="shared" si="54"/>
        <v>365.56276445260909</v>
      </c>
      <c r="R78" s="59">
        <f t="shared" si="55"/>
        <v>634.22434915243389</v>
      </c>
      <c r="S78" s="59">
        <f ca="1">AVERAGE(OFFSET($R$3,0,0,'Données projet'!$E$9+1,1))-AVERAGE(OFFSET($H$3,0,0,'Données projet'!$E$9+1,1))</f>
        <v>469.5773392354356</v>
      </c>
      <c r="T78" s="59">
        <f t="shared" si="88"/>
        <v>187.25344022835239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7.8743509488059091</v>
      </c>
      <c r="AA78" s="21">
        <f>EXP(-LN(2)/25)*AA77+(1-EXP(-LN(2)/25))/(LN(2)/25)*Calculateur!V78*Calculateur!X78*VLOOKUP('Données projet'!$B$9,Paramètres!$A$1:$I$89,3,0)*0.475*44/12</f>
        <v>6.1769472573447786</v>
      </c>
      <c r="AB78" s="21">
        <f>EXP(-LN(2)/2)*AB77+(1-EXP(-LN(2)/2))/(LN(2)/2)*V78*Y78*VLOOKUP('Données projet'!$B$9,Paramètres!$A$1:$I$89,3,0)*0.475*44/12</f>
        <v>0.77758228661494044</v>
      </c>
      <c r="AC78" s="22">
        <f t="shared" si="57"/>
        <v>14.828880492765627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</v>
      </c>
      <c r="AI78" s="13">
        <f>IF('Données projet'!$A$62&gt;35,AI77+AH78-AQ77,IF(A78&lt;'Données projet'!$A$62,$AF$205^A78,IF(A78='Données projet'!$A$62,'Données projet'!$B$62,AI77+AH78-AQ77)))</f>
        <v>185</v>
      </c>
      <c r="AJ78" s="13">
        <f>AI78*VLOOKUP('Données projet'!$B$10,Paramètres!$A$1:$I$89,3,0)*VLOOKUP('Données projet'!$B$10,Paramètres!$A$1:$I$89,5,0)</f>
        <v>178.93200000000002</v>
      </c>
      <c r="AK78" s="13">
        <f t="shared" si="89"/>
        <v>45.084493609959594</v>
      </c>
      <c r="AL78" s="20">
        <f t="shared" si="58"/>
        <v>390.16205970401296</v>
      </c>
      <c r="AM78" s="59">
        <f t="shared" si="59"/>
        <v>658.82364440383776</v>
      </c>
      <c r="AN78" s="59">
        <f ca="1">AVERAGE(OFFSET($AM$3,0,0,'Données projet'!$E$10+1,1))-AVERAGE(OFFSET($H$3,0,0,'Données projet'!$E$10+1,1))</f>
        <v>370.91255999489181</v>
      </c>
      <c r="AO78" s="59">
        <f t="shared" si="90"/>
        <v>196.07869248605735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12.345257650943827</v>
      </c>
      <c r="AV78" s="21">
        <f>EXP(-LN(2)/25)*AV77+(1-EXP(-LN(2)/25))/(LN(2)/25)*Calculateur!AQ78*Calculateur!AS78*VLOOKUP('Données projet'!$B$10,Paramètres!$A$1:$I$89,3,0)*0.475*44/12</f>
        <v>7.835705294812624</v>
      </c>
      <c r="AW78" s="21">
        <f>EXP(-LN(2)/2)*AW77+(1-EXP(-LN(2)/2))/(LN(2)/2)*AQ78*AT78*VLOOKUP('Données projet'!$B$10,Paramètres!$A$1:$I$89,3,0)*0.475*44/12</f>
        <v>0.78289802382918661</v>
      </c>
      <c r="AX78" s="21">
        <f t="shared" si="60"/>
        <v>20.963860969585639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</v>
      </c>
      <c r="BD78" s="12">
        <f>IF('Données projet'!$A$88&gt;35,BD77+BC78-BL77,IF(A78&lt;'Données projet'!$A$88,$BA$205^A78,IF(A78='Données projet'!$A$88,'Données projet'!$B$88,BD77+BC78-BL77)))</f>
        <v>185</v>
      </c>
      <c r="BE78" s="13">
        <f>BD78*VLOOKUP('Données projet'!$B$11,Paramètres!$A$1:$I$89,3,0)*VLOOKUP('Données projet'!$B$11,Paramètres!$A$1:$I$89,5,0)</f>
        <v>199.13399999999999</v>
      </c>
      <c r="BF78" s="13">
        <f t="shared" si="91"/>
        <v>49.553799097205186</v>
      </c>
      <c r="BG78" s="20">
        <f t="shared" si="61"/>
        <v>433.13125009429899</v>
      </c>
      <c r="BH78" s="59">
        <f t="shared" si="62"/>
        <v>701.79283479412379</v>
      </c>
      <c r="BI78" s="59">
        <f ca="1">AVERAGE(OFFSET($BH$3,0,0,'Données projet'!$E$11+1,1))-AVERAGE(OFFSET($H$3,0,0,'Données projet'!$E$11+1,1))</f>
        <v>404.24955007425774</v>
      </c>
      <c r="BJ78" s="59">
        <f t="shared" si="92"/>
        <v>211.49137630071019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13.73907706314716</v>
      </c>
      <c r="BQ78" s="21">
        <f>EXP(-LN(2)/25)*BQ77+(1-EXP(-LN(2)/25))/(LN(2)/25)*Calculateur!BL78*Calculateur!BN78*VLOOKUP('Données projet'!$B$11,Paramètres!$A$1:$I$89,3,0)*0.475*44/12</f>
        <v>8.720381699065662</v>
      </c>
      <c r="BR78" s="21">
        <f>EXP(-LN(2)/2)*BR77+(1-EXP(-LN(2)/2))/(LN(2)/2)*BL78*BO78*VLOOKUP('Données projet'!$B$11,Paramètres!$A$1:$I$89,3,0)*0.475*44/12</f>
        <v>0.87128973619699812</v>
      </c>
      <c r="BS78" s="22">
        <f t="shared" si="63"/>
        <v>23.330748498409822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</v>
      </c>
      <c r="BY78" s="12">
        <f>IF('Données projet'!$A$114&gt;35,BY77+BX78-CG77,IF(A78&lt;'Données projet'!$A$114,$BV$205^A78,IF(A78='Données projet'!$A$114,'Données projet'!$B$114,BY77+BX78-CG77)))</f>
        <v>185</v>
      </c>
      <c r="BZ78" s="13">
        <f>BY78*VLOOKUP('Données projet'!$B$12,Paramètres!$A$1:$I$89,3,0)*VLOOKUP('Données projet'!$B$12,Paramètres!$A$1:$I$89,5,0)</f>
        <v>144.30000000000001</v>
      </c>
      <c r="CA78" s="13">
        <f t="shared" si="93"/>
        <v>37.280334035726824</v>
      </c>
      <c r="CB78" s="20">
        <f t="shared" si="64"/>
        <v>316.25241511222424</v>
      </c>
      <c r="CC78" s="59">
        <f t="shared" si="65"/>
        <v>584.91399981204904</v>
      </c>
      <c r="CD78" s="59">
        <f ca="1">AVERAGE(OFFSET($CC$3,0,0,'Données projet'!$E$12+1,1))-AVERAGE(OFFSET($H$3,0,0,'Données projet'!$E$12+1,1))</f>
        <v>250.01410333089137</v>
      </c>
      <c r="CE78" s="59">
        <f t="shared" si="94"/>
        <v>169.55868564318885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9.9558529443095374</v>
      </c>
      <c r="CL78" s="21">
        <f>EXP(-LN(2)/25)*CL77+(1-EXP(-LN(2)/25))/(LN(2)/25)*Calculateur!CG78*Calculateur!CI78*VLOOKUP('Données projet'!$B$12,Paramètres!$A$1:$I$89,3,0)*0.475*44/12</f>
        <v>6.3191171732359868</v>
      </c>
      <c r="CM78" s="21">
        <f>EXP(-LN(2)/2)*CM77+(1-EXP(-LN(2)/2))/(LN(2)/2)*CG78*CJ78*VLOOKUP('Données projet'!$B$12,Paramètres!$A$1:$I$89,3,0)*0.475*44/12</f>
        <v>0.63136937405579574</v>
      </c>
      <c r="CN78" s="22">
        <f t="shared" si="66"/>
        <v>16.906339491601322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191</v>
      </c>
      <c r="O79" s="13">
        <f>N79*VLOOKUP('Données projet'!$B$9,Paramètres!$A$1:$I$89,3,0)*VLOOKUP('Données projet'!$B$9,Paramètres!$A$1:$I$89,5,0)</f>
        <v>172.81679999999997</v>
      </c>
      <c r="P79" s="13">
        <f t="shared" si="87"/>
        <v>43.720288428787327</v>
      </c>
      <c r="Q79" s="20">
        <f t="shared" si="54"/>
        <v>377.13542901347114</v>
      </c>
      <c r="R79" s="59">
        <f t="shared" si="55"/>
        <v>646.22501339432051</v>
      </c>
      <c r="S79" s="59">
        <f ca="1">AVERAGE(OFFSET($R$3,0,0,'Données projet'!$E$9+1,1))-AVERAGE(OFFSET($H$3,0,0,'Données projet'!$E$9+1,1))</f>
        <v>469.5773392354356</v>
      </c>
      <c r="T79" s="59">
        <f t="shared" si="88"/>
        <v>187.25344022835239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7.719939729579659</v>
      </c>
      <c r="AA79" s="21">
        <f>EXP(-LN(2)/25)*AA78+(1-EXP(-LN(2)/25))/(LN(2)/25)*Calculateur!V79*Calculateur!X79*VLOOKUP('Données projet'!$B$9,Paramètres!$A$1:$I$89,3,0)*0.475*44/12</f>
        <v>6.0080383097611465</v>
      </c>
      <c r="AB79" s="21">
        <f>EXP(-LN(2)/2)*AB78+(1-EXP(-LN(2)/2))/(LN(2)/2)*V79*Y79*VLOOKUP('Données projet'!$B$9,Paramètres!$A$1:$I$89,3,0)*0.475*44/12</f>
        <v>0.54983370779596596</v>
      </c>
      <c r="AC79" s="22">
        <f t="shared" si="57"/>
        <v>14.27781174713677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191</v>
      </c>
      <c r="AJ79" s="13">
        <f>AI79*VLOOKUP('Données projet'!$B$10,Paramètres!$A$1:$I$89,3,0)*VLOOKUP('Données projet'!$B$10,Paramètres!$A$1:$I$89,5,0)</f>
        <v>184.73520000000002</v>
      </c>
      <c r="AK79" s="13">
        <f t="shared" si="89"/>
        <v>46.374083548521348</v>
      </c>
      <c r="AL79" s="20">
        <f t="shared" si="58"/>
        <v>402.5153355136747</v>
      </c>
      <c r="AM79" s="59">
        <f t="shared" si="59"/>
        <v>671.60491989452407</v>
      </c>
      <c r="AN79" s="59">
        <f ca="1">AVERAGE(OFFSET($AM$3,0,0,'Données projet'!$E$10+1,1))-AVERAGE(OFFSET($H$3,0,0,'Données projet'!$E$10+1,1))</f>
        <v>370.91255999489181</v>
      </c>
      <c r="AO79" s="59">
        <f t="shared" si="90"/>
        <v>196.07869248605735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12.103174678272474</v>
      </c>
      <c r="AV79" s="21">
        <f>EXP(-LN(2)/25)*AV78+(1-EXP(-LN(2)/25))/(LN(2)/25)*Calculateur!AQ79*Calculateur!AS79*VLOOKUP('Données projet'!$B$10,Paramètres!$A$1:$I$89,3,0)*0.475*44/12</f>
        <v>7.6214375214641397</v>
      </c>
      <c r="AW79" s="21">
        <f>EXP(-LN(2)/2)*AW78+(1-EXP(-LN(2)/2))/(LN(2)/2)*AQ79*AT79*VLOOKUP('Données projet'!$B$10,Paramètres!$A$1:$I$89,3,0)*0.475*44/12</f>
        <v>0.55359250162716511</v>
      </c>
      <c r="AX79" s="21">
        <f t="shared" si="60"/>
        <v>20.278204701363777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191</v>
      </c>
      <c r="BE79" s="13">
        <f>BD79*VLOOKUP('Données projet'!$B$11,Paramètres!$A$1:$I$89,3,0)*VLOOKUP('Données projet'!$B$11,Paramètres!$A$1:$I$89,5,0)</f>
        <v>205.5924</v>
      </c>
      <c r="BF79" s="13">
        <f t="shared" si="91"/>
        <v>50.971228364263673</v>
      </c>
      <c r="BG79" s="20">
        <f t="shared" si="61"/>
        <v>446.84831940109251</v>
      </c>
      <c r="BH79" s="59">
        <f t="shared" si="62"/>
        <v>715.93790378194194</v>
      </c>
      <c r="BI79" s="59">
        <f ca="1">AVERAGE(OFFSET($BH$3,0,0,'Données projet'!$E$11+1,1))-AVERAGE(OFFSET($H$3,0,0,'Données projet'!$E$11+1,1))</f>
        <v>404.24955007425774</v>
      </c>
      <c r="BJ79" s="59">
        <f t="shared" si="92"/>
        <v>211.49137630071019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13.469662141948396</v>
      </c>
      <c r="BQ79" s="21">
        <f>EXP(-LN(2)/25)*BQ78+(1-EXP(-LN(2)/25))/(LN(2)/25)*Calculateur!BL79*Calculateur!BN79*VLOOKUP('Données projet'!$B$11,Paramètres!$A$1:$I$89,3,0)*0.475*44/12</f>
        <v>8.4819224029197677</v>
      </c>
      <c r="BR79" s="21">
        <f>EXP(-LN(2)/2)*BR78+(1-EXP(-LN(2)/2))/(LN(2)/2)*BL79*BO79*VLOOKUP('Données projet'!$B$11,Paramètres!$A$1:$I$89,3,0)*0.475*44/12</f>
        <v>0.61609488084313546</v>
      </c>
      <c r="BS79" s="22">
        <f t="shared" si="63"/>
        <v>22.567679425711297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191</v>
      </c>
      <c r="BZ79" s="13">
        <f>BY79*VLOOKUP('Données projet'!$B$12,Paramètres!$A$1:$I$89,3,0)*VLOOKUP('Données projet'!$B$12,Paramètres!$A$1:$I$89,5,0)</f>
        <v>148.98000000000002</v>
      </c>
      <c r="CA79" s="13">
        <f t="shared" si="93"/>
        <v>38.346694991105849</v>
      </c>
      <c r="CB79" s="20">
        <f t="shared" si="64"/>
        <v>326.26066044284266</v>
      </c>
      <c r="CC79" s="59">
        <f t="shared" si="65"/>
        <v>595.35024482369204</v>
      </c>
      <c r="CD79" s="59">
        <f ca="1">AVERAGE(OFFSET($CC$3,0,0,'Données projet'!$E$12+1,1))-AVERAGE(OFFSET($H$3,0,0,'Données projet'!$E$12+1,1))</f>
        <v>250.01410333089137</v>
      </c>
      <c r="CE79" s="59">
        <f t="shared" si="94"/>
        <v>169.55868564318885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9.7606247405423172</v>
      </c>
      <c r="CL79" s="21">
        <f>EXP(-LN(2)/25)*CL78+(1-EXP(-LN(2)/25))/(LN(2)/25)*Calculateur!CG79*Calculateur!CI79*VLOOKUP('Données projet'!$B$12,Paramètres!$A$1:$I$89,3,0)*0.475*44/12</f>
        <v>6.1463205818259192</v>
      </c>
      <c r="CM79" s="21">
        <f>EXP(-LN(2)/2)*CM78+(1-EXP(-LN(2)/2))/(LN(2)/2)*CG79*CJ79*VLOOKUP('Données projet'!$B$12,Paramètres!$A$1:$I$89,3,0)*0.475*44/12</f>
        <v>0.44644556582835904</v>
      </c>
      <c r="CN79" s="22">
        <f t="shared" si="66"/>
        <v>16.353390888196596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>
        <f>VLOOKUP(A80,'Données projet'!$A$35:$I$55,2,0)</f>
        <v>197</v>
      </c>
      <c r="L80" s="12">
        <f>VLOOKUP(A80,'Données projet'!$A$35:$I$55,9,0)</f>
        <v>6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197</v>
      </c>
      <c r="O80" s="13">
        <f>N80*VLOOKUP('Données projet'!$B$9,Paramètres!$A$1:$I$89,3,0)*VLOOKUP('Données projet'!$B$9,Paramètres!$A$1:$I$89,5,0)</f>
        <v>178.2456</v>
      </c>
      <c r="P80" s="13">
        <f t="shared" si="87"/>
        <v>44.931642269910427</v>
      </c>
      <c r="Q80" s="20">
        <f t="shared" si="54"/>
        <v>388.70036362009404</v>
      </c>
      <c r="R80" s="59">
        <f t="shared" si="55"/>
        <v>658.21052284436632</v>
      </c>
      <c r="S80" s="59">
        <f ca="1">AVERAGE(OFFSET($R$3,0,0,'Données projet'!$E$9+1,1))-AVERAGE(OFFSET($H$3,0,0,'Données projet'!$E$9+1,1))</f>
        <v>469.5773392354356</v>
      </c>
      <c r="T80" s="59">
        <f t="shared" si="88"/>
        <v>187.25344022835239</v>
      </c>
      <c r="U80" s="15">
        <f>IF(ISNA(VLOOKUP(A80,'Données projet'!$A$35:$I$55,3,0)),0,VLOOKUP(A80,'Données projet'!$A$35:$I$55,3,0))</f>
        <v>8</v>
      </c>
      <c r="V80" s="15">
        <f>IF(ISNA(VLOOKUP(A80,'Données projet'!$A$35:$I$55,4,0)),0,VLOOKUP(A80,'Données projet'!$A$35:$I$55,4,0))</f>
        <v>32</v>
      </c>
      <c r="W80" s="16">
        <f>IF(ISNA(VLOOKUP(A80,'Données projet'!$A$35:$I$55,5,0)),0%,VLOOKUP(A80,'Données projet'!$A$35:$I$55,5,0)*VLOOKUP('Données projet'!$B$9,Paramètres!$A$1:$I$89,7,0))</f>
        <v>0.17200000000000001</v>
      </c>
      <c r="X80" s="16">
        <f>IF(ISNA(VLOOKUP(A80,'Données projet'!$A$35:$I$55,6,0)),0%,VLOOKUP(A80,'Données projet'!$A$35:$I$55,6,0)*VLOOKUP('Données projet'!$B$9,Paramètres!$A$1:$I$89,7,0))</f>
        <v>8.6000000000000007E-2</v>
      </c>
      <c r="Y80" s="16">
        <f>IF(ISNA(VLOOKUP(A80,'Données projet'!$A$35:$I$55,7,0)),0%,VLOOKUP(A80,'Données projet'!$A$35:$I$55,7,0))</f>
        <v>0.2</v>
      </c>
      <c r="Z80" s="21">
        <f>EXP(-LN(2)/35)*Z79+(1-EXP(-LN(2)/35))/(LN(2)/35)*V80*W80*VLOOKUP('Données projet'!$B$9,Paramètres!$A$1:$I$89,3,0)*0.475*44/12</f>
        <v>13.073820135286271</v>
      </c>
      <c r="AA80" s="21">
        <f>EXP(-LN(2)/25)*AA79+(1-EXP(-LN(2)/25))/(LN(2)/25)*Calculateur!V80*Calculateur!X80*VLOOKUP('Données projet'!$B$9,Paramètres!$A$1:$I$89,3,0)*0.475*44/12</f>
        <v>8.5855418833262647</v>
      </c>
      <c r="AB80" s="21">
        <f>EXP(-LN(2)/2)*AB79+(1-EXP(-LN(2)/2))/(LN(2)/2)*V80*Y80*VLOOKUP('Données projet'!$B$9,Paramètres!$A$1:$I$89,3,0)*0.475*44/12</f>
        <v>5.8524913182511842</v>
      </c>
      <c r="AC80" s="22">
        <f t="shared" si="57"/>
        <v>27.511853336863716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>
        <f>VLOOKUP(A80,'Données projet'!$A$61:$I$81,2,0)</f>
        <v>197</v>
      </c>
      <c r="AG80" s="12">
        <f>VLOOKUP(A80,'Données projet'!$A$61:$I$81,9,0)</f>
        <v>6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197</v>
      </c>
      <c r="AJ80" s="13">
        <f>AI80*VLOOKUP('Données projet'!$B$10,Paramètres!$A$1:$I$89,3,0)*VLOOKUP('Données projet'!$B$10,Paramètres!$A$1:$I$89,5,0)</f>
        <v>190.5384</v>
      </c>
      <c r="AK80" s="13">
        <f t="shared" si="89"/>
        <v>47.658965836673829</v>
      </c>
      <c r="AL80" s="20">
        <f t="shared" si="58"/>
        <v>414.86041216554025</v>
      </c>
      <c r="AM80" s="59">
        <f t="shared" si="59"/>
        <v>684.37057138981254</v>
      </c>
      <c r="AN80" s="59">
        <f ca="1">AVERAGE(OFFSET($AM$3,0,0,'Données projet'!$E$10+1,1))-AVERAGE(OFFSET($H$3,0,0,'Données projet'!$E$10+1,1))</f>
        <v>370.91255999489181</v>
      </c>
      <c r="AO80" s="59">
        <f t="shared" si="90"/>
        <v>196.07869248605735</v>
      </c>
      <c r="AP80" s="15">
        <f>IF(ISNA(VLOOKUP(A80,'Données projet'!$A$61:$I$81,3,0)),0,VLOOKUP(A80,'Données projet'!$A$61:$I$81,3,0))</f>
        <v>8</v>
      </c>
      <c r="AQ80" s="15">
        <f>IF(ISNA(VLOOKUP(A80,'Données projet'!$A$61:$I$81,4,0)),0,VLOOKUP(A80,'Données projet'!$A$61:$I$81,4,0))</f>
        <v>32</v>
      </c>
      <c r="AR80" s="16">
        <f>IF(ISNA(VLOOKUP(A80,'Données projet'!$A$61:$I$81,5,0)),0%,VLOOKUP(A80,'Données projet'!$A$61:$I$81,5,0)*VLOOKUP('Données projet'!$B$10,Paramètres!$A$1:$I$89,7,0))</f>
        <v>0.25800000000000001</v>
      </c>
      <c r="AS80" s="16">
        <f>IF(ISNA(VLOOKUP(A80,'Données projet'!$A$61:$I$81,6,0)),0%,VLOOKUP(A80,'Données projet'!$A$61:$I$81,6,0)*VLOOKUP('Données projet'!$B$10,Paramètres!$A$1:$I$89,7,0))</f>
        <v>8.6000000000000007E-2</v>
      </c>
      <c r="AT80" s="16">
        <f>IF(ISNA(VLOOKUP(A80,'Données projet'!$A$61:$I$81,7,0)),0%,VLOOKUP(A80,'Données projet'!$A$61:$I$81,7,0))</f>
        <v>0.1</v>
      </c>
      <c r="AU80" s="21">
        <f>EXP(-LN(2)/35)*AU79+(1-EXP(-LN(2)/35))/(LN(2)/35)*AQ80*AR80*VLOOKUP('Données projet'!$B$10,Paramètres!$A$1:$I$89,3,0)*0.475*44/12</f>
        <v>20.693244417190897</v>
      </c>
      <c r="AV80" s="21">
        <f>EXP(-LN(2)/25)*AV79+(1-EXP(-LN(2)/25))/(LN(2)/25)*Calculateur!AQ80*Calculateur!AS80*VLOOKUP('Données projet'!$B$10,Paramètres!$A$1:$I$89,3,0)*0.475*44/12</f>
        <v>10.34391182922954</v>
      </c>
      <c r="AW80" s="21">
        <f>EXP(-LN(2)/2)*AW79+(1-EXP(-LN(2)/2))/(LN(2)/2)*AQ80*AT80*VLOOKUP('Données projet'!$B$10,Paramètres!$A$1:$I$89,3,0)*0.475*44/12</f>
        <v>3.3117025536948543</v>
      </c>
      <c r="AX80" s="21">
        <f t="shared" si="60"/>
        <v>34.348858800115295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>
        <f>VLOOKUP(A80,'Données projet'!$A$87:$I$107,2,0)</f>
        <v>197</v>
      </c>
      <c r="BB80" s="12">
        <f>VLOOKUP(A80,'Données projet'!$A$87:$I$107,9,0)</f>
        <v>6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197</v>
      </c>
      <c r="BE80" s="13">
        <f>BD80*VLOOKUP('Données projet'!$B$11,Paramètres!$A$1:$I$89,3,0)*VLOOKUP('Données projet'!$B$11,Paramètres!$A$1:$I$89,5,0)</f>
        <v>212.05079999999998</v>
      </c>
      <c r="BF80" s="13">
        <f t="shared" si="91"/>
        <v>52.383483303212302</v>
      </c>
      <c r="BG80" s="20">
        <f t="shared" si="61"/>
        <v>460.55637675309475</v>
      </c>
      <c r="BH80" s="59">
        <f t="shared" si="62"/>
        <v>730.06653597736704</v>
      </c>
      <c r="BI80" s="59">
        <f ca="1">AVERAGE(OFFSET($BH$3,0,0,'Données projet'!$E$11+1,1))-AVERAGE(OFFSET($H$3,0,0,'Données projet'!$E$11+1,1))</f>
        <v>404.24955007425774</v>
      </c>
      <c r="BJ80" s="59">
        <f t="shared" si="92"/>
        <v>211.49137630071019</v>
      </c>
      <c r="BK80" s="15">
        <f>IF(ISNA(VLOOKUP(A80,'Données projet'!$A$87:$I$107,3,0)),0,VLOOKUP(A80,'Données projet'!$A$87:$I$107,3,0))</f>
        <v>8</v>
      </c>
      <c r="BL80" s="15">
        <f>IF(ISNA(VLOOKUP(A80,'Données projet'!$A$87:$I$107,4,0)),0,VLOOKUP(A80,'Données projet'!$A$87:$I$107,4,0))</f>
        <v>32</v>
      </c>
      <c r="BM80" s="16">
        <f>IF(ISNA(VLOOKUP(A80,'Données projet'!$A$87:$I$107,5,0)),0%,VLOOKUP(A80,'Données projet'!$A$87:$I$107,5,0)*VLOOKUP('Données projet'!$B$11,Paramètres!$A$1:$I$89,7,0))</f>
        <v>0.25800000000000001</v>
      </c>
      <c r="BN80" s="16">
        <f>IF(ISNA(VLOOKUP(A80,'Données projet'!$A$87:$I$107,6,0)),0%,VLOOKUP(A80,'Données projet'!$A$87:$I$107,6,0)*VLOOKUP('Données projet'!$B$11,Paramètres!$A$1:$I$89,7,0))</f>
        <v>8.6000000000000007E-2</v>
      </c>
      <c r="BO80" s="16">
        <f>IF(ISNA(VLOOKUP(A80,'Données projet'!$A$87:$I$107,7,0)),0%,VLOOKUP(A80,'Données projet'!$A$87:$I$107,7,0))</f>
        <v>0.1</v>
      </c>
      <c r="BP80" s="21">
        <f>EXP(-LN(2)/35)*BP79+(1-EXP(-LN(2)/35))/(LN(2)/35)*BL80*BM80*VLOOKUP('Données projet'!$B$11,Paramètres!$A$1:$I$89,3,0)*0.475*44/12</f>
        <v>23.029578464293095</v>
      </c>
      <c r="BQ80" s="21">
        <f>EXP(-LN(2)/25)*BQ79+(1-EXP(-LN(2)/25))/(LN(2)/25)*Calculateur!BL80*Calculateur!BN80*VLOOKUP('Données projet'!$B$11,Paramètres!$A$1:$I$89,3,0)*0.475*44/12</f>
        <v>11.511772842207069</v>
      </c>
      <c r="BR80" s="21">
        <f>EXP(-LN(2)/2)*BR79+(1-EXP(-LN(2)/2))/(LN(2)/2)*BL80*BO80*VLOOKUP('Données projet'!$B$11,Paramètres!$A$1:$I$89,3,0)*0.475*44/12</f>
        <v>3.6856044549184666</v>
      </c>
      <c r="BS80" s="22">
        <f t="shared" si="63"/>
        <v>38.22695576141863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197</v>
      </c>
      <c r="BW80" s="12">
        <f>VLOOKUP(A80,'Données projet'!$A$113:$I$133,9,0)</f>
        <v>6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197</v>
      </c>
      <c r="BZ80" s="13">
        <f>BY80*VLOOKUP('Données projet'!$B$12,Paramètres!$A$1:$I$89,3,0)*VLOOKUP('Données projet'!$B$12,Paramètres!$A$1:$I$89,5,0)</f>
        <v>153.66</v>
      </c>
      <c r="CA80" s="13">
        <f t="shared" si="93"/>
        <v>39.409163193883444</v>
      </c>
      <c r="CB80" s="20">
        <f t="shared" si="64"/>
        <v>336.26212589601369</v>
      </c>
      <c r="CC80" s="59">
        <f t="shared" si="65"/>
        <v>605.77228512028591</v>
      </c>
      <c r="CD80" s="59">
        <f ca="1">AVERAGE(OFFSET($CC$3,0,0,'Données projet'!$E$12+1,1))-AVERAGE(OFFSET($H$3,0,0,'Données projet'!$E$12+1,1))</f>
        <v>250.01410333089137</v>
      </c>
      <c r="CE80" s="59">
        <f t="shared" si="94"/>
        <v>169.55868564318885</v>
      </c>
      <c r="CF80" s="15">
        <f>IF(ISNA(VLOOKUP(A80,'Données projet'!$A$113:$I$133,3,0)),0,VLOOKUP(A80,'Données projet'!$A$113:$I$133,3,0))</f>
        <v>8</v>
      </c>
      <c r="CG80" s="15">
        <f>IF(ISNA(VLOOKUP(A80,'Données projet'!$A$113:$I$133,4,0)),0,VLOOKUP(A80,'Données projet'!$A$113:$I$133,4,0))</f>
        <v>32</v>
      </c>
      <c r="CH80" s="16">
        <f>IF(ISNA(VLOOKUP(A80,'Données projet'!$A$113:$I$133,5,0)),0%,VLOOKUP(A80,'Données projet'!$A$113:$I$133,5,0)*VLOOKUP('Données projet'!$B$12,Paramètres!$A$1:$I$89,7,0))</f>
        <v>0.25800000000000001</v>
      </c>
      <c r="CI80" s="16">
        <f>IF(ISNA(VLOOKUP(A80,'Données projet'!$A$113:$I$133,6,0)),0%,VLOOKUP(A80,'Données projet'!$A$113:$I$133,6,0)*VLOOKUP('Données projet'!$B$12,Paramètres!$A$1:$I$89,7,0))</f>
        <v>8.6000000000000007E-2</v>
      </c>
      <c r="CJ80" s="16">
        <f>IF(ISNA(VLOOKUP(A80,'Données projet'!$A$113:$I$133,7,0)),0%,VLOOKUP(A80,'Données projet'!$A$113:$I$133,7,0))</f>
        <v>0.1</v>
      </c>
      <c r="CK80" s="21">
        <f>EXP(-LN(2)/35)*CK79+(1-EXP(-LN(2)/35))/(LN(2)/35)*CG80*CH80*VLOOKUP('Données projet'!$B$12,Paramètres!$A$1:$I$89,3,0)*0.475*44/12</f>
        <v>16.688100336444275</v>
      </c>
      <c r="CL80" s="21">
        <f>EXP(-LN(2)/25)*CL79+(1-EXP(-LN(2)/25))/(LN(2)/25)*Calculateur!CG80*Calculateur!CI80*VLOOKUP('Données projet'!$B$12,Paramètres!$A$1:$I$89,3,0)*0.475*44/12</f>
        <v>8.3418643784109197</v>
      </c>
      <c r="CM80" s="21">
        <f>EXP(-LN(2)/2)*CM79+(1-EXP(-LN(2)/2))/(LN(2)/2)*CG80*CJ80*VLOOKUP('Données projet'!$B$12,Paramètres!$A$1:$I$89,3,0)*0.475*44/12</f>
        <v>2.6707278658829465</v>
      </c>
      <c r="CN80" s="22">
        <f t="shared" si="66"/>
        <v>27.700692580738142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171</v>
      </c>
      <c r="O81" s="13">
        <f>N81*VLOOKUP('Données projet'!$B$9,Paramètres!$A$1:$I$89,3,0)*VLOOKUP('Données projet'!$B$9,Paramètres!$A$1:$I$89,5,0)</f>
        <v>154.7208</v>
      </c>
      <c r="P81" s="13">
        <f t="shared" si="87"/>
        <v>39.649461948838592</v>
      </c>
      <c r="Q81" s="20">
        <f t="shared" si="54"/>
        <v>338.52820622756053</v>
      </c>
      <c r="R81" s="59">
        <f t="shared" si="55"/>
        <v>608.45164426198676</v>
      </c>
      <c r="S81" s="59">
        <f ca="1">AVERAGE(OFFSET($R$3,0,0,'Données projet'!$E$9+1,1))-AVERAGE(OFFSET($H$3,0,0,'Données projet'!$E$9+1,1))</f>
        <v>469.5773392354356</v>
      </c>
      <c r="T81" s="59">
        <f t="shared" si="88"/>
        <v>187.25344022835239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12.817450496676198</v>
      </c>
      <c r="AA81" s="21">
        <f>EXP(-LN(2)/25)*AA80+(1-EXP(-LN(2)/25))/(LN(2)/25)*Calculateur!V81*Calculateur!X81*VLOOKUP('Données projet'!$B$9,Paramètres!$A$1:$I$89,3,0)*0.475*44/12</f>
        <v>8.3507697890326824</v>
      </c>
      <c r="AB81" s="21">
        <f>EXP(-LN(2)/2)*AB80+(1-EXP(-LN(2)/2))/(LN(2)/2)*V81*Y81*VLOOKUP('Données projet'!$B$9,Paramètres!$A$1:$I$89,3,0)*0.475*44/12</f>
        <v>4.1383362979708096</v>
      </c>
      <c r="AC81" s="22">
        <f t="shared" si="57"/>
        <v>25.30655658367969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171</v>
      </c>
      <c r="AJ81" s="13">
        <f>AI81*VLOOKUP('Données projet'!$B$10,Paramètres!$A$1:$I$89,3,0)*VLOOKUP('Données projet'!$B$10,Paramètres!$A$1:$I$89,5,0)</f>
        <v>165.3912</v>
      </c>
      <c r="AK81" s="13">
        <f t="shared" si="89"/>
        <v>42.056160358234834</v>
      </c>
      <c r="AL81" s="20">
        <f t="shared" si="58"/>
        <v>361.30415262392563</v>
      </c>
      <c r="AM81" s="59">
        <f t="shared" si="59"/>
        <v>631.2275906583518</v>
      </c>
      <c r="AN81" s="59">
        <f ca="1">AVERAGE(OFFSET($AM$3,0,0,'Données projet'!$E$10+1,1))-AVERAGE(OFFSET($H$3,0,0,'Données projet'!$E$10+1,1))</f>
        <v>370.91255999489181</v>
      </c>
      <c r="AO81" s="59">
        <f t="shared" si="90"/>
        <v>196.07869248605735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20.287462515802595</v>
      </c>
      <c r="AV81" s="21">
        <f>EXP(-LN(2)/25)*AV80+(1-EXP(-LN(2)/25))/(LN(2)/25)*Calculateur!AQ81*Calculateur!AS81*VLOOKUP('Données projet'!$B$10,Paramètres!$A$1:$I$89,3,0)*0.475*44/12</f>
        <v>10.061057016296576</v>
      </c>
      <c r="AW81" s="21">
        <f>EXP(-LN(2)/2)*AW80+(1-EXP(-LN(2)/2))/(LN(2)/2)*AQ81*AT81*VLOOKUP('Données projet'!$B$10,Paramètres!$A$1:$I$89,3,0)*0.475*44/12</f>
        <v>2.341727332990438</v>
      </c>
      <c r="AX81" s="21">
        <f t="shared" si="60"/>
        <v>32.690246865089613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171</v>
      </c>
      <c r="BE81" s="13">
        <f>BD81*VLOOKUP('Données projet'!$B$11,Paramètres!$A$1:$I$89,3,0)*VLOOKUP('Données projet'!$B$11,Paramètres!$A$1:$I$89,5,0)</f>
        <v>184.06440000000001</v>
      </c>
      <c r="BF81" s="13">
        <f t="shared" si="91"/>
        <v>46.225261821093824</v>
      </c>
      <c r="BG81" s="20">
        <f t="shared" si="61"/>
        <v>401.08782767173835</v>
      </c>
      <c r="BH81" s="59">
        <f t="shared" si="62"/>
        <v>671.01126570616452</v>
      </c>
      <c r="BI81" s="59">
        <f ca="1">AVERAGE(OFFSET($BH$3,0,0,'Données projet'!$E$11+1,1))-AVERAGE(OFFSET($H$3,0,0,'Données projet'!$E$11+1,1))</f>
        <v>404.24955007425774</v>
      </c>
      <c r="BJ81" s="59">
        <f t="shared" si="92"/>
        <v>211.49137630071019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22.577982477264179</v>
      </c>
      <c r="BQ81" s="21">
        <f>EXP(-LN(2)/25)*BQ80+(1-EXP(-LN(2)/25))/(LN(2)/25)*Calculateur!BL81*Calculateur!BN81*VLOOKUP('Données projet'!$B$11,Paramètres!$A$1:$I$89,3,0)*0.475*44/12</f>
        <v>11.196982808459094</v>
      </c>
      <c r="BR81" s="21">
        <f>EXP(-LN(2)/2)*BR80+(1-EXP(-LN(2)/2))/(LN(2)/2)*BL81*BO81*VLOOKUP('Données projet'!$B$11,Paramètres!$A$1:$I$89,3,0)*0.475*44/12</f>
        <v>2.6061159028441971</v>
      </c>
      <c r="BS81" s="22">
        <f t="shared" si="63"/>
        <v>36.381081188567464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171</v>
      </c>
      <c r="BZ81" s="13">
        <f>BY81*VLOOKUP('Données projet'!$B$12,Paramètres!$A$1:$I$89,3,0)*VLOOKUP('Données projet'!$B$12,Paramètres!$A$1:$I$89,5,0)</f>
        <v>133.38</v>
      </c>
      <c r="CA81" s="13">
        <f t="shared" si="93"/>
        <v>34.776207535548991</v>
      </c>
      <c r="CB81" s="20">
        <f t="shared" si="64"/>
        <v>292.8720614577478</v>
      </c>
      <c r="CC81" s="59">
        <f t="shared" si="65"/>
        <v>562.79549949217403</v>
      </c>
      <c r="CD81" s="59">
        <f ca="1">AVERAGE(OFFSET($CC$3,0,0,'Données projet'!$E$12+1,1))-AVERAGE(OFFSET($H$3,0,0,'Données projet'!$E$12+1,1))</f>
        <v>250.01410333089137</v>
      </c>
      <c r="CE81" s="59">
        <f t="shared" si="94"/>
        <v>169.55868564318885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16.360856867582743</v>
      </c>
      <c r="CL81" s="21">
        <f>EXP(-LN(2)/25)*CL80+(1-EXP(-LN(2)/25))/(LN(2)/25)*Calculateur!CG81*Calculateur!CI81*VLOOKUP('Données projet'!$B$12,Paramètres!$A$1:$I$89,3,0)*0.475*44/12</f>
        <v>8.1137556583036918</v>
      </c>
      <c r="CM81" s="21">
        <f>EXP(-LN(2)/2)*CM80+(1-EXP(-LN(2)/2))/(LN(2)/2)*CG81*CJ81*VLOOKUP('Données projet'!$B$12,Paramètres!$A$1:$I$89,3,0)*0.475*44/12</f>
        <v>1.8884897846697077</v>
      </c>
      <c r="CN81" s="22">
        <f t="shared" si="66"/>
        <v>26.363102310556144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177</v>
      </c>
      <c r="O82" s="13">
        <f>N82*VLOOKUP('Données projet'!$B$9,Paramètres!$A$1:$I$89,3,0)*VLOOKUP('Données projet'!$B$9,Paramètres!$A$1:$I$89,5,0)</f>
        <v>160.14959999999999</v>
      </c>
      <c r="P82" s="13">
        <f t="shared" si="87"/>
        <v>40.876256268741535</v>
      </c>
      <c r="Q82" s="20">
        <f t="shared" si="54"/>
        <v>350.1200330013915</v>
      </c>
      <c r="R82" s="59">
        <f t="shared" si="55"/>
        <v>620.44958038256846</v>
      </c>
      <c r="S82" s="59">
        <f ca="1">AVERAGE(OFFSET($R$3,0,0,'Données projet'!$E$9+1,1))-AVERAGE(OFFSET($H$3,0,0,'Données projet'!$E$9+1,1))</f>
        <v>469.5773392354356</v>
      </c>
      <c r="T82" s="59">
        <f t="shared" si="88"/>
        <v>187.25344022835239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12.56610811030923</v>
      </c>
      <c r="AA82" s="21">
        <f>EXP(-LN(2)/25)*AA81+(1-EXP(-LN(2)/25))/(LN(2)/25)*Calculateur!V82*Calculateur!X82*VLOOKUP('Données projet'!$B$9,Paramètres!$A$1:$I$89,3,0)*0.475*44/12</f>
        <v>8.1224175500036857</v>
      </c>
      <c r="AB82" s="21">
        <f>EXP(-LN(2)/2)*AB81+(1-EXP(-LN(2)/2))/(LN(2)/2)*V82*Y82*VLOOKUP('Données projet'!$B$9,Paramètres!$A$1:$I$89,3,0)*0.475*44/12</f>
        <v>2.9262456591255925</v>
      </c>
      <c r="AC82" s="22">
        <f t="shared" si="57"/>
        <v>23.614771319438507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177</v>
      </c>
      <c r="AJ82" s="13">
        <f>AI82*VLOOKUP('Données projet'!$B$10,Paramètres!$A$1:$I$89,3,0)*VLOOKUP('Données projet'!$B$10,Paramètres!$A$1:$I$89,5,0)</f>
        <v>171.1944</v>
      </c>
      <c r="AK82" s="13">
        <f t="shared" si="89"/>
        <v>43.35742035290977</v>
      </c>
      <c r="AL82" s="20">
        <f t="shared" si="58"/>
        <v>373.67775378131779</v>
      </c>
      <c r="AM82" s="59">
        <f t="shared" si="59"/>
        <v>644.00730116249474</v>
      </c>
      <c r="AN82" s="59">
        <f ca="1">AVERAGE(OFFSET($AM$3,0,0,'Données projet'!$E$10+1,1))-AVERAGE(OFFSET($H$3,0,0,'Données projet'!$E$10+1,1))</f>
        <v>370.91255999489181</v>
      </c>
      <c r="AO82" s="59">
        <f t="shared" si="90"/>
        <v>196.07869248605735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19.889637749997998</v>
      </c>
      <c r="AV82" s="21">
        <f>EXP(-LN(2)/25)*AV81+(1-EXP(-LN(2)/25))/(LN(2)/25)*Calculateur!AQ82*Calculateur!AS82*VLOOKUP('Données projet'!$B$10,Paramètres!$A$1:$I$89,3,0)*0.475*44/12</f>
        <v>9.7859368830979534</v>
      </c>
      <c r="AW82" s="21">
        <f>EXP(-LN(2)/2)*AW81+(1-EXP(-LN(2)/2))/(LN(2)/2)*AQ82*AT82*VLOOKUP('Données projet'!$B$10,Paramètres!$A$1:$I$89,3,0)*0.475*44/12</f>
        <v>1.6558512768474272</v>
      </c>
      <c r="AX82" s="21">
        <f t="shared" si="60"/>
        <v>31.331425909943381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177</v>
      </c>
      <c r="BE82" s="13">
        <f>BD82*VLOOKUP('Données projet'!$B$11,Paramètres!$A$1:$I$89,3,0)*VLOOKUP('Données projet'!$B$11,Paramètres!$A$1:$I$89,5,0)</f>
        <v>190.52279999999999</v>
      </c>
      <c r="BF82" s="13">
        <f t="shared" si="91"/>
        <v>47.655518017541539</v>
      </c>
      <c r="BG82" s="20">
        <f t="shared" si="61"/>
        <v>414.82723721388487</v>
      </c>
      <c r="BH82" s="59">
        <f t="shared" si="62"/>
        <v>685.15678459506182</v>
      </c>
      <c r="BI82" s="59">
        <f ca="1">AVERAGE(OFFSET($BH$3,0,0,'Données projet'!$E$11+1,1))-AVERAGE(OFFSET($H$3,0,0,'Données projet'!$E$11+1,1))</f>
        <v>404.24955007425774</v>
      </c>
      <c r="BJ82" s="59">
        <f t="shared" si="92"/>
        <v>211.49137630071019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22.135242012094544</v>
      </c>
      <c r="BQ82" s="21">
        <f>EXP(-LN(2)/25)*BQ81+(1-EXP(-LN(2)/25))/(LN(2)/25)*Calculateur!BL82*Calculateur!BN82*VLOOKUP('Données projet'!$B$11,Paramètres!$A$1:$I$89,3,0)*0.475*44/12</f>
        <v>10.890800724738044</v>
      </c>
      <c r="BR82" s="21">
        <f>EXP(-LN(2)/2)*BR81+(1-EXP(-LN(2)/2))/(LN(2)/2)*BL82*BO82*VLOOKUP('Données projet'!$B$11,Paramètres!$A$1:$I$89,3,0)*0.475*44/12</f>
        <v>1.8428022274592335</v>
      </c>
      <c r="BS82" s="22">
        <f t="shared" si="63"/>
        <v>34.868844964291817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177</v>
      </c>
      <c r="BZ82" s="13">
        <f>BY82*VLOOKUP('Données projet'!$B$12,Paramètres!$A$1:$I$89,3,0)*VLOOKUP('Données projet'!$B$12,Paramètres!$A$1:$I$89,5,0)</f>
        <v>138.06</v>
      </c>
      <c r="CA82" s="13">
        <f t="shared" si="93"/>
        <v>35.852218451596926</v>
      </c>
      <c r="CB82" s="20">
        <f t="shared" si="64"/>
        <v>302.89711380319795</v>
      </c>
      <c r="CC82" s="59">
        <f t="shared" si="65"/>
        <v>573.22666118437496</v>
      </c>
      <c r="CD82" s="59">
        <f ca="1">AVERAGE(OFFSET($CC$3,0,0,'Données projet'!$E$12+1,1))-AVERAGE(OFFSET($H$3,0,0,'Données projet'!$E$12+1,1))</f>
        <v>250.01410333089137</v>
      </c>
      <c r="CE82" s="59">
        <f t="shared" si="94"/>
        <v>169.55868564318885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16.040030443546776</v>
      </c>
      <c r="CL82" s="21">
        <f>EXP(-LN(2)/25)*CL81+(1-EXP(-LN(2)/25))/(LN(2)/25)*Calculateur!CG82*Calculateur!CI82*VLOOKUP('Données projet'!$B$12,Paramètres!$A$1:$I$89,3,0)*0.475*44/12</f>
        <v>7.8918845831435114</v>
      </c>
      <c r="CM82" s="21">
        <f>EXP(-LN(2)/2)*CM81+(1-EXP(-LN(2)/2))/(LN(2)/2)*CG82*CJ82*VLOOKUP('Données projet'!$B$12,Paramètres!$A$1:$I$89,3,0)*0.475*44/12</f>
        <v>1.3353639329414733</v>
      </c>
      <c r="CN82" s="22">
        <f t="shared" si="66"/>
        <v>25.26727895963176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183</v>
      </c>
      <c r="O83" s="13">
        <f>N83*VLOOKUP('Données projet'!$B$9,Paramètres!$A$1:$I$89,3,0)*VLOOKUP('Données projet'!$B$9,Paramètres!$A$1:$I$89,5,0)</f>
        <v>165.57839999999999</v>
      </c>
      <c r="P83" s="13">
        <f t="shared" si="87"/>
        <v>42.098218509199697</v>
      </c>
      <c r="Q83" s="20">
        <f t="shared" si="54"/>
        <v>361.70344390352278</v>
      </c>
      <c r="R83" s="59">
        <f t="shared" si="55"/>
        <v>632.4320555422089</v>
      </c>
      <c r="S83" s="59">
        <f ca="1">AVERAGE(OFFSET($R$3,0,0,'Données projet'!$E$9+1,1))-AVERAGE(OFFSET($H$3,0,0,'Données projet'!$E$9+1,1))</f>
        <v>469.5773392354356</v>
      </c>
      <c r="T83" s="59">
        <f t="shared" si="88"/>
        <v>187.25344022835239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12.319694394835199</v>
      </c>
      <c r="AA83" s="21">
        <f>EXP(-LN(2)/25)*AA82+(1-EXP(-LN(2)/25))/(LN(2)/25)*Calculateur!V83*Calculateur!X83*VLOOKUP('Données projet'!$B$9,Paramètres!$A$1:$I$89,3,0)*0.475*44/12</f>
        <v>7.9003096149594603</v>
      </c>
      <c r="AB83" s="21">
        <f>EXP(-LN(2)/2)*AB82+(1-EXP(-LN(2)/2))/(LN(2)/2)*V83*Y83*VLOOKUP('Données projet'!$B$9,Paramètres!$A$1:$I$89,3,0)*0.475*44/12</f>
        <v>2.0691681489854052</v>
      </c>
      <c r="AC83" s="22">
        <f t="shared" si="57"/>
        <v>22.289172158780065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183</v>
      </c>
      <c r="AJ83" s="13">
        <f>AI83*VLOOKUP('Données projet'!$B$10,Paramètres!$A$1:$I$89,3,0)*VLOOKUP('Données projet'!$B$10,Paramètres!$A$1:$I$89,5,0)</f>
        <v>176.99760000000001</v>
      </c>
      <c r="AK83" s="13">
        <f t="shared" si="89"/>
        <v>44.653554963834047</v>
      </c>
      <c r="AL83" s="20">
        <f t="shared" si="58"/>
        <v>386.04242822867764</v>
      </c>
      <c r="AM83" s="59">
        <f t="shared" si="59"/>
        <v>656.7710398673637</v>
      </c>
      <c r="AN83" s="59">
        <f ca="1">AVERAGE(OFFSET($AM$3,0,0,'Données projet'!$E$10+1,1))-AVERAGE(OFFSET($H$3,0,0,'Données projet'!$E$10+1,1))</f>
        <v>370.91255999489181</v>
      </c>
      <c r="AO83" s="59">
        <f t="shared" si="90"/>
        <v>196.07869248605735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19.499614085201681</v>
      </c>
      <c r="AV83" s="21">
        <f>EXP(-LN(2)/25)*AV82+(1-EXP(-LN(2)/25))/(LN(2)/25)*Calculateur!AQ83*Calculateur!AS83*VLOOKUP('Données projet'!$B$10,Paramètres!$A$1:$I$89,3,0)*0.475*44/12</f>
        <v>9.5183399244095845</v>
      </c>
      <c r="AW83" s="21">
        <f>EXP(-LN(2)/2)*AW82+(1-EXP(-LN(2)/2))/(LN(2)/2)*AQ83*AT83*VLOOKUP('Données projet'!$B$10,Paramètres!$A$1:$I$89,3,0)*0.475*44/12</f>
        <v>1.170863666495219</v>
      </c>
      <c r="AX83" s="21">
        <f t="shared" si="60"/>
        <v>30.188817676106485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183</v>
      </c>
      <c r="BE83" s="13">
        <f>BD83*VLOOKUP('Données projet'!$B$11,Paramètres!$A$1:$I$89,3,0)*VLOOKUP('Données projet'!$B$11,Paramètres!$A$1:$I$89,5,0)</f>
        <v>196.9812</v>
      </c>
      <c r="BF83" s="13">
        <f t="shared" si="91"/>
        <v>49.080140741894134</v>
      </c>
      <c r="BG83" s="20">
        <f t="shared" si="61"/>
        <v>428.55683512546557</v>
      </c>
      <c r="BH83" s="59">
        <f t="shared" si="62"/>
        <v>699.28544676415163</v>
      </c>
      <c r="BI83" s="59">
        <f ca="1">AVERAGE(OFFSET($BH$3,0,0,'Données projet'!$E$11+1,1))-AVERAGE(OFFSET($H$3,0,0,'Données projet'!$E$11+1,1))</f>
        <v>404.24955007425774</v>
      </c>
      <c r="BJ83" s="59">
        <f t="shared" si="92"/>
        <v>211.49137630071019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21.701183417401868</v>
      </c>
      <c r="BQ83" s="21">
        <f>EXP(-LN(2)/25)*BQ82+(1-EXP(-LN(2)/25))/(LN(2)/25)*Calculateur!BL83*Calculateur!BN83*VLOOKUP('Données projet'!$B$11,Paramètres!$A$1:$I$89,3,0)*0.475*44/12</f>
        <v>10.592991206197764</v>
      </c>
      <c r="BR83" s="21">
        <f>EXP(-LN(2)/2)*BR82+(1-EXP(-LN(2)/2))/(LN(2)/2)*BL83*BO83*VLOOKUP('Données projet'!$B$11,Paramètres!$A$1:$I$89,3,0)*0.475*44/12</f>
        <v>1.3030579514220988</v>
      </c>
      <c r="BS83" s="22">
        <f t="shared" si="63"/>
        <v>33.597232575021728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183</v>
      </c>
      <c r="BZ83" s="13">
        <f>BY83*VLOOKUP('Données projet'!$B$12,Paramètres!$A$1:$I$89,3,0)*VLOOKUP('Données projet'!$B$12,Paramètres!$A$1:$I$89,5,0)</f>
        <v>142.74</v>
      </c>
      <c r="CA83" s="13">
        <f t="shared" si="93"/>
        <v>36.923991191656064</v>
      </c>
      <c r="CB83" s="20">
        <f t="shared" si="64"/>
        <v>312.91478465880101</v>
      </c>
      <c r="CC83" s="59">
        <f t="shared" si="65"/>
        <v>583.64339629748713</v>
      </c>
      <c r="CD83" s="59">
        <f ca="1">AVERAGE(OFFSET($CC$3,0,0,'Données projet'!$E$12+1,1))-AVERAGE(OFFSET($H$3,0,0,'Données projet'!$E$12+1,1))</f>
        <v>250.01410333089137</v>
      </c>
      <c r="CE83" s="59">
        <f t="shared" si="94"/>
        <v>169.55868564318885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15.725495230001359</v>
      </c>
      <c r="CL83" s="21">
        <f>EXP(-LN(2)/25)*CL82+(1-EXP(-LN(2)/25))/(LN(2)/25)*Calculateur!CG83*Calculateur!CI83*VLOOKUP('Données projet'!$B$12,Paramètres!$A$1:$I$89,3,0)*0.475*44/12</f>
        <v>7.6760805842012791</v>
      </c>
      <c r="CM83" s="21">
        <f>EXP(-LN(2)/2)*CM82+(1-EXP(-LN(2)/2))/(LN(2)/2)*CG83*CJ83*VLOOKUP('Données projet'!$B$12,Paramètres!$A$1:$I$89,3,0)*0.475*44/12</f>
        <v>0.94424489233485387</v>
      </c>
      <c r="CN83" s="22">
        <f t="shared" si="66"/>
        <v>24.345820706537491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</v>
      </c>
      <c r="N84" s="13">
        <f>IF('Données projet'!$A$36&gt;35,N83+M84-V83,IF(A84&lt;'Données projet'!$A$36,$K$205^A84,IF(A84='Données projet'!$A$36,'Données projet'!$B$36,N83+M84-V83)))</f>
        <v>189</v>
      </c>
      <c r="O84" s="13">
        <f>N84*VLOOKUP('Données projet'!$B$9,Paramètres!$A$1:$I$89,3,0)*VLOOKUP('Données projet'!$B$9,Paramètres!$A$1:$I$89,5,0)</f>
        <v>171.00719999999998</v>
      </c>
      <c r="P84" s="13">
        <f t="shared" si="87"/>
        <v>43.315525267338089</v>
      </c>
      <c r="Q84" s="20">
        <f t="shared" si="54"/>
        <v>373.27874650728046</v>
      </c>
      <c r="R84" s="59">
        <f t="shared" si="55"/>
        <v>644.3994995307819</v>
      </c>
      <c r="S84" s="59">
        <f ca="1">AVERAGE(OFFSET($R$3,0,0,'Données projet'!$E$9+1,1))-AVERAGE(OFFSET($H$3,0,0,'Données projet'!$E$9+1,1))</f>
        <v>469.5773392354356</v>
      </c>
      <c r="T84" s="59">
        <f t="shared" si="88"/>
        <v>187.25344022835239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12.078112702024089</v>
      </c>
      <c r="AA84" s="21">
        <f>EXP(-LN(2)/25)*AA83+(1-EXP(-LN(2)/25))/(LN(2)/25)*Calculateur!V84*Calculateur!X84*VLOOKUP('Données projet'!$B$9,Paramètres!$A$1:$I$89,3,0)*0.475*44/12</f>
        <v>7.6842752330791679</v>
      </c>
      <c r="AB84" s="21">
        <f>EXP(-LN(2)/2)*AB83+(1-EXP(-LN(2)/2))/(LN(2)/2)*V84*Y84*VLOOKUP('Données projet'!$B$9,Paramètres!$A$1:$I$89,3,0)*0.475*44/12</f>
        <v>1.4631228295627967</v>
      </c>
      <c r="AC84" s="22">
        <f t="shared" si="57"/>
        <v>21.225510764666051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</v>
      </c>
      <c r="AI84" s="13">
        <f>IF('Données projet'!$A$62&gt;35,AI83+AH84-AQ83,IF(A84&lt;'Données projet'!$A$62,$AF$205^A84,IF(A84='Données projet'!$A$62,'Données projet'!$B$62,AI83+AH84-AQ83)))</f>
        <v>189</v>
      </c>
      <c r="AJ84" s="13">
        <f>AI84*VLOOKUP('Données projet'!$B$10,Paramètres!$A$1:$I$89,3,0)*VLOOKUP('Données projet'!$B$10,Paramètres!$A$1:$I$89,5,0)</f>
        <v>182.80079999999998</v>
      </c>
      <c r="AK84" s="13">
        <f t="shared" si="89"/>
        <v>45.944751507471658</v>
      </c>
      <c r="AL84" s="20">
        <f t="shared" si="58"/>
        <v>398.39850220884642</v>
      </c>
      <c r="AM84" s="59">
        <f t="shared" si="59"/>
        <v>669.51925523234786</v>
      </c>
      <c r="AN84" s="59">
        <f ca="1">AVERAGE(OFFSET($AM$3,0,0,'Données projet'!$E$10+1,1))-AVERAGE(OFFSET($H$3,0,0,'Données projet'!$E$10+1,1))</f>
        <v>370.91255999489181</v>
      </c>
      <c r="AO84" s="59">
        <f t="shared" si="90"/>
        <v>196.07869248605735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19.117238546581074</v>
      </c>
      <c r="AV84" s="21">
        <f>EXP(-LN(2)/25)*AV83+(1-EXP(-LN(2)/25))/(LN(2)/25)*Calculateur!AQ84*Calculateur!AS84*VLOOKUP('Données projet'!$B$10,Paramètres!$A$1:$I$89,3,0)*0.475*44/12</f>
        <v>9.2580604186288618</v>
      </c>
      <c r="AW84" s="21">
        <f>EXP(-LN(2)/2)*AW83+(1-EXP(-LN(2)/2))/(LN(2)/2)*AQ84*AT84*VLOOKUP('Données projet'!$B$10,Paramètres!$A$1:$I$89,3,0)*0.475*44/12</f>
        <v>0.82792563842371358</v>
      </c>
      <c r="AX84" s="21">
        <f t="shared" si="60"/>
        <v>29.20322460363365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</v>
      </c>
      <c r="BD84" s="12">
        <f>IF('Données projet'!$A$88&gt;35,BD83+BC84-BL83,IF(A84&lt;'Données projet'!$A$88,$BA$205^A84,IF(A84='Données projet'!$A$88,'Données projet'!$B$88,BD83+BC84-BL83)))</f>
        <v>189</v>
      </c>
      <c r="BE84" s="13">
        <f>BD84*VLOOKUP('Données projet'!$B$11,Paramètres!$A$1:$I$89,3,0)*VLOOKUP('Données projet'!$B$11,Paramètres!$A$1:$I$89,5,0)</f>
        <v>203.43960000000001</v>
      </c>
      <c r="BF84" s="13">
        <f t="shared" si="91"/>
        <v>50.499335879627459</v>
      </c>
      <c r="BG84" s="20">
        <f t="shared" si="61"/>
        <v>442.27697999035109</v>
      </c>
      <c r="BH84" s="59">
        <f t="shared" si="62"/>
        <v>713.39773301385253</v>
      </c>
      <c r="BI84" s="59">
        <f ca="1">AVERAGE(OFFSET($BH$3,0,0,'Données projet'!$E$11+1,1))-AVERAGE(OFFSET($H$3,0,0,'Données projet'!$E$11+1,1))</f>
        <v>404.24955007425774</v>
      </c>
      <c r="BJ84" s="59">
        <f t="shared" si="92"/>
        <v>211.49137630071019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21.275636447001514</v>
      </c>
      <c r="BQ84" s="21">
        <f>EXP(-LN(2)/25)*BQ83+(1-EXP(-LN(2)/25))/(LN(2)/25)*Calculateur!BL84*Calculateur!BN84*VLOOKUP('Données projet'!$B$11,Paramètres!$A$1:$I$89,3,0)*0.475*44/12</f>
        <v>10.303325304603089</v>
      </c>
      <c r="BR84" s="21">
        <f>EXP(-LN(2)/2)*BR83+(1-EXP(-LN(2)/2))/(LN(2)/2)*BL84*BO84*VLOOKUP('Données projet'!$B$11,Paramètres!$A$1:$I$89,3,0)*0.475*44/12</f>
        <v>0.92140111372961697</v>
      </c>
      <c r="BS84" s="22">
        <f t="shared" si="63"/>
        <v>32.500362865334218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</v>
      </c>
      <c r="BY84" s="12">
        <f>IF('Données projet'!$A$114&gt;35,BY83+BX84-CG83,IF(A84&lt;'Données projet'!$A$114,$BV$205^A84,IF(A84='Données projet'!$A$114,'Données projet'!$B$114,BY83+BX84-CG83)))</f>
        <v>189</v>
      </c>
      <c r="BZ84" s="13">
        <f>BY84*VLOOKUP('Données projet'!$B$12,Paramètres!$A$1:$I$89,3,0)*VLOOKUP('Données projet'!$B$12,Paramètres!$A$1:$I$89,5,0)</f>
        <v>147.42000000000002</v>
      </c>
      <c r="CA84" s="13">
        <f t="shared" si="93"/>
        <v>37.991680647570291</v>
      </c>
      <c r="CB84" s="20">
        <f t="shared" si="64"/>
        <v>322.92534379451826</v>
      </c>
      <c r="CC84" s="59">
        <f t="shared" si="65"/>
        <v>594.04609681801969</v>
      </c>
      <c r="CD84" s="59">
        <f ca="1">AVERAGE(OFFSET($CC$3,0,0,'Données projet'!$E$12+1,1))-AVERAGE(OFFSET($H$3,0,0,'Données projet'!$E$12+1,1))</f>
        <v>250.01410333089137</v>
      </c>
      <c r="CE84" s="59">
        <f t="shared" si="94"/>
        <v>169.55868564318885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15.41712786014603</v>
      </c>
      <c r="CL84" s="21">
        <f>EXP(-LN(2)/25)*CL83+(1-EXP(-LN(2)/25))/(LN(2)/25)*Calculateur!CG84*Calculateur!CI84*VLOOKUP('Données projet'!$B$12,Paramètres!$A$1:$I$89,3,0)*0.475*44/12</f>
        <v>7.4661777569587615</v>
      </c>
      <c r="CM84" s="21">
        <f>EXP(-LN(2)/2)*CM83+(1-EXP(-LN(2)/2))/(LN(2)/2)*CG84*CJ84*VLOOKUP('Données projet'!$B$12,Paramètres!$A$1:$I$89,3,0)*0.475*44/12</f>
        <v>0.66768196647073663</v>
      </c>
      <c r="CN84" s="22">
        <f t="shared" si="66"/>
        <v>23.55098758357553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</v>
      </c>
      <c r="N85" s="13">
        <f>IF('Données projet'!$A$36&gt;35,N84+M85-V84,IF(A85&lt;'Données projet'!$A$36,$K$205^A85,IF(A85='Données projet'!$A$36,'Données projet'!$B$36,N84+M85-V84)))</f>
        <v>195</v>
      </c>
      <c r="O85" s="13">
        <f>N85*VLOOKUP('Données projet'!$B$9,Paramètres!$A$1:$I$89,3,0)*VLOOKUP('Données projet'!$B$9,Paramètres!$A$1:$I$89,5,0)</f>
        <v>176.43600000000001</v>
      </c>
      <c r="P85" s="13">
        <f t="shared" si="87"/>
        <v>44.52834129105058</v>
      </c>
      <c r="Q85" s="20">
        <f t="shared" si="54"/>
        <v>384.84622774857968</v>
      </c>
      <c r="R85" s="59">
        <f t="shared" si="55"/>
        <v>656.35231938056677</v>
      </c>
      <c r="S85" s="59">
        <f ca="1">AVERAGE(OFFSET($R$3,0,0,'Données projet'!$E$9+1,1))-AVERAGE(OFFSET($H$3,0,0,'Données projet'!$E$9+1,1))</f>
        <v>469.5773392354356</v>
      </c>
      <c r="T85" s="59">
        <f t="shared" si="88"/>
        <v>187.25344022835239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11.841268278858722</v>
      </c>
      <c r="AA85" s="21">
        <f>EXP(-LN(2)/25)*AA84+(1-EXP(-LN(2)/25))/(LN(2)/25)*Calculateur!V85*Calculateur!X85*VLOOKUP('Données projet'!$B$9,Paramètres!$A$1:$I$89,3,0)*0.475*44/12</f>
        <v>7.4741483227321464</v>
      </c>
      <c r="AB85" s="21">
        <f>EXP(-LN(2)/2)*AB84+(1-EXP(-LN(2)/2))/(LN(2)/2)*V85*Y85*VLOOKUP('Données projet'!$B$9,Paramètres!$A$1:$I$89,3,0)*0.475*44/12</f>
        <v>1.0345840744927028</v>
      </c>
      <c r="AC85" s="22">
        <f t="shared" si="57"/>
        <v>20.350000676083571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</v>
      </c>
      <c r="AI85" s="13">
        <f>IF('Données projet'!$A$62&gt;35,AI84+AH85-AQ84,IF(A85&lt;'Données projet'!$A$62,$AF$205^A85,IF(A85='Données projet'!$A$62,'Données projet'!$B$62,AI84+AH85-AQ84)))</f>
        <v>195</v>
      </c>
      <c r="AJ85" s="13">
        <f>AI85*VLOOKUP('Données projet'!$B$10,Paramètres!$A$1:$I$89,3,0)*VLOOKUP('Données projet'!$B$10,Paramètres!$A$1:$I$89,5,0)</f>
        <v>188.60400000000001</v>
      </c>
      <c r="AK85" s="13">
        <f t="shared" si="89"/>
        <v>47.231184731814224</v>
      </c>
      <c r="AL85" s="20">
        <f t="shared" si="58"/>
        <v>410.74628007457642</v>
      </c>
      <c r="AM85" s="59">
        <f t="shared" si="59"/>
        <v>682.25237170656351</v>
      </c>
      <c r="AN85" s="59">
        <f ca="1">AVERAGE(OFFSET($AM$3,0,0,'Données projet'!$E$10+1,1))-AVERAGE(OFFSET($H$3,0,0,'Données projet'!$E$10+1,1))</f>
        <v>370.91255999489181</v>
      </c>
      <c r="AO85" s="59">
        <f t="shared" si="90"/>
        <v>196.07869248605735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18.742361159046766</v>
      </c>
      <c r="AV85" s="21">
        <f>EXP(-LN(2)/25)*AV84+(1-EXP(-LN(2)/25))/(LN(2)/25)*Calculateur!AQ85*Calculateur!AS85*VLOOKUP('Données projet'!$B$10,Paramètres!$A$1:$I$89,3,0)*0.475*44/12</f>
        <v>9.0048982696212185</v>
      </c>
      <c r="AW85" s="21">
        <f>EXP(-LN(2)/2)*AW84+(1-EXP(-LN(2)/2))/(LN(2)/2)*AQ85*AT85*VLOOKUP('Données projet'!$B$10,Paramètres!$A$1:$I$89,3,0)*0.475*44/12</f>
        <v>0.5854318332476095</v>
      </c>
      <c r="AX85" s="21">
        <f t="shared" si="60"/>
        <v>28.332691261915596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</v>
      </c>
      <c r="BD85" s="12">
        <f>IF('Données projet'!$A$88&gt;35,BD84+BC85-BL84,IF(A85&lt;'Données projet'!$A$88,$BA$205^A85,IF(A85='Données projet'!$A$88,'Données projet'!$B$88,BD84+BC85-BL84)))</f>
        <v>195</v>
      </c>
      <c r="BE85" s="13">
        <f>BD85*VLOOKUP('Données projet'!$B$11,Paramètres!$A$1:$I$89,3,0)*VLOOKUP('Données projet'!$B$11,Paramètres!$A$1:$I$89,5,0)</f>
        <v>209.89799999999997</v>
      </c>
      <c r="BF85" s="13">
        <f t="shared" si="91"/>
        <v>51.913295501810218</v>
      </c>
      <c r="BG85" s="20">
        <f t="shared" si="61"/>
        <v>455.9880063323194</v>
      </c>
      <c r="BH85" s="59">
        <f t="shared" si="62"/>
        <v>727.49409796430643</v>
      </c>
      <c r="BI85" s="59">
        <f ca="1">AVERAGE(OFFSET($BH$3,0,0,'Données projet'!$E$11+1,1))-AVERAGE(OFFSET($H$3,0,0,'Données projet'!$E$11+1,1))</f>
        <v>404.24955007425774</v>
      </c>
      <c r="BJ85" s="59">
        <f t="shared" si="92"/>
        <v>211.49137630071019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20.858434193132688</v>
      </c>
      <c r="BQ85" s="21">
        <f>EXP(-LN(2)/25)*BQ84+(1-EXP(-LN(2)/25))/(LN(2)/25)*Calculateur!BL85*Calculateur!BN85*VLOOKUP('Données projet'!$B$11,Paramètres!$A$1:$I$89,3,0)*0.475*44/12</f>
        <v>10.021580332320388</v>
      </c>
      <c r="BR85" s="21">
        <f>EXP(-LN(2)/2)*BR84+(1-EXP(-LN(2)/2))/(LN(2)/2)*BL85*BO85*VLOOKUP('Données projet'!$B$11,Paramètres!$A$1:$I$89,3,0)*0.475*44/12</f>
        <v>0.65152897571104951</v>
      </c>
      <c r="BS85" s="22">
        <f t="shared" si="63"/>
        <v>31.531543501164126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</v>
      </c>
      <c r="BY85" s="12">
        <f>IF('Données projet'!$A$114&gt;35,BY84+BX85-CG84,IF(A85&lt;'Données projet'!$A$114,$BV$205^A85,IF(A85='Données projet'!$A$114,'Données projet'!$B$114,BY84+BX85-CG84)))</f>
        <v>195</v>
      </c>
      <c r="BZ85" s="13">
        <f>BY85*VLOOKUP('Données projet'!$B$12,Paramètres!$A$1:$I$89,3,0)*VLOOKUP('Données projet'!$B$12,Paramètres!$A$1:$I$89,5,0)</f>
        <v>152.1</v>
      </c>
      <c r="CA85" s="13">
        <f t="shared" si="93"/>
        <v>39.055431318323095</v>
      </c>
      <c r="CB85" s="20">
        <f t="shared" si="64"/>
        <v>332.92904287941269</v>
      </c>
      <c r="CC85" s="59">
        <f t="shared" si="65"/>
        <v>604.43513451139972</v>
      </c>
      <c r="CD85" s="59">
        <f ca="1">AVERAGE(OFFSET($CC$3,0,0,'Données projet'!$E$12+1,1))-AVERAGE(OFFSET($H$3,0,0,'Données projet'!$E$12+1,1))</f>
        <v>250.01410333089137</v>
      </c>
      <c r="CE85" s="59">
        <f t="shared" si="94"/>
        <v>169.55868564318885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15.114807386328041</v>
      </c>
      <c r="CL85" s="21">
        <f>EXP(-LN(2)/25)*CL84+(1-EXP(-LN(2)/25))/(LN(2)/25)*Calculateur!CG85*Calculateur!CI85*VLOOKUP('Données projet'!$B$12,Paramètres!$A$1:$I$89,3,0)*0.475*44/12</f>
        <v>7.2620147335655005</v>
      </c>
      <c r="CM85" s="21">
        <f>EXP(-LN(2)/2)*CM84+(1-EXP(-LN(2)/2))/(LN(2)/2)*CG85*CJ85*VLOOKUP('Données projet'!$B$12,Paramètres!$A$1:$I$89,3,0)*0.475*44/12</f>
        <v>0.47212244616742693</v>
      </c>
      <c r="CN85" s="22">
        <f t="shared" si="66"/>
        <v>22.848944566060965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</v>
      </c>
      <c r="N86" s="13">
        <f>IF('Données projet'!$A$36&gt;35,N85+M86-V85,IF(A86&lt;'Données projet'!$A$36,$K$205^A86,IF(A86='Données projet'!$A$36,'Données projet'!$B$36,N85+M86-V85)))</f>
        <v>201</v>
      </c>
      <c r="O86" s="13">
        <f>N86*VLOOKUP('Données projet'!$B$9,Paramètres!$A$1:$I$89,3,0)*VLOOKUP('Données projet'!$B$9,Paramètres!$A$1:$I$89,5,0)</f>
        <v>181.8648</v>
      </c>
      <c r="P86" s="13">
        <f t="shared" si="87"/>
        <v>45.73682061391029</v>
      </c>
      <c r="Q86" s="20">
        <f t="shared" si="54"/>
        <v>396.40615590256039</v>
      </c>
      <c r="R86" s="59">
        <f t="shared" si="55"/>
        <v>668.29090137966386</v>
      </c>
      <c r="S86" s="59">
        <f ca="1">AVERAGE(OFFSET($R$3,0,0,'Données projet'!$E$9+1,1))-AVERAGE(OFFSET($H$3,0,0,'Données projet'!$E$9+1,1))</f>
        <v>469.5773392354356</v>
      </c>
      <c r="T86" s="59">
        <f t="shared" si="88"/>
        <v>187.25344022835239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11.609068230370793</v>
      </c>
      <c r="AA86" s="21">
        <f>EXP(-LN(2)/25)*AA85+(1-EXP(-LN(2)/25))/(LN(2)/25)*Calculateur!V86*Calculateur!X86*VLOOKUP('Données projet'!$B$9,Paramètres!$A$1:$I$89,3,0)*0.475*44/12</f>
        <v>7.2697673437986579</v>
      </c>
      <c r="AB86" s="21">
        <f>EXP(-LN(2)/2)*AB85+(1-EXP(-LN(2)/2))/(LN(2)/2)*V86*Y86*VLOOKUP('Données projet'!$B$9,Paramètres!$A$1:$I$89,3,0)*0.475*44/12</f>
        <v>0.73156141478139847</v>
      </c>
      <c r="AC86" s="22">
        <f t="shared" si="57"/>
        <v>19.61039698895085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</v>
      </c>
      <c r="AI86" s="13">
        <f>IF('Données projet'!$A$62&gt;35,AI85+AH86-AQ85,IF(A86&lt;'Données projet'!$A$62,$AF$205^A86,IF(A86='Données projet'!$A$62,'Données projet'!$B$62,AI85+AH86-AQ85)))</f>
        <v>201</v>
      </c>
      <c r="AJ86" s="13">
        <f>AI86*VLOOKUP('Données projet'!$B$10,Paramètres!$A$1:$I$89,3,0)*VLOOKUP('Données projet'!$B$10,Paramètres!$A$1:$I$89,5,0)</f>
        <v>194.40720000000002</v>
      </c>
      <c r="AK86" s="13">
        <f t="shared" si="89"/>
        <v>48.513018020179601</v>
      </c>
      <c r="AL86" s="20">
        <f t="shared" si="58"/>
        <v>423.08604638514612</v>
      </c>
      <c r="AM86" s="59">
        <f t="shared" si="59"/>
        <v>694.9707918622496</v>
      </c>
      <c r="AN86" s="59">
        <f ca="1">AVERAGE(OFFSET($AM$3,0,0,'Données projet'!$E$10+1,1))-AVERAGE(OFFSET($H$3,0,0,'Données projet'!$E$10+1,1))</f>
        <v>370.91255999489181</v>
      </c>
      <c r="AO86" s="59">
        <f t="shared" si="90"/>
        <v>196.07869248605735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18.37483488842938</v>
      </c>
      <c r="AV86" s="21">
        <f>EXP(-LN(2)/25)*AV85+(1-EXP(-LN(2)/25))/(LN(2)/25)*Calculateur!AQ86*Calculateur!AS86*VLOOKUP('Données projet'!$B$10,Paramètres!$A$1:$I$89,3,0)*0.475*44/12</f>
        <v>8.7586588528914078</v>
      </c>
      <c r="AW86" s="21">
        <f>EXP(-LN(2)/2)*AW85+(1-EXP(-LN(2)/2))/(LN(2)/2)*AQ86*AT86*VLOOKUP('Données projet'!$B$10,Paramètres!$A$1:$I$89,3,0)*0.475*44/12</f>
        <v>0.41396281921185679</v>
      </c>
      <c r="AX86" s="21">
        <f t="shared" si="60"/>
        <v>27.547456560532645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</v>
      </c>
      <c r="BD86" s="12">
        <f>IF('Données projet'!$A$88&gt;35,BD85+BC86-BL85,IF(A86&lt;'Données projet'!$A$88,$BA$205^A86,IF(A86='Données projet'!$A$88,'Données projet'!$B$88,BD85+BC86-BL85)))</f>
        <v>201</v>
      </c>
      <c r="BE86" s="13">
        <f>BD86*VLOOKUP('Données projet'!$B$11,Paramètres!$A$1:$I$89,3,0)*VLOOKUP('Données projet'!$B$11,Paramètres!$A$1:$I$89,5,0)</f>
        <v>216.35640000000001</v>
      </c>
      <c r="BF86" s="13">
        <f t="shared" si="91"/>
        <v>53.322199188237285</v>
      </c>
      <c r="BG86" s="20">
        <f t="shared" si="61"/>
        <v>469.69022691951324</v>
      </c>
      <c r="BH86" s="59">
        <f t="shared" si="62"/>
        <v>741.57497239661666</v>
      </c>
      <c r="BI86" s="59">
        <f ca="1">AVERAGE(OFFSET($BH$3,0,0,'Données projet'!$E$11+1,1))-AVERAGE(OFFSET($H$3,0,0,'Données projet'!$E$11+1,1))</f>
        <v>404.24955007425774</v>
      </c>
      <c r="BJ86" s="59">
        <f t="shared" si="92"/>
        <v>211.49137630071019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20.449413020993983</v>
      </c>
      <c r="BQ86" s="21">
        <f>EXP(-LN(2)/25)*BQ85+(1-EXP(-LN(2)/25))/(LN(2)/25)*Calculateur!BL86*Calculateur!BN86*VLOOKUP('Données projet'!$B$11,Paramètres!$A$1:$I$89,3,0)*0.475*44/12</f>
        <v>9.7475396911210819</v>
      </c>
      <c r="BR86" s="21">
        <f>EXP(-LN(2)/2)*BR85+(1-EXP(-LN(2)/2))/(LN(2)/2)*BL86*BO86*VLOOKUP('Données projet'!$B$11,Paramètres!$A$1:$I$89,3,0)*0.475*44/12</f>
        <v>0.46070055686480854</v>
      </c>
      <c r="BS86" s="22">
        <f t="shared" si="63"/>
        <v>30.657653268979871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</v>
      </c>
      <c r="BY86" s="12">
        <f>IF('Données projet'!$A$114&gt;35,BY85+BX86-CG85,IF(A86&lt;'Données projet'!$A$114,$BV$205^A86,IF(A86='Données projet'!$A$114,'Données projet'!$B$114,BY85+BX86-CG85)))</f>
        <v>201</v>
      </c>
      <c r="BZ86" s="13">
        <f>BY86*VLOOKUP('Données projet'!$B$12,Paramètres!$A$1:$I$89,3,0)*VLOOKUP('Données projet'!$B$12,Paramètres!$A$1:$I$89,5,0)</f>
        <v>156.78</v>
      </c>
      <c r="CA86" s="13">
        <f t="shared" si="93"/>
        <v>40.115378305457973</v>
      </c>
      <c r="CB86" s="20">
        <f t="shared" si="64"/>
        <v>342.92611721533927</v>
      </c>
      <c r="CC86" s="59">
        <f t="shared" si="65"/>
        <v>614.8108626924427</v>
      </c>
      <c r="CD86" s="59">
        <f ca="1">AVERAGE(OFFSET($CC$3,0,0,'Données projet'!$E$12+1,1))-AVERAGE(OFFSET($H$3,0,0,'Données projet'!$E$12+1,1))</f>
        <v>250.01410333089137</v>
      </c>
      <c r="CE86" s="59">
        <f t="shared" si="94"/>
        <v>169.55868564318885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14.818415232604341</v>
      </c>
      <c r="CL86" s="21">
        <f>EXP(-LN(2)/25)*CL85+(1-EXP(-LN(2)/25))/(LN(2)/25)*Calculateur!CG86*Calculateur!CI86*VLOOKUP('Données projet'!$B$12,Paramètres!$A$1:$I$89,3,0)*0.475*44/12</f>
        <v>7.0634345587833947</v>
      </c>
      <c r="CM86" s="21">
        <f>EXP(-LN(2)/2)*CM85+(1-EXP(-LN(2)/2))/(LN(2)/2)*CG86*CJ86*VLOOKUP('Données projet'!$B$12,Paramètres!$A$1:$I$89,3,0)*0.475*44/12</f>
        <v>0.33384098323536832</v>
      </c>
      <c r="CN86" s="22">
        <f t="shared" si="66"/>
        <v>22.215690774623106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</v>
      </c>
      <c r="N87" s="13">
        <f>IF('Données projet'!$A$36&gt;35,N86+M87-V86,IF(A87&lt;'Données projet'!$A$36,$K$205^A87,IF(A87='Données projet'!$A$36,'Données projet'!$B$36,N86+M87-V86)))</f>
        <v>207</v>
      </c>
      <c r="O87" s="13">
        <f>N87*VLOOKUP('Données projet'!$B$9,Paramètres!$A$1:$I$89,3,0)*VLOOKUP('Données projet'!$B$9,Paramètres!$A$1:$I$89,5,0)</f>
        <v>187.2936</v>
      </c>
      <c r="P87" s="13">
        <f t="shared" si="87"/>
        <v>46.941107550760421</v>
      </c>
      <c r="Q87" s="20">
        <f t="shared" si="54"/>
        <v>407.95878231757439</v>
      </c>
      <c r="R87" s="59">
        <f t="shared" si="55"/>
        <v>680.21561284212476</v>
      </c>
      <c r="S87" s="59">
        <f ca="1">AVERAGE(OFFSET($R$3,0,0,'Données projet'!$E$9+1,1))-AVERAGE(OFFSET($H$3,0,0,'Données projet'!$E$9+1,1))</f>
        <v>469.5773392354356</v>
      </c>
      <c r="T87" s="59">
        <f t="shared" si="88"/>
        <v>187.25344022835239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11.381421483205669</v>
      </c>
      <c r="AA87" s="21">
        <f>EXP(-LN(2)/25)*AA86+(1-EXP(-LN(2)/25))/(LN(2)/25)*Calculateur!V87*Calculateur!X87*VLOOKUP('Données projet'!$B$9,Paramètres!$A$1:$I$89,3,0)*0.475*44/12</f>
        <v>7.0709751734820339</v>
      </c>
      <c r="AB87" s="21">
        <f>EXP(-LN(2)/2)*AB86+(1-EXP(-LN(2)/2))/(LN(2)/2)*V87*Y87*VLOOKUP('Données projet'!$B$9,Paramètres!$A$1:$I$89,3,0)*0.475*44/12</f>
        <v>0.51729203724635153</v>
      </c>
      <c r="AC87" s="22">
        <f t="shared" si="57"/>
        <v>18.969688693934057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</v>
      </c>
      <c r="AI87" s="13">
        <f>IF('Données projet'!$A$62&gt;35,AI86+AH87-AQ86,IF(A87&lt;'Données projet'!$A$62,$AF$205^A87,IF(A87='Données projet'!$A$62,'Données projet'!$B$62,AI86+AH87-AQ86)))</f>
        <v>207</v>
      </c>
      <c r="AJ87" s="13">
        <f>AI87*VLOOKUP('Données projet'!$B$10,Paramètres!$A$1:$I$89,3,0)*VLOOKUP('Données projet'!$B$10,Paramètres!$A$1:$I$89,5,0)</f>
        <v>200.21040000000002</v>
      </c>
      <c r="AK87" s="13">
        <f t="shared" si="89"/>
        <v>49.790404447235048</v>
      </c>
      <c r="AL87" s="20">
        <f t="shared" si="58"/>
        <v>435.41806774560104</v>
      </c>
      <c r="AM87" s="59">
        <f t="shared" si="59"/>
        <v>707.67489827015129</v>
      </c>
      <c r="AN87" s="59">
        <f ca="1">AVERAGE(OFFSET($AM$3,0,0,'Données projet'!$E$10+1,1))-AVERAGE(OFFSET($H$3,0,0,'Données projet'!$E$10+1,1))</f>
        <v>370.91255999489181</v>
      </c>
      <c r="AO87" s="59">
        <f t="shared" si="90"/>
        <v>196.07869248605735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18.01451558380991</v>
      </c>
      <c r="AV87" s="21">
        <f>EXP(-LN(2)/25)*AV86+(1-EXP(-LN(2)/25))/(LN(2)/25)*Calculateur!AQ87*Calculateur!AS87*VLOOKUP('Données projet'!$B$10,Paramètres!$A$1:$I$89,3,0)*0.475*44/12</f>
        <v>8.5191528659612406</v>
      </c>
      <c r="AW87" s="21">
        <f>EXP(-LN(2)/2)*AW86+(1-EXP(-LN(2)/2))/(LN(2)/2)*AQ87*AT87*VLOOKUP('Données projet'!$B$10,Paramètres!$A$1:$I$89,3,0)*0.475*44/12</f>
        <v>0.29271591662380475</v>
      </c>
      <c r="AX87" s="21">
        <f t="shared" si="60"/>
        <v>26.826384366394954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</v>
      </c>
      <c r="BD87" s="12">
        <f>IF('Données projet'!$A$88&gt;35,BD86+BC87-BL86,IF(A87&lt;'Données projet'!$A$88,$BA$205^A87,IF(A87='Données projet'!$A$88,'Données projet'!$B$88,BD86+BC87-BL86)))</f>
        <v>207</v>
      </c>
      <c r="BE87" s="13">
        <f>BD87*VLOOKUP('Données projet'!$B$11,Paramètres!$A$1:$I$89,3,0)*VLOOKUP('Données projet'!$B$11,Paramètres!$A$1:$I$89,5,0)</f>
        <v>222.81479999999999</v>
      </c>
      <c r="BF87" s="13">
        <f t="shared" si="91"/>
        <v>54.726215188137907</v>
      </c>
      <c r="BG87" s="20">
        <f t="shared" si="61"/>
        <v>483.38393478600682</v>
      </c>
      <c r="BH87" s="59">
        <f t="shared" si="62"/>
        <v>755.64076531055707</v>
      </c>
      <c r="BI87" s="59">
        <f ca="1">AVERAGE(OFFSET($BH$3,0,0,'Données projet'!$E$11+1,1))-AVERAGE(OFFSET($H$3,0,0,'Données projet'!$E$11+1,1))</f>
        <v>404.24955007425774</v>
      </c>
      <c r="BJ87" s="59">
        <f t="shared" si="92"/>
        <v>211.49137630071019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20.048412504562638</v>
      </c>
      <c r="BQ87" s="21">
        <f>EXP(-LN(2)/25)*BQ86+(1-EXP(-LN(2)/25))/(LN(2)/25)*Calculateur!BL87*Calculateur!BN87*VLOOKUP('Données projet'!$B$11,Paramètres!$A$1:$I$89,3,0)*0.475*44/12</f>
        <v>9.4809927056665426</v>
      </c>
      <c r="BR87" s="21">
        <f>EXP(-LN(2)/2)*BR86+(1-EXP(-LN(2)/2))/(LN(2)/2)*BL87*BO87*VLOOKUP('Données projet'!$B$11,Paramètres!$A$1:$I$89,3,0)*0.475*44/12</f>
        <v>0.32576448785552481</v>
      </c>
      <c r="BS87" s="22">
        <f t="shared" si="63"/>
        <v>29.855169698084705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</v>
      </c>
      <c r="BY87" s="12">
        <f>IF('Données projet'!$A$114&gt;35,BY86+BX87-CG86,IF(A87&lt;'Données projet'!$A$114,$BV$205^A87,IF(A87='Données projet'!$A$114,'Données projet'!$B$114,BY86+BX87-CG86)))</f>
        <v>207</v>
      </c>
      <c r="BZ87" s="13">
        <f>BY87*VLOOKUP('Données projet'!$B$12,Paramètres!$A$1:$I$89,3,0)*VLOOKUP('Données projet'!$B$12,Paramètres!$A$1:$I$89,5,0)</f>
        <v>161.46</v>
      </c>
      <c r="CA87" s="13">
        <f t="shared" si="93"/>
        <v>41.171648186302534</v>
      </c>
      <c r="CB87" s="20">
        <f t="shared" si="64"/>
        <v>352.9167872578102</v>
      </c>
      <c r="CC87" s="59">
        <f t="shared" si="65"/>
        <v>625.17361778236045</v>
      </c>
      <c r="CD87" s="59">
        <f ca="1">AVERAGE(OFFSET($CC$3,0,0,'Données projet'!$E$12+1,1))-AVERAGE(OFFSET($H$3,0,0,'Données projet'!$E$12+1,1))</f>
        <v>250.01410333089137</v>
      </c>
      <c r="CE87" s="59">
        <f t="shared" si="94"/>
        <v>169.55868564318885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14.5278351482338</v>
      </c>
      <c r="CL87" s="21">
        <f>EXP(-LN(2)/25)*CL86+(1-EXP(-LN(2)/25))/(LN(2)/25)*Calculateur!CG87*Calculateur!CI87*VLOOKUP('Données projet'!$B$12,Paramètres!$A$1:$I$89,3,0)*0.475*44/12</f>
        <v>6.8702845693235828</v>
      </c>
      <c r="CM87" s="21">
        <f>EXP(-LN(2)/2)*CM86+(1-EXP(-LN(2)/2))/(LN(2)/2)*CG87*CJ87*VLOOKUP('Données projet'!$B$12,Paramètres!$A$1:$I$89,3,0)*0.475*44/12</f>
        <v>0.23606122308371347</v>
      </c>
      <c r="CN87" s="22">
        <f t="shared" si="66"/>
        <v>21.634180940641095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213</v>
      </c>
      <c r="L88" s="12">
        <f>VLOOKUP(A88,'Données projet'!$A$35:$I$55,9,0)</f>
        <v>6</v>
      </c>
      <c r="M88" s="12">
        <f t="array" ref="M88">INDEX(L:L,MIN(IF(ISNUMBER(L88:L284),ROW(L88:L284),"")))</f>
        <v>6</v>
      </c>
      <c r="N88" s="13">
        <f>IF('Données projet'!$A$36&gt;35,N87+M88-V87,IF(A88&lt;'Données projet'!$A$36,$K$205^A88,IF(A88='Données projet'!$A$36,'Données projet'!$B$36,N87+M88-V87)))</f>
        <v>213</v>
      </c>
      <c r="O88" s="13">
        <f>N88*VLOOKUP('Données projet'!$B$9,Paramètres!$A$1:$I$89,3,0)*VLOOKUP('Données projet'!$B$9,Paramètres!$A$1:$I$89,5,0)</f>
        <v>192.72239999999999</v>
      </c>
      <c r="P88" s="13">
        <f t="shared" si="87"/>
        <v>48.141337574630874</v>
      </c>
      <c r="Q88" s="20">
        <f t="shared" si="54"/>
        <v>419.50434294248208</v>
      </c>
      <c r="R88" s="59">
        <f t="shared" si="55"/>
        <v>692.12680367076359</v>
      </c>
      <c r="S88" s="59">
        <f ca="1">AVERAGE(OFFSET($R$3,0,0,'Données projet'!$E$9+1,1))-AVERAGE(OFFSET($H$3,0,0,'Données projet'!$E$9+1,1))</f>
        <v>469.5773392354356</v>
      </c>
      <c r="T88" s="59">
        <f t="shared" si="88"/>
        <v>187.25344022835239</v>
      </c>
      <c r="U88" s="15">
        <f>IF(ISNA(VLOOKUP(A88,'Données projet'!$A$35:$I$55,3,0)),0,VLOOKUP(A88,'Données projet'!$A$35:$I$55,3,0))</f>
        <v>9</v>
      </c>
      <c r="V88" s="15">
        <f>IF(ISNA(VLOOKUP(A88,'Données projet'!$A$35:$I$55,4,0)),0,VLOOKUP(A88,'Données projet'!$A$35:$I$55,4,0))</f>
        <v>31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8.6000000000000007E-2</v>
      </c>
      <c r="Y88" s="16">
        <f>IF(ISNA(VLOOKUP(A88,'Données projet'!$A$35:$I$55,7,0)),0%,VLOOKUP(A88,'Données projet'!$A$35:$I$55,7,0))</f>
        <v>0.1</v>
      </c>
      <c r="Z88" s="21">
        <f>EXP(-LN(2)/35)*Z87+(1-EXP(-LN(2)/35))/(LN(2)/35)*V88*W88*VLOOKUP('Données projet'!$B$9,Paramètres!$A$1:$I$89,3,0)*0.475*44/12</f>
        <v>19.158075085914152</v>
      </c>
      <c r="AA88" s="21">
        <f>EXP(-LN(2)/25)*AA87+(1-EXP(-LN(2)/25))/(LN(2)/25)*Calculateur!V88*Calculateur!X88*VLOOKUP('Données projet'!$B$9,Paramètres!$A$1:$I$89,3,0)*0.475*44/12</f>
        <v>9.5337316295770798</v>
      </c>
      <c r="AB88" s="21">
        <f>EXP(-LN(2)/2)*AB87+(1-EXP(-LN(2)/2))/(LN(2)/2)*V88*Y88*VLOOKUP('Données projet'!$B$9,Paramètres!$A$1:$I$89,3,0)*0.475*44/12</f>
        <v>3.0122604796290608</v>
      </c>
      <c r="AC88" s="22">
        <f t="shared" si="57"/>
        <v>31.704067195120292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213</v>
      </c>
      <c r="AG88" s="12">
        <f>VLOOKUP(A88,'Données projet'!$A$61:$I$81,9,0)</f>
        <v>6</v>
      </c>
      <c r="AH88" s="12">
        <f t="array" ref="AH88">INDEX(AG:AG,MIN(IF(ISNUMBER(AG88:AG284),ROW(AG88:AG284),"")))</f>
        <v>6</v>
      </c>
      <c r="AI88" s="13">
        <f>IF('Données projet'!$A$62&gt;35,AI87+AH88-AQ87,IF(A88&lt;'Données projet'!$A$62,$AF$205^A88,IF(A88='Données projet'!$A$62,'Données projet'!$B$62,AI87+AH88-AQ87)))</f>
        <v>213</v>
      </c>
      <c r="AJ88" s="13">
        <f>AI88*VLOOKUP('Données projet'!$B$10,Paramètres!$A$1:$I$89,3,0)*VLOOKUP('Données projet'!$B$10,Paramètres!$A$1:$I$89,5,0)</f>
        <v>206.0136</v>
      </c>
      <c r="AK88" s="13">
        <f t="shared" si="89"/>
        <v>51.063487709141434</v>
      </c>
      <c r="AL88" s="20">
        <f t="shared" si="58"/>
        <v>447.74259442675469</v>
      </c>
      <c r="AM88" s="59">
        <f t="shared" si="59"/>
        <v>720.3650551550362</v>
      </c>
      <c r="AN88" s="59">
        <f ca="1">AVERAGE(OFFSET($AM$3,0,0,'Données projet'!$E$10+1,1))-AVERAGE(OFFSET($H$3,0,0,'Données projet'!$E$10+1,1))</f>
        <v>370.91255999489181</v>
      </c>
      <c r="AO88" s="59">
        <f t="shared" si="90"/>
        <v>196.07869248605735</v>
      </c>
      <c r="AP88" s="15">
        <f>IF(ISNA(VLOOKUP(A88,'Données projet'!$A$61:$I$81,3,0)),0,VLOOKUP(A88,'Données projet'!$A$61:$I$81,3,0))</f>
        <v>9</v>
      </c>
      <c r="AQ88" s="15">
        <f>IF(ISNA(VLOOKUP(A88,'Données projet'!$A$61:$I$81,4,0)),0,VLOOKUP(A88,'Données projet'!$A$61:$I$81,4,0))</f>
        <v>31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8.6000000000000007E-2</v>
      </c>
      <c r="AT88" s="16">
        <f>IF(ISNA(VLOOKUP(A88,'Données projet'!$A$61:$I$81,7,0)),0%,VLOOKUP(A88,'Données projet'!$A$61:$I$81,7,0))</f>
        <v>0.1</v>
      </c>
      <c r="AU88" s="21">
        <f>EXP(-LN(2)/35)*AU87+(1-EXP(-LN(2)/35))/(LN(2)/35)*AQ88*AR88*VLOOKUP('Données projet'!$B$10,Paramètres!$A$1:$I$89,3,0)*0.475*44/12</f>
        <v>26.212811107752941</v>
      </c>
      <c r="AV88" s="21">
        <f>EXP(-LN(2)/25)*AV87+(1-EXP(-LN(2)/25))/(LN(2)/25)*Calculateur!AQ88*Calculateur!AS88*VLOOKUP('Données projet'!$B$10,Paramètres!$A$1:$I$89,3,0)*0.475*44/12</f>
        <v>11.125489009248076</v>
      </c>
      <c r="AW88" s="21">
        <f>EXP(-LN(2)/2)*AW87+(1-EXP(-LN(2)/2))/(LN(2)/2)*AQ88*AT88*VLOOKUP('Données projet'!$B$10,Paramètres!$A$1:$I$89,3,0)*0.475*44/12</f>
        <v>3.035977028205556</v>
      </c>
      <c r="AX88" s="21">
        <f t="shared" si="60"/>
        <v>40.374277145206577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213</v>
      </c>
      <c r="BB88" s="12">
        <f>VLOOKUP(A88,'Données projet'!$A$87:$I$107,9,0)</f>
        <v>6</v>
      </c>
      <c r="BC88" s="12">
        <f t="array" ref="BC88">INDEX(BB:BB,MIN(IF(ISNUMBER(BB88:BB284),ROW(BB88:BB284),"")))</f>
        <v>6</v>
      </c>
      <c r="BD88" s="12">
        <f>IF('Données projet'!$A$88&gt;35,BD87+BC88-BL87,IF(A88&lt;'Données projet'!$A$88,$BA$205^A88,IF(A88='Données projet'!$A$88,'Données projet'!$B$88,BD87+BC88-BL87)))</f>
        <v>213</v>
      </c>
      <c r="BE88" s="13">
        <f>BD88*VLOOKUP('Données projet'!$B$11,Paramètres!$A$1:$I$89,3,0)*VLOOKUP('Données projet'!$B$11,Paramètres!$A$1:$I$89,5,0)</f>
        <v>229.2732</v>
      </c>
      <c r="BF88" s="13">
        <f t="shared" si="91"/>
        <v>56.125501442527366</v>
      </c>
      <c r="BG88" s="20">
        <f t="shared" si="61"/>
        <v>497.06940501240177</v>
      </c>
      <c r="BH88" s="59">
        <f t="shared" si="62"/>
        <v>769.69186574068328</v>
      </c>
      <c r="BI88" s="59">
        <f ca="1">AVERAGE(OFFSET($BH$3,0,0,'Données projet'!$E$11+1,1))-AVERAGE(OFFSET($H$3,0,0,'Données projet'!$E$11+1,1))</f>
        <v>404.24955007425774</v>
      </c>
      <c r="BJ88" s="59">
        <f t="shared" si="92"/>
        <v>211.49137630071019</v>
      </c>
      <c r="BK88" s="15">
        <f>IF(ISNA(VLOOKUP(A88,'Données projet'!$A$87:$I$107,3,0)),0,VLOOKUP(A88,'Données projet'!$A$87:$I$107,3,0))</f>
        <v>9</v>
      </c>
      <c r="BL88" s="15">
        <f>IF(ISNA(VLOOKUP(A88,'Données projet'!$A$87:$I$107,4,0)),0,VLOOKUP(A88,'Données projet'!$A$87:$I$107,4,0))</f>
        <v>31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8.6000000000000007E-2</v>
      </c>
      <c r="BO88" s="16">
        <f>IF(ISNA(VLOOKUP(A88,'Données projet'!$A$87:$I$107,7,0)),0%,VLOOKUP(A88,'Données projet'!$A$87:$I$107,7,0))</f>
        <v>0.1</v>
      </c>
      <c r="BP88" s="21">
        <f>EXP(-LN(2)/35)*BP87+(1-EXP(-LN(2)/35))/(LN(2)/35)*BL88*BM88*VLOOKUP('Données projet'!$B$11,Paramètres!$A$1:$I$89,3,0)*0.475*44/12</f>
        <v>29.172322039273425</v>
      </c>
      <c r="BQ88" s="21">
        <f>EXP(-LN(2)/25)*BQ87+(1-EXP(-LN(2)/25))/(LN(2)/25)*Calculateur!BL88*Calculateur!BN88*VLOOKUP('Données projet'!$B$11,Paramètres!$A$1:$I$89,3,0)*0.475*44/12</f>
        <v>12.381592607066409</v>
      </c>
      <c r="BR88" s="21">
        <f>EXP(-LN(2)/2)*BR87+(1-EXP(-LN(2)/2))/(LN(2)/2)*BL88*BO88*VLOOKUP('Données projet'!$B$11,Paramètres!$A$1:$I$89,3,0)*0.475*44/12</f>
        <v>3.378748628164248</v>
      </c>
      <c r="BS88" s="22">
        <f t="shared" si="63"/>
        <v>44.93266327450408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213</v>
      </c>
      <c r="BW88" s="12">
        <f>VLOOKUP(A88,'Données projet'!$A$113:$I$133,9,0)</f>
        <v>6</v>
      </c>
      <c r="BX88" s="12">
        <f t="array" ref="BX88">INDEX(BW:BW,MIN(IF(ISNUMBER(BW88:BW284),ROW(BW88:BW284),"")))</f>
        <v>6</v>
      </c>
      <c r="BY88" s="12">
        <f>IF('Données projet'!$A$114&gt;35,BY87+BX88-CG87,IF(A88&lt;'Données projet'!$A$114,$BV$205^A88,IF(A88='Données projet'!$A$114,'Données projet'!$B$114,BY87+BX88-CG87)))</f>
        <v>213</v>
      </c>
      <c r="BZ88" s="13">
        <f>BY88*VLOOKUP('Données projet'!$B$12,Paramètres!$A$1:$I$89,3,0)*VLOOKUP('Données projet'!$B$12,Paramètres!$A$1:$I$89,5,0)</f>
        <v>166.14000000000001</v>
      </c>
      <c r="CA88" s="13">
        <f t="shared" si="93"/>
        <v>42.224359783104845</v>
      </c>
      <c r="CB88" s="20">
        <f t="shared" si="64"/>
        <v>362.90125995557429</v>
      </c>
      <c r="CC88" s="59">
        <f t="shared" si="65"/>
        <v>635.5237206838558</v>
      </c>
      <c r="CD88" s="59">
        <f ca="1">AVERAGE(OFFSET($CC$3,0,0,'Données projet'!$E$12+1,1))-AVERAGE(OFFSET($H$3,0,0,'Données projet'!$E$12+1,1))</f>
        <v>250.01410333089137</v>
      </c>
      <c r="CE88" s="59">
        <f t="shared" si="94"/>
        <v>169.55868564318885</v>
      </c>
      <c r="CF88" s="15">
        <f>IF(ISNA(VLOOKUP(A88,'Données projet'!$A$113:$I$133,3,0)),0,VLOOKUP(A88,'Données projet'!$A$113:$I$133,3,0))</f>
        <v>9</v>
      </c>
      <c r="CG88" s="15">
        <f>IF(ISNA(VLOOKUP(A88,'Données projet'!$A$113:$I$133,4,0)),0,VLOOKUP(A88,'Données projet'!$A$113:$I$133,4,0))</f>
        <v>31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8.6000000000000007E-2</v>
      </c>
      <c r="CJ88" s="16">
        <f>IF(ISNA(VLOOKUP(A88,'Données projet'!$A$113:$I$133,7,0)),0%,VLOOKUP(A88,'Données projet'!$A$113:$I$133,7,0))</f>
        <v>0.1</v>
      </c>
      <c r="CK88" s="21">
        <f>EXP(-LN(2)/35)*CK87+(1-EXP(-LN(2)/35))/(LN(2)/35)*CG88*CH88*VLOOKUP('Données projet'!$B$12,Paramètres!$A$1:$I$89,3,0)*0.475*44/12</f>
        <v>21.139363796574955</v>
      </c>
      <c r="CL88" s="21">
        <f>EXP(-LN(2)/25)*CL87+(1-EXP(-LN(2)/25))/(LN(2)/25)*Calculateur!CG88*Calculateur!CI88*VLOOKUP('Données projet'!$B$12,Paramètres!$A$1:$I$89,3,0)*0.475*44/12</f>
        <v>8.972168555845224</v>
      </c>
      <c r="CM88" s="21">
        <f>EXP(-LN(2)/2)*CM87+(1-EXP(-LN(2)/2))/(LN(2)/2)*CG88*CJ88*VLOOKUP('Données projet'!$B$12,Paramètres!$A$1:$I$89,3,0)*0.475*44/12</f>
        <v>2.4483685711335128</v>
      </c>
      <c r="CN88" s="22">
        <f t="shared" si="66"/>
        <v>32.559900923553691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187.6</v>
      </c>
      <c r="O89" s="13">
        <f>N89*VLOOKUP('Données projet'!$B$9,Paramètres!$A$1:$I$89,3,0)*VLOOKUP('Données projet'!$B$9,Paramètres!$A$1:$I$89,5,0)</f>
        <v>169.74047999999999</v>
      </c>
      <c r="P89" s="13">
        <f t="shared" si="87"/>
        <v>43.03189457132202</v>
      </c>
      <c r="Q89" s="20">
        <f t="shared" si="54"/>
        <v>370.57855237838584</v>
      </c>
      <c r="R89" s="59">
        <f t="shared" si="55"/>
        <v>643.56030044379054</v>
      </c>
      <c r="S89" s="59">
        <f ca="1">AVERAGE(OFFSET($R$3,0,0,'Données projet'!$E$9+1,1))-AVERAGE(OFFSET($H$3,0,0,'Données projet'!$E$9+1,1))</f>
        <v>469.5773392354356</v>
      </c>
      <c r="T89" s="59">
        <f t="shared" si="88"/>
        <v>187.25344022835239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18.782396918751353</v>
      </c>
      <c r="AA89" s="21">
        <f>EXP(-LN(2)/25)*AA88+(1-EXP(-LN(2)/25))/(LN(2)/25)*Calculateur!V89*Calculateur!X89*VLOOKUP('Données projet'!$B$9,Paramètres!$A$1:$I$89,3,0)*0.475*44/12</f>
        <v>9.2730312368091372</v>
      </c>
      <c r="AB89" s="21">
        <f>EXP(-LN(2)/2)*AB88+(1-EXP(-LN(2)/2))/(LN(2)/2)*V89*Y89*VLOOKUP('Données projet'!$B$9,Paramètres!$A$1:$I$89,3,0)*0.475*44/12</f>
        <v>2.129989811845951</v>
      </c>
      <c r="AC89" s="22">
        <f t="shared" si="57"/>
        <v>30.185417967406444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187.6</v>
      </c>
      <c r="AJ89" s="13">
        <f>AI89*VLOOKUP('Données projet'!$B$10,Paramètres!$A$1:$I$89,3,0)*VLOOKUP('Données projet'!$B$10,Paramètres!$A$1:$I$89,5,0)</f>
        <v>181.44672</v>
      </c>
      <c r="AK89" s="13">
        <f t="shared" si="89"/>
        <v>45.64390459939613</v>
      </c>
      <c r="AL89" s="20">
        <f t="shared" si="58"/>
        <v>395.51617117728159</v>
      </c>
      <c r="AM89" s="59">
        <f t="shared" si="59"/>
        <v>668.49791924268629</v>
      </c>
      <c r="AN89" s="59">
        <f ca="1">AVERAGE(OFFSET($AM$3,0,0,'Données projet'!$E$10+1,1))-AVERAGE(OFFSET($H$3,0,0,'Données projet'!$E$10+1,1))</f>
        <v>370.91255999489181</v>
      </c>
      <c r="AO89" s="59">
        <f t="shared" si="90"/>
        <v>196.07869248605735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25.698793870165975</v>
      </c>
      <c r="AV89" s="21">
        <f>EXP(-LN(2)/25)*AV88+(1-EXP(-LN(2)/25))/(LN(2)/25)*Calculateur!AQ89*Calculateur!AS89*VLOOKUP('Données projet'!$B$10,Paramètres!$A$1:$I$89,3,0)*0.475*44/12</f>
        <v>10.821261927226148</v>
      </c>
      <c r="AW89" s="21">
        <f>EXP(-LN(2)/2)*AW88+(1-EXP(-LN(2)/2))/(LN(2)/2)*AQ89*AT89*VLOOKUP('Données projet'!$B$10,Paramètres!$A$1:$I$89,3,0)*0.475*44/12</f>
        <v>2.1467599441707312</v>
      </c>
      <c r="AX89" s="21">
        <f t="shared" si="60"/>
        <v>38.666815741562857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</v>
      </c>
      <c r="BD89" s="12">
        <f>IF('Données projet'!$A$88&gt;35,BD88+BC89-BL88,IF(A89&lt;'Données projet'!$A$88,$BA$205^A89,IF(A89='Données projet'!$A$88,'Données projet'!$B$88,BD88+BC89-BL88)))</f>
        <v>187.6</v>
      </c>
      <c r="BE89" s="13">
        <f>BD89*VLOOKUP('Données projet'!$B$11,Paramètres!$A$1:$I$89,3,0)*VLOOKUP('Données projet'!$B$11,Paramètres!$A$1:$I$89,5,0)</f>
        <v>201.93263999999999</v>
      </c>
      <c r="BF89" s="13">
        <f t="shared" si="91"/>
        <v>50.16866548614879</v>
      </c>
      <c r="BG89" s="20">
        <f t="shared" si="61"/>
        <v>439.07644038837572</v>
      </c>
      <c r="BH89" s="59">
        <f t="shared" si="62"/>
        <v>712.05818845378042</v>
      </c>
      <c r="BI89" s="59">
        <f ca="1">AVERAGE(OFFSET($BH$3,0,0,'Données projet'!$E$11+1,1))-AVERAGE(OFFSET($H$3,0,0,'Données projet'!$E$11+1,1))</f>
        <v>404.24955007425774</v>
      </c>
      <c r="BJ89" s="59">
        <f t="shared" si="92"/>
        <v>211.49137630071019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28.600270597442769</v>
      </c>
      <c r="BQ89" s="21">
        <f>EXP(-LN(2)/25)*BQ88+(1-EXP(-LN(2)/25))/(LN(2)/25)*Calculateur!BL89*Calculateur!BN89*VLOOKUP('Données projet'!$B$11,Paramètres!$A$1:$I$89,3,0)*0.475*44/12</f>
        <v>12.043017306106522</v>
      </c>
      <c r="BR89" s="21">
        <f>EXP(-LN(2)/2)*BR88+(1-EXP(-LN(2)/2))/(LN(2)/2)*BL89*BO89*VLOOKUP('Données projet'!$B$11,Paramètres!$A$1:$I$89,3,0)*0.475*44/12</f>
        <v>2.3891360668996846</v>
      </c>
      <c r="BS89" s="22">
        <f t="shared" si="63"/>
        <v>43.032423970448974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187.6</v>
      </c>
      <c r="BZ89" s="13">
        <f>BY89*VLOOKUP('Données projet'!$B$12,Paramètres!$A$1:$I$89,3,0)*VLOOKUP('Données projet'!$B$12,Paramètres!$A$1:$I$89,5,0)</f>
        <v>146.328</v>
      </c>
      <c r="CA89" s="13">
        <f t="shared" si="93"/>
        <v>37.74291056436379</v>
      </c>
      <c r="CB89" s="20">
        <f t="shared" si="64"/>
        <v>320.59016923293359</v>
      </c>
      <c r="CC89" s="59">
        <f t="shared" si="65"/>
        <v>593.57191729833835</v>
      </c>
      <c r="CD89" s="59">
        <f ca="1">AVERAGE(OFFSET($CC$3,0,0,'Données projet'!$E$12+1,1))-AVERAGE(OFFSET($H$3,0,0,'Données projet'!$E$12+1,1))</f>
        <v>250.01410333089137</v>
      </c>
      <c r="CE89" s="59">
        <f t="shared" si="94"/>
        <v>169.55868564318885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20.724833766262886</v>
      </c>
      <c r="CL89" s="21">
        <f>EXP(-LN(2)/25)*CL88+(1-EXP(-LN(2)/25))/(LN(2)/25)*Calculateur!CG89*Calculateur!CI89*VLOOKUP('Données projet'!$B$12,Paramètres!$A$1:$I$89,3,0)*0.475*44/12</f>
        <v>8.7268241348597986</v>
      </c>
      <c r="CM89" s="21">
        <f>EXP(-LN(2)/2)*CM88+(1-EXP(-LN(2)/2))/(LN(2)/2)*CG89*CJ89*VLOOKUP('Données projet'!$B$12,Paramètres!$A$1:$I$89,3,0)*0.475*44/12</f>
        <v>1.7312580194925249</v>
      </c>
      <c r="CN89" s="22">
        <f t="shared" si="66"/>
        <v>31.182915920615212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193.2</v>
      </c>
      <c r="O90" s="13">
        <f>N90*VLOOKUP('Données projet'!$B$9,Paramètres!$A$1:$I$89,3,0)*VLOOKUP('Données projet'!$B$9,Paramètres!$A$1:$I$89,5,0)</f>
        <v>174.80735999999999</v>
      </c>
      <c r="P90" s="13">
        <f t="shared" si="87"/>
        <v>44.164958649772579</v>
      </c>
      <c r="Q90" s="20">
        <f t="shared" si="54"/>
        <v>381.37678831502052</v>
      </c>
      <c r="R90" s="59">
        <f t="shared" si="55"/>
        <v>654.7115908854953</v>
      </c>
      <c r="S90" s="59">
        <f ca="1">AVERAGE(OFFSET($R$3,0,0,'Données projet'!$E$9+1,1))-AVERAGE(OFFSET($H$3,0,0,'Données projet'!$E$9+1,1))</f>
        <v>469.5773392354356</v>
      </c>
      <c r="T90" s="59">
        <f t="shared" si="88"/>
        <v>187.25344022835239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18.414085571305559</v>
      </c>
      <c r="AA90" s="21">
        <f>EXP(-LN(2)/25)*AA89+(1-EXP(-LN(2)/25))/(LN(2)/25)*Calculateur!V90*Calculateur!X90*VLOOKUP('Données projet'!$B$9,Paramètres!$A$1:$I$89,3,0)*0.475*44/12</f>
        <v>9.0194597099910716</v>
      </c>
      <c r="AB90" s="21">
        <f>EXP(-LN(2)/2)*AB89+(1-EXP(-LN(2)/2))/(LN(2)/2)*V90*Y90*VLOOKUP('Données projet'!$B$9,Paramètres!$A$1:$I$89,3,0)*0.475*44/12</f>
        <v>1.5061302398145306</v>
      </c>
      <c r="AC90" s="22">
        <f t="shared" si="57"/>
        <v>28.939675521111162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193.2</v>
      </c>
      <c r="AJ90" s="13">
        <f>AI90*VLOOKUP('Données projet'!$B$10,Paramètres!$A$1:$I$89,3,0)*VLOOKUP('Données projet'!$B$10,Paramètres!$A$1:$I$89,5,0)</f>
        <v>186.86303999999998</v>
      </c>
      <c r="AK90" s="13">
        <f t="shared" si="89"/>
        <v>46.845744983534466</v>
      </c>
      <c r="AL90" s="20">
        <f t="shared" si="58"/>
        <v>407.04280051298912</v>
      </c>
      <c r="AM90" s="59">
        <f t="shared" si="59"/>
        <v>680.37760308346401</v>
      </c>
      <c r="AN90" s="59">
        <f ca="1">AVERAGE(OFFSET($AM$3,0,0,'Données projet'!$E$10+1,1))-AVERAGE(OFFSET($H$3,0,0,'Données projet'!$E$10+1,1))</f>
        <v>370.91255999489181</v>
      </c>
      <c r="AO90" s="59">
        <f t="shared" si="90"/>
        <v>196.07869248605735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25.19485619708853</v>
      </c>
      <c r="AV90" s="21">
        <f>EXP(-LN(2)/25)*AV89+(1-EXP(-LN(2)/25))/(LN(2)/25)*Calculateur!AQ90*Calculateur!AS90*VLOOKUP('Données projet'!$B$10,Paramètres!$A$1:$I$89,3,0)*0.475*44/12</f>
        <v>10.525353950760717</v>
      </c>
      <c r="AW90" s="21">
        <f>EXP(-LN(2)/2)*AW89+(1-EXP(-LN(2)/2))/(LN(2)/2)*AQ90*AT90*VLOOKUP('Données projet'!$B$10,Paramètres!$A$1:$I$89,3,0)*0.475*44/12</f>
        <v>1.5179885141027782</v>
      </c>
      <c r="AX90" s="21">
        <f t="shared" si="60"/>
        <v>37.238198661952019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</v>
      </c>
      <c r="BD90" s="12">
        <f>IF('Données projet'!$A$88&gt;35,BD89+BC90-BL89,IF(A90&lt;'Données projet'!$A$88,$BA$205^A90,IF(A90='Données projet'!$A$88,'Données projet'!$B$88,BD89+BC90-BL89)))</f>
        <v>193.2</v>
      </c>
      <c r="BE90" s="13">
        <f>BD90*VLOOKUP('Données projet'!$B$11,Paramètres!$A$1:$I$89,3,0)*VLOOKUP('Données projet'!$B$11,Paramètres!$A$1:$I$89,5,0)</f>
        <v>207.96047999999999</v>
      </c>
      <c r="BF90" s="13">
        <f t="shared" si="91"/>
        <v>51.489646430456041</v>
      </c>
      <c r="BG90" s="20">
        <f t="shared" si="61"/>
        <v>451.87563686637753</v>
      </c>
      <c r="BH90" s="59">
        <f t="shared" si="62"/>
        <v>725.21043943685231</v>
      </c>
      <c r="BI90" s="59">
        <f ca="1">AVERAGE(OFFSET($BH$3,0,0,'Données projet'!$E$11+1,1))-AVERAGE(OFFSET($H$3,0,0,'Données projet'!$E$11+1,1))</f>
        <v>404.24955007425774</v>
      </c>
      <c r="BJ90" s="59">
        <f t="shared" si="92"/>
        <v>211.49137630071019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28.039436735469486</v>
      </c>
      <c r="BQ90" s="21">
        <f>EXP(-LN(2)/25)*BQ89+(1-EXP(-LN(2)/25))/(LN(2)/25)*Calculateur!BL90*Calculateur!BN90*VLOOKUP('Données projet'!$B$11,Paramètres!$A$1:$I$89,3,0)*0.475*44/12</f>
        <v>11.713700364556283</v>
      </c>
      <c r="BR90" s="21">
        <f>EXP(-LN(2)/2)*BR89+(1-EXP(-LN(2)/2))/(LN(2)/2)*BL90*BO90*VLOOKUP('Données projet'!$B$11,Paramètres!$A$1:$I$89,3,0)*0.475*44/12</f>
        <v>1.6893743140821242</v>
      </c>
      <c r="BS90" s="22">
        <f t="shared" si="63"/>
        <v>41.442511414107891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193.2</v>
      </c>
      <c r="BZ90" s="13">
        <f>BY90*VLOOKUP('Données projet'!$B$12,Paramètres!$A$1:$I$89,3,0)*VLOOKUP('Données projet'!$B$12,Paramètres!$A$1:$I$89,5,0)</f>
        <v>150.696</v>
      </c>
      <c r="CA90" s="13">
        <f t="shared" si="93"/>
        <v>38.736711478840633</v>
      </c>
      <c r="CB90" s="20">
        <f t="shared" si="64"/>
        <v>329.92863915898073</v>
      </c>
      <c r="CC90" s="59">
        <f t="shared" si="65"/>
        <v>603.26344172945551</v>
      </c>
      <c r="CD90" s="59">
        <f ca="1">AVERAGE(OFFSET($CC$3,0,0,'Données projet'!$E$12+1,1))-AVERAGE(OFFSET($H$3,0,0,'Données projet'!$E$12+1,1))</f>
        <v>250.01410333089137</v>
      </c>
      <c r="CE90" s="59">
        <f t="shared" si="94"/>
        <v>169.55868564318885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20.318432417006882</v>
      </c>
      <c r="CL90" s="21">
        <f>EXP(-LN(2)/25)*CL89+(1-EXP(-LN(2)/25))/(LN(2)/25)*Calculateur!CG90*Calculateur!CI90*VLOOKUP('Données projet'!$B$12,Paramètres!$A$1:$I$89,3,0)*0.475*44/12</f>
        <v>8.4881886699683218</v>
      </c>
      <c r="CM90" s="21">
        <f>EXP(-LN(2)/2)*CM89+(1-EXP(-LN(2)/2))/(LN(2)/2)*CG90*CJ90*VLOOKUP('Données projet'!$B$12,Paramètres!$A$1:$I$89,3,0)*0.475*44/12</f>
        <v>1.2241842855667564</v>
      </c>
      <c r="CN90" s="22">
        <f t="shared" si="66"/>
        <v>30.030805372541963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198.79999999999998</v>
      </c>
      <c r="O91" s="13">
        <f>N91*VLOOKUP('Données projet'!$B$9,Paramètres!$A$1:$I$89,3,0)*VLOOKUP('Données projet'!$B$9,Paramètres!$A$1:$I$89,5,0)</f>
        <v>179.87423999999999</v>
      </c>
      <c r="P91" s="13">
        <f t="shared" si="87"/>
        <v>45.294205745553846</v>
      </c>
      <c r="Q91" s="20">
        <f t="shared" si="54"/>
        <v>392.16837634017293</v>
      </c>
      <c r="R91" s="59">
        <f t="shared" si="55"/>
        <v>665.85010870936662</v>
      </c>
      <c r="S91" s="59">
        <f ca="1">AVERAGE(OFFSET($R$3,0,0,'Données projet'!$E$9+1,1))-AVERAGE(OFFSET($H$3,0,0,'Données projet'!$E$9+1,1))</f>
        <v>469.5773392354356</v>
      </c>
      <c r="T91" s="59">
        <f t="shared" si="88"/>
        <v>187.25344022835239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18.052996584735439</v>
      </c>
      <c r="AA91" s="21">
        <f>EXP(-LN(2)/25)*AA90+(1-EXP(-LN(2)/25))/(LN(2)/25)*Calculateur!V91*Calculateur!X91*VLOOKUP('Données projet'!$B$9,Paramètres!$A$1:$I$89,3,0)*0.475*44/12</f>
        <v>8.7728221099085939</v>
      </c>
      <c r="AB91" s="21">
        <f>EXP(-LN(2)/2)*AB90+(1-EXP(-LN(2)/2))/(LN(2)/2)*V91*Y91*VLOOKUP('Données projet'!$B$9,Paramètres!$A$1:$I$89,3,0)*0.475*44/12</f>
        <v>1.0649949059229757</v>
      </c>
      <c r="AC91" s="22">
        <f t="shared" si="57"/>
        <v>27.890813600567011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198.79999999999998</v>
      </c>
      <c r="AJ91" s="13">
        <f>AI91*VLOOKUP('Données projet'!$B$10,Paramètres!$A$1:$I$89,3,0)*VLOOKUP('Données projet'!$B$10,Paramètres!$A$1:$I$89,5,0)</f>
        <v>192.27936</v>
      </c>
      <c r="AK91" s="13">
        <f t="shared" si="89"/>
        <v>48.04353669645932</v>
      </c>
      <c r="AL91" s="20">
        <f t="shared" si="58"/>
        <v>418.56237841299998</v>
      </c>
      <c r="AM91" s="59">
        <f t="shared" si="59"/>
        <v>692.24411078219373</v>
      </c>
      <c r="AN91" s="59">
        <f ca="1">AVERAGE(OFFSET($AM$3,0,0,'Données projet'!$E$10+1,1))-AVERAGE(OFFSET($H$3,0,0,'Données projet'!$E$10+1,1))</f>
        <v>370.91255999489181</v>
      </c>
      <c r="AO91" s="59">
        <f t="shared" si="90"/>
        <v>196.07869248605735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24.700800434408507</v>
      </c>
      <c r="AV91" s="21">
        <f>EXP(-LN(2)/25)*AV90+(1-EXP(-LN(2)/25))/(LN(2)/25)*Calculateur!AQ91*Calculateur!AS91*VLOOKUP('Données projet'!$B$10,Paramètres!$A$1:$I$89,3,0)*0.475*44/12</f>
        <v>10.237537593472856</v>
      </c>
      <c r="AW91" s="21">
        <f>EXP(-LN(2)/2)*AW90+(1-EXP(-LN(2)/2))/(LN(2)/2)*AQ91*AT91*VLOOKUP('Données projet'!$B$10,Paramètres!$A$1:$I$89,3,0)*0.475*44/12</f>
        <v>1.0733799720853656</v>
      </c>
      <c r="AX91" s="21">
        <f t="shared" si="60"/>
        <v>36.011717999966727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</v>
      </c>
      <c r="BD91" s="12">
        <f>IF('Données projet'!$A$88&gt;35,BD90+BC91-BL90,IF(A91&lt;'Données projet'!$A$88,$BA$205^A91,IF(A91='Données projet'!$A$88,'Données projet'!$B$88,BD90+BC91-BL90)))</f>
        <v>198.79999999999998</v>
      </c>
      <c r="BE91" s="13">
        <f>BD91*VLOOKUP('Données projet'!$B$11,Paramètres!$A$1:$I$89,3,0)*VLOOKUP('Données projet'!$B$11,Paramètres!$A$1:$I$89,5,0)</f>
        <v>213.98831999999996</v>
      </c>
      <c r="BF91" s="13">
        <f t="shared" si="91"/>
        <v>52.806177351620995</v>
      </c>
      <c r="BG91" s="20">
        <f t="shared" si="61"/>
        <v>464.66708288740648</v>
      </c>
      <c r="BH91" s="59">
        <f t="shared" si="62"/>
        <v>738.34881525660012</v>
      </c>
      <c r="BI91" s="59">
        <f ca="1">AVERAGE(OFFSET($BH$3,0,0,'Données projet'!$E$11+1,1))-AVERAGE(OFFSET($H$3,0,0,'Données projet'!$E$11+1,1))</f>
        <v>404.24955007425774</v>
      </c>
      <c r="BJ91" s="59">
        <f t="shared" si="92"/>
        <v>211.49137630071019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27.48960048345462</v>
      </c>
      <c r="BQ91" s="21">
        <f>EXP(-LN(2)/25)*BQ90+(1-EXP(-LN(2)/25))/(LN(2)/25)*Calculateur!BL91*Calculateur!BN91*VLOOKUP('Données projet'!$B$11,Paramètres!$A$1:$I$89,3,0)*0.475*44/12</f>
        <v>11.393388612090762</v>
      </c>
      <c r="BR91" s="21">
        <f>EXP(-LN(2)/2)*BR90+(1-EXP(-LN(2)/2))/(LN(2)/2)*BL91*BO91*VLOOKUP('Données projet'!$B$11,Paramètres!$A$1:$I$89,3,0)*0.475*44/12</f>
        <v>1.1945680334498425</v>
      </c>
      <c r="BS91" s="22">
        <f t="shared" si="63"/>
        <v>40.077557128995224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198.79999999999998</v>
      </c>
      <c r="BZ91" s="13">
        <f>BY91*VLOOKUP('Données projet'!$B$12,Paramètres!$A$1:$I$89,3,0)*VLOOKUP('Données projet'!$B$12,Paramètres!$A$1:$I$89,5,0)</f>
        <v>155.06399999999999</v>
      </c>
      <c r="CA91" s="13">
        <f t="shared" si="93"/>
        <v>39.727164550120094</v>
      </c>
      <c r="CB91" s="20">
        <f t="shared" si="64"/>
        <v>339.26127825812574</v>
      </c>
      <c r="CC91" s="59">
        <f t="shared" si="65"/>
        <v>612.94301062731938</v>
      </c>
      <c r="CD91" s="59">
        <f ca="1">AVERAGE(OFFSET($CC$3,0,0,'Données projet'!$E$12+1,1))-AVERAGE(OFFSET($H$3,0,0,'Données projet'!$E$12+1,1))</f>
        <v>250.01410333089137</v>
      </c>
      <c r="CE91" s="59">
        <f t="shared" si="94"/>
        <v>169.55868564318885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19.920000350329442</v>
      </c>
      <c r="CL91" s="21">
        <f>EXP(-LN(2)/25)*CL90+(1-EXP(-LN(2)/25))/(LN(2)/25)*Calculateur!CG91*Calculateur!CI91*VLOOKUP('Données projet'!$B$12,Paramètres!$A$1:$I$89,3,0)*0.475*44/12</f>
        <v>8.2560787044135964</v>
      </c>
      <c r="CM91" s="21">
        <f>EXP(-LN(2)/2)*CM90+(1-EXP(-LN(2)/2))/(LN(2)/2)*CG91*CJ91*VLOOKUP('Données projet'!$B$12,Paramètres!$A$1:$I$89,3,0)*0.475*44/12</f>
        <v>0.86562900974626245</v>
      </c>
      <c r="CN91" s="22">
        <f t="shared" si="66"/>
        <v>29.041708064489299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204.39999999999998</v>
      </c>
      <c r="O92" s="13">
        <f>N92*VLOOKUP('Données projet'!$B$9,Paramètres!$A$1:$I$89,3,0)*VLOOKUP('Données projet'!$B$9,Paramètres!$A$1:$I$89,5,0)</f>
        <v>184.94111999999998</v>
      </c>
      <c r="P92" s="13">
        <f t="shared" si="87"/>
        <v>46.419755730249435</v>
      </c>
      <c r="Q92" s="20">
        <f t="shared" si="54"/>
        <v>402.95352523018437</v>
      </c>
      <c r="R92" s="59">
        <f t="shared" si="55"/>
        <v>676.97616894170801</v>
      </c>
      <c r="S92" s="59">
        <f ca="1">AVERAGE(OFFSET($R$3,0,0,'Données projet'!$E$9+1,1))-AVERAGE(OFFSET($H$3,0,0,'Données projet'!$E$9+1,1))</f>
        <v>469.5773392354356</v>
      </c>
      <c r="T92" s="59">
        <f t="shared" si="88"/>
        <v>187.25344022835239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17.698988332949423</v>
      </c>
      <c r="AA92" s="21">
        <f>EXP(-LN(2)/25)*AA91+(1-EXP(-LN(2)/25))/(LN(2)/25)*Calculateur!V92*Calculateur!X92*VLOOKUP('Données projet'!$B$9,Paramètres!$A$1:$I$89,3,0)*0.475*44/12</f>
        <v>8.5329288279704798</v>
      </c>
      <c r="AB92" s="21">
        <f>EXP(-LN(2)/2)*AB91+(1-EXP(-LN(2)/2))/(LN(2)/2)*V92*Y92*VLOOKUP('Données projet'!$B$9,Paramètres!$A$1:$I$89,3,0)*0.475*44/12</f>
        <v>0.75306511990726543</v>
      </c>
      <c r="AC92" s="22">
        <f t="shared" si="57"/>
        <v>26.984982280827168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204.39999999999998</v>
      </c>
      <c r="AJ92" s="13">
        <f>AI92*VLOOKUP('Données projet'!$B$10,Paramètres!$A$1:$I$89,3,0)*VLOOKUP('Données projet'!$B$10,Paramètres!$A$1:$I$89,5,0)</f>
        <v>197.69567999999998</v>
      </c>
      <c r="AK92" s="13">
        <f t="shared" si="89"/>
        <v>49.237406885887061</v>
      </c>
      <c r="AL92" s="20">
        <f t="shared" si="58"/>
        <v>430.07512632625321</v>
      </c>
      <c r="AM92" s="59">
        <f t="shared" si="59"/>
        <v>704.09777003777685</v>
      </c>
      <c r="AN92" s="59">
        <f ca="1">AVERAGE(OFFSET($AM$3,0,0,'Données projet'!$E$10+1,1))-AVERAGE(OFFSET($H$3,0,0,'Données projet'!$E$10+1,1))</f>
        <v>370.91255999489181</v>
      </c>
      <c r="AO92" s="59">
        <f t="shared" si="90"/>
        <v>196.07869248605735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24.216432803890378</v>
      </c>
      <c r="AV92" s="21">
        <f>EXP(-LN(2)/25)*AV91+(1-EXP(-LN(2)/25))/(LN(2)/25)*Calculateur!AQ92*Calculateur!AS92*VLOOKUP('Données projet'!$B$10,Paramètres!$A$1:$I$89,3,0)*0.475*44/12</f>
        <v>9.9575915896106366</v>
      </c>
      <c r="AW92" s="21">
        <f>EXP(-LN(2)/2)*AW91+(1-EXP(-LN(2)/2))/(LN(2)/2)*AQ92*AT92*VLOOKUP('Données projet'!$B$10,Paramètres!$A$1:$I$89,3,0)*0.475*44/12</f>
        <v>0.75899425705138912</v>
      </c>
      <c r="AX92" s="21">
        <f t="shared" si="60"/>
        <v>34.933018650552405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</v>
      </c>
      <c r="BD92" s="12">
        <f>IF('Données projet'!$A$88&gt;35,BD91+BC92-BL91,IF(A92&lt;'Données projet'!$A$88,$BA$205^A92,IF(A92='Données projet'!$A$88,'Données projet'!$B$88,BD91+BC92-BL91)))</f>
        <v>204.39999999999998</v>
      </c>
      <c r="BE92" s="13">
        <f>BD92*VLOOKUP('Données projet'!$B$11,Paramètres!$A$1:$I$89,3,0)*VLOOKUP('Données projet'!$B$11,Paramètres!$A$1:$I$89,5,0)</f>
        <v>220.01615999999996</v>
      </c>
      <c r="BF92" s="13">
        <f t="shared" si="91"/>
        <v>54.118398001737724</v>
      </c>
      <c r="BG92" s="20">
        <f t="shared" si="61"/>
        <v>477.45102185302648</v>
      </c>
      <c r="BH92" s="59">
        <f t="shared" si="62"/>
        <v>751.47366556455006</v>
      </c>
      <c r="BI92" s="59">
        <f ca="1">AVERAGE(OFFSET($BH$3,0,0,'Données projet'!$E$11+1,1))-AVERAGE(OFFSET($H$3,0,0,'Données projet'!$E$11+1,1))</f>
        <v>404.24955007425774</v>
      </c>
      <c r="BJ92" s="59">
        <f t="shared" si="92"/>
        <v>211.49137630071019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26.950546184974765</v>
      </c>
      <c r="BQ92" s="21">
        <f>EXP(-LN(2)/25)*BQ91+(1-EXP(-LN(2)/25))/(LN(2)/25)*Calculateur!BL92*Calculateur!BN92*VLOOKUP('Données projet'!$B$11,Paramètres!$A$1:$I$89,3,0)*0.475*44/12</f>
        <v>11.081835801340873</v>
      </c>
      <c r="BR92" s="21">
        <f>EXP(-LN(2)/2)*BR91+(1-EXP(-LN(2)/2))/(LN(2)/2)*BL92*BO92*VLOOKUP('Données projet'!$B$11,Paramètres!$A$1:$I$89,3,0)*0.475*44/12</f>
        <v>0.84468715704106223</v>
      </c>
      <c r="BS92" s="22">
        <f t="shared" si="63"/>
        <v>38.877069143356707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204.39999999999998</v>
      </c>
      <c r="BZ92" s="13">
        <f>BY92*VLOOKUP('Données projet'!$B$12,Paramètres!$A$1:$I$89,3,0)*VLOOKUP('Données projet'!$B$12,Paramètres!$A$1:$I$89,5,0)</f>
        <v>159.43199999999999</v>
      </c>
      <c r="CA92" s="13">
        <f t="shared" si="93"/>
        <v>40.714374916553723</v>
      </c>
      <c r="CB92" s="20">
        <f t="shared" si="64"/>
        <v>348.58826964633107</v>
      </c>
      <c r="CC92" s="59">
        <f t="shared" si="65"/>
        <v>622.61091335785466</v>
      </c>
      <c r="CD92" s="59">
        <f ca="1">AVERAGE(OFFSET($CC$3,0,0,'Données projet'!$E$12+1,1))-AVERAGE(OFFSET($H$3,0,0,'Données projet'!$E$12+1,1))</f>
        <v>250.01410333089137</v>
      </c>
      <c r="CE92" s="59">
        <f t="shared" si="94"/>
        <v>169.55868564318885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19.529381293459981</v>
      </c>
      <c r="CL92" s="21">
        <f>EXP(-LN(2)/25)*CL91+(1-EXP(-LN(2)/25))/(LN(2)/25)*Calculateur!CG92*Calculateur!CI92*VLOOKUP('Données projet'!$B$12,Paramètres!$A$1:$I$89,3,0)*0.475*44/12</f>
        <v>8.0303157980730973</v>
      </c>
      <c r="CM92" s="21">
        <f>EXP(-LN(2)/2)*CM91+(1-EXP(-LN(2)/2))/(LN(2)/2)*CG92*CJ92*VLOOKUP('Données projet'!$B$12,Paramètres!$A$1:$I$89,3,0)*0.475*44/12</f>
        <v>0.6120921427833782</v>
      </c>
      <c r="CN92" s="22">
        <f t="shared" si="66"/>
        <v>28.171789234316456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209.99999999999997</v>
      </c>
      <c r="O93" s="13">
        <f>N93*VLOOKUP('Données projet'!$B$9,Paramètres!$A$1:$I$89,3,0)*VLOOKUP('Données projet'!$B$9,Paramètres!$A$1:$I$89,5,0)</f>
        <v>190.00799999999995</v>
      </c>
      <c r="P93" s="13">
        <f t="shared" si="87"/>
        <v>47.541721533308163</v>
      </c>
      <c r="Q93" s="20">
        <f t="shared" si="54"/>
        <v>413.73243167051163</v>
      </c>
      <c r="R93" s="59">
        <f t="shared" si="55"/>
        <v>688.0900726747393</v>
      </c>
      <c r="S93" s="59">
        <f ca="1">AVERAGE(OFFSET($R$3,0,0,'Données projet'!$E$9+1,1))-AVERAGE(OFFSET($H$3,0,0,'Données projet'!$E$9+1,1))</f>
        <v>469.5773392354356</v>
      </c>
      <c r="T93" s="59">
        <f t="shared" si="88"/>
        <v>187.25344022835239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17.351921967057219</v>
      </c>
      <c r="AA93" s="21">
        <f>EXP(-LN(2)/25)*AA92+(1-EXP(-LN(2)/25))/(LN(2)/25)*Calculateur!V93*Calculateur!X93*VLOOKUP('Données projet'!$B$9,Paramètres!$A$1:$I$89,3,0)*0.475*44/12</f>
        <v>8.2995954404424026</v>
      </c>
      <c r="AB93" s="21">
        <f>EXP(-LN(2)/2)*AB92+(1-EXP(-LN(2)/2))/(LN(2)/2)*V93*Y93*VLOOKUP('Données projet'!$B$9,Paramètres!$A$1:$I$89,3,0)*0.475*44/12</f>
        <v>0.53249745296148798</v>
      </c>
      <c r="AC93" s="22">
        <f t="shared" si="57"/>
        <v>26.184014860461108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209.99999999999997</v>
      </c>
      <c r="AJ93" s="13">
        <f>AI93*VLOOKUP('Données projet'!$B$10,Paramètres!$A$1:$I$89,3,0)*VLOOKUP('Données projet'!$B$10,Paramètres!$A$1:$I$89,5,0)</f>
        <v>203.11199999999999</v>
      </c>
      <c r="AK93" s="13">
        <f t="shared" si="89"/>
        <v>50.427475336015782</v>
      </c>
      <c r="AL93" s="20">
        <f t="shared" si="58"/>
        <v>441.5812528768941</v>
      </c>
      <c r="AM93" s="59">
        <f t="shared" si="59"/>
        <v>715.93889388112177</v>
      </c>
      <c r="AN93" s="59">
        <f ca="1">AVERAGE(OFFSET($AM$3,0,0,'Données projet'!$E$10+1,1))-AVERAGE(OFFSET($H$3,0,0,'Données projet'!$E$10+1,1))</f>
        <v>370.91255999489181</v>
      </c>
      <c r="AO93" s="59">
        <f t="shared" si="90"/>
        <v>196.07869248605735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23.741563327171626</v>
      </c>
      <c r="AV93" s="21">
        <f>EXP(-LN(2)/25)*AV92+(1-EXP(-LN(2)/25))/(LN(2)/25)*Calculateur!AQ93*Calculateur!AS93*VLOOKUP('Données projet'!$B$10,Paramètres!$A$1:$I$89,3,0)*0.475*44/12</f>
        <v>9.6853007239457511</v>
      </c>
      <c r="AW93" s="21">
        <f>EXP(-LN(2)/2)*AW92+(1-EXP(-LN(2)/2))/(LN(2)/2)*AQ93*AT93*VLOOKUP('Données projet'!$B$10,Paramètres!$A$1:$I$89,3,0)*0.475*44/12</f>
        <v>0.53668998604268281</v>
      </c>
      <c r="AX93" s="21">
        <f t="shared" si="60"/>
        <v>33.963554037160058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5.6</v>
      </c>
      <c r="BD93" s="12">
        <f>IF('Données projet'!$A$88&gt;35,BD92+BC93-BL92,IF(A93&lt;'Données projet'!$A$88,$BA$205^A93,IF(A93='Données projet'!$A$88,'Données projet'!$B$88,BD92+BC93-BL92)))</f>
        <v>209.99999999999997</v>
      </c>
      <c r="BE93" s="13">
        <f>BD93*VLOOKUP('Données projet'!$B$11,Paramètres!$A$1:$I$89,3,0)*VLOOKUP('Données projet'!$B$11,Paramètres!$A$1:$I$89,5,0)</f>
        <v>226.04399999999998</v>
      </c>
      <c r="BF93" s="13">
        <f t="shared" si="91"/>
        <v>55.426440039423504</v>
      </c>
      <c r="BG93" s="20">
        <f t="shared" si="61"/>
        <v>490.22768306866254</v>
      </c>
      <c r="BH93" s="59">
        <f t="shared" si="62"/>
        <v>764.58532407289022</v>
      </c>
      <c r="BI93" s="59">
        <f ca="1">AVERAGE(OFFSET($BH$3,0,0,'Données projet'!$E$11+1,1))-AVERAGE(OFFSET($H$3,0,0,'Données projet'!$E$11+1,1))</f>
        <v>404.24955007425774</v>
      </c>
      <c r="BJ93" s="59">
        <f t="shared" si="92"/>
        <v>211.49137630071019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26.422062412497446</v>
      </c>
      <c r="BQ93" s="21">
        <f>EXP(-LN(2)/25)*BQ92+(1-EXP(-LN(2)/25))/(LN(2)/25)*Calculateur!BL93*Calculateur!BN93*VLOOKUP('Données projet'!$B$11,Paramètres!$A$1:$I$89,3,0)*0.475*44/12</f>
        <v>10.778802418584789</v>
      </c>
      <c r="BR93" s="21">
        <f>EXP(-LN(2)/2)*BR92+(1-EXP(-LN(2)/2))/(LN(2)/2)*BL93*BO93*VLOOKUP('Données projet'!$B$11,Paramètres!$A$1:$I$89,3,0)*0.475*44/12</f>
        <v>0.59728401672492137</v>
      </c>
      <c r="BS93" s="22">
        <f t="shared" si="63"/>
        <v>37.798148847807155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209.99999999999997</v>
      </c>
      <c r="BZ93" s="13">
        <f>BY93*VLOOKUP('Données projet'!$B$12,Paramètres!$A$1:$I$89,3,0)*VLOOKUP('Données projet'!$B$12,Paramètres!$A$1:$I$89,5,0)</f>
        <v>163.79999999999998</v>
      </c>
      <c r="CA93" s="13">
        <f t="shared" si="93"/>
        <v>41.698441627605334</v>
      </c>
      <c r="CB93" s="20">
        <f t="shared" si="64"/>
        <v>357.90978583474589</v>
      </c>
      <c r="CC93" s="59">
        <f t="shared" si="65"/>
        <v>632.26742683897351</v>
      </c>
      <c r="CD93" s="59">
        <f ca="1">AVERAGE(OFFSET($CC$3,0,0,'Données projet'!$E$12+1,1))-AVERAGE(OFFSET($H$3,0,0,'Données projet'!$E$12+1,1))</f>
        <v>250.01410333089137</v>
      </c>
      <c r="CE93" s="59">
        <f t="shared" si="94"/>
        <v>169.55868564318885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19.146422038041631</v>
      </c>
      <c r="CL93" s="21">
        <f>EXP(-LN(2)/25)*CL92+(1-EXP(-LN(2)/25))/(LN(2)/25)*Calculateur!CG93*Calculateur!CI93*VLOOKUP('Données projet'!$B$12,Paramètres!$A$1:$I$89,3,0)*0.475*44/12</f>
        <v>7.810726390278834</v>
      </c>
      <c r="CM93" s="21">
        <f>EXP(-LN(2)/2)*CM92+(1-EXP(-LN(2)/2))/(LN(2)/2)*CG93*CJ93*VLOOKUP('Données projet'!$B$12,Paramètres!$A$1:$I$89,3,0)*0.475*44/12</f>
        <v>0.43281450487313122</v>
      </c>
      <c r="CN93" s="22">
        <f t="shared" si="66"/>
        <v>27.389962933193598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5.6</v>
      </c>
      <c r="N94" s="13">
        <f>IF('Données projet'!$A$36&gt;35,N93+M94-V93,IF(A94&lt;'Données projet'!$A$36,$K$205^A94,IF(A94='Données projet'!$A$36,'Données projet'!$B$36,N93+M94-V93)))</f>
        <v>215.59999999999997</v>
      </c>
      <c r="O94" s="13">
        <f>N94*VLOOKUP('Données projet'!$B$9,Paramètres!$A$1:$I$89,3,0)*VLOOKUP('Données projet'!$B$9,Paramètres!$A$1:$I$89,5,0)</f>
        <v>195.07487999999998</v>
      </c>
      <c r="P94" s="13">
        <f t="shared" si="87"/>
        <v>48.660209718344753</v>
      </c>
      <c r="Q94" s="20">
        <f t="shared" si="54"/>
        <v>424.50528125945038</v>
      </c>
      <c r="R94" s="59">
        <f t="shared" si="55"/>
        <v>699.19210810229538</v>
      </c>
      <c r="S94" s="59">
        <f ca="1">AVERAGE(OFFSET($R$3,0,0,'Données projet'!$E$9+1,1))-AVERAGE(OFFSET($H$3,0,0,'Données projet'!$E$9+1,1))</f>
        <v>469.5773392354356</v>
      </c>
      <c r="T94" s="59">
        <f t="shared" si="88"/>
        <v>187.25344022835239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17.01166136091058</v>
      </c>
      <c r="AA94" s="21">
        <f>EXP(-LN(2)/25)*AA93+(1-EXP(-LN(2)/25))/(LN(2)/25)*Calculateur!V94*Calculateur!X94*VLOOKUP('Données projet'!$B$9,Paramètres!$A$1:$I$89,3,0)*0.475*44/12</f>
        <v>8.0726425666667492</v>
      </c>
      <c r="AB94" s="21">
        <f>EXP(-LN(2)/2)*AB93+(1-EXP(-LN(2)/2))/(LN(2)/2)*V94*Y94*VLOOKUP('Données projet'!$B$9,Paramètres!$A$1:$I$89,3,0)*0.475*44/12</f>
        <v>0.37653255995363277</v>
      </c>
      <c r="AC94" s="22">
        <f t="shared" si="57"/>
        <v>25.460836487530962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5.6</v>
      </c>
      <c r="AI94" s="13">
        <f>IF('Données projet'!$A$62&gt;35,AI93+AH94-AQ93,IF(A94&lt;'Données projet'!$A$62,$AF$205^A94,IF(A94='Données projet'!$A$62,'Données projet'!$B$62,AI93+AH94-AQ93)))</f>
        <v>215.59999999999997</v>
      </c>
      <c r="AJ94" s="13">
        <f>AI94*VLOOKUP('Données projet'!$B$10,Paramètres!$A$1:$I$89,3,0)*VLOOKUP('Données projet'!$B$10,Paramètres!$A$1:$I$89,5,0)</f>
        <v>208.52831999999995</v>
      </c>
      <c r="AK94" s="13">
        <f t="shared" si="89"/>
        <v>51.613855078807369</v>
      </c>
      <c r="AL94" s="20">
        <f t="shared" si="58"/>
        <v>453.08095492892272</v>
      </c>
      <c r="AM94" s="59">
        <f t="shared" si="59"/>
        <v>727.76778177176777</v>
      </c>
      <c r="AN94" s="59">
        <f ca="1">AVERAGE(OFFSET($AM$3,0,0,'Données projet'!$E$10+1,1))-AVERAGE(OFFSET($H$3,0,0,'Données projet'!$E$10+1,1))</f>
        <v>370.91255999489181</v>
      </c>
      <c r="AO94" s="59">
        <f t="shared" si="90"/>
        <v>196.07869248605735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23.276005751249549</v>
      </c>
      <c r="AV94" s="21">
        <f>EXP(-LN(2)/25)*AV93+(1-EXP(-LN(2)/25))/(LN(2)/25)*Calculateur!AQ94*Calculateur!AS94*VLOOKUP('Données projet'!$B$10,Paramètres!$A$1:$I$89,3,0)*0.475*44/12</f>
        <v>9.4204556663216259</v>
      </c>
      <c r="AW94" s="21">
        <f>EXP(-LN(2)/2)*AW93+(1-EXP(-LN(2)/2))/(LN(2)/2)*AQ94*AT94*VLOOKUP('Données projet'!$B$10,Paramètres!$A$1:$I$89,3,0)*0.475*44/12</f>
        <v>0.37949712852569456</v>
      </c>
      <c r="AX94" s="21">
        <f t="shared" si="60"/>
        <v>33.075958546096864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5.6</v>
      </c>
      <c r="BD94" s="12">
        <f>IF('Données projet'!$A$88&gt;35,BD93+BC94-BL93,IF(A94&lt;'Données projet'!$A$88,$BA$205^A94,IF(A94='Données projet'!$A$88,'Données projet'!$B$88,BD93+BC94-BL93)))</f>
        <v>215.59999999999997</v>
      </c>
      <c r="BE94" s="13">
        <f>BD94*VLOOKUP('Données projet'!$B$11,Paramètres!$A$1:$I$89,3,0)*VLOOKUP('Données projet'!$B$11,Paramètres!$A$1:$I$89,5,0)</f>
        <v>232.07183999999992</v>
      </c>
      <c r="BF94" s="13">
        <f t="shared" si="91"/>
        <v>56.730427701698169</v>
      </c>
      <c r="BG94" s="20">
        <f t="shared" si="61"/>
        <v>502.9972829137908</v>
      </c>
      <c r="BH94" s="59">
        <f t="shared" si="62"/>
        <v>777.68410975663585</v>
      </c>
      <c r="BI94" s="59">
        <f ca="1">AVERAGE(OFFSET($BH$3,0,0,'Données projet'!$E$11+1,1))-AVERAGE(OFFSET($H$3,0,0,'Données projet'!$E$11+1,1))</f>
        <v>404.24955007425774</v>
      </c>
      <c r="BJ94" s="59">
        <f t="shared" si="92"/>
        <v>211.49137630071019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25.903941884455133</v>
      </c>
      <c r="BQ94" s="21">
        <f>EXP(-LN(2)/25)*BQ93+(1-EXP(-LN(2)/25))/(LN(2)/25)*Calculateur!BL94*Calculateur!BN94*VLOOKUP('Données projet'!$B$11,Paramètres!$A$1:$I$89,3,0)*0.475*44/12</f>
        <v>10.484055499616003</v>
      </c>
      <c r="BR94" s="21">
        <f>EXP(-LN(2)/2)*BR93+(1-EXP(-LN(2)/2))/(LN(2)/2)*BL94*BO94*VLOOKUP('Données projet'!$B$11,Paramètres!$A$1:$I$89,3,0)*0.475*44/12</f>
        <v>0.42234357852053117</v>
      </c>
      <c r="BS94" s="22">
        <f t="shared" si="63"/>
        <v>36.810340962591667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5.6</v>
      </c>
      <c r="BY94" s="12">
        <f>IF('Données projet'!$A$114&gt;35,BY93+BX94-CG93,IF(A94&lt;'Données projet'!$A$114,$BV$205^A94,IF(A94='Données projet'!$A$114,'Données projet'!$B$114,BY93+BX94-CG93)))</f>
        <v>215.59999999999997</v>
      </c>
      <c r="BZ94" s="13">
        <f>BY94*VLOOKUP('Données projet'!$B$12,Paramètres!$A$1:$I$89,3,0)*VLOOKUP('Données projet'!$B$12,Paramètres!$A$1:$I$89,5,0)</f>
        <v>168.16799999999998</v>
      </c>
      <c r="CA94" s="13">
        <f t="shared" si="93"/>
        <v>42.679458149319565</v>
      </c>
      <c r="CB94" s="20">
        <f t="shared" si="64"/>
        <v>367.22598961006491</v>
      </c>
      <c r="CC94" s="59">
        <f t="shared" si="65"/>
        <v>641.91281645290996</v>
      </c>
      <c r="CD94" s="59">
        <f ca="1">AVERAGE(OFFSET($CC$3,0,0,'Données projet'!$E$12+1,1))-AVERAGE(OFFSET($H$3,0,0,'Données projet'!$E$12+1,1))</f>
        <v>250.01410333089137</v>
      </c>
      <c r="CE94" s="59">
        <f t="shared" si="94"/>
        <v>169.55868564318885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18.770972380039954</v>
      </c>
      <c r="CL94" s="21">
        <f>EXP(-LN(2)/25)*CL93+(1-EXP(-LN(2)/25))/(LN(2)/25)*Calculateur!CG94*Calculateur!CI94*VLOOKUP('Données projet'!$B$12,Paramètres!$A$1:$I$89,3,0)*0.475*44/12</f>
        <v>7.5971416663884099</v>
      </c>
      <c r="CM94" s="21">
        <f>EXP(-LN(2)/2)*CM93+(1-EXP(-LN(2)/2))/(LN(2)/2)*CG94*CJ94*VLOOKUP('Données projet'!$B$12,Paramètres!$A$1:$I$89,3,0)*0.475*44/12</f>
        <v>0.3060460713916891</v>
      </c>
      <c r="CN94" s="22">
        <f t="shared" si="66"/>
        <v>26.674160117820051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5.6</v>
      </c>
      <c r="N95" s="13">
        <f>IF('Données projet'!$A$36&gt;35,N94+M95-V94,IF(A95&lt;'Données projet'!$A$36,$K$205^A95,IF(A95='Données projet'!$A$36,'Données projet'!$B$36,N94+M95-V94)))</f>
        <v>221.19999999999996</v>
      </c>
      <c r="O95" s="13">
        <f>N95*VLOOKUP('Données projet'!$B$9,Paramètres!$A$1:$I$89,3,0)*VLOOKUP('Données projet'!$B$9,Paramètres!$A$1:$I$89,5,0)</f>
        <v>200.14175999999995</v>
      </c>
      <c r="P95" s="13">
        <f t="shared" si="87"/>
        <v>49.775320997880847</v>
      </c>
      <c r="Q95" s="20">
        <f t="shared" si="54"/>
        <v>435.27224940464231</v>
      </c>
      <c r="R95" s="59">
        <f t="shared" si="55"/>
        <v>710.28255144775403</v>
      </c>
      <c r="S95" s="59">
        <f ca="1">AVERAGE(OFFSET($R$3,0,0,'Données projet'!$E$9+1,1))-AVERAGE(OFFSET($H$3,0,0,'Données projet'!$E$9+1,1))</f>
        <v>469.5773392354356</v>
      </c>
      <c r="T95" s="59">
        <f t="shared" si="88"/>
        <v>187.25344022835239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16.678073057711998</v>
      </c>
      <c r="AA95" s="21">
        <f>EXP(-LN(2)/25)*AA94+(1-EXP(-LN(2)/25))/(LN(2)/25)*Calculateur!V95*Calculateur!X95*VLOOKUP('Données projet'!$B$9,Paramètres!$A$1:$I$89,3,0)*0.475*44/12</f>
        <v>7.8518957311594244</v>
      </c>
      <c r="AB95" s="21">
        <f>EXP(-LN(2)/2)*AB94+(1-EXP(-LN(2)/2))/(LN(2)/2)*V95*Y95*VLOOKUP('Données projet'!$B$9,Paramètres!$A$1:$I$89,3,0)*0.475*44/12</f>
        <v>0.26624872648074399</v>
      </c>
      <c r="AC95" s="22">
        <f t="shared" si="57"/>
        <v>24.796217515352165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5.6</v>
      </c>
      <c r="AI95" s="13">
        <f>IF('Données projet'!$A$62&gt;35,AI94+AH95-AQ94,IF(A95&lt;'Données projet'!$A$62,$AF$205^A95,IF(A95='Données projet'!$A$62,'Données projet'!$B$62,AI94+AH95-AQ94)))</f>
        <v>221.19999999999996</v>
      </c>
      <c r="AJ95" s="13">
        <f>AI95*VLOOKUP('Données projet'!$B$10,Paramètres!$A$1:$I$89,3,0)*VLOOKUP('Données projet'!$B$10,Paramètres!$A$1:$I$89,5,0)</f>
        <v>213.94463999999996</v>
      </c>
      <c r="AK95" s="13">
        <f t="shared" si="89"/>
        <v>52.796652939972844</v>
      </c>
      <c r="AL95" s="20">
        <f t="shared" si="58"/>
        <v>464.5744185371193</v>
      </c>
      <c r="AM95" s="59">
        <f t="shared" si="59"/>
        <v>739.58472058023108</v>
      </c>
      <c r="AN95" s="59">
        <f ca="1">AVERAGE(OFFSET($AM$3,0,0,'Données projet'!$E$10+1,1))-AVERAGE(OFFSET($H$3,0,0,'Données projet'!$E$10+1,1))</f>
        <v>370.91255999489181</v>
      </c>
      <c r="AO95" s="59">
        <f t="shared" si="90"/>
        <v>196.07869248605735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22.81957747542922</v>
      </c>
      <c r="AV95" s="21">
        <f>EXP(-LN(2)/25)*AV94+(1-EXP(-LN(2)/25))/(LN(2)/25)*Calculateur!AQ95*Calculateur!AS95*VLOOKUP('Données projet'!$B$10,Paramètres!$A$1:$I$89,3,0)*0.475*44/12</f>
        <v>9.1628528107258287</v>
      </c>
      <c r="AW95" s="21">
        <f>EXP(-LN(2)/2)*AW94+(1-EXP(-LN(2)/2))/(LN(2)/2)*AQ95*AT95*VLOOKUP('Données projet'!$B$10,Paramètres!$A$1:$I$89,3,0)*0.475*44/12</f>
        <v>0.2683449930213414</v>
      </c>
      <c r="AX95" s="21">
        <f t="shared" si="60"/>
        <v>32.250775279176395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5.6</v>
      </c>
      <c r="BD95" s="12">
        <f>IF('Données projet'!$A$88&gt;35,BD94+BC95-BL94,IF(A95&lt;'Données projet'!$A$88,$BA$205^A95,IF(A95='Données projet'!$A$88,'Données projet'!$B$88,BD94+BC95-BL94)))</f>
        <v>221.19999999999996</v>
      </c>
      <c r="BE95" s="13">
        <f>BD95*VLOOKUP('Données projet'!$B$11,Paramètres!$A$1:$I$89,3,0)*VLOOKUP('Données projet'!$B$11,Paramètres!$A$1:$I$89,5,0)</f>
        <v>238.09967999999995</v>
      </c>
      <c r="BF95" s="13">
        <f t="shared" si="91"/>
        <v>58.030478404094161</v>
      </c>
      <c r="BG95" s="20">
        <f t="shared" si="61"/>
        <v>515.76002588713061</v>
      </c>
      <c r="BH95" s="59">
        <f t="shared" si="62"/>
        <v>790.77032793024227</v>
      </c>
      <c r="BI95" s="59">
        <f ca="1">AVERAGE(OFFSET($BH$3,0,0,'Données projet'!$E$11+1,1))-AVERAGE(OFFSET($H$3,0,0,'Données projet'!$E$11+1,1))</f>
        <v>404.24955007425774</v>
      </c>
      <c r="BJ95" s="59">
        <f t="shared" si="92"/>
        <v>211.49137630071019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25.395981383945411</v>
      </c>
      <c r="BQ95" s="21">
        <f>EXP(-LN(2)/25)*BQ94+(1-EXP(-LN(2)/25))/(LN(2)/25)*Calculateur!BL95*Calculateur!BN95*VLOOKUP('Données projet'!$B$11,Paramètres!$A$1:$I$89,3,0)*0.475*44/12</f>
        <v>10.197368450646486</v>
      </c>
      <c r="BR95" s="21">
        <f>EXP(-LN(2)/2)*BR94+(1-EXP(-LN(2)/2))/(LN(2)/2)*BL95*BO95*VLOOKUP('Données projet'!$B$11,Paramètres!$A$1:$I$89,3,0)*0.475*44/12</f>
        <v>0.29864200836246069</v>
      </c>
      <c r="BS95" s="22">
        <f t="shared" si="63"/>
        <v>35.891991842954361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5.6</v>
      </c>
      <c r="BY95" s="12">
        <f>IF('Données projet'!$A$114&gt;35,BY94+BX95-CG94,IF(A95&lt;'Données projet'!$A$114,$BV$205^A95,IF(A95='Données projet'!$A$114,'Données projet'!$B$114,BY94+BX95-CG94)))</f>
        <v>221.19999999999996</v>
      </c>
      <c r="BZ95" s="13">
        <f>BY95*VLOOKUP('Données projet'!$B$12,Paramètres!$A$1:$I$89,3,0)*VLOOKUP('Données projet'!$B$12,Paramètres!$A$1:$I$89,5,0)</f>
        <v>172.53599999999997</v>
      </c>
      <c r="CA95" s="13">
        <f t="shared" si="93"/>
        <v>43.657512815796942</v>
      </c>
      <c r="CB95" s="20">
        <f t="shared" si="64"/>
        <v>376.53703482084626</v>
      </c>
      <c r="CC95" s="59">
        <f t="shared" si="65"/>
        <v>651.54733686395798</v>
      </c>
      <c r="CD95" s="59">
        <f ca="1">AVERAGE(OFFSET($CC$3,0,0,'Données projet'!$E$12+1,1))-AVERAGE(OFFSET($H$3,0,0,'Données projet'!$E$12+1,1))</f>
        <v>250.01410333089137</v>
      </c>
      <c r="CE95" s="59">
        <f t="shared" si="94"/>
        <v>169.55868564318885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18.402885060830013</v>
      </c>
      <c r="CL95" s="21">
        <f>EXP(-LN(2)/25)*CL94+(1-EXP(-LN(2)/25))/(LN(2)/25)*Calculateur!CG95*Calculateur!CI95*VLOOKUP('Données projet'!$B$12,Paramètres!$A$1:$I$89,3,0)*0.475*44/12</f>
        <v>7.3893974280047026</v>
      </c>
      <c r="CM95" s="21">
        <f>EXP(-LN(2)/2)*CM94+(1-EXP(-LN(2)/2))/(LN(2)/2)*CG95*CJ95*VLOOKUP('Données projet'!$B$12,Paramètres!$A$1:$I$89,3,0)*0.475*44/12</f>
        <v>0.21640725243656561</v>
      </c>
      <c r="CN95" s="22">
        <f t="shared" si="66"/>
        <v>26.008689741271279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5.6</v>
      </c>
      <c r="N96" s="13">
        <f>IF('Données projet'!$A$36&gt;35,N95+M96-V95,IF(A96&lt;'Données projet'!$A$36,$K$205^A96,IF(A96='Données projet'!$A$36,'Données projet'!$B$36,N95+M96-V95)))</f>
        <v>226.79999999999995</v>
      </c>
      <c r="O96" s="13">
        <f>N96*VLOOKUP('Données projet'!$B$9,Paramètres!$A$1:$I$89,3,0)*VLOOKUP('Données projet'!$B$9,Paramètres!$A$1:$I$89,5,0)</f>
        <v>205.20863999999995</v>
      </c>
      <c r="P96" s="13">
        <f t="shared" si="87"/>
        <v>50.887150694493549</v>
      </c>
      <c r="Q96" s="20">
        <f t="shared" si="54"/>
        <v>446.03350212624281</v>
      </c>
      <c r="R96" s="59">
        <f t="shared" si="55"/>
        <v>721.36166779807877</v>
      </c>
      <c r="S96" s="59">
        <f ca="1">AVERAGE(OFFSET($R$3,0,0,'Données projet'!$E$9+1,1))-AVERAGE(OFFSET($H$3,0,0,'Données projet'!$E$9+1,1))</f>
        <v>469.5773392354356</v>
      </c>
      <c r="T96" s="59">
        <f t="shared" si="88"/>
        <v>187.25344022835239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16.35102621767037</v>
      </c>
      <c r="AA96" s="21">
        <f>EXP(-LN(2)/25)*AA95+(1-EXP(-LN(2)/25))/(LN(2)/25)*Calculateur!V96*Calculateur!X96*VLOOKUP('Données projet'!$B$9,Paramètres!$A$1:$I$89,3,0)*0.475*44/12</f>
        <v>7.6371852294776188</v>
      </c>
      <c r="AB96" s="21">
        <f>EXP(-LN(2)/2)*AB95+(1-EXP(-LN(2)/2))/(LN(2)/2)*V96*Y96*VLOOKUP('Données projet'!$B$9,Paramètres!$A$1:$I$89,3,0)*0.475*44/12</f>
        <v>0.18826627997681639</v>
      </c>
      <c r="AC96" s="22">
        <f t="shared" si="57"/>
        <v>24.176477727124805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5.6</v>
      </c>
      <c r="AI96" s="13">
        <f>IF('Données projet'!$A$62&gt;35,AI95+AH96-AQ95,IF(A96&lt;'Données projet'!$A$62,$AF$205^A96,IF(A96='Données projet'!$A$62,'Données projet'!$B$62,AI95+AH96-AQ95)))</f>
        <v>226.79999999999995</v>
      </c>
      <c r="AJ96" s="13">
        <f>AI96*VLOOKUP('Données projet'!$B$10,Paramètres!$A$1:$I$89,3,0)*VLOOKUP('Données projet'!$B$10,Paramètres!$A$1:$I$89,5,0)</f>
        <v>219.36095999999995</v>
      </c>
      <c r="AK96" s="13">
        <f t="shared" si="89"/>
        <v>53.975970028112116</v>
      </c>
      <c r="AL96" s="20">
        <f t="shared" si="58"/>
        <v>476.06181979896178</v>
      </c>
      <c r="AM96" s="59">
        <f t="shared" si="59"/>
        <v>751.38998547079768</v>
      </c>
      <c r="AN96" s="59">
        <f ca="1">AVERAGE(OFFSET($AM$3,0,0,'Données projet'!$E$10+1,1))-AVERAGE(OFFSET($H$3,0,0,'Données projet'!$E$10+1,1))</f>
        <v>370.91255999489181</v>
      </c>
      <c r="AO96" s="59">
        <f t="shared" si="90"/>
        <v>196.07869248605735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22.372099479703969</v>
      </c>
      <c r="AV96" s="21">
        <f>EXP(-LN(2)/25)*AV95+(1-EXP(-LN(2)/25))/(LN(2)/25)*Calculateur!AQ96*Calculateur!AS96*VLOOKUP('Données projet'!$B$10,Paramètres!$A$1:$I$89,3,0)*0.475*44/12</f>
        <v>8.9122941187630431</v>
      </c>
      <c r="AW96" s="21">
        <f>EXP(-LN(2)/2)*AW95+(1-EXP(-LN(2)/2))/(LN(2)/2)*AQ96*AT96*VLOOKUP('Données projet'!$B$10,Paramètres!$A$1:$I$89,3,0)*0.475*44/12</f>
        <v>0.18974856426284728</v>
      </c>
      <c r="AX96" s="21">
        <f t="shared" si="60"/>
        <v>31.474142162729859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5.6</v>
      </c>
      <c r="BD96" s="12">
        <f>IF('Données projet'!$A$88&gt;35,BD95+BC96-BL95,IF(A96&lt;'Données projet'!$A$88,$BA$205^A96,IF(A96='Données projet'!$A$88,'Données projet'!$B$88,BD95+BC96-BL95)))</f>
        <v>226.79999999999995</v>
      </c>
      <c r="BE96" s="13">
        <f>BD96*VLOOKUP('Données projet'!$B$11,Paramètres!$A$1:$I$89,3,0)*VLOOKUP('Données projet'!$B$11,Paramètres!$A$1:$I$89,5,0)</f>
        <v>244.12751999999995</v>
      </c>
      <c r="BF96" s="13">
        <f t="shared" si="91"/>
        <v>59.326703278285599</v>
      </c>
      <c r="BG96" s="20">
        <f t="shared" si="61"/>
        <v>528.51610554301396</v>
      </c>
      <c r="BH96" s="59">
        <f t="shared" si="62"/>
        <v>803.84427121484987</v>
      </c>
      <c r="BI96" s="59">
        <f ca="1">AVERAGE(OFFSET($BH$3,0,0,'Données projet'!$E$11+1,1))-AVERAGE(OFFSET($H$3,0,0,'Données projet'!$E$11+1,1))</f>
        <v>404.24955007425774</v>
      </c>
      <c r="BJ96" s="59">
        <f t="shared" si="92"/>
        <v>211.49137630071019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24.897981679025374</v>
      </c>
      <c r="BQ96" s="21">
        <f>EXP(-LN(2)/25)*BQ95+(1-EXP(-LN(2)/25))/(LN(2)/25)*Calculateur!BL96*Calculateur!BN96*VLOOKUP('Données projet'!$B$11,Paramètres!$A$1:$I$89,3,0)*0.475*44/12</f>
        <v>9.9185208741072586</v>
      </c>
      <c r="BR96" s="21">
        <f>EXP(-LN(2)/2)*BR95+(1-EXP(-LN(2)/2))/(LN(2)/2)*BL96*BO96*VLOOKUP('Données projet'!$B$11,Paramètres!$A$1:$I$89,3,0)*0.475*44/12</f>
        <v>0.21117178926026559</v>
      </c>
      <c r="BS96" s="22">
        <f t="shared" si="63"/>
        <v>35.027674342392899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5.6</v>
      </c>
      <c r="BY96" s="12">
        <f>IF('Données projet'!$A$114&gt;35,BY95+BX96-CG95,IF(A96&lt;'Données projet'!$A$114,$BV$205^A96,IF(A96='Données projet'!$A$114,'Données projet'!$B$114,BY95+BX96-CG95)))</f>
        <v>226.79999999999995</v>
      </c>
      <c r="BZ96" s="13">
        <f>BY96*VLOOKUP('Données projet'!$B$12,Paramètres!$A$1:$I$89,3,0)*VLOOKUP('Données projet'!$B$12,Paramètres!$A$1:$I$89,5,0)</f>
        <v>176.90399999999997</v>
      </c>
      <c r="CA96" s="13">
        <f t="shared" si="93"/>
        <v>44.632689233663157</v>
      </c>
      <c r="CB96" s="20">
        <f t="shared" si="64"/>
        <v>385.84306708196328</v>
      </c>
      <c r="CC96" s="59">
        <f t="shared" si="65"/>
        <v>661.17123275379925</v>
      </c>
      <c r="CD96" s="59">
        <f ca="1">AVERAGE(OFFSET($CC$3,0,0,'Données projet'!$E$12+1,1))-AVERAGE(OFFSET($H$3,0,0,'Données projet'!$E$12+1,1))</f>
        <v>250.01410333089137</v>
      </c>
      <c r="CE96" s="59">
        <f t="shared" si="94"/>
        <v>169.55868564318885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18.042015709438679</v>
      </c>
      <c r="CL96" s="21">
        <f>EXP(-LN(2)/25)*CL95+(1-EXP(-LN(2)/25))/(LN(2)/25)*Calculateur!CG96*Calculateur!CI96*VLOOKUP('Données projet'!$B$12,Paramètres!$A$1:$I$89,3,0)*0.475*44/12</f>
        <v>7.1873339667443918</v>
      </c>
      <c r="CM96" s="21">
        <f>EXP(-LN(2)/2)*CM95+(1-EXP(-LN(2)/2))/(LN(2)/2)*CG96*CJ96*VLOOKUP('Données projet'!$B$12,Paramètres!$A$1:$I$89,3,0)*0.475*44/12</f>
        <v>0.15302303569584455</v>
      </c>
      <c r="CN96" s="22">
        <f t="shared" si="66"/>
        <v>25.382372711878915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5.6</v>
      </c>
      <c r="N97" s="13">
        <f>IF('Données projet'!$A$36&gt;35,N96+M97-V96,IF(A97&lt;'Données projet'!$A$36,$K$205^A97,IF(A97='Données projet'!$A$36,'Données projet'!$B$36,N96+M97-V96)))</f>
        <v>232.39999999999995</v>
      </c>
      <c r="O97" s="13">
        <f>N97*VLOOKUP('Données projet'!$B$9,Paramètres!$A$1:$I$89,3,0)*VLOOKUP('Données projet'!$B$9,Paramètres!$A$1:$I$89,5,0)</f>
        <v>210.27551999999997</v>
      </c>
      <c r="P97" s="13">
        <f t="shared" si="87"/>
        <v>51.995789155135704</v>
      </c>
      <c r="Q97" s="20">
        <f t="shared" si="54"/>
        <v>456.78919677852792</v>
      </c>
      <c r="R97" s="59">
        <f t="shared" si="55"/>
        <v>732.42971185576641</v>
      </c>
      <c r="S97" s="59">
        <f ca="1">AVERAGE(OFFSET($R$3,0,0,'Données projet'!$E$9+1,1))-AVERAGE(OFFSET($H$3,0,0,'Données projet'!$E$9+1,1))</f>
        <v>469.5773392354356</v>
      </c>
      <c r="T97" s="59">
        <f t="shared" si="88"/>
        <v>187.25344022835239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16.03039256668308</v>
      </c>
      <c r="AA97" s="21">
        <f>EXP(-LN(2)/25)*AA96+(1-EXP(-LN(2)/25))/(LN(2)/25)*Calculateur!V97*Calculateur!X97*VLOOKUP('Données projet'!$B$9,Paramètres!$A$1:$I$89,3,0)*0.475*44/12</f>
        <v>7.4283459977554367</v>
      </c>
      <c r="AB97" s="21">
        <f>EXP(-LN(2)/2)*AB96+(1-EXP(-LN(2)/2))/(LN(2)/2)*V97*Y97*VLOOKUP('Données projet'!$B$9,Paramètres!$A$1:$I$89,3,0)*0.475*44/12</f>
        <v>0.133124363240372</v>
      </c>
      <c r="AC97" s="22">
        <f t="shared" si="57"/>
        <v>23.591862927678889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5.6</v>
      </c>
      <c r="AI97" s="13">
        <f>IF('Données projet'!$A$62&gt;35,AI96+AH97-AQ96,IF(A97&lt;'Données projet'!$A$62,$AF$205^A97,IF(A97='Données projet'!$A$62,'Données projet'!$B$62,AI96+AH97-AQ96)))</f>
        <v>232.39999999999995</v>
      </c>
      <c r="AJ97" s="13">
        <f>AI97*VLOOKUP('Données projet'!$B$10,Paramètres!$A$1:$I$89,3,0)*VLOOKUP('Données projet'!$B$10,Paramètres!$A$1:$I$89,5,0)</f>
        <v>224.77727999999996</v>
      </c>
      <c r="AK97" s="13">
        <f t="shared" si="89"/>
        <v>55.151902174183448</v>
      </c>
      <c r="AL97" s="20">
        <f t="shared" si="58"/>
        <v>487.54332562003611</v>
      </c>
      <c r="AM97" s="59">
        <f t="shared" si="59"/>
        <v>763.1838406972746</v>
      </c>
      <c r="AN97" s="59">
        <f ca="1">AVERAGE(OFFSET($AM$3,0,0,'Données projet'!$E$10+1,1))-AVERAGE(OFFSET($H$3,0,0,'Données projet'!$E$10+1,1))</f>
        <v>370.91255999489181</v>
      </c>
      <c r="AO97" s="59">
        <f t="shared" si="90"/>
        <v>196.07869248605735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21.933396254540263</v>
      </c>
      <c r="AV97" s="21">
        <f>EXP(-LN(2)/25)*AV96+(1-EXP(-LN(2)/25))/(LN(2)/25)*Calculateur!AQ97*Calculateur!AS97*VLOOKUP('Données projet'!$B$10,Paramètres!$A$1:$I$89,3,0)*0.475*44/12</f>
        <v>8.6685869674082898</v>
      </c>
      <c r="AW97" s="21">
        <f>EXP(-LN(2)/2)*AW96+(1-EXP(-LN(2)/2))/(LN(2)/2)*AQ97*AT97*VLOOKUP('Données projet'!$B$10,Paramètres!$A$1:$I$89,3,0)*0.475*44/12</f>
        <v>0.1341724965106707</v>
      </c>
      <c r="AX97" s="21">
        <f t="shared" si="60"/>
        <v>30.736155718459223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5.6</v>
      </c>
      <c r="BD97" s="12">
        <f>IF('Données projet'!$A$88&gt;35,BD96+BC97-BL96,IF(A97&lt;'Données projet'!$A$88,$BA$205^A97,IF(A97='Données projet'!$A$88,'Données projet'!$B$88,BD96+BC97-BL96)))</f>
        <v>232.39999999999995</v>
      </c>
      <c r="BE97" s="13">
        <f>BD97*VLOOKUP('Données projet'!$B$11,Paramètres!$A$1:$I$89,3,0)*VLOOKUP('Données projet'!$B$11,Paramètres!$A$1:$I$89,5,0)</f>
        <v>250.15535999999994</v>
      </c>
      <c r="BF97" s="13">
        <f t="shared" si="91"/>
        <v>60.619207655122857</v>
      </c>
      <c r="BG97" s="20">
        <f t="shared" si="61"/>
        <v>541.26570533267216</v>
      </c>
      <c r="BH97" s="59">
        <f t="shared" si="62"/>
        <v>816.9062204099107</v>
      </c>
      <c r="BI97" s="59">
        <f ca="1">AVERAGE(OFFSET($BH$3,0,0,'Données projet'!$E$11+1,1))-AVERAGE(OFFSET($H$3,0,0,'Données projet'!$E$11+1,1))</f>
        <v>404.24955007425774</v>
      </c>
      <c r="BJ97" s="59">
        <f t="shared" si="92"/>
        <v>211.49137630071019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24.409747444568993</v>
      </c>
      <c r="BQ97" s="21">
        <f>EXP(-LN(2)/25)*BQ96+(1-EXP(-LN(2)/25))/(LN(2)/25)*Calculateur!BL97*Calculateur!BN97*VLOOKUP('Données projet'!$B$11,Paramètres!$A$1:$I$89,3,0)*0.475*44/12</f>
        <v>9.6472983992124526</v>
      </c>
      <c r="BR97" s="21">
        <f>EXP(-LN(2)/2)*BR96+(1-EXP(-LN(2)/2))/(LN(2)/2)*BL97*BO97*VLOOKUP('Données projet'!$B$11,Paramètres!$A$1:$I$89,3,0)*0.475*44/12</f>
        <v>0.14932100418123034</v>
      </c>
      <c r="BS97" s="22">
        <f t="shared" si="63"/>
        <v>34.206366847962677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5.6</v>
      </c>
      <c r="BY97" s="12">
        <f>IF('Données projet'!$A$114&gt;35,BY96+BX97-CG96,IF(A97&lt;'Données projet'!$A$114,$BV$205^A97,IF(A97='Données projet'!$A$114,'Données projet'!$B$114,BY96+BX97-CG96)))</f>
        <v>232.39999999999995</v>
      </c>
      <c r="BZ97" s="13">
        <f>BY97*VLOOKUP('Données projet'!$B$12,Paramètres!$A$1:$I$89,3,0)*VLOOKUP('Données projet'!$B$12,Paramètres!$A$1:$I$89,5,0)</f>
        <v>181.27199999999996</v>
      </c>
      <c r="CA97" s="13">
        <f t="shared" si="93"/>
        <v>45.605066645465861</v>
      </c>
      <c r="CB97" s="20">
        <f t="shared" si="64"/>
        <v>395.14422440751963</v>
      </c>
      <c r="CC97" s="59">
        <f t="shared" si="65"/>
        <v>670.78473948475812</v>
      </c>
      <c r="CD97" s="59">
        <f ca="1">AVERAGE(OFFSET($CC$3,0,0,'Données projet'!$E$12+1,1))-AVERAGE(OFFSET($H$3,0,0,'Données projet'!$E$12+1,1))</f>
        <v>250.01410333089137</v>
      </c>
      <c r="CE97" s="59">
        <f t="shared" si="94"/>
        <v>169.55868564318885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17.68822278591956</v>
      </c>
      <c r="CL97" s="21">
        <f>EXP(-LN(2)/25)*CL96+(1-EXP(-LN(2)/25))/(LN(2)/25)*Calculateur!CG97*Calculateur!CI97*VLOOKUP('Données projet'!$B$12,Paramètres!$A$1:$I$89,3,0)*0.475*44/12</f>
        <v>6.9907959414583001</v>
      </c>
      <c r="CM97" s="21">
        <f>EXP(-LN(2)/2)*CM96+(1-EXP(-LN(2)/2))/(LN(2)/2)*CG97*CJ97*VLOOKUP('Données projet'!$B$12,Paramètres!$A$1:$I$89,3,0)*0.475*44/12</f>
        <v>0.10820362621828281</v>
      </c>
      <c r="CN97" s="22">
        <f t="shared" si="66"/>
        <v>24.787222353596142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238</v>
      </c>
      <c r="L98" s="12">
        <f>VLOOKUP(A98,'Données projet'!$A$35:$I$55,9,0)</f>
        <v>5.6</v>
      </c>
      <c r="M98" s="12">
        <f t="array" ref="M98">INDEX(L:L,MIN(IF(ISNUMBER(L98:L294),ROW(L98:L294),"")))</f>
        <v>5.6</v>
      </c>
      <c r="N98" s="13">
        <f>IF('Données projet'!$A$36&gt;35,N97+M98-V97,IF(A98&lt;'Données projet'!$A$36,$K$205^A98,IF(A98='Données projet'!$A$36,'Données projet'!$B$36,N97+M98-V97)))</f>
        <v>237.99999999999994</v>
      </c>
      <c r="O98" s="13">
        <f>N98*VLOOKUP('Données projet'!$B$9,Paramètres!$A$1:$I$89,3,0)*VLOOKUP('Données projet'!$B$9,Paramètres!$A$1:$I$89,5,0)</f>
        <v>215.34239999999994</v>
      </c>
      <c r="P98" s="13">
        <f t="shared" si="87"/>
        <v>53.101322124397257</v>
      </c>
      <c r="Q98" s="20">
        <f t="shared" si="54"/>
        <v>467.53948269999177</v>
      </c>
      <c r="R98" s="59">
        <f t="shared" si="55"/>
        <v>743.4869286187577</v>
      </c>
      <c r="S98" s="59">
        <f ca="1">AVERAGE(OFFSET($R$3,0,0,'Données projet'!$E$9+1,1))-AVERAGE(OFFSET($H$3,0,0,'Données projet'!$E$9+1,1))</f>
        <v>469.5773392354356</v>
      </c>
      <c r="T98" s="59">
        <f t="shared" si="88"/>
        <v>187.25344022835239</v>
      </c>
      <c r="U98" s="15">
        <f>IF(ISNA(VLOOKUP(A98,'Données projet'!$A$35:$I$55,3,0)),0,VLOOKUP(A98,'Données projet'!$A$35:$I$55,3,0))</f>
        <v>10</v>
      </c>
      <c r="V98" s="15">
        <f>IF(ISNA(VLOOKUP(A98,'Données projet'!$A$35:$I$55,4,0)),0,VLOOKUP(A98,'Données projet'!$A$35:$I$55,4,0))</f>
        <v>42</v>
      </c>
      <c r="W98" s="16">
        <f>IF(ISNA(VLOOKUP(A98,'Données projet'!$A$35:$I$55,5,0)),0%,VLOOKUP(A98,'Données projet'!$A$35:$I$55,5,0)*VLOOKUP('Données projet'!$B$9,Paramètres!$A$1:$I$89,7,0))</f>
        <v>0.25800000000000001</v>
      </c>
      <c r="X98" s="16">
        <f>IF(ISNA(VLOOKUP(A98,'Données projet'!$A$35:$I$55,6,0)),0%,VLOOKUP(A98,'Données projet'!$A$35:$I$55,6,0)*VLOOKUP('Données projet'!$B$9,Paramètres!$A$1:$I$89,7,0))</f>
        <v>8.6000000000000007E-2</v>
      </c>
      <c r="Y98" s="16">
        <f>IF(ISNA(VLOOKUP(A98,'Données projet'!$A$35:$I$55,7,0)),0%,VLOOKUP(A98,'Données projet'!$A$35:$I$55,7,0))</f>
        <v>0.1</v>
      </c>
      <c r="Z98" s="21">
        <f>EXP(-LN(2)/35)*Z97+(1-EXP(-LN(2)/35))/(LN(2)/35)*V98*W98*VLOOKUP('Données projet'!$B$9,Paramètres!$A$1:$I$89,3,0)*0.475*44/12</f>
        <v>26.554534285138146</v>
      </c>
      <c r="AA98" s="21">
        <f>EXP(-LN(2)/25)*AA97+(1-EXP(-LN(2)/25))/(LN(2)/25)*Calculateur!V98*Calculateur!X98*VLOOKUP('Données projet'!$B$9,Paramètres!$A$1:$I$89,3,0)*0.475*44/12</f>
        <v>10.823821713243658</v>
      </c>
      <c r="AB98" s="21">
        <f>EXP(-LN(2)/2)*AB97+(1-EXP(-LN(2)/2))/(LN(2)/2)*V98*Y98*VLOOKUP('Données projet'!$B$9,Paramètres!$A$1:$I$89,3,0)*0.475*44/12</f>
        <v>3.67968637979522</v>
      </c>
      <c r="AC98" s="22">
        <f t="shared" si="57"/>
        <v>41.058042378177028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238</v>
      </c>
      <c r="AG98" s="12">
        <f>VLOOKUP(A98,'Données projet'!$A$61:$I$81,9,0)</f>
        <v>5.6</v>
      </c>
      <c r="AH98" s="12">
        <f t="array" ref="AH98">INDEX(AG:AG,MIN(IF(ISNUMBER(AG98:AG294),ROW(AG98:AG294),"")))</f>
        <v>5.6</v>
      </c>
      <c r="AI98" s="13">
        <f>IF('Données projet'!$A$62&gt;35,AI97+AH98-AQ97,IF(A98&lt;'Données projet'!$A$62,$AF$205^A98,IF(A98='Données projet'!$A$62,'Données projet'!$B$62,AI97+AH98-AQ97)))</f>
        <v>237.99999999999994</v>
      </c>
      <c r="AJ98" s="13">
        <f>AI98*VLOOKUP('Données projet'!$B$10,Paramètres!$A$1:$I$89,3,0)*VLOOKUP('Données projet'!$B$10,Paramètres!$A$1:$I$89,5,0)</f>
        <v>230.19359999999998</v>
      </c>
      <c r="AK98" s="13">
        <f t="shared" si="89"/>
        <v>56.324540327421722</v>
      </c>
      <c r="AL98" s="20">
        <f t="shared" si="58"/>
        <v>499.01909440359276</v>
      </c>
      <c r="AM98" s="59">
        <f t="shared" si="59"/>
        <v>774.9665403223587</v>
      </c>
      <c r="AN98" s="59">
        <f ca="1">AVERAGE(OFFSET($AM$3,0,0,'Données projet'!$E$10+1,1))-AVERAGE(OFFSET($H$3,0,0,'Données projet'!$E$10+1,1))</f>
        <v>370.91255999489181</v>
      </c>
      <c r="AO98" s="59">
        <f t="shared" si="90"/>
        <v>196.07869248605735</v>
      </c>
      <c r="AP98" s="15">
        <f>IF(ISNA(VLOOKUP(A98,'Données projet'!$A$61:$I$81,3,0)),0,VLOOKUP(A98,'Données projet'!$A$61:$I$81,3,0))</f>
        <v>10</v>
      </c>
      <c r="AQ98" s="15">
        <f>IF(ISNA(VLOOKUP(A98,'Données projet'!$A$61:$I$81,4,0)),0,VLOOKUP(A98,'Données projet'!$A$61:$I$81,4,0))</f>
        <v>42</v>
      </c>
      <c r="AR98" s="16">
        <f>IF(ISNA(VLOOKUP(A98,'Données projet'!$A$61:$I$81,5,0)),0%,VLOOKUP(A98,'Données projet'!$A$61:$I$81,5,0)*VLOOKUP('Données projet'!$B$10,Paramètres!$A$1:$I$89,7,0))</f>
        <v>0.25800000000000001</v>
      </c>
      <c r="AS98" s="16">
        <f>IF(ISNA(VLOOKUP(A98,'Données projet'!$A$61:$I$81,6,0)),0%,VLOOKUP(A98,'Données projet'!$A$61:$I$81,6,0)*VLOOKUP('Données projet'!$B$10,Paramètres!$A$1:$I$89,7,0))</f>
        <v>8.6000000000000007E-2</v>
      </c>
      <c r="AT98" s="16">
        <f>IF(ISNA(VLOOKUP(A98,'Données projet'!$A$61:$I$81,7,0)),0%,VLOOKUP(A98,'Données projet'!$A$61:$I$81,7,0))</f>
        <v>0.1</v>
      </c>
      <c r="AU98" s="21">
        <f>EXP(-LN(2)/35)*AU97+(1-EXP(-LN(2)/35))/(LN(2)/35)*AQ98*AR98*VLOOKUP('Données projet'!$B$10,Paramètres!$A$1:$I$89,3,0)*0.475*44/12</f>
        <v>33.089265597988614</v>
      </c>
      <c r="AV98" s="21">
        <f>EXP(-LN(2)/25)*AV97+(1-EXP(-LN(2)/25))/(LN(2)/25)*Calculateur!AQ98*Calculateur!AS98*VLOOKUP('Données projet'!$B$10,Paramètres!$A$1:$I$89,3,0)*0.475*44/12</f>
        <v>12.278327830252096</v>
      </c>
      <c r="AW98" s="21">
        <f>EXP(-LN(2)/2)*AW97+(1-EXP(-LN(2)/2))/(LN(2)/2)*AQ98*AT98*VLOOKUP('Données projet'!$B$10,Paramètres!$A$1:$I$89,3,0)*0.475*44/12</f>
        <v>3.9277070557180158</v>
      </c>
      <c r="AX98" s="21">
        <f t="shared" si="60"/>
        <v>49.295300483958727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238</v>
      </c>
      <c r="BB98" s="12">
        <f>VLOOKUP(A98,'Données projet'!$A$87:$I$107,9,0)</f>
        <v>5.6</v>
      </c>
      <c r="BC98" s="12">
        <f t="array" ref="BC98">INDEX(BB:BB,MIN(IF(ISNUMBER(BB98:BB294),ROW(BB98:BB294),"")))</f>
        <v>5.6</v>
      </c>
      <c r="BD98" s="12">
        <f>IF('Données projet'!$A$88&gt;35,BD97+BC98-BL97,IF(A98&lt;'Données projet'!$A$88,$BA$205^A98,IF(A98='Données projet'!$A$88,'Données projet'!$B$88,BD97+BC98-BL97)))</f>
        <v>237.99999999999994</v>
      </c>
      <c r="BE98" s="13">
        <f>BD98*VLOOKUP('Données projet'!$B$11,Paramètres!$A$1:$I$89,3,0)*VLOOKUP('Données projet'!$B$11,Paramètres!$A$1:$I$89,5,0)</f>
        <v>256.18319999999994</v>
      </c>
      <c r="BF98" s="13">
        <f t="shared" si="91"/>
        <v>61.908091499799177</v>
      </c>
      <c r="BG98" s="20">
        <f t="shared" si="61"/>
        <v>554.00899936215012</v>
      </c>
      <c r="BH98" s="59">
        <f t="shared" si="62"/>
        <v>829.95644528091611</v>
      </c>
      <c r="BI98" s="59">
        <f ca="1">AVERAGE(OFFSET($BH$3,0,0,'Données projet'!$E$11+1,1))-AVERAGE(OFFSET($H$3,0,0,'Données projet'!$E$11+1,1))</f>
        <v>404.24955007425774</v>
      </c>
      <c r="BJ98" s="59">
        <f t="shared" si="92"/>
        <v>211.49137630071019</v>
      </c>
      <c r="BK98" s="15">
        <f>IF(ISNA(VLOOKUP(A98,'Données projet'!$A$87:$I$107,3,0)),0,VLOOKUP(A98,'Données projet'!$A$87:$I$107,3,0))</f>
        <v>10</v>
      </c>
      <c r="BL98" s="15">
        <f>IF(ISNA(VLOOKUP(A98,'Données projet'!$A$87:$I$107,4,0)),0,VLOOKUP(A98,'Données projet'!$A$87:$I$107,4,0))</f>
        <v>42</v>
      </c>
      <c r="BM98" s="16">
        <f>IF(ISNA(VLOOKUP(A98,'Données projet'!$A$87:$I$107,5,0)),0%,VLOOKUP(A98,'Données projet'!$A$87:$I$107,5,0)*VLOOKUP('Données projet'!$B$11,Paramètres!$A$1:$I$89,7,0))</f>
        <v>0.25800000000000001</v>
      </c>
      <c r="BN98" s="16">
        <f>IF(ISNA(VLOOKUP(A98,'Données projet'!$A$87:$I$107,6,0)),0%,VLOOKUP(A98,'Données projet'!$A$87:$I$107,6,0)*VLOOKUP('Données projet'!$B$11,Paramètres!$A$1:$I$89,7,0))</f>
        <v>8.6000000000000007E-2</v>
      </c>
      <c r="BO98" s="16">
        <f>IF(ISNA(VLOOKUP(A98,'Données projet'!$A$87:$I$107,7,0)),0%,VLOOKUP(A98,'Données projet'!$A$87:$I$107,7,0))</f>
        <v>0.1</v>
      </c>
      <c r="BP98" s="21">
        <f>EXP(-LN(2)/35)*BP97+(1-EXP(-LN(2)/35))/(LN(2)/35)*BL98*BM98*VLOOKUP('Données projet'!$B$11,Paramètres!$A$1:$I$89,3,0)*0.475*44/12</f>
        <v>36.825150423567962</v>
      </c>
      <c r="BQ98" s="21">
        <f>EXP(-LN(2)/25)*BQ97+(1-EXP(-LN(2)/25))/(LN(2)/25)*Calculateur!BL98*Calculateur!BN98*VLOOKUP('Données projet'!$B$11,Paramètres!$A$1:$I$89,3,0)*0.475*44/12</f>
        <v>13.664590649796688</v>
      </c>
      <c r="BR98" s="21">
        <f>EXP(-LN(2)/2)*BR97+(1-EXP(-LN(2)/2))/(LN(2)/2)*BL98*BO98*VLOOKUP('Données projet'!$B$11,Paramètres!$A$1:$I$89,3,0)*0.475*44/12</f>
        <v>4.3711578523313408</v>
      </c>
      <c r="BS98" s="22">
        <f t="shared" si="63"/>
        <v>54.860898925695992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238</v>
      </c>
      <c r="BW98" s="12">
        <f>VLOOKUP(A98,'Données projet'!$A$113:$I$133,9,0)</f>
        <v>5.6</v>
      </c>
      <c r="BX98" s="12">
        <f t="array" ref="BX98">INDEX(BW:BW,MIN(IF(ISNUMBER(BW98:BW294),ROW(BW98:BW294),"")))</f>
        <v>5.6</v>
      </c>
      <c r="BY98" s="12">
        <f>IF('Données projet'!$A$114&gt;35,BY97+BX98-CG97,IF(A98&lt;'Données projet'!$A$114,$BV$205^A98,IF(A98='Données projet'!$A$114,'Données projet'!$B$114,BY97+BX98-CG97)))</f>
        <v>237.99999999999994</v>
      </c>
      <c r="BZ98" s="13">
        <f>BY98*VLOOKUP('Données projet'!$B$12,Paramètres!$A$1:$I$89,3,0)*VLOOKUP('Données projet'!$B$12,Paramètres!$A$1:$I$89,5,0)</f>
        <v>185.63999999999996</v>
      </c>
      <c r="CA98" s="13">
        <f t="shared" si="93"/>
        <v>46.57472025705939</v>
      </c>
      <c r="CB98" s="20">
        <f t="shared" si="64"/>
        <v>404.44063778104504</v>
      </c>
      <c r="CC98" s="59">
        <f t="shared" si="65"/>
        <v>680.38808369981098</v>
      </c>
      <c r="CD98" s="59">
        <f ca="1">AVERAGE(OFFSET($CC$3,0,0,'Données projet'!$E$12+1,1))-AVERAGE(OFFSET($H$3,0,0,'Données projet'!$E$12+1,1))</f>
        <v>250.01410333089137</v>
      </c>
      <c r="CE98" s="59">
        <f t="shared" si="94"/>
        <v>169.55868564318885</v>
      </c>
      <c r="CF98" s="15">
        <f>IF(ISNA(VLOOKUP(A98,'Données projet'!$A$113:$I$133,3,0)),0,VLOOKUP(A98,'Données projet'!$A$113:$I$133,3,0))</f>
        <v>10</v>
      </c>
      <c r="CG98" s="15">
        <f>IF(ISNA(VLOOKUP(A98,'Données projet'!$A$113:$I$133,4,0)),0,VLOOKUP(A98,'Données projet'!$A$113:$I$133,4,0))</f>
        <v>42</v>
      </c>
      <c r="CH98" s="16">
        <f>IF(ISNA(VLOOKUP(A98,'Données projet'!$A$113:$I$133,5,0)),0%,VLOOKUP(A98,'Données projet'!$A$113:$I$133,5,0)*VLOOKUP('Données projet'!$B$12,Paramètres!$A$1:$I$89,7,0))</f>
        <v>0.25800000000000001</v>
      </c>
      <c r="CI98" s="16">
        <f>IF(ISNA(VLOOKUP(A98,'Données projet'!$A$113:$I$133,6,0)),0%,VLOOKUP(A98,'Données projet'!$A$113:$I$133,6,0)*VLOOKUP('Données projet'!$B$12,Paramètres!$A$1:$I$89,7,0))</f>
        <v>8.6000000000000007E-2</v>
      </c>
      <c r="CJ98" s="16">
        <f>IF(ISNA(VLOOKUP(A98,'Données projet'!$A$113:$I$133,7,0)),0%,VLOOKUP(A98,'Données projet'!$A$113:$I$133,7,0))</f>
        <v>0.1</v>
      </c>
      <c r="CK98" s="21">
        <f>EXP(-LN(2)/35)*CK97+(1-EXP(-LN(2)/35))/(LN(2)/35)*CG98*CH98*VLOOKUP('Données projet'!$B$12,Paramètres!$A$1:$I$89,3,0)*0.475*44/12</f>
        <v>26.684891611281131</v>
      </c>
      <c r="CL98" s="21">
        <f>EXP(-LN(2)/25)*CL97+(1-EXP(-LN(2)/25))/(LN(2)/25)*Calculateur!CG98*Calculateur!CI98*VLOOKUP('Données projet'!$B$12,Paramètres!$A$1:$I$89,3,0)*0.475*44/12</f>
        <v>9.9018772824613688</v>
      </c>
      <c r="CM98" s="21">
        <f>EXP(-LN(2)/2)*CM97+(1-EXP(-LN(2)/2))/(LN(2)/2)*CG98*CJ98*VLOOKUP('Données projet'!$B$12,Paramètres!$A$1:$I$89,3,0)*0.475*44/12</f>
        <v>3.1675056900951741</v>
      </c>
      <c r="CN98" s="22">
        <f t="shared" si="66"/>
        <v>39.754274583837677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201.59999999999994</v>
      </c>
      <c r="O99" s="13">
        <f>N99*VLOOKUP('Données projet'!$B$9,Paramètres!$A$1:$I$89,3,0)*VLOOKUP('Données projet'!$B$9,Paramètres!$A$1:$I$89,5,0)</f>
        <v>182.40767999999994</v>
      </c>
      <c r="P99" s="13">
        <f t="shared" si="87"/>
        <v>45.857435663065921</v>
      </c>
      <c r="Q99" s="20">
        <f t="shared" ref="Q99:Q130" si="107">(O99+P99)*0.475*44/12</f>
        <v>397.56174311317301</v>
      </c>
      <c r="R99" s="59">
        <f t="shared" si="55"/>
        <v>673.81079530956049</v>
      </c>
      <c r="S99" s="59">
        <f ca="1">AVERAGE(OFFSET($R$3,0,0,'Données projet'!$E$9+1,1))-AVERAGE(OFFSET($H$3,0,0,'Données projet'!$E$9+1,1))</f>
        <v>469.5773392354356</v>
      </c>
      <c r="T99" s="59">
        <f t="shared" si="88"/>
        <v>187.25344022835239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26.033816064473214</v>
      </c>
      <c r="AA99" s="21">
        <f>EXP(-LN(2)/25)*AA98+(1-EXP(-LN(2)/25))/(LN(2)/25)*Calculateur!V99*Calculateur!X99*VLOOKUP('Données projet'!$B$9,Paramètres!$A$1:$I$89,3,0)*0.475*44/12</f>
        <v>10.527843739294966</v>
      </c>
      <c r="AB99" s="21">
        <f>EXP(-LN(2)/2)*AB98+(1-EXP(-LN(2)/2))/(LN(2)/2)*V99*Y99*VLOOKUP('Données projet'!$B$9,Paramètres!$A$1:$I$89,3,0)*0.475*44/12</f>
        <v>2.6019311917929779</v>
      </c>
      <c r="AC99" s="22">
        <f t="shared" si="57"/>
        <v>39.163590995561158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201.59999999999994</v>
      </c>
      <c r="AJ99" s="13">
        <f>AI99*VLOOKUP('Données projet'!$B$10,Paramètres!$A$1:$I$89,3,0)*VLOOKUP('Données projet'!$B$10,Paramètres!$A$1:$I$89,5,0)</f>
        <v>194.98751999999996</v>
      </c>
      <c r="AK99" s="13">
        <f t="shared" si="89"/>
        <v>48.640954330020342</v>
      </c>
      <c r="AL99" s="20">
        <f t="shared" si="58"/>
        <v>424.31959279145207</v>
      </c>
      <c r="AM99" s="59">
        <f t="shared" si="59"/>
        <v>700.56864498783943</v>
      </c>
      <c r="AN99" s="59">
        <f ca="1">AVERAGE(OFFSET($AM$3,0,0,'Données projet'!$E$10+1,1))-AVERAGE(OFFSET($H$3,0,0,'Données projet'!$E$10+1,1))</f>
        <v>370.91255999489181</v>
      </c>
      <c r="AO99" s="59">
        <f t="shared" si="90"/>
        <v>196.07869248605735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32.440405282071218</v>
      </c>
      <c r="AV99" s="21">
        <f>EXP(-LN(2)/25)*AV98+(1-EXP(-LN(2)/25))/(LN(2)/25)*Calculateur!AQ99*Calculateur!AS99*VLOOKUP('Données projet'!$B$10,Paramètres!$A$1:$I$89,3,0)*0.475*44/12</f>
        <v>11.942576310044654</v>
      </c>
      <c r="AW99" s="21">
        <f>EXP(-LN(2)/2)*AW98+(1-EXP(-LN(2)/2))/(LN(2)/2)*AQ99*AT99*VLOOKUP('Données projet'!$B$10,Paramètres!$A$1:$I$89,3,0)*0.475*44/12</f>
        <v>2.777308293612458</v>
      </c>
      <c r="AX99" s="21">
        <f t="shared" si="60"/>
        <v>47.160289885728325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5.6</v>
      </c>
      <c r="BD99" s="12">
        <f>IF('Données projet'!$A$88&gt;35,BD98+BC99-BL98,IF(A99&lt;'Données projet'!$A$88,$BA$205^A99,IF(A99='Données projet'!$A$88,'Données projet'!$B$88,BD98+BC99-BL98)))</f>
        <v>201.59999999999994</v>
      </c>
      <c r="BE99" s="13">
        <f>BD99*VLOOKUP('Données projet'!$B$11,Paramètres!$A$1:$I$89,3,0)*VLOOKUP('Données projet'!$B$11,Paramètres!$A$1:$I$89,5,0)</f>
        <v>217.00223999999994</v>
      </c>
      <c r="BF99" s="13">
        <f t="shared" si="91"/>
        <v>53.462818050454771</v>
      </c>
      <c r="BG99" s="20">
        <f t="shared" si="61"/>
        <v>471.05997610454193</v>
      </c>
      <c r="BH99" s="59">
        <f t="shared" si="62"/>
        <v>747.30902830092941</v>
      </c>
      <c r="BI99" s="59">
        <f ca="1">AVERAGE(OFFSET($BH$3,0,0,'Données projet'!$E$11+1,1))-AVERAGE(OFFSET($H$3,0,0,'Données projet'!$E$11+1,1))</f>
        <v>404.24955007425774</v>
      </c>
      <c r="BJ99" s="59">
        <f t="shared" si="92"/>
        <v>211.49137630071019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36.1030316848857</v>
      </c>
      <c r="BQ99" s="21">
        <f>EXP(-LN(2)/25)*BQ98+(1-EXP(-LN(2)/25))/(LN(2)/25)*Calculateur!BL99*Calculateur!BN99*VLOOKUP('Données projet'!$B$11,Paramètres!$A$1:$I$89,3,0)*0.475*44/12</f>
        <v>13.290931699888406</v>
      </c>
      <c r="BR99" s="21">
        <f>EXP(-LN(2)/2)*BR98+(1-EXP(-LN(2)/2))/(LN(2)/2)*BL99*BO99*VLOOKUP('Données projet'!$B$11,Paramètres!$A$1:$I$89,3,0)*0.475*44/12</f>
        <v>3.0908753590203166</v>
      </c>
      <c r="BS99" s="22">
        <f t="shared" si="63"/>
        <v>52.48483874379442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195.99999999999994</v>
      </c>
      <c r="BZ99" s="13">
        <f>BY99*VLOOKUP('Données projet'!$B$12,Paramètres!$A$1:$I$89,3,0)*VLOOKUP('Données projet'!$B$12,Paramètres!$A$1:$I$89,5,0)</f>
        <v>152.87999999999997</v>
      </c>
      <c r="CA99" s="13">
        <f t="shared" si="93"/>
        <v>39.232349774697852</v>
      </c>
      <c r="CB99" s="20">
        <f t="shared" si="64"/>
        <v>334.59567585759868</v>
      </c>
      <c r="CC99" s="59">
        <f t="shared" si="65"/>
        <v>610.84472805398605</v>
      </c>
      <c r="CD99" s="59">
        <f ca="1">AVERAGE(OFFSET($CC$3,0,0,'Données projet'!$E$12+1,1))-AVERAGE(OFFSET($H$3,0,0,'Données projet'!$E$12+1,1))</f>
        <v>250.01410333089137</v>
      </c>
      <c r="CE99" s="59">
        <f t="shared" si="94"/>
        <v>169.55868564318885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26.161617162960653</v>
      </c>
      <c r="CL99" s="21">
        <f>EXP(-LN(2)/25)*CL98+(1-EXP(-LN(2)/25))/(LN(2)/25)*Calculateur!CG99*Calculateur!CI99*VLOOKUP('Données projet'!$B$12,Paramètres!$A$1:$I$89,3,0)*0.475*44/12</f>
        <v>9.631109927455368</v>
      </c>
      <c r="CM99" s="21">
        <f>EXP(-LN(2)/2)*CM98+(1-EXP(-LN(2)/2))/(LN(2)/2)*CG99*CJ99*VLOOKUP('Données projet'!$B$12,Paramètres!$A$1:$I$89,3,0)*0.475*44/12</f>
        <v>2.2397647529132727</v>
      </c>
      <c r="CN99" s="22">
        <f t="shared" si="66"/>
        <v>38.032491843329296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207.19999999999993</v>
      </c>
      <c r="O100" s="13">
        <f>N100*VLOOKUP('Données projet'!$B$9,Paramètres!$A$1:$I$89,3,0)*VLOOKUP('Données projet'!$B$9,Paramètres!$A$1:$I$89,5,0)</f>
        <v>187.47455999999991</v>
      </c>
      <c r="P100" s="13">
        <f t="shared" si="87"/>
        <v>46.981179851370101</v>
      </c>
      <c r="Q100" s="20">
        <f t="shared" si="107"/>
        <v>408.34374690780282</v>
      </c>
      <c r="R100" s="59">
        <f t="shared" si="55"/>
        <v>684.88917318718563</v>
      </c>
      <c r="S100" s="59">
        <f ca="1">AVERAGE(OFFSET($R$3,0,0,'Données projet'!$E$9+1,1))-AVERAGE(OFFSET($H$3,0,0,'Données projet'!$E$9+1,1))</f>
        <v>469.5773392354356</v>
      </c>
      <c r="T100" s="59">
        <f t="shared" si="88"/>
        <v>187.25344022835239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25.523308810508766</v>
      </c>
      <c r="AA100" s="21">
        <f>EXP(-LN(2)/25)*AA99+(1-EXP(-LN(2)/25))/(LN(2)/25)*Calculateur!V100*Calculateur!X100*VLOOKUP('Données projet'!$B$9,Paramètres!$A$1:$I$89,3,0)*0.475*44/12</f>
        <v>10.239959298608705</v>
      </c>
      <c r="AB100" s="21">
        <f>EXP(-LN(2)/2)*AB99+(1-EXP(-LN(2)/2))/(LN(2)/2)*V100*Y100*VLOOKUP('Données projet'!$B$9,Paramètres!$A$1:$I$89,3,0)*0.475*44/12</f>
        <v>1.8398431898976102</v>
      </c>
      <c r="AC100" s="22">
        <f t="shared" si="57"/>
        <v>37.603111299015076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207.19999999999993</v>
      </c>
      <c r="AJ100" s="13">
        <f>AI100*VLOOKUP('Données projet'!$B$10,Paramètres!$A$1:$I$89,3,0)*VLOOKUP('Données projet'!$B$10,Paramètres!$A$1:$I$89,5,0)</f>
        <v>200.40383999999997</v>
      </c>
      <c r="AK100" s="13">
        <f t="shared" si="89"/>
        <v>49.832909112305636</v>
      </c>
      <c r="AL100" s="20">
        <f t="shared" si="58"/>
        <v>435.82900470393224</v>
      </c>
      <c r="AM100" s="59">
        <f t="shared" si="59"/>
        <v>712.37443098331505</v>
      </c>
      <c r="AN100" s="59">
        <f ca="1">AVERAGE(OFFSET($AM$3,0,0,'Données projet'!$E$10+1,1))-AVERAGE(OFFSET($H$3,0,0,'Données projet'!$E$10+1,1))</f>
        <v>370.91255999489181</v>
      </c>
      <c r="AO100" s="59">
        <f t="shared" si="90"/>
        <v>196.07869248605735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31.804268721183249</v>
      </c>
      <c r="AV100" s="21">
        <f>EXP(-LN(2)/25)*AV99+(1-EXP(-LN(2)/25))/(LN(2)/25)*Calculateur!AQ100*Calculateur!AS100*VLOOKUP('Données projet'!$B$10,Paramètres!$A$1:$I$89,3,0)*0.475*44/12</f>
        <v>11.616005932813689</v>
      </c>
      <c r="AW100" s="21">
        <f>EXP(-LN(2)/2)*AW99+(1-EXP(-LN(2)/2))/(LN(2)/2)*AQ100*AT100*VLOOKUP('Données projet'!$B$10,Paramètres!$A$1:$I$89,3,0)*0.475*44/12</f>
        <v>1.9638535278590081</v>
      </c>
      <c r="AX100" s="21">
        <f t="shared" si="60"/>
        <v>45.384128181855949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5.6</v>
      </c>
      <c r="BD100" s="12">
        <f>IF('Données projet'!$A$88&gt;35,BD99+BC100-BL99,IF(A100&lt;'Données projet'!$A$88,$BA$205^A100,IF(A100='Données projet'!$A$88,'Données projet'!$B$88,BD99+BC100-BL99)))</f>
        <v>207.19999999999993</v>
      </c>
      <c r="BE100" s="13">
        <f>BD100*VLOOKUP('Données projet'!$B$11,Paramètres!$A$1:$I$89,3,0)*VLOOKUP('Données projet'!$B$11,Paramètres!$A$1:$I$89,5,0)</f>
        <v>223.03007999999991</v>
      </c>
      <c r="BF100" s="13">
        <f t="shared" si="91"/>
        <v>54.772933415735707</v>
      </c>
      <c r="BG100" s="20">
        <f t="shared" si="61"/>
        <v>483.84024836573946</v>
      </c>
      <c r="BH100" s="59">
        <f t="shared" si="62"/>
        <v>760.38567464512221</v>
      </c>
      <c r="BI100" s="59">
        <f ca="1">AVERAGE(OFFSET($BH$3,0,0,'Données projet'!$E$11+1,1))-AVERAGE(OFFSET($H$3,0,0,'Données projet'!$E$11+1,1))</f>
        <v>404.24955007425774</v>
      </c>
      <c r="BJ100" s="59">
        <f t="shared" si="92"/>
        <v>211.49137630071019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35.395073254220058</v>
      </c>
      <c r="BQ100" s="21">
        <f>EXP(-LN(2)/25)*BQ99+(1-EXP(-LN(2)/25))/(LN(2)/25)*Calculateur!BL100*Calculateur!BN100*VLOOKUP('Données projet'!$B$11,Paramètres!$A$1:$I$89,3,0)*0.475*44/12</f>
        <v>12.927490473615237</v>
      </c>
      <c r="BR100" s="21">
        <f>EXP(-LN(2)/2)*BR99+(1-EXP(-LN(2)/2))/(LN(2)/2)*BL100*BO100*VLOOKUP('Données projet'!$B$11,Paramètres!$A$1:$I$89,3,0)*0.475*44/12</f>
        <v>2.1855789261656708</v>
      </c>
      <c r="BS100" s="22">
        <f t="shared" si="63"/>
        <v>50.508142654000963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195.99999999999994</v>
      </c>
      <c r="BZ100" s="13">
        <f>BY100*VLOOKUP('Données projet'!$B$12,Paramètres!$A$1:$I$89,3,0)*VLOOKUP('Données projet'!$B$12,Paramètres!$A$1:$I$89,5,0)</f>
        <v>152.87999999999997</v>
      </c>
      <c r="CA100" s="13">
        <f t="shared" si="93"/>
        <v>39.232349774697852</v>
      </c>
      <c r="CB100" s="20">
        <f t="shared" si="64"/>
        <v>334.59567585759868</v>
      </c>
      <c r="CC100" s="59">
        <f t="shared" si="65"/>
        <v>611.14110213698154</v>
      </c>
      <c r="CD100" s="59">
        <f ca="1">AVERAGE(OFFSET($CC$3,0,0,'Données projet'!$E$12+1,1))-AVERAGE(OFFSET($H$3,0,0,'Données projet'!$E$12+1,1))</f>
        <v>250.01410333089137</v>
      </c>
      <c r="CE100" s="59">
        <f t="shared" si="94"/>
        <v>169.55868564318885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25.648603807405841</v>
      </c>
      <c r="CL100" s="21">
        <f>EXP(-LN(2)/25)*CL99+(1-EXP(-LN(2)/25))/(LN(2)/25)*Calculateur!CG100*Calculateur!CI100*VLOOKUP('Données projet'!$B$12,Paramètres!$A$1:$I$89,3,0)*0.475*44/12</f>
        <v>9.3677467200110414</v>
      </c>
      <c r="CM100" s="21">
        <f>EXP(-LN(2)/2)*CM99+(1-EXP(-LN(2)/2))/(LN(2)/2)*CG100*CJ100*VLOOKUP('Données projet'!$B$12,Paramètres!$A$1:$I$89,3,0)*0.475*44/12</f>
        <v>1.5837528450475873</v>
      </c>
      <c r="CN100" s="22">
        <f t="shared" si="66"/>
        <v>36.600103372464467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212.79999999999993</v>
      </c>
      <c r="O101" s="13">
        <f>N101*VLOOKUP('Données projet'!$B$9,Paramètres!$A$1:$I$89,3,0)*VLOOKUP('Données projet'!$B$9,Paramètres!$A$1:$I$89,5,0)</f>
        <v>192.54143999999994</v>
      </c>
      <c r="P101" s="13">
        <f t="shared" si="87"/>
        <v>48.101393902059698</v>
      </c>
      <c r="Q101" s="20">
        <f t="shared" si="107"/>
        <v>419.11960237942054</v>
      </c>
      <c r="R101" s="59">
        <f t="shared" si="55"/>
        <v>695.95626131405197</v>
      </c>
      <c r="S101" s="59">
        <f ca="1">AVERAGE(OFFSET($R$3,0,0,'Données projet'!$E$9+1,1))-AVERAGE(OFFSET($H$3,0,0,'Données projet'!$E$9+1,1))</f>
        <v>469.5773392354356</v>
      </c>
      <c r="T101" s="59">
        <f t="shared" si="88"/>
        <v>187.25344022835239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25.022812292415882</v>
      </c>
      <c r="AA101" s="21">
        <f>EXP(-LN(2)/25)*AA100+(1-EXP(-LN(2)/25))/(LN(2)/25)*Calculateur!V101*Calculateur!X101*VLOOKUP('Données projet'!$B$9,Paramètres!$A$1:$I$89,3,0)*0.475*44/12</f>
        <v>9.9599470730921933</v>
      </c>
      <c r="AB101" s="21">
        <f>EXP(-LN(2)/2)*AB100+(1-EXP(-LN(2)/2))/(LN(2)/2)*V101*Y101*VLOOKUP('Données projet'!$B$9,Paramètres!$A$1:$I$89,3,0)*0.475*44/12</f>
        <v>1.3009655958964892</v>
      </c>
      <c r="AC101" s="22">
        <f t="shared" si="57"/>
        <v>36.283724961404559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212.79999999999993</v>
      </c>
      <c r="AJ101" s="13">
        <f>AI101*VLOOKUP('Données projet'!$B$10,Paramètres!$A$1:$I$89,3,0)*VLOOKUP('Données projet'!$B$10,Paramètres!$A$1:$I$89,5,0)</f>
        <v>205.82015999999993</v>
      </c>
      <c r="AK101" s="13">
        <f t="shared" si="89"/>
        <v>51.0211194797537</v>
      </c>
      <c r="AL101" s="20">
        <f t="shared" si="58"/>
        <v>447.33189509390417</v>
      </c>
      <c r="AM101" s="59">
        <f t="shared" si="59"/>
        <v>724.16855402853548</v>
      </c>
      <c r="AN101" s="59">
        <f ca="1">AVERAGE(OFFSET($AM$3,0,0,'Données projet'!$E$10+1,1))-AVERAGE(OFFSET($H$3,0,0,'Données projet'!$E$10+1,1))</f>
        <v>370.91255999489181</v>
      </c>
      <c r="AO101" s="59">
        <f t="shared" si="90"/>
        <v>196.07869248605735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31.180606410249304</v>
      </c>
      <c r="AV101" s="21">
        <f>EXP(-LN(2)/25)*AV100+(1-EXP(-LN(2)/25))/(LN(2)/25)*Calculateur!AQ101*Calculateur!AS101*VLOOKUP('Données projet'!$B$10,Paramètres!$A$1:$I$89,3,0)*0.475*44/12</f>
        <v>11.298365639721695</v>
      </c>
      <c r="AW101" s="21">
        <f>EXP(-LN(2)/2)*AW100+(1-EXP(-LN(2)/2))/(LN(2)/2)*AQ101*AT101*VLOOKUP('Données projet'!$B$10,Paramètres!$A$1:$I$89,3,0)*0.475*44/12</f>
        <v>1.3886541468062292</v>
      </c>
      <c r="AX101" s="21">
        <f t="shared" si="60"/>
        <v>43.867626196777231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5.6</v>
      </c>
      <c r="BD101" s="12">
        <f>IF('Données projet'!$A$88&gt;35,BD100+BC101-BL100,IF(A101&lt;'Données projet'!$A$88,$BA$205^A101,IF(A101='Données projet'!$A$88,'Données projet'!$B$88,BD100+BC101-BL100)))</f>
        <v>212.79999999999993</v>
      </c>
      <c r="BE101" s="13">
        <f>BD101*VLOOKUP('Données projet'!$B$11,Paramètres!$A$1:$I$89,3,0)*VLOOKUP('Données projet'!$B$11,Paramètres!$A$1:$I$89,5,0)</f>
        <v>229.05791999999991</v>
      </c>
      <c r="BF101" s="13">
        <f t="shared" si="91"/>
        <v>56.078933175722597</v>
      </c>
      <c r="BG101" s="20">
        <f t="shared" si="61"/>
        <v>496.61335261438336</v>
      </c>
      <c r="BH101" s="59">
        <f t="shared" si="62"/>
        <v>773.45001154901479</v>
      </c>
      <c r="BI101" s="59">
        <f ca="1">AVERAGE(OFFSET($BH$3,0,0,'Données projet'!$E$11+1,1))-AVERAGE(OFFSET($H$3,0,0,'Données projet'!$E$11+1,1))</f>
        <v>404.24955007425774</v>
      </c>
      <c r="BJ101" s="59">
        <f t="shared" si="92"/>
        <v>211.49137630071019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34.700997456567762</v>
      </c>
      <c r="BQ101" s="21">
        <f>EXP(-LN(2)/25)*BQ100+(1-EXP(-LN(2)/25))/(LN(2)/25)*Calculateur!BL101*Calculateur!BN101*VLOOKUP('Données projet'!$B$11,Paramètres!$A$1:$I$89,3,0)*0.475*44/12</f>
        <v>12.57398756678705</v>
      </c>
      <c r="BR101" s="21">
        <f>EXP(-LN(2)/2)*BR100+(1-EXP(-LN(2)/2))/(LN(2)/2)*BL101*BO101*VLOOKUP('Données projet'!$B$11,Paramètres!$A$1:$I$89,3,0)*0.475*44/12</f>
        <v>1.5454376795101585</v>
      </c>
      <c r="BS101" s="22">
        <f t="shared" si="63"/>
        <v>48.820422702864974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195.99999999999994</v>
      </c>
      <c r="BZ101" s="13">
        <f>BY101*VLOOKUP('Données projet'!$B$12,Paramètres!$A$1:$I$89,3,0)*VLOOKUP('Données projet'!$B$12,Paramètres!$A$1:$I$89,5,0)</f>
        <v>152.87999999999997</v>
      </c>
      <c r="CA101" s="13">
        <f t="shared" si="93"/>
        <v>39.232349774697852</v>
      </c>
      <c r="CB101" s="20">
        <f t="shared" si="64"/>
        <v>334.59567585759868</v>
      </c>
      <c r="CC101" s="59">
        <f t="shared" si="65"/>
        <v>611.43233479222999</v>
      </c>
      <c r="CD101" s="59">
        <f ca="1">AVERAGE(OFFSET($CC$3,0,0,'Données projet'!$E$12+1,1))-AVERAGE(OFFSET($H$3,0,0,'Données projet'!$E$12+1,1))</f>
        <v>250.01410333089137</v>
      </c>
      <c r="CE101" s="59">
        <f t="shared" si="94"/>
        <v>169.55868564318885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25.145650330846209</v>
      </c>
      <c r="CL101" s="21">
        <f>EXP(-LN(2)/25)*CL100+(1-EXP(-LN(2)/25))/(LN(2)/25)*Calculateur!CG101*Calculateur!CI101*VLOOKUP('Données projet'!$B$12,Paramètres!$A$1:$I$89,3,0)*0.475*44/12</f>
        <v>9.1115851933239504</v>
      </c>
      <c r="CM101" s="21">
        <f>EXP(-LN(2)/2)*CM100+(1-EXP(-LN(2)/2))/(LN(2)/2)*CG101*CJ101*VLOOKUP('Données projet'!$B$12,Paramètres!$A$1:$I$89,3,0)*0.475*44/12</f>
        <v>1.1198823764566366</v>
      </c>
      <c r="CN101" s="22">
        <f t="shared" si="66"/>
        <v>35.377117900626793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218.39999999999992</v>
      </c>
      <c r="O102" s="13">
        <f>N102*VLOOKUP('Données projet'!$B$9,Paramètres!$A$1:$I$89,3,0)*VLOOKUP('Données projet'!$B$9,Paramètres!$A$1:$I$89,5,0)</f>
        <v>197.60831999999991</v>
      </c>
      <c r="P102" s="13">
        <f t="shared" si="87"/>
        <v>49.218181392381361</v>
      </c>
      <c r="Q102" s="20">
        <f t="shared" si="107"/>
        <v>429.88948992506403</v>
      </c>
      <c r="R102" s="59">
        <f t="shared" si="55"/>
        <v>707.01232927947422</v>
      </c>
      <c r="S102" s="59">
        <f ca="1">AVERAGE(OFFSET($R$3,0,0,'Données projet'!$E$9+1,1))-AVERAGE(OFFSET($H$3,0,0,'Données projet'!$E$9+1,1))</f>
        <v>469.5773392354356</v>
      </c>
      <c r="T102" s="59">
        <f t="shared" si="88"/>
        <v>187.25344022835239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24.532130205770066</v>
      </c>
      <c r="AA102" s="21">
        <f>EXP(-LN(2)/25)*AA101+(1-EXP(-LN(2)/25))/(LN(2)/25)*Calculateur!V102*Calculateur!X102*VLOOKUP('Données projet'!$B$9,Paramètres!$A$1:$I$89,3,0)*0.475*44/12</f>
        <v>9.6875917966076344</v>
      </c>
      <c r="AB102" s="21">
        <f>EXP(-LN(2)/2)*AB101+(1-EXP(-LN(2)/2))/(LN(2)/2)*V102*Y102*VLOOKUP('Données projet'!$B$9,Paramètres!$A$1:$I$89,3,0)*0.475*44/12</f>
        <v>0.91992159494880521</v>
      </c>
      <c r="AC102" s="22">
        <f t="shared" si="57"/>
        <v>35.139643597326504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218.39999999999992</v>
      </c>
      <c r="AJ102" s="13">
        <f>AI102*VLOOKUP('Données projet'!$B$10,Paramètres!$A$1:$I$89,3,0)*VLOOKUP('Données projet'!$B$10,Paramètres!$A$1:$I$89,5,0)</f>
        <v>211.23647999999994</v>
      </c>
      <c r="AK102" s="13">
        <f t="shared" si="89"/>
        <v>52.205695296687686</v>
      </c>
      <c r="AL102" s="20">
        <f t="shared" si="58"/>
        <v>458.82845530839762</v>
      </c>
      <c r="AM102" s="59">
        <f t="shared" si="59"/>
        <v>735.95129466280775</v>
      </c>
      <c r="AN102" s="59">
        <f ca="1">AVERAGE(OFFSET($AM$3,0,0,'Données projet'!$E$10+1,1))-AVERAGE(OFFSET($H$3,0,0,'Données projet'!$E$10+1,1))</f>
        <v>370.91255999489181</v>
      </c>
      <c r="AO102" s="59">
        <f t="shared" si="90"/>
        <v>196.07869248605735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30.569173736836326</v>
      </c>
      <c r="AV102" s="21">
        <f>EXP(-LN(2)/25)*AV101+(1-EXP(-LN(2)/25))/(LN(2)/25)*Calculateur!AQ102*Calculateur!AS102*VLOOKUP('Données projet'!$B$10,Paramètres!$A$1:$I$89,3,0)*0.475*44/12</f>
        <v>10.989411237148278</v>
      </c>
      <c r="AW102" s="21">
        <f>EXP(-LN(2)/2)*AW101+(1-EXP(-LN(2)/2))/(LN(2)/2)*AQ102*AT102*VLOOKUP('Données projet'!$B$10,Paramètres!$A$1:$I$89,3,0)*0.475*44/12</f>
        <v>0.98192676392950429</v>
      </c>
      <c r="AX102" s="21">
        <f t="shared" si="60"/>
        <v>42.540511737914116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5.6</v>
      </c>
      <c r="BD102" s="12">
        <f>IF('Données projet'!$A$88&gt;35,BD101+BC102-BL101,IF(A102&lt;'Données projet'!$A$88,$BA$205^A102,IF(A102='Données projet'!$A$88,'Données projet'!$B$88,BD101+BC102-BL101)))</f>
        <v>218.39999999999992</v>
      </c>
      <c r="BE102" s="13">
        <f>BD102*VLOOKUP('Données projet'!$B$11,Paramètres!$A$1:$I$89,3,0)*VLOOKUP('Données projet'!$B$11,Paramètres!$A$1:$I$89,5,0)</f>
        <v>235.08575999999991</v>
      </c>
      <c r="BF102" s="13">
        <f t="shared" si="91"/>
        <v>57.380938085783008</v>
      </c>
      <c r="BG102" s="20">
        <f t="shared" si="61"/>
        <v>509.37949916607187</v>
      </c>
      <c r="BH102" s="59">
        <f t="shared" si="62"/>
        <v>786.502338520482</v>
      </c>
      <c r="BI102" s="59">
        <f ca="1">AVERAGE(OFFSET($BH$3,0,0,'Données projet'!$E$11+1,1))-AVERAGE(OFFSET($H$3,0,0,'Données projet'!$E$11+1,1))</f>
        <v>404.24955007425774</v>
      </c>
      <c r="BJ102" s="59">
        <f t="shared" si="92"/>
        <v>211.49137630071019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34.020532061962996</v>
      </c>
      <c r="BQ102" s="21">
        <f>EXP(-LN(2)/25)*BQ101+(1-EXP(-LN(2)/25))/(LN(2)/25)*Calculateur!BL102*Calculateur!BN102*VLOOKUP('Données projet'!$B$11,Paramètres!$A$1:$I$89,3,0)*0.475*44/12</f>
        <v>12.23015121553599</v>
      </c>
      <c r="BR102" s="21">
        <f>EXP(-LN(2)/2)*BR101+(1-EXP(-LN(2)/2))/(LN(2)/2)*BL102*BO102*VLOOKUP('Données projet'!$B$11,Paramètres!$A$1:$I$89,3,0)*0.475*44/12</f>
        <v>1.0927894630828354</v>
      </c>
      <c r="BS102" s="22">
        <f t="shared" si="63"/>
        <v>47.343472740581824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195.99999999999994</v>
      </c>
      <c r="BZ102" s="13">
        <f>BY102*VLOOKUP('Données projet'!$B$12,Paramètres!$A$1:$I$89,3,0)*VLOOKUP('Données projet'!$B$12,Paramètres!$A$1:$I$89,5,0)</f>
        <v>152.87999999999997</v>
      </c>
      <c r="CA102" s="13">
        <f t="shared" si="93"/>
        <v>39.232349774697852</v>
      </c>
      <c r="CB102" s="20">
        <f t="shared" si="64"/>
        <v>334.59567585759868</v>
      </c>
      <c r="CC102" s="59">
        <f t="shared" si="65"/>
        <v>611.71851521200881</v>
      </c>
      <c r="CD102" s="59">
        <f ca="1">AVERAGE(OFFSET($CC$3,0,0,'Données projet'!$E$12+1,1))-AVERAGE(OFFSET($H$3,0,0,'Données projet'!$E$12+1,1))</f>
        <v>250.01410333089137</v>
      </c>
      <c r="CE102" s="59">
        <f t="shared" si="94"/>
        <v>169.55868564318885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24.652559465190581</v>
      </c>
      <c r="CL102" s="21">
        <f>EXP(-LN(2)/25)*CL101+(1-EXP(-LN(2)/25))/(LN(2)/25)*Calculateur!CG102*Calculateur!CI102*VLOOKUP('Données projet'!$B$12,Paramètres!$A$1:$I$89,3,0)*0.475*44/12</f>
        <v>8.8624284170550673</v>
      </c>
      <c r="CM102" s="21">
        <f>EXP(-LN(2)/2)*CM101+(1-EXP(-LN(2)/2))/(LN(2)/2)*CG102*CJ102*VLOOKUP('Données projet'!$B$12,Paramètres!$A$1:$I$89,3,0)*0.475*44/12</f>
        <v>0.79187642252379387</v>
      </c>
      <c r="CN102" s="22">
        <f t="shared" si="66"/>
        <v>34.306864304769441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223.99999999999991</v>
      </c>
      <c r="O103" s="13">
        <f>N103*VLOOKUP('Données projet'!$B$9,Paramètres!$A$1:$I$89,3,0)*VLOOKUP('Données projet'!$B$9,Paramètres!$A$1:$I$89,5,0)</f>
        <v>202.6751999999999</v>
      </c>
      <c r="P103" s="13">
        <f t="shared" si="87"/>
        <v>50.33164028531364</v>
      </c>
      <c r="Q103" s="20">
        <f t="shared" si="107"/>
        <v>440.65358016358778</v>
      </c>
      <c r="R103" s="59">
        <f t="shared" si="55"/>
        <v>718.05763534729704</v>
      </c>
      <c r="S103" s="59">
        <f ca="1">AVERAGE(OFFSET($R$3,0,0,'Données projet'!$E$9+1,1))-AVERAGE(OFFSET($H$3,0,0,'Données projet'!$E$9+1,1))</f>
        <v>469.5773392354356</v>
      </c>
      <c r="T103" s="59">
        <f t="shared" si="88"/>
        <v>187.25344022835239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24.051070095556856</v>
      </c>
      <c r="AA103" s="21">
        <f>EXP(-LN(2)/25)*AA102+(1-EXP(-LN(2)/25))/(LN(2)/25)*Calculateur!V103*Calculateur!X103*VLOOKUP('Données projet'!$B$9,Paramètres!$A$1:$I$89,3,0)*0.475*44/12</f>
        <v>9.4226840894810877</v>
      </c>
      <c r="AB103" s="21">
        <f>EXP(-LN(2)/2)*AB102+(1-EXP(-LN(2)/2))/(LN(2)/2)*V103*Y103*VLOOKUP('Données projet'!$B$9,Paramètres!$A$1:$I$89,3,0)*0.475*44/12</f>
        <v>0.65048279794824471</v>
      </c>
      <c r="AC103" s="22">
        <f t="shared" si="57"/>
        <v>34.12423698298619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223.99999999999991</v>
      </c>
      <c r="AJ103" s="13">
        <f>AI103*VLOOKUP('Données projet'!$B$10,Paramètres!$A$1:$I$89,3,0)*VLOOKUP('Données projet'!$B$10,Paramètres!$A$1:$I$89,5,0)</f>
        <v>216.6527999999999</v>
      </c>
      <c r="AK103" s="13">
        <f t="shared" si="89"/>
        <v>53.38674047237982</v>
      </c>
      <c r="AL103" s="20">
        <f t="shared" si="58"/>
        <v>470.3188663227279</v>
      </c>
      <c r="AM103" s="59">
        <f t="shared" si="59"/>
        <v>747.72292150643716</v>
      </c>
      <c r="AN103" s="59">
        <f ca="1">AVERAGE(OFFSET($AM$3,0,0,'Données projet'!$E$10+1,1))-AVERAGE(OFFSET($H$3,0,0,'Données projet'!$E$10+1,1))</f>
        <v>370.91255999489181</v>
      </c>
      <c r="AO103" s="59">
        <f t="shared" si="90"/>
        <v>196.07869248605735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29.96973088521187</v>
      </c>
      <c r="AV103" s="21">
        <f>EXP(-LN(2)/25)*AV102+(1-EXP(-LN(2)/25))/(LN(2)/25)*Calculateur!AQ103*Calculateur!AS103*VLOOKUP('Données projet'!$B$10,Paramètres!$A$1:$I$89,3,0)*0.475*44/12</f>
        <v>10.688905208960438</v>
      </c>
      <c r="AW103" s="21">
        <f>EXP(-LN(2)/2)*AW102+(1-EXP(-LN(2)/2))/(LN(2)/2)*AQ103*AT103*VLOOKUP('Données projet'!$B$10,Paramètres!$A$1:$I$89,3,0)*0.475*44/12</f>
        <v>0.69432707340311473</v>
      </c>
      <c r="AX103" s="21">
        <f t="shared" si="60"/>
        <v>41.352963167575425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5.6</v>
      </c>
      <c r="BD103" s="12">
        <f>IF('Données projet'!$A$88&gt;35,BD102+BC103-BL102,IF(A103&lt;'Données projet'!$A$88,$BA$205^A103,IF(A103='Données projet'!$A$88,'Données projet'!$B$88,BD102+BC103-BL102)))</f>
        <v>223.99999999999991</v>
      </c>
      <c r="BE103" s="13">
        <f>BD103*VLOOKUP('Données projet'!$B$11,Paramètres!$A$1:$I$89,3,0)*VLOOKUP('Données projet'!$B$11,Paramètres!$A$1:$I$89,5,0)</f>
        <v>241.11359999999988</v>
      </c>
      <c r="BF103" s="13">
        <f t="shared" si="91"/>
        <v>58.6790623558988</v>
      </c>
      <c r="BG103" s="20">
        <f t="shared" si="61"/>
        <v>522.13888693652359</v>
      </c>
      <c r="BH103" s="59">
        <f t="shared" si="62"/>
        <v>799.54294212023274</v>
      </c>
      <c r="BI103" s="59">
        <f ca="1">AVERAGE(OFFSET($BH$3,0,0,'Données projet'!$E$11+1,1))-AVERAGE(OFFSET($H$3,0,0,'Données projet'!$E$11+1,1))</f>
        <v>404.24955007425774</v>
      </c>
      <c r="BJ103" s="59">
        <f t="shared" si="92"/>
        <v>211.49137630071019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33.35341017870352</v>
      </c>
      <c r="BQ103" s="21">
        <f>EXP(-LN(2)/25)*BQ102+(1-EXP(-LN(2)/25))/(LN(2)/25)*Calculateur!BL103*Calculateur!BN103*VLOOKUP('Données projet'!$B$11,Paramètres!$A$1:$I$89,3,0)*0.475*44/12</f>
        <v>11.895717087391459</v>
      </c>
      <c r="BR103" s="21">
        <f>EXP(-LN(2)/2)*BR102+(1-EXP(-LN(2)/2))/(LN(2)/2)*BL103*BO103*VLOOKUP('Données projet'!$B$11,Paramètres!$A$1:$I$89,3,0)*0.475*44/12</f>
        <v>0.77271883975507927</v>
      </c>
      <c r="BS103" s="22">
        <f t="shared" si="63"/>
        <v>46.021846105850059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195.99999999999994</v>
      </c>
      <c r="BZ103" s="13">
        <f>BY103*VLOOKUP('Données projet'!$B$12,Paramètres!$A$1:$I$89,3,0)*VLOOKUP('Données projet'!$B$12,Paramètres!$A$1:$I$89,5,0)</f>
        <v>152.87999999999997</v>
      </c>
      <c r="CA103" s="13">
        <f t="shared" si="93"/>
        <v>39.232349774697852</v>
      </c>
      <c r="CB103" s="20">
        <f t="shared" si="64"/>
        <v>334.59567585759868</v>
      </c>
      <c r="CC103" s="59">
        <f t="shared" si="65"/>
        <v>611.99973104130788</v>
      </c>
      <c r="CD103" s="59">
        <f ca="1">AVERAGE(OFFSET($CC$3,0,0,'Données projet'!$E$12+1,1))-AVERAGE(OFFSET($H$3,0,0,'Données projet'!$E$12+1,1))</f>
        <v>250.01410333089137</v>
      </c>
      <c r="CE103" s="59">
        <f t="shared" si="94"/>
        <v>169.55868564318885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24.169137810654728</v>
      </c>
      <c r="CL103" s="21">
        <f>EXP(-LN(2)/25)*CL102+(1-EXP(-LN(2)/25))/(LN(2)/25)*Calculateur!CG103*Calculateur!CI103*VLOOKUP('Données projet'!$B$12,Paramètres!$A$1:$I$89,3,0)*0.475*44/12</f>
        <v>8.6200848459358408</v>
      </c>
      <c r="CM103" s="21">
        <f>EXP(-LN(2)/2)*CM102+(1-EXP(-LN(2)/2))/(LN(2)/2)*CG103*CJ103*VLOOKUP('Données projet'!$B$12,Paramètres!$A$1:$I$89,3,0)*0.475*44/12</f>
        <v>0.5599411882283184</v>
      </c>
      <c r="CN103" s="22">
        <f t="shared" si="66"/>
        <v>33.349163844818882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5.6</v>
      </c>
      <c r="N104" s="13">
        <f>IF('Données projet'!$A$36&gt;35,N103+M104-V103,IF(A104&lt;'Données projet'!$A$36,$K$205^A104,IF(A104='Données projet'!$A$36,'Données projet'!$B$36,N103+M104-V103)))</f>
        <v>229.59999999999991</v>
      </c>
      <c r="O104" s="13">
        <f>N104*VLOOKUP('Données projet'!$B$9,Paramètres!$A$1:$I$89,3,0)*VLOOKUP('Données projet'!$B$9,Paramètres!$A$1:$I$89,5,0)</f>
        <v>207.74207999999993</v>
      </c>
      <c r="P104" s="13">
        <f t="shared" si="87"/>
        <v>51.441863366522369</v>
      </c>
      <c r="Q104" s="20">
        <f t="shared" si="107"/>
        <v>451.41203469669296</v>
      </c>
      <c r="R104" s="59">
        <f t="shared" si="55"/>
        <v>729.09242724376736</v>
      </c>
      <c r="S104" s="59">
        <f ca="1">AVERAGE(OFFSET($R$3,0,0,'Données projet'!$E$9+1,1))-AVERAGE(OFFSET($H$3,0,0,'Données projet'!$E$9+1,1))</f>
        <v>469.5773392354356</v>
      </c>
      <c r="T104" s="59">
        <f t="shared" si="88"/>
        <v>187.25344022835239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23.579443280687233</v>
      </c>
      <c r="AA104" s="21">
        <f>EXP(-LN(2)/25)*AA103+(1-EXP(-LN(2)/25))/(LN(2)/25)*Calculateur!V104*Calculateur!X104*VLOOKUP('Données projet'!$B$9,Paramètres!$A$1:$I$89,3,0)*0.475*44/12</f>
        <v>9.1650202975368078</v>
      </c>
      <c r="AB104" s="21">
        <f>EXP(-LN(2)/2)*AB103+(1-EXP(-LN(2)/2))/(LN(2)/2)*V104*Y104*VLOOKUP('Données projet'!$B$9,Paramètres!$A$1:$I$89,3,0)*0.475*44/12</f>
        <v>0.45996079747440272</v>
      </c>
      <c r="AC104" s="22">
        <f t="shared" si="57"/>
        <v>33.204424375698444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5.6</v>
      </c>
      <c r="AI104" s="13">
        <f>IF('Données projet'!$A$62&gt;35,AI103+AH104-AQ103,IF(A104&lt;'Données projet'!$A$62,$AF$205^A104,IF(A104='Données projet'!$A$62,'Données projet'!$B$62,AI103+AH104-AQ103)))</f>
        <v>229.59999999999991</v>
      </c>
      <c r="AJ104" s="13">
        <f>AI104*VLOOKUP('Données projet'!$B$10,Paramètres!$A$1:$I$89,3,0)*VLOOKUP('Données projet'!$B$10,Paramètres!$A$1:$I$89,5,0)</f>
        <v>222.06911999999991</v>
      </c>
      <c r="AK104" s="13">
        <f t="shared" si="89"/>
        <v>54.564353424529749</v>
      </c>
      <c r="AL104" s="20">
        <f t="shared" si="58"/>
        <v>481.80329954772242</v>
      </c>
      <c r="AM104" s="59">
        <f t="shared" si="59"/>
        <v>759.48369209479688</v>
      </c>
      <c r="AN104" s="59">
        <f ca="1">AVERAGE(OFFSET($AM$3,0,0,'Données projet'!$E$10+1,1))-AVERAGE(OFFSET($H$3,0,0,'Données projet'!$E$10+1,1))</f>
        <v>370.91255999489181</v>
      </c>
      <c r="AO104" s="59">
        <f t="shared" si="90"/>
        <v>196.07869248605735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29.382042742283733</v>
      </c>
      <c r="AV104" s="21">
        <f>EXP(-LN(2)/25)*AV103+(1-EXP(-LN(2)/25))/(LN(2)/25)*Calculateur!AQ104*Calculateur!AS104*VLOOKUP('Données projet'!$B$10,Paramètres!$A$1:$I$89,3,0)*0.475*44/12</f>
        <v>10.396616533916321</v>
      </c>
      <c r="AW104" s="21">
        <f>EXP(-LN(2)/2)*AW103+(1-EXP(-LN(2)/2))/(LN(2)/2)*AQ104*AT104*VLOOKUP('Données projet'!$B$10,Paramètres!$A$1:$I$89,3,0)*0.475*44/12</f>
        <v>0.4909633819647522</v>
      </c>
      <c r="AX104" s="21">
        <f t="shared" si="60"/>
        <v>40.269622658164806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5.6</v>
      </c>
      <c r="BD104" s="12">
        <f>IF('Données projet'!$A$88&gt;35,BD103+BC104-BL103,IF(A104&lt;'Données projet'!$A$88,$BA$205^A104,IF(A104='Données projet'!$A$88,'Données projet'!$B$88,BD103+BC104-BL103)))</f>
        <v>229.59999999999991</v>
      </c>
      <c r="BE104" s="13">
        <f>BD104*VLOOKUP('Données projet'!$B$11,Paramètres!$A$1:$I$89,3,0)*VLOOKUP('Données projet'!$B$11,Paramètres!$A$1:$I$89,5,0)</f>
        <v>247.14143999999987</v>
      </c>
      <c r="BF104" s="13">
        <f t="shared" si="91"/>
        <v>59.973414160090194</v>
      </c>
      <c r="BG104" s="20">
        <f t="shared" si="61"/>
        <v>534.89170432882349</v>
      </c>
      <c r="BH104" s="59">
        <f t="shared" si="62"/>
        <v>812.57209687589784</v>
      </c>
      <c r="BI104" s="59">
        <f ca="1">AVERAGE(OFFSET($BH$3,0,0,'Données projet'!$E$11+1,1))-AVERAGE(OFFSET($H$3,0,0,'Données projet'!$E$11+1,1))</f>
        <v>404.24955007425774</v>
      </c>
      <c r="BJ104" s="59">
        <f t="shared" si="92"/>
        <v>211.49137630071019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32.699370148670589</v>
      </c>
      <c r="BQ104" s="21">
        <f>EXP(-LN(2)/25)*BQ103+(1-EXP(-LN(2)/25))/(LN(2)/25)*Calculateur!BL104*Calculateur!BN104*VLOOKUP('Données projet'!$B$11,Paramètres!$A$1:$I$89,3,0)*0.475*44/12</f>
        <v>11.570428078068165</v>
      </c>
      <c r="BR104" s="21">
        <f>EXP(-LN(2)/2)*BR103+(1-EXP(-LN(2)/2))/(LN(2)/2)*BL104*BO104*VLOOKUP('Données projet'!$B$11,Paramètres!$A$1:$I$89,3,0)*0.475*44/12</f>
        <v>0.54639473154141771</v>
      </c>
      <c r="BS104" s="22">
        <f t="shared" si="63"/>
        <v>44.816192958280176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195.99999999999994</v>
      </c>
      <c r="BZ104" s="13">
        <f>BY104*VLOOKUP('Données projet'!$B$12,Paramètres!$A$1:$I$89,3,0)*VLOOKUP('Données projet'!$B$12,Paramètres!$A$1:$I$89,5,0)</f>
        <v>152.87999999999997</v>
      </c>
      <c r="CA104" s="13">
        <f t="shared" si="93"/>
        <v>39.232349774697852</v>
      </c>
      <c r="CB104" s="20">
        <f t="shared" si="64"/>
        <v>334.59567585759868</v>
      </c>
      <c r="CC104" s="59">
        <f t="shared" si="65"/>
        <v>612.27606840467308</v>
      </c>
      <c r="CD104" s="59">
        <f ca="1">AVERAGE(OFFSET($CC$3,0,0,'Données projet'!$E$12+1,1))-AVERAGE(OFFSET($H$3,0,0,'Données projet'!$E$12+1,1))</f>
        <v>250.01410333089137</v>
      </c>
      <c r="CE104" s="59">
        <f t="shared" si="94"/>
        <v>169.55868564318885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23.69519575990623</v>
      </c>
      <c r="CL104" s="21">
        <f>EXP(-LN(2)/25)*CL103+(1-EXP(-LN(2)/25))/(LN(2)/25)*Calculateur!CG104*Calculateur!CI104*VLOOKUP('Données projet'!$B$12,Paramètres!$A$1:$I$89,3,0)*0.475*44/12</f>
        <v>8.3843681725131649</v>
      </c>
      <c r="CM104" s="21">
        <f>EXP(-LN(2)/2)*CM103+(1-EXP(-LN(2)/2))/(LN(2)/2)*CG104*CJ104*VLOOKUP('Données projet'!$B$12,Paramètres!$A$1:$I$89,3,0)*0.475*44/12</f>
        <v>0.39593821126189699</v>
      </c>
      <c r="CN104" s="22">
        <f t="shared" si="66"/>
        <v>32.475502143681297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5.6</v>
      </c>
      <c r="N105" s="13">
        <f>IF('Données projet'!$A$36&gt;35,N104+M105-V104,IF(A105&lt;'Données projet'!$A$36,$K$205^A105,IF(A105='Données projet'!$A$36,'Données projet'!$B$36,N104+M105-V104)))</f>
        <v>235.1999999999999</v>
      </c>
      <c r="O105" s="13">
        <f>N105*VLOOKUP('Données projet'!$B$9,Paramètres!$A$1:$I$89,3,0)*VLOOKUP('Données projet'!$B$9,Paramètres!$A$1:$I$89,5,0)</f>
        <v>212.8089599999999</v>
      </c>
      <c r="P105" s="13">
        <f t="shared" si="87"/>
        <v>52.548938637485847</v>
      </c>
      <c r="Q105" s="20">
        <f t="shared" si="107"/>
        <v>462.16500679362093</v>
      </c>
      <c r="R105" s="59">
        <f t="shared" si="55"/>
        <v>740.11694286860393</v>
      </c>
      <c r="S105" s="59">
        <f ca="1">AVERAGE(OFFSET($R$3,0,0,'Données projet'!$E$9+1,1))-AVERAGE(OFFSET($H$3,0,0,'Données projet'!$E$9+1,1))</f>
        <v>469.5773392354356</v>
      </c>
      <c r="T105" s="59">
        <f t="shared" si="88"/>
        <v>187.25344022835239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23.11706477999325</v>
      </c>
      <c r="AA105" s="21">
        <f>EXP(-LN(2)/25)*AA104+(1-EXP(-LN(2)/25))/(LN(2)/25)*Calculateur!V105*Calculateur!X105*VLOOKUP('Données projet'!$B$9,Paramètres!$A$1:$I$89,3,0)*0.475*44/12</f>
        <v>8.9144023355331932</v>
      </c>
      <c r="AB105" s="21">
        <f>EXP(-LN(2)/2)*AB104+(1-EXP(-LN(2)/2))/(LN(2)/2)*V105*Y105*VLOOKUP('Données projet'!$B$9,Paramètres!$A$1:$I$89,3,0)*0.475*44/12</f>
        <v>0.32524139897412241</v>
      </c>
      <c r="AC105" s="22">
        <f t="shared" si="57"/>
        <v>32.356708514500561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5.6</v>
      </c>
      <c r="AI105" s="13">
        <f>IF('Données projet'!$A$62&gt;35,AI104+AH105-AQ104,IF(A105&lt;'Données projet'!$A$62,$AF$205^A105,IF(A105='Données projet'!$A$62,'Données projet'!$B$62,AI104+AH105-AQ104)))</f>
        <v>235.1999999999999</v>
      </c>
      <c r="AJ105" s="13">
        <f>AI105*VLOOKUP('Données projet'!$B$10,Paramètres!$A$1:$I$89,3,0)*VLOOKUP('Données projet'!$B$10,Paramètres!$A$1:$I$89,5,0)</f>
        <v>227.4854399999999</v>
      </c>
      <c r="AK105" s="13">
        <f t="shared" si="89"/>
        <v>55.738627496252327</v>
      </c>
      <c r="AL105" s="20">
        <f t="shared" si="58"/>
        <v>493.28191755597271</v>
      </c>
      <c r="AM105" s="59">
        <f t="shared" si="59"/>
        <v>771.23385363095565</v>
      </c>
      <c r="AN105" s="59">
        <f ca="1">AVERAGE(OFFSET($AM$3,0,0,'Données projet'!$E$10+1,1))-AVERAGE(OFFSET($H$3,0,0,'Données projet'!$E$10+1,1))</f>
        <v>370.91255999489181</v>
      </c>
      <c r="AO105" s="59">
        <f t="shared" si="90"/>
        <v>196.07869248605735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28.805878805384044</v>
      </c>
      <c r="AV105" s="21">
        <f>EXP(-LN(2)/25)*AV104+(1-EXP(-LN(2)/25))/(LN(2)/25)*Calculateur!AQ105*Calculateur!AS105*VLOOKUP('Données projet'!$B$10,Paramètres!$A$1:$I$89,3,0)*0.475*44/12</f>
        <v>10.112320508062076</v>
      </c>
      <c r="AW105" s="21">
        <f>EXP(-LN(2)/2)*AW104+(1-EXP(-LN(2)/2))/(LN(2)/2)*AQ105*AT105*VLOOKUP('Données projet'!$B$10,Paramètres!$A$1:$I$89,3,0)*0.475*44/12</f>
        <v>0.34716353670155742</v>
      </c>
      <c r="AX105" s="21">
        <f t="shared" si="60"/>
        <v>39.265362850147682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5.6</v>
      </c>
      <c r="BD105" s="12">
        <f>IF('Données projet'!$A$88&gt;35,BD104+BC105-BL104,IF(A105&lt;'Données projet'!$A$88,$BA$205^A105,IF(A105='Données projet'!$A$88,'Données projet'!$B$88,BD104+BC105-BL104)))</f>
        <v>235.1999999999999</v>
      </c>
      <c r="BE105" s="13">
        <f>BD105*VLOOKUP('Données projet'!$B$11,Paramètres!$A$1:$I$89,3,0)*VLOOKUP('Données projet'!$B$11,Paramètres!$A$1:$I$89,5,0)</f>
        <v>253.1692799999999</v>
      </c>
      <c r="BF105" s="13">
        <f t="shared" si="91"/>
        <v>61.264096094739799</v>
      </c>
      <c r="BG105" s="20">
        <f t="shared" si="61"/>
        <v>547.63813003167149</v>
      </c>
      <c r="BH105" s="59">
        <f t="shared" si="62"/>
        <v>825.59006610665438</v>
      </c>
      <c r="BI105" s="59">
        <f ca="1">AVERAGE(OFFSET($BH$3,0,0,'Données projet'!$E$11+1,1))-AVERAGE(OFFSET($H$3,0,0,'Données projet'!$E$11+1,1))</f>
        <v>404.24955007425774</v>
      </c>
      <c r="BJ105" s="59">
        <f t="shared" si="92"/>
        <v>211.49137630071019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32.058155444701576</v>
      </c>
      <c r="BQ105" s="21">
        <f>EXP(-LN(2)/25)*BQ104+(1-EXP(-LN(2)/25))/(LN(2)/25)*Calculateur!BL105*Calculateur!BN105*VLOOKUP('Données projet'!$B$11,Paramètres!$A$1:$I$89,3,0)*0.475*44/12</f>
        <v>11.254034113811024</v>
      </c>
      <c r="BR105" s="21">
        <f>EXP(-LN(2)/2)*BR104+(1-EXP(-LN(2)/2))/(LN(2)/2)*BL105*BO105*VLOOKUP('Données projet'!$B$11,Paramètres!$A$1:$I$89,3,0)*0.475*44/12</f>
        <v>0.38635941987753963</v>
      </c>
      <c r="BS105" s="22">
        <f t="shared" si="63"/>
        <v>43.698548978390143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195.99999999999994</v>
      </c>
      <c r="BZ105" s="13">
        <f>BY105*VLOOKUP('Données projet'!$B$12,Paramètres!$A$1:$I$89,3,0)*VLOOKUP('Données projet'!$B$12,Paramètres!$A$1:$I$89,5,0)</f>
        <v>152.87999999999997</v>
      </c>
      <c r="CA105" s="13">
        <f t="shared" si="93"/>
        <v>39.232349774697852</v>
      </c>
      <c r="CB105" s="20">
        <f t="shared" si="64"/>
        <v>334.59567585759868</v>
      </c>
      <c r="CC105" s="59">
        <f t="shared" si="65"/>
        <v>612.54761193258162</v>
      </c>
      <c r="CD105" s="59">
        <f ca="1">AVERAGE(OFFSET($CC$3,0,0,'Données projet'!$E$12+1,1))-AVERAGE(OFFSET($H$3,0,0,'Données projet'!$E$12+1,1))</f>
        <v>250.01410333089137</v>
      </c>
      <c r="CE105" s="59">
        <f t="shared" si="94"/>
        <v>169.55868564318885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23.230547423696802</v>
      </c>
      <c r="CL105" s="21">
        <f>EXP(-LN(2)/25)*CL104+(1-EXP(-LN(2)/25))/(LN(2)/25)*Calculateur!CG105*Calculateur!CI105*VLOOKUP('Données projet'!$B$12,Paramètres!$A$1:$I$89,3,0)*0.475*44/12</f>
        <v>8.1550971839210327</v>
      </c>
      <c r="CM105" s="21">
        <f>EXP(-LN(2)/2)*CM104+(1-EXP(-LN(2)/2))/(LN(2)/2)*CG105*CJ105*VLOOKUP('Données projet'!$B$12,Paramètres!$A$1:$I$89,3,0)*0.475*44/12</f>
        <v>0.27997059411415925</v>
      </c>
      <c r="CN105" s="22">
        <f t="shared" si="66"/>
        <v>31.665615201731995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5.6</v>
      </c>
      <c r="N106" s="13">
        <f>IF('Données projet'!$A$36&gt;35,N105+M106-V105,IF(A106&lt;'Données projet'!$A$36,$K$205^A106,IF(A106='Données projet'!$A$36,'Données projet'!$B$36,N105+M106-V105)))</f>
        <v>240.7999999999999</v>
      </c>
      <c r="O106" s="13">
        <f>N106*VLOOKUP('Données projet'!$B$9,Paramètres!$A$1:$I$89,3,0)*VLOOKUP('Données projet'!$B$9,Paramètres!$A$1:$I$89,5,0)</f>
        <v>217.8758399999999</v>
      </c>
      <c r="P106" s="13">
        <f t="shared" si="87"/>
        <v>53.652949670124926</v>
      </c>
      <c r="Q106" s="20">
        <f t="shared" si="107"/>
        <v>472.91264200880067</v>
      </c>
      <c r="R106" s="59">
        <f t="shared" si="55"/>
        <v>751.13141093856336</v>
      </c>
      <c r="S106" s="59">
        <f ca="1">AVERAGE(OFFSET($R$3,0,0,'Données projet'!$E$9+1,1))-AVERAGE(OFFSET($H$3,0,0,'Données projet'!$E$9+1,1))</f>
        <v>469.5773392354356</v>
      </c>
      <c r="T106" s="59">
        <f t="shared" si="88"/>
        <v>187.25344022835239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22.663753239674836</v>
      </c>
      <c r="AA106" s="21">
        <f>EXP(-LN(2)/25)*AA105+(1-EXP(-LN(2)/25))/(LN(2)/25)*Calculateur!V106*Calculateur!X106*VLOOKUP('Données projet'!$B$9,Paramètres!$A$1:$I$89,3,0)*0.475*44/12</f>
        <v>8.6706375348799938</v>
      </c>
      <c r="AB106" s="21">
        <f>EXP(-LN(2)/2)*AB105+(1-EXP(-LN(2)/2))/(LN(2)/2)*V106*Y106*VLOOKUP('Données projet'!$B$9,Paramètres!$A$1:$I$89,3,0)*0.475*44/12</f>
        <v>0.22998039873720139</v>
      </c>
      <c r="AC106" s="22">
        <f t="shared" si="57"/>
        <v>31.564371173292031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5.6</v>
      </c>
      <c r="AI106" s="13">
        <f>IF('Données projet'!$A$62&gt;35,AI105+AH106-AQ105,IF(A106&lt;'Données projet'!$A$62,$AF$205^A106,IF(A106='Données projet'!$A$62,'Données projet'!$B$62,AI105+AH106-AQ105)))</f>
        <v>240.7999999999999</v>
      </c>
      <c r="AJ106" s="13">
        <f>AI106*VLOOKUP('Données projet'!$B$10,Paramètres!$A$1:$I$89,3,0)*VLOOKUP('Données projet'!$B$10,Paramètres!$A$1:$I$89,5,0)</f>
        <v>232.90175999999991</v>
      </c>
      <c r="AK106" s="13">
        <f t="shared" si="89"/>
        <v>56.909651332233828</v>
      </c>
      <c r="AL106" s="20">
        <f t="shared" si="58"/>
        <v>504.7548747369737</v>
      </c>
      <c r="AM106" s="59">
        <f t="shared" si="59"/>
        <v>782.97364366673639</v>
      </c>
      <c r="AN106" s="59">
        <f ca="1">AVERAGE(OFFSET($AM$3,0,0,'Données projet'!$E$10+1,1))-AVERAGE(OFFSET($H$3,0,0,'Données projet'!$E$10+1,1))</f>
        <v>370.91255999489181</v>
      </c>
      <c r="AO106" s="59">
        <f t="shared" si="90"/>
        <v>196.07869248605735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28.241013091861657</v>
      </c>
      <c r="AV106" s="21">
        <f>EXP(-LN(2)/25)*AV105+(1-EXP(-LN(2)/25))/(LN(2)/25)*Calculateur!AQ106*Calculateur!AS106*VLOOKUP('Données projet'!$B$10,Paramètres!$A$1:$I$89,3,0)*0.475*44/12</f>
        <v>9.8357985719852952</v>
      </c>
      <c r="AW106" s="21">
        <f>EXP(-LN(2)/2)*AW105+(1-EXP(-LN(2)/2))/(LN(2)/2)*AQ106*AT106*VLOOKUP('Données projet'!$B$10,Paramètres!$A$1:$I$89,3,0)*0.475*44/12</f>
        <v>0.24548169098237613</v>
      </c>
      <c r="AX106" s="21">
        <f t="shared" si="60"/>
        <v>38.322293354829327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5.6</v>
      </c>
      <c r="BD106" s="12">
        <f>IF('Données projet'!$A$88&gt;35,BD105+BC106-BL105,IF(A106&lt;'Données projet'!$A$88,$BA$205^A106,IF(A106='Données projet'!$A$88,'Données projet'!$B$88,BD105+BC106-BL105)))</f>
        <v>240.7999999999999</v>
      </c>
      <c r="BE106" s="13">
        <f>BD106*VLOOKUP('Données projet'!$B$11,Paramètres!$A$1:$I$89,3,0)*VLOOKUP('Données projet'!$B$11,Paramètres!$A$1:$I$89,5,0)</f>
        <v>259.19711999999993</v>
      </c>
      <c r="BF106" s="13">
        <f t="shared" si="91"/>
        <v>62.551205592038151</v>
      </c>
      <c r="BG106" s="20">
        <f t="shared" si="61"/>
        <v>560.37833373946626</v>
      </c>
      <c r="BH106" s="59">
        <f t="shared" si="62"/>
        <v>838.59710266922889</v>
      </c>
      <c r="BI106" s="59">
        <f ca="1">AVERAGE(OFFSET($BH$3,0,0,'Données projet'!$E$11+1,1))-AVERAGE(OFFSET($H$3,0,0,'Données projet'!$E$11+1,1))</f>
        <v>404.24955007425774</v>
      </c>
      <c r="BJ106" s="59">
        <f t="shared" si="92"/>
        <v>211.49137630071019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31.429514569975048</v>
      </c>
      <c r="BQ106" s="21">
        <f>EXP(-LN(2)/25)*BQ105+(1-EXP(-LN(2)/25))/(LN(2)/25)*Calculateur!BL106*Calculateur!BN106*VLOOKUP('Données projet'!$B$11,Paramètres!$A$1:$I$89,3,0)*0.475*44/12</f>
        <v>10.946291959144929</v>
      </c>
      <c r="BR106" s="21">
        <f>EXP(-LN(2)/2)*BR105+(1-EXP(-LN(2)/2))/(LN(2)/2)*BL106*BO106*VLOOKUP('Données projet'!$B$11,Paramètres!$A$1:$I$89,3,0)*0.475*44/12</f>
        <v>0.27319736577070886</v>
      </c>
      <c r="BS106" s="22">
        <f t="shared" si="63"/>
        <v>42.649003894890683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195.99999999999994</v>
      </c>
      <c r="BZ106" s="13">
        <f>BY106*VLOOKUP('Données projet'!$B$12,Paramètres!$A$1:$I$89,3,0)*VLOOKUP('Données projet'!$B$12,Paramètres!$A$1:$I$89,5,0)</f>
        <v>152.87999999999997</v>
      </c>
      <c r="CA106" s="13">
        <f t="shared" si="93"/>
        <v>39.232349774697852</v>
      </c>
      <c r="CB106" s="20">
        <f t="shared" si="64"/>
        <v>334.59567585759868</v>
      </c>
      <c r="CC106" s="59">
        <f t="shared" si="65"/>
        <v>612.81444478736137</v>
      </c>
      <c r="CD106" s="59">
        <f ca="1">AVERAGE(OFFSET($CC$3,0,0,'Données projet'!$E$12+1,1))-AVERAGE(OFFSET($H$3,0,0,'Données projet'!$E$12+1,1))</f>
        <v>250.01410333089137</v>
      </c>
      <c r="CE106" s="59">
        <f t="shared" si="94"/>
        <v>169.55868564318885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22.775010557952939</v>
      </c>
      <c r="CL106" s="21">
        <f>EXP(-LN(2)/25)*CL105+(1-EXP(-LN(2)/25))/(LN(2)/25)*Calculateur!CG106*Calculateur!CI106*VLOOKUP('Données projet'!$B$12,Paramètres!$A$1:$I$89,3,0)*0.475*44/12</f>
        <v>7.9320956225687898</v>
      </c>
      <c r="CM106" s="21">
        <f>EXP(-LN(2)/2)*CM105+(1-EXP(-LN(2)/2))/(LN(2)/2)*CG106*CJ106*VLOOKUP('Données projet'!$B$12,Paramètres!$A$1:$I$89,3,0)*0.475*44/12</f>
        <v>0.19796910563094852</v>
      </c>
      <c r="CN106" s="22">
        <f t="shared" si="66"/>
        <v>30.905075286152677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5.6</v>
      </c>
      <c r="N107" s="13">
        <f>IF('Données projet'!$A$36&gt;35,N106+M107-V106,IF(A107&lt;'Données projet'!$A$36,$K$205^A107,IF(A107='Données projet'!$A$36,'Données projet'!$B$36,N106+M107-V106)))</f>
        <v>246.39999999999989</v>
      </c>
      <c r="O107" s="13">
        <f>N107*VLOOKUP('Données projet'!$B$9,Paramètres!$A$1:$I$89,3,0)*VLOOKUP('Données projet'!$B$9,Paramètres!$A$1:$I$89,5,0)</f>
        <v>222.94271999999989</v>
      </c>
      <c r="P107" s="13">
        <f t="shared" si="87"/>
        <v>54.75397592751488</v>
      </c>
      <c r="Q107" s="20">
        <f t="shared" si="107"/>
        <v>483.65507874042152</v>
      </c>
      <c r="R107" s="59">
        <f t="shared" si="55"/>
        <v>762.13605157148243</v>
      </c>
      <c r="S107" s="59">
        <f ca="1">AVERAGE(OFFSET($R$3,0,0,'Données projet'!$E$9+1,1))-AVERAGE(OFFSET($H$3,0,0,'Données projet'!$E$9+1,1))</f>
        <v>469.5773392354356</v>
      </c>
      <c r="T107" s="59">
        <f t="shared" si="88"/>
        <v>187.25344022835239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22.219330862169329</v>
      </c>
      <c r="AA107" s="21">
        <f>EXP(-LN(2)/25)*AA106+(1-EXP(-LN(2)/25))/(LN(2)/25)*Calculateur!V107*Calculateur!X107*VLOOKUP('Données projet'!$B$9,Paramètres!$A$1:$I$89,3,0)*0.475*44/12</f>
        <v>8.4335384955196897</v>
      </c>
      <c r="AB107" s="21">
        <f>EXP(-LN(2)/2)*AB106+(1-EXP(-LN(2)/2))/(LN(2)/2)*V107*Y107*VLOOKUP('Données projet'!$B$9,Paramètres!$A$1:$I$89,3,0)*0.475*44/12</f>
        <v>0.16262069948706123</v>
      </c>
      <c r="AC107" s="22">
        <f t="shared" si="57"/>
        <v>30.815490057176081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5.6</v>
      </c>
      <c r="AI107" s="13">
        <f>IF('Données projet'!$A$62&gt;35,AI106+AH107-AQ106,IF(A107&lt;'Données projet'!$A$62,$AF$205^A107,IF(A107='Données projet'!$A$62,'Données projet'!$B$62,AI106+AH107-AQ106)))</f>
        <v>246.39999999999989</v>
      </c>
      <c r="AJ107" s="13">
        <f>AI107*VLOOKUP('Données projet'!$B$10,Paramètres!$A$1:$I$89,3,0)*VLOOKUP('Données projet'!$B$10,Paramètres!$A$1:$I$89,5,0)</f>
        <v>238.31807999999992</v>
      </c>
      <c r="AK107" s="13">
        <f t="shared" si="89"/>
        <v>58.07750921891008</v>
      </c>
      <c r="AL107" s="20">
        <f t="shared" si="58"/>
        <v>516.22231788960153</v>
      </c>
      <c r="AM107" s="59">
        <f t="shared" si="59"/>
        <v>794.70329072066238</v>
      </c>
      <c r="AN107" s="59">
        <f ca="1">AVERAGE(OFFSET($AM$3,0,0,'Données projet'!$E$10+1,1))-AVERAGE(OFFSET($H$3,0,0,'Données projet'!$E$10+1,1))</f>
        <v>370.91255999489181</v>
      </c>
      <c r="AO107" s="59">
        <f t="shared" si="90"/>
        <v>196.07869248605735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27.687224050447377</v>
      </c>
      <c r="AV107" s="21">
        <f>EXP(-LN(2)/25)*AV106+(1-EXP(-LN(2)/25))/(LN(2)/25)*Calculateur!AQ107*Calculateur!AS107*VLOOKUP('Données projet'!$B$10,Paramètres!$A$1:$I$89,3,0)*0.475*44/12</f>
        <v>9.5668381427921911</v>
      </c>
      <c r="AW107" s="21">
        <f>EXP(-LN(2)/2)*AW106+(1-EXP(-LN(2)/2))/(LN(2)/2)*AQ107*AT107*VLOOKUP('Données projet'!$B$10,Paramètres!$A$1:$I$89,3,0)*0.475*44/12</f>
        <v>0.17358176835077874</v>
      </c>
      <c r="AX107" s="21">
        <f t="shared" si="60"/>
        <v>37.427643961590348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5.6</v>
      </c>
      <c r="BD107" s="12">
        <f>IF('Données projet'!$A$88&gt;35,BD106+BC107-BL106,IF(A107&lt;'Données projet'!$A$88,$BA$205^A107,IF(A107='Données projet'!$A$88,'Données projet'!$B$88,BD106+BC107-BL106)))</f>
        <v>246.39999999999989</v>
      </c>
      <c r="BE107" s="13">
        <f>BD107*VLOOKUP('Données projet'!$B$11,Paramètres!$A$1:$I$89,3,0)*VLOOKUP('Données projet'!$B$11,Paramètres!$A$1:$I$89,5,0)</f>
        <v>265.22495999999984</v>
      </c>
      <c r="BF107" s="13">
        <f t="shared" si="91"/>
        <v>63.834835293884289</v>
      </c>
      <c r="BG107" s="20">
        <f t="shared" si="61"/>
        <v>573.11247680351482</v>
      </c>
      <c r="BH107" s="59">
        <f t="shared" si="62"/>
        <v>851.59344963457579</v>
      </c>
      <c r="BI107" s="59">
        <f ca="1">AVERAGE(OFFSET($BH$3,0,0,'Données projet'!$E$11+1,1))-AVERAGE(OFFSET($H$3,0,0,'Données projet'!$E$11+1,1))</f>
        <v>404.24955007425774</v>
      </c>
      <c r="BJ107" s="59">
        <f t="shared" si="92"/>
        <v>211.49137630071019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30.813200959368835</v>
      </c>
      <c r="BQ107" s="21">
        <f>EXP(-LN(2)/25)*BQ106+(1-EXP(-LN(2)/25))/(LN(2)/25)*Calculateur!BL107*Calculateur!BN107*VLOOKUP('Données projet'!$B$11,Paramètres!$A$1:$I$89,3,0)*0.475*44/12</f>
        <v>10.646965029881635</v>
      </c>
      <c r="BR107" s="21">
        <f>EXP(-LN(2)/2)*BR106+(1-EXP(-LN(2)/2))/(LN(2)/2)*BL107*BO107*VLOOKUP('Données projet'!$B$11,Paramètres!$A$1:$I$89,3,0)*0.475*44/12</f>
        <v>0.19317970993876982</v>
      </c>
      <c r="BS107" s="22">
        <f t="shared" si="63"/>
        <v>41.653345699189238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195.99999999999994</v>
      </c>
      <c r="BZ107" s="13">
        <f>BY107*VLOOKUP('Données projet'!$B$12,Paramètres!$A$1:$I$89,3,0)*VLOOKUP('Données projet'!$B$12,Paramètres!$A$1:$I$89,5,0)</f>
        <v>152.87999999999997</v>
      </c>
      <c r="CA107" s="13">
        <f t="shared" si="93"/>
        <v>39.232349774697852</v>
      </c>
      <c r="CB107" s="20">
        <f t="shared" si="64"/>
        <v>334.59567585759868</v>
      </c>
      <c r="CC107" s="59">
        <f t="shared" si="65"/>
        <v>613.07664868865959</v>
      </c>
      <c r="CD107" s="59">
        <f ca="1">AVERAGE(OFFSET($CC$3,0,0,'Données projet'!$E$12+1,1))-AVERAGE(OFFSET($H$3,0,0,'Données projet'!$E$12+1,1))</f>
        <v>250.01410333089137</v>
      </c>
      <c r="CE107" s="59">
        <f t="shared" si="94"/>
        <v>169.55868564318885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22.328406492296264</v>
      </c>
      <c r="CL107" s="21">
        <f>EXP(-LN(2)/25)*CL106+(1-EXP(-LN(2)/25))/(LN(2)/25)*Calculateur!CG107*Calculateur!CI107*VLOOKUP('Données projet'!$B$12,Paramètres!$A$1:$I$89,3,0)*0.475*44/12</f>
        <v>7.7151920506388665</v>
      </c>
      <c r="CM107" s="21">
        <f>EXP(-LN(2)/2)*CM106+(1-EXP(-LN(2)/2))/(LN(2)/2)*CG107*CJ107*VLOOKUP('Données projet'!$B$12,Paramètres!$A$1:$I$89,3,0)*0.475*44/12</f>
        <v>0.13998529705707963</v>
      </c>
      <c r="CN107" s="22">
        <f t="shared" si="66"/>
        <v>30.18358383999221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252</v>
      </c>
      <c r="L108" s="12">
        <f>VLOOKUP(A108,'Données projet'!$A$35:$I$55,9,0)</f>
        <v>5.6</v>
      </c>
      <c r="M108" s="12">
        <f t="array" ref="M108">INDEX(L:L,MIN(IF(ISNUMBER(L108:L304),ROW(L108:L304),"")))</f>
        <v>5.6</v>
      </c>
      <c r="N108" s="13">
        <f>IF('Données projet'!$A$36&gt;35,N107+M108-V107,IF(A108&lt;'Données projet'!$A$36,$K$205^A108,IF(A108='Données projet'!$A$36,'Données projet'!$B$36,N107+M108-V107)))</f>
        <v>251.99999999999989</v>
      </c>
      <c r="O108" s="13">
        <f>N108*VLOOKUP('Données projet'!$B$9,Paramètres!$A$1:$I$89,3,0)*VLOOKUP('Données projet'!$B$9,Paramètres!$A$1:$I$89,5,0)</f>
        <v>228.00959999999986</v>
      </c>
      <c r="P108" s="13">
        <f t="shared" si="87"/>
        <v>55.852093054619779</v>
      </c>
      <c r="Q108" s="20">
        <f t="shared" si="107"/>
        <v>494.39244873679587</v>
      </c>
      <c r="R108" s="59">
        <f t="shared" si="55"/>
        <v>773.13107681766769</v>
      </c>
      <c r="S108" s="59">
        <f ca="1">AVERAGE(OFFSET($R$3,0,0,'Données projet'!$E$9+1,1))-AVERAGE(OFFSET($H$3,0,0,'Données projet'!$E$9+1,1))</f>
        <v>469.5773392354356</v>
      </c>
      <c r="T108" s="59">
        <f t="shared" si="88"/>
        <v>187.25344022835239</v>
      </c>
      <c r="U108" s="15">
        <f>IF(ISNA(VLOOKUP(A108,'Données projet'!$A$35:$I$55,3,0)),0,VLOOKUP(A108,'Données projet'!$A$35:$I$55,3,0))</f>
        <v>11</v>
      </c>
      <c r="V108" s="15">
        <f>IF(ISNA(VLOOKUP(A108,'Données projet'!$A$35:$I$55,4,0)),0,VLOOKUP(A108,'Données projet'!$A$35:$I$55,4,0))</f>
        <v>34</v>
      </c>
      <c r="W108" s="16">
        <f>IF(ISNA(VLOOKUP(A108,'Données projet'!$A$35:$I$55,5,0)),0%,VLOOKUP(A108,'Données projet'!$A$35:$I$55,5,0)*VLOOKUP('Données projet'!$B$9,Paramètres!$A$1:$I$89,7,0))</f>
        <v>0.25800000000000001</v>
      </c>
      <c r="X108" s="16">
        <f>IF(ISNA(VLOOKUP(A108,'Données projet'!$A$35:$I$55,6,0)),0%,VLOOKUP(A108,'Données projet'!$A$35:$I$55,6,0)*VLOOKUP('Données projet'!$B$9,Paramètres!$A$1:$I$89,7,0))</f>
        <v>8.6000000000000007E-2</v>
      </c>
      <c r="Y108" s="16">
        <f>IF(ISNA(VLOOKUP(A108,'Données projet'!$A$35:$I$55,7,0)),0%,VLOOKUP(A108,'Données projet'!$A$35:$I$55,7,0))</f>
        <v>0.1</v>
      </c>
      <c r="Z108" s="21">
        <f>EXP(-LN(2)/35)*Z107+(1-EXP(-LN(2)/35))/(LN(2)/35)*V108*W108*VLOOKUP('Données projet'!$B$9,Paramètres!$A$1:$I$89,3,0)*0.475*44/12</f>
        <v>30.557637382365016</v>
      </c>
      <c r="AA108" s="21">
        <f>EXP(-LN(2)/25)*AA107+(1-EXP(-LN(2)/25))/(LN(2)/25)*Calculateur!V108*Calculateur!X108*VLOOKUP('Données projet'!$B$9,Paramètres!$A$1:$I$89,3,0)*0.475*44/12</f>
        <v>11.116078745022138</v>
      </c>
      <c r="AB108" s="21">
        <f>EXP(-LN(2)/2)*AB107+(1-EXP(-LN(2)/2))/(LN(2)/2)*V108*Y108*VLOOKUP('Données projet'!$B$9,Paramètres!$A$1:$I$89,3,0)*0.475*44/12</f>
        <v>3.0175809173074488</v>
      </c>
      <c r="AC108" s="22">
        <f t="shared" si="57"/>
        <v>44.691297044694601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252</v>
      </c>
      <c r="AG108" s="12">
        <f>VLOOKUP(A108,'Données projet'!$A$61:$I$81,9,0)</f>
        <v>5.6</v>
      </c>
      <c r="AH108" s="12">
        <f t="array" ref="AH108">INDEX(AG:AG,MIN(IF(ISNUMBER(AG108:AG304),ROW(AG108:AG304),"")))</f>
        <v>5.6</v>
      </c>
      <c r="AI108" s="13">
        <f>IF('Données projet'!$A$62&gt;35,AI107+AH108-AQ107,IF(A108&lt;'Données projet'!$A$62,$AF$205^A108,IF(A108='Données projet'!$A$62,'Données projet'!$B$62,AI107+AH108-AQ107)))</f>
        <v>251.99999999999989</v>
      </c>
      <c r="AJ108" s="13">
        <f>AI108*VLOOKUP('Données projet'!$B$10,Paramètres!$A$1:$I$89,3,0)*VLOOKUP('Données projet'!$B$10,Paramètres!$A$1:$I$89,5,0)</f>
        <v>243.73439999999988</v>
      </c>
      <c r="AK108" s="13">
        <f t="shared" si="89"/>
        <v>59.242281392848767</v>
      </c>
      <c r="AL108" s="20">
        <f t="shared" si="58"/>
        <v>527.68438675921141</v>
      </c>
      <c r="AM108" s="59">
        <f t="shared" si="59"/>
        <v>806.42301484008317</v>
      </c>
      <c r="AN108" s="59">
        <f ca="1">AVERAGE(OFFSET($AM$3,0,0,'Données projet'!$E$10+1,1))-AVERAGE(OFFSET($H$3,0,0,'Données projet'!$E$10+1,1))</f>
        <v>370.91255999489181</v>
      </c>
      <c r="AO108" s="59">
        <f t="shared" si="90"/>
        <v>196.07869248605735</v>
      </c>
      <c r="AP108" s="15">
        <f>IF(ISNA(VLOOKUP(A108,'Données projet'!$A$61:$I$81,3,0)),0,VLOOKUP(A108,'Données projet'!$A$61:$I$81,3,0))</f>
        <v>11</v>
      </c>
      <c r="AQ108" s="15">
        <f>IF(ISNA(VLOOKUP(A108,'Données projet'!$A$61:$I$81,4,0)),0,VLOOKUP(A108,'Données projet'!$A$61:$I$81,4,0))</f>
        <v>34</v>
      </c>
      <c r="AR108" s="16">
        <f>IF(ISNA(VLOOKUP(A108,'Données projet'!$A$61:$I$81,5,0)),0%,VLOOKUP(A108,'Données projet'!$A$61:$I$81,5,0)*VLOOKUP('Données projet'!$B$10,Paramètres!$A$1:$I$89,7,0))</f>
        <v>0.34400000000000003</v>
      </c>
      <c r="AS108" s="16">
        <f>IF(ISNA(VLOOKUP(A108,'Données projet'!$A$61:$I$81,6,0)),0%,VLOOKUP(A108,'Données projet'!$A$61:$I$81,6,0)*VLOOKUP('Données projet'!$B$10,Paramètres!$A$1:$I$89,7,0))</f>
        <v>4.3000000000000003E-2</v>
      </c>
      <c r="AT108" s="16">
        <f>IF(ISNA(VLOOKUP(A108,'Données projet'!$A$61:$I$81,7,0)),0%,VLOOKUP(A108,'Données projet'!$A$61:$I$81,7,0))</f>
        <v>0.1</v>
      </c>
      <c r="AU108" s="21">
        <f>EXP(-LN(2)/35)*AU107+(1-EXP(-LN(2)/35))/(LN(2)/35)*AQ108*AR108*VLOOKUP('Données projet'!$B$10,Paramètres!$A$1:$I$89,3,0)*0.475*44/12</f>
        <v>39.649785758238885</v>
      </c>
      <c r="AV108" s="21">
        <f>EXP(-LN(2)/25)*AV107+(1-EXP(-LN(2)/25))/(LN(2)/25)*Calculateur!AQ108*Calculateur!AS108*VLOOKUP('Données projet'!$B$10,Paramètres!$A$1:$I$89,3,0)*0.475*44/12</f>
        <v>10.862264000645789</v>
      </c>
      <c r="AW108" s="21">
        <f>EXP(-LN(2)/2)*AW107+(1-EXP(-LN(2)/2))/(LN(2)/2)*AQ108*AT108*VLOOKUP('Données projet'!$B$10,Paramètres!$A$1:$I$89,3,0)*0.475*44/12</f>
        <v>3.2255102336327148</v>
      </c>
      <c r="AX108" s="21">
        <f t="shared" si="60"/>
        <v>53.73755999251739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252</v>
      </c>
      <c r="BB108" s="12">
        <f>VLOOKUP(A108,'Données projet'!$A$87:$I$107,9,0)</f>
        <v>5.6</v>
      </c>
      <c r="BC108" s="12">
        <f t="array" ref="BC108">INDEX(BB:BB,MIN(IF(ISNUMBER(BB108:BB304),ROW(BB108:BB304),"")))</f>
        <v>5.6</v>
      </c>
      <c r="BD108" s="12">
        <f>IF('Données projet'!$A$88&gt;35,BD107+BC108-BL107,IF(A108&lt;'Données projet'!$A$88,$BA$205^A108,IF(A108='Données projet'!$A$88,'Données projet'!$B$88,BD107+BC108-BL107)))</f>
        <v>251.99999999999989</v>
      </c>
      <c r="BE108" s="13">
        <f>BD108*VLOOKUP('Données projet'!$B$11,Paramètres!$A$1:$I$89,3,0)*VLOOKUP('Données projet'!$B$11,Paramètres!$A$1:$I$89,5,0)</f>
        <v>271.25279999999987</v>
      </c>
      <c r="BF108" s="13">
        <f t="shared" si="91"/>
        <v>65.115073390838859</v>
      </c>
      <c r="BG108" s="20">
        <f t="shared" si="61"/>
        <v>585.84071282237744</v>
      </c>
      <c r="BH108" s="59">
        <f t="shared" si="62"/>
        <v>864.5793409032492</v>
      </c>
      <c r="BI108" s="59">
        <f ca="1">AVERAGE(OFFSET($BH$3,0,0,'Données projet'!$E$11+1,1))-AVERAGE(OFFSET($H$3,0,0,'Données projet'!$E$11+1,1))</f>
        <v>404.24955007425774</v>
      </c>
      <c r="BJ108" s="59">
        <f t="shared" si="92"/>
        <v>211.49137630071019</v>
      </c>
      <c r="BK108" s="15">
        <f>IF(ISNA(VLOOKUP(A108,'Données projet'!$A$87:$I$107,3,0)),0,VLOOKUP(A108,'Données projet'!$A$87:$I$107,3,0))</f>
        <v>11</v>
      </c>
      <c r="BL108" s="15">
        <f>IF(ISNA(VLOOKUP(A108,'Données projet'!$A$87:$I$107,4,0)),0,VLOOKUP(A108,'Données projet'!$A$87:$I$107,4,0))</f>
        <v>34</v>
      </c>
      <c r="BM108" s="16">
        <f>IF(ISNA(VLOOKUP(A108,'Données projet'!$A$87:$I$107,5,0)),0%,VLOOKUP(A108,'Données projet'!$A$87:$I$107,5,0)*VLOOKUP('Données projet'!$B$11,Paramètres!$A$1:$I$89,7,0))</f>
        <v>0.34400000000000003</v>
      </c>
      <c r="BN108" s="16">
        <f>IF(ISNA(VLOOKUP(A108,'Données projet'!$A$87:$I$107,6,0)),0%,VLOOKUP(A108,'Données projet'!$A$87:$I$107,6,0)*VLOOKUP('Données projet'!$B$11,Paramètres!$A$1:$I$89,7,0))</f>
        <v>4.3000000000000003E-2</v>
      </c>
      <c r="BO108" s="16">
        <f>IF(ISNA(VLOOKUP(A108,'Données projet'!$A$87:$I$107,7,0)),0%,VLOOKUP(A108,'Données projet'!$A$87:$I$107,7,0))</f>
        <v>0.1</v>
      </c>
      <c r="BP108" s="21">
        <f>EXP(-LN(2)/35)*BP107+(1-EXP(-LN(2)/35))/(LN(2)/35)*BL108*BM108*VLOOKUP('Données projet'!$B$11,Paramètres!$A$1:$I$89,3,0)*0.475*44/12</f>
        <v>44.126374472878737</v>
      </c>
      <c r="BQ108" s="21">
        <f>EXP(-LN(2)/25)*BQ107+(1-EXP(-LN(2)/25))/(LN(2)/25)*Calculateur!BL108*Calculateur!BN108*VLOOKUP('Données projet'!$B$11,Paramètres!$A$1:$I$89,3,0)*0.475*44/12</f>
        <v>12.088648645879996</v>
      </c>
      <c r="BR108" s="21">
        <f>EXP(-LN(2)/2)*BR107+(1-EXP(-LN(2)/2))/(LN(2)/2)*BL108*BO108*VLOOKUP('Données projet'!$B$11,Paramètres!$A$1:$I$89,3,0)*0.475*44/12</f>
        <v>3.5896807438815701</v>
      </c>
      <c r="BS108" s="22">
        <f t="shared" si="63"/>
        <v>59.804703862640309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195.99999999999994</v>
      </c>
      <c r="BZ108" s="13">
        <f>BY108*VLOOKUP('Données projet'!$B$12,Paramètres!$A$1:$I$89,3,0)*VLOOKUP('Données projet'!$B$12,Paramètres!$A$1:$I$89,5,0)</f>
        <v>152.87999999999997</v>
      </c>
      <c r="CA108" s="13">
        <f t="shared" si="93"/>
        <v>39.232349774697852</v>
      </c>
      <c r="CB108" s="20">
        <f t="shared" si="64"/>
        <v>334.59567585759868</v>
      </c>
      <c r="CC108" s="59">
        <f t="shared" si="65"/>
        <v>613.33430393847038</v>
      </c>
      <c r="CD108" s="59">
        <f ca="1">AVERAGE(OFFSET($CC$3,0,0,'Données projet'!$E$12+1,1))-AVERAGE(OFFSET($H$3,0,0,'Données projet'!$E$12+1,1))</f>
        <v>250.01410333089137</v>
      </c>
      <c r="CE108" s="59">
        <f t="shared" si="94"/>
        <v>169.55868564318885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21.89056005996553</v>
      </c>
      <c r="CL108" s="21">
        <f>EXP(-LN(2)/25)*CL107+(1-EXP(-LN(2)/25))/(LN(2)/25)*Calculateur!CG108*Calculateur!CI108*VLOOKUP('Données projet'!$B$12,Paramètres!$A$1:$I$89,3,0)*0.475*44/12</f>
        <v>7.5042197182898303</v>
      </c>
      <c r="CM108" s="21">
        <f>EXP(-LN(2)/2)*CM107+(1-EXP(-LN(2)/2))/(LN(2)/2)*CG108*CJ108*VLOOKUP('Données projet'!$B$12,Paramètres!$A$1:$I$89,3,0)*0.475*44/12</f>
        <v>9.8984552815474261E-2</v>
      </c>
      <c r="CN108" s="22">
        <f t="shared" si="66"/>
        <v>29.493764331070835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5.6</v>
      </c>
      <c r="N109" s="13">
        <f>IF('Données projet'!$A$36&gt;35,N108+M109-V108,IF(A109&lt;'Données projet'!$A$36,$K$205^A109,IF(A109='Données projet'!$A$36,'Données projet'!$B$36,N108+M109-V108)))</f>
        <v>223.59999999999991</v>
      </c>
      <c r="O109" s="13">
        <f>N109*VLOOKUP('Données projet'!$B$9,Paramètres!$A$1:$I$89,3,0)*VLOOKUP('Données projet'!$B$9,Paramètres!$A$1:$I$89,5,0)</f>
        <v>202.31327999999991</v>
      </c>
      <c r="P109" s="13">
        <f t="shared" si="87"/>
        <v>50.25221588808207</v>
      </c>
      <c r="Q109" s="20">
        <f t="shared" si="107"/>
        <v>439.8849053384094</v>
      </c>
      <c r="R109" s="59">
        <f t="shared" si="55"/>
        <v>718.8767189265385</v>
      </c>
      <c r="S109" s="59">
        <f ca="1">AVERAGE(OFFSET($R$3,0,0,'Données projet'!$E$9+1,1))-AVERAGE(OFFSET($H$3,0,0,'Données projet'!$E$9+1,1))</f>
        <v>469.5773392354356</v>
      </c>
      <c r="T109" s="59">
        <f t="shared" si="88"/>
        <v>187.25344022835239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29.958420751615261</v>
      </c>
      <c r="AA109" s="21">
        <f>EXP(-LN(2)/25)*AA108+(1-EXP(-LN(2)/25))/(LN(2)/25)*Calculateur!V109*Calculateur!X109*VLOOKUP('Données projet'!$B$9,Paramètres!$A$1:$I$89,3,0)*0.475*44/12</f>
        <v>10.812108987170333</v>
      </c>
      <c r="AB109" s="21">
        <f>EXP(-LN(2)/2)*AB108+(1-EXP(-LN(2)/2))/(LN(2)/2)*V109*Y109*VLOOKUP('Données projet'!$B$9,Paramètres!$A$1:$I$89,3,0)*0.475*44/12</f>
        <v>2.1337519294072198</v>
      </c>
      <c r="AC109" s="22">
        <f t="shared" si="57"/>
        <v>42.904281668192816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5.6</v>
      </c>
      <c r="AI109" s="13">
        <f>IF('Données projet'!$A$62&gt;35,AI108+AH109-AQ108,IF(A109&lt;'Données projet'!$A$62,$AF$205^A109,IF(A109='Données projet'!$A$62,'Données projet'!$B$62,AI108+AH109-AQ108)))</f>
        <v>223.59999999999991</v>
      </c>
      <c r="AJ109" s="13">
        <f>AI109*VLOOKUP('Données projet'!$B$10,Paramètres!$A$1:$I$89,3,0)*VLOOKUP('Données projet'!$B$10,Paramètres!$A$1:$I$89,5,0)</f>
        <v>216.26591999999994</v>
      </c>
      <c r="AK109" s="13">
        <f t="shared" si="89"/>
        <v>53.302495062173826</v>
      </c>
      <c r="AL109" s="20">
        <f t="shared" si="58"/>
        <v>469.4983228999526</v>
      </c>
      <c r="AM109" s="59">
        <f t="shared" si="59"/>
        <v>748.4901364880817</v>
      </c>
      <c r="AN109" s="59">
        <f ca="1">AVERAGE(OFFSET($AM$3,0,0,'Données projet'!$E$10+1,1))-AVERAGE(OFFSET($H$3,0,0,'Données projet'!$E$10+1,1))</f>
        <v>370.91255999489181</v>
      </c>
      <c r="AO109" s="59">
        <f t="shared" si="90"/>
        <v>196.07869248605735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38.872277643501164</v>
      </c>
      <c r="AV109" s="21">
        <f>EXP(-LN(2)/25)*AV108+(1-EXP(-LN(2)/25))/(LN(2)/25)*Calculateur!AQ109*Calculateur!AS109*VLOOKUP('Données projet'!$B$10,Paramètres!$A$1:$I$89,3,0)*0.475*44/12</f>
        <v>10.565234820326491</v>
      </c>
      <c r="AW109" s="21">
        <f>EXP(-LN(2)/2)*AW108+(1-EXP(-LN(2)/2))/(LN(2)/2)*AQ109*AT109*VLOOKUP('Données projet'!$B$10,Paramètres!$A$1:$I$89,3,0)*0.475*44/12</f>
        <v>2.2807801589882981</v>
      </c>
      <c r="AX109" s="21">
        <f t="shared" si="60"/>
        <v>51.718292622815959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5.6</v>
      </c>
      <c r="BD109" s="12">
        <f>IF('Données projet'!$A$88&gt;35,BD108+BC109-BL108,IF(A109&lt;'Données projet'!$A$88,$BA$205^A109,IF(A109='Données projet'!$A$88,'Données projet'!$B$88,BD108+BC109-BL108)))</f>
        <v>223.59999999999991</v>
      </c>
      <c r="BE109" s="13">
        <f>BD109*VLOOKUP('Données projet'!$B$11,Paramètres!$A$1:$I$89,3,0)*VLOOKUP('Données projet'!$B$11,Paramètres!$A$1:$I$89,5,0)</f>
        <v>240.68303999999992</v>
      </c>
      <c r="BF109" s="13">
        <f t="shared" si="91"/>
        <v>58.586465549370907</v>
      </c>
      <c r="BG109" s="20">
        <f t="shared" si="61"/>
        <v>521.2277221651542</v>
      </c>
      <c r="BH109" s="59">
        <f t="shared" si="62"/>
        <v>800.21953575328325</v>
      </c>
      <c r="BI109" s="59">
        <f ca="1">AVERAGE(OFFSET($BH$3,0,0,'Données projet'!$E$11+1,1))-AVERAGE(OFFSET($H$3,0,0,'Données projet'!$E$11+1,1))</f>
        <v>404.24955007425774</v>
      </c>
      <c r="BJ109" s="59">
        <f t="shared" si="92"/>
        <v>211.49137630071019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43.261083183896432</v>
      </c>
      <c r="BQ109" s="21">
        <f>EXP(-LN(2)/25)*BQ108+(1-EXP(-LN(2)/25))/(LN(2)/25)*Calculateur!BL109*Calculateur!BN109*VLOOKUP('Données projet'!$B$11,Paramètres!$A$1:$I$89,3,0)*0.475*44/12</f>
        <v>11.758083912944004</v>
      </c>
      <c r="BR109" s="21">
        <f>EXP(-LN(2)/2)*BR108+(1-EXP(-LN(2)/2))/(LN(2)/2)*BL109*BO109*VLOOKUP('Données projet'!$B$11,Paramètres!$A$1:$I$89,3,0)*0.475*44/12</f>
        <v>2.5382875962934288</v>
      </c>
      <c r="BS109" s="22">
        <f t="shared" si="63"/>
        <v>57.557454693133863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195.99999999999994</v>
      </c>
      <c r="BZ109" s="13">
        <f>BY109*VLOOKUP('Données projet'!$B$12,Paramètres!$A$1:$I$89,3,0)*VLOOKUP('Données projet'!$B$12,Paramètres!$A$1:$I$89,5,0)</f>
        <v>152.87999999999997</v>
      </c>
      <c r="CA109" s="13">
        <f t="shared" si="93"/>
        <v>39.232349774697852</v>
      </c>
      <c r="CB109" s="20">
        <f t="shared" si="64"/>
        <v>334.59567585759868</v>
      </c>
      <c r="CC109" s="59">
        <f t="shared" si="65"/>
        <v>613.58748944572778</v>
      </c>
      <c r="CD109" s="59">
        <f ca="1">AVERAGE(OFFSET($CC$3,0,0,'Données projet'!$E$12+1,1))-AVERAGE(OFFSET($H$3,0,0,'Données projet'!$E$12+1,1))</f>
        <v>250.01410333089137</v>
      </c>
      <c r="CE109" s="59">
        <f t="shared" si="94"/>
        <v>169.55868564318885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21.46129952911285</v>
      </c>
      <c r="CL109" s="21">
        <f>EXP(-LN(2)/25)*CL108+(1-EXP(-LN(2)/25))/(LN(2)/25)*Calculateur!CG109*Calculateur!CI109*VLOOKUP('Données projet'!$B$12,Paramètres!$A$1:$I$89,3,0)*0.475*44/12</f>
        <v>7.2990164354634306</v>
      </c>
      <c r="CM109" s="21">
        <f>EXP(-LN(2)/2)*CM108+(1-EXP(-LN(2)/2))/(LN(2)/2)*CG109*CJ109*VLOOKUP('Données projet'!$B$12,Paramètres!$A$1:$I$89,3,0)*0.475*44/12</f>
        <v>6.9992648528539814E-2</v>
      </c>
      <c r="CN109" s="22">
        <f t="shared" si="66"/>
        <v>28.830308613104819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5.6</v>
      </c>
      <c r="N110" s="13">
        <f>IF('Données projet'!$A$36&gt;35,N109+M110-V109,IF(A110&lt;'Données projet'!$A$36,$K$205^A110,IF(A110='Données projet'!$A$36,'Données projet'!$B$36,N109+M110-V109)))</f>
        <v>229.1999999999999</v>
      </c>
      <c r="O110" s="13">
        <f>N110*VLOOKUP('Données projet'!$B$9,Paramètres!$A$1:$I$89,3,0)*VLOOKUP('Données projet'!$B$9,Paramètres!$A$1:$I$89,5,0)</f>
        <v>207.38015999999988</v>
      </c>
      <c r="P110" s="13">
        <f t="shared" si="87"/>
        <v>51.362667125729772</v>
      </c>
      <c r="Q110" s="20">
        <f t="shared" si="107"/>
        <v>450.64375724397911</v>
      </c>
      <c r="R110" s="59">
        <f t="shared" si="55"/>
        <v>729.88436413685281</v>
      </c>
      <c r="S110" s="59">
        <f ca="1">AVERAGE(OFFSET($R$3,0,0,'Données projet'!$E$9+1,1))-AVERAGE(OFFSET($H$3,0,0,'Données projet'!$E$9+1,1))</f>
        <v>469.5773392354356</v>
      </c>
      <c r="T110" s="59">
        <f t="shared" si="88"/>
        <v>187.25344022835239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29.370954393508452</v>
      </c>
      <c r="AA110" s="21">
        <f>EXP(-LN(2)/25)*AA109+(1-EXP(-LN(2)/25))/(LN(2)/25)*Calculateur!V110*Calculateur!X110*VLOOKUP('Données projet'!$B$9,Paramètres!$A$1:$I$89,3,0)*0.475*44/12</f>
        <v>10.516451298332059</v>
      </c>
      <c r="AB110" s="21">
        <f>EXP(-LN(2)/2)*AB109+(1-EXP(-LN(2)/2))/(LN(2)/2)*V110*Y110*VLOOKUP('Données projet'!$B$9,Paramètres!$A$1:$I$89,3,0)*0.475*44/12</f>
        <v>1.5087904586537246</v>
      </c>
      <c r="AC110" s="22">
        <f t="shared" si="57"/>
        <v>41.396196150494241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5.6</v>
      </c>
      <c r="AI110" s="13">
        <f>IF('Données projet'!$A$62&gt;35,AI109+AH110-AQ109,IF(A110&lt;'Données projet'!$A$62,$AF$205^A110,IF(A110='Données projet'!$A$62,'Données projet'!$B$62,AI109+AH110-AQ109)))</f>
        <v>229.1999999999999</v>
      </c>
      <c r="AJ110" s="13">
        <f>AI110*VLOOKUP('Données projet'!$B$10,Paramètres!$A$1:$I$89,3,0)*VLOOKUP('Données projet'!$B$10,Paramètres!$A$1:$I$89,5,0)</f>
        <v>221.68223999999989</v>
      </c>
      <c r="AK110" s="13">
        <f t="shared" si="89"/>
        <v>54.480350019720802</v>
      </c>
      <c r="AL110" s="20">
        <f t="shared" si="58"/>
        <v>480.98317761768021</v>
      </c>
      <c r="AM110" s="59">
        <f t="shared" si="59"/>
        <v>760.22378451055386</v>
      </c>
      <c r="AN110" s="59">
        <f ca="1">AVERAGE(OFFSET($AM$3,0,0,'Données projet'!$E$10+1,1))-AVERAGE(OFFSET($H$3,0,0,'Données projet'!$E$10+1,1))</f>
        <v>370.91255999489181</v>
      </c>
      <c r="AO110" s="59">
        <f t="shared" si="90"/>
        <v>196.07869248605735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38.110015988660322</v>
      </c>
      <c r="AV110" s="21">
        <f>EXP(-LN(2)/25)*AV109+(1-EXP(-LN(2)/25))/(LN(2)/25)*Calculateur!AQ110*Calculateur!AS110*VLOOKUP('Données projet'!$B$10,Paramètres!$A$1:$I$89,3,0)*0.475*44/12</f>
        <v>10.276327918563112</v>
      </c>
      <c r="AW110" s="21">
        <f>EXP(-LN(2)/2)*AW109+(1-EXP(-LN(2)/2))/(LN(2)/2)*AQ110*AT110*VLOOKUP('Données projet'!$B$10,Paramètres!$A$1:$I$89,3,0)*0.475*44/12</f>
        <v>1.6127551168163576</v>
      </c>
      <c r="AX110" s="21">
        <f t="shared" si="60"/>
        <v>49.999099024039793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5.6</v>
      </c>
      <c r="BD110" s="12">
        <f>IF('Données projet'!$A$88&gt;35,BD109+BC110-BL109,IF(A110&lt;'Données projet'!$A$88,$BA$205^A110,IF(A110='Données projet'!$A$88,'Données projet'!$B$88,BD109+BC110-BL109)))</f>
        <v>229.1999999999999</v>
      </c>
      <c r="BE110" s="13">
        <f>BD110*VLOOKUP('Données projet'!$B$11,Paramètres!$A$1:$I$89,3,0)*VLOOKUP('Données projet'!$B$11,Paramètres!$A$1:$I$89,5,0)</f>
        <v>246.71087999999986</v>
      </c>
      <c r="BF110" s="13">
        <f t="shared" si="91"/>
        <v>59.881083349381889</v>
      </c>
      <c r="BG110" s="20">
        <f t="shared" si="61"/>
        <v>533.98100283350652</v>
      </c>
      <c r="BH110" s="59">
        <f t="shared" si="62"/>
        <v>813.22160972638017</v>
      </c>
      <c r="BI110" s="59">
        <f ca="1">AVERAGE(OFFSET($BH$3,0,0,'Données projet'!$E$11+1,1))-AVERAGE(OFFSET($H$3,0,0,'Données projet'!$E$11+1,1))</f>
        <v>404.24955007425774</v>
      </c>
      <c r="BJ110" s="59">
        <f t="shared" si="92"/>
        <v>211.49137630071019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42.412759729315496</v>
      </c>
      <c r="BQ110" s="21">
        <f>EXP(-LN(2)/25)*BQ109+(1-EXP(-LN(2)/25))/(LN(2)/25)*Calculateur!BL110*Calculateur!BN110*VLOOKUP('Données projet'!$B$11,Paramètres!$A$1:$I$89,3,0)*0.475*44/12</f>
        <v>11.436558490013791</v>
      </c>
      <c r="BR110" s="21">
        <f>EXP(-LN(2)/2)*BR109+(1-EXP(-LN(2)/2))/(LN(2)/2)*BL110*BO110*VLOOKUP('Données projet'!$B$11,Paramètres!$A$1:$I$89,3,0)*0.475*44/12</f>
        <v>1.7948403719407853</v>
      </c>
      <c r="BS110" s="22">
        <f t="shared" si="63"/>
        <v>55.644158591270077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195.99999999999994</v>
      </c>
      <c r="BZ110" s="13">
        <f>BY110*VLOOKUP('Données projet'!$B$12,Paramètres!$A$1:$I$89,3,0)*VLOOKUP('Données projet'!$B$12,Paramètres!$A$1:$I$89,5,0)</f>
        <v>152.87999999999997</v>
      </c>
      <c r="CA110" s="13">
        <f t="shared" si="93"/>
        <v>39.232349774697852</v>
      </c>
      <c r="CB110" s="20">
        <f t="shared" si="64"/>
        <v>334.59567585759868</v>
      </c>
      <c r="CC110" s="59">
        <f t="shared" si="65"/>
        <v>613.83628275047226</v>
      </c>
      <c r="CD110" s="59">
        <f ca="1">AVERAGE(OFFSET($CC$3,0,0,'Données projet'!$E$12+1,1))-AVERAGE(OFFSET($H$3,0,0,'Données projet'!$E$12+1,1))</f>
        <v>250.01410333089137</v>
      </c>
      <c r="CE110" s="59">
        <f t="shared" si="94"/>
        <v>169.55868564318885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21.04045653544712</v>
      </c>
      <c r="CL110" s="21">
        <f>EXP(-LN(2)/25)*CL109+(1-EXP(-LN(2)/25))/(LN(2)/25)*Calculateur!CG110*Calculateur!CI110*VLOOKUP('Données projet'!$B$12,Paramètres!$A$1:$I$89,3,0)*0.475*44/12</f>
        <v>7.0994244471970909</v>
      </c>
      <c r="CM110" s="21">
        <f>EXP(-LN(2)/2)*CM109+(1-EXP(-LN(2)/2))/(LN(2)/2)*CG110*CJ110*VLOOKUP('Données projet'!$B$12,Paramètres!$A$1:$I$89,3,0)*0.475*44/12</f>
        <v>4.949227640773713E-2</v>
      </c>
      <c r="CN110" s="22">
        <f t="shared" si="66"/>
        <v>28.189373259051948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5.6</v>
      </c>
      <c r="N111" s="13">
        <f>IF('Données projet'!$A$36&gt;35,N110+M111-V110,IF(A111&lt;'Données projet'!$A$36,$K$205^A111,IF(A111='Données projet'!$A$36,'Données projet'!$B$36,N110+M111-V110)))</f>
        <v>234.7999999999999</v>
      </c>
      <c r="O111" s="13">
        <f>N111*VLOOKUP('Données projet'!$B$9,Paramètres!$A$1:$I$89,3,0)*VLOOKUP('Données projet'!$B$9,Paramètres!$A$1:$I$89,5,0)</f>
        <v>212.4470399999999</v>
      </c>
      <c r="P111" s="13">
        <f t="shared" si="87"/>
        <v>52.469964418207397</v>
      </c>
      <c r="Q111" s="20">
        <f t="shared" si="107"/>
        <v>461.3971160283777</v>
      </c>
      <c r="R111" s="59">
        <f t="shared" si="55"/>
        <v>740.88220021837697</v>
      </c>
      <c r="S111" s="59">
        <f ca="1">AVERAGE(OFFSET($R$3,0,0,'Données projet'!$E$9+1,1))-AVERAGE(OFFSET($H$3,0,0,'Données projet'!$E$9+1,1))</f>
        <v>469.5773392354356</v>
      </c>
      <c r="T111" s="59">
        <f t="shared" si="88"/>
        <v>187.25344022835239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28.795007892365021</v>
      </c>
      <c r="AA111" s="21">
        <f>EXP(-LN(2)/25)*AA110+(1-EXP(-LN(2)/25))/(LN(2)/25)*Calculateur!V111*Calculateur!X111*VLOOKUP('Données projet'!$B$9,Paramètres!$A$1:$I$89,3,0)*0.475*44/12</f>
        <v>10.228878384543032</v>
      </c>
      <c r="AB111" s="21">
        <f>EXP(-LN(2)/2)*AB110+(1-EXP(-LN(2)/2))/(LN(2)/2)*V111*Y111*VLOOKUP('Données projet'!$B$9,Paramètres!$A$1:$I$89,3,0)*0.475*44/12</f>
        <v>1.0668759647036101</v>
      </c>
      <c r="AC111" s="22">
        <f t="shared" si="57"/>
        <v>40.090762241611664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5.6</v>
      </c>
      <c r="AI111" s="13">
        <f>IF('Données projet'!$A$62&gt;35,AI110+AH111-AQ110,IF(A111&lt;'Données projet'!$A$62,$AF$205^A111,IF(A111='Données projet'!$A$62,'Données projet'!$B$62,AI110+AH111-AQ110)))</f>
        <v>234.7999999999999</v>
      </c>
      <c r="AJ111" s="13">
        <f>AI111*VLOOKUP('Données projet'!$B$10,Paramètres!$A$1:$I$89,3,0)*VLOOKUP('Données projet'!$B$10,Paramètres!$A$1:$I$89,5,0)</f>
        <v>227.09855999999991</v>
      </c>
      <c r="AK111" s="13">
        <f t="shared" si="89"/>
        <v>55.654859589529593</v>
      </c>
      <c r="AL111" s="20">
        <f t="shared" si="58"/>
        <v>492.46220578509718</v>
      </c>
      <c r="AM111" s="59">
        <f t="shared" si="59"/>
        <v>771.94728997509651</v>
      </c>
      <c r="AN111" s="59">
        <f ca="1">AVERAGE(OFFSET($AM$3,0,0,'Données projet'!$E$10+1,1))-AVERAGE(OFFSET($H$3,0,0,'Données projet'!$E$10+1,1))</f>
        <v>370.91255999489181</v>
      </c>
      <c r="AO111" s="59">
        <f t="shared" si="90"/>
        <v>196.07869248605735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37.362701819937215</v>
      </c>
      <c r="AV111" s="21">
        <f>EXP(-LN(2)/25)*AV110+(1-EXP(-LN(2)/25))/(LN(2)/25)*Calculateur!AQ111*Calculateur!AS111*VLOOKUP('Données projet'!$B$10,Paramètres!$A$1:$I$89,3,0)*0.475*44/12</f>
        <v>9.9953211912214055</v>
      </c>
      <c r="AW111" s="21">
        <f>EXP(-LN(2)/2)*AW110+(1-EXP(-LN(2)/2))/(LN(2)/2)*AQ111*AT111*VLOOKUP('Données projet'!$B$10,Paramètres!$A$1:$I$89,3,0)*0.475*44/12</f>
        <v>1.1403900794941493</v>
      </c>
      <c r="AX111" s="21">
        <f t="shared" si="60"/>
        <v>48.498413090652768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5.6</v>
      </c>
      <c r="BD111" s="12">
        <f>IF('Données projet'!$A$88&gt;35,BD110+BC111-BL110,IF(A111&lt;'Données projet'!$A$88,$BA$205^A111,IF(A111='Données projet'!$A$88,'Données projet'!$B$88,BD110+BC111-BL110)))</f>
        <v>234.7999999999999</v>
      </c>
      <c r="BE111" s="13">
        <f>BD111*VLOOKUP('Données projet'!$B$11,Paramètres!$A$1:$I$89,3,0)*VLOOKUP('Données projet'!$B$11,Paramètres!$A$1:$I$89,5,0)</f>
        <v>252.73871999999989</v>
      </c>
      <c r="BF111" s="13">
        <f t="shared" si="91"/>
        <v>61.172024127458847</v>
      </c>
      <c r="BG111" s="20">
        <f t="shared" si="61"/>
        <v>546.72787935532392</v>
      </c>
      <c r="BH111" s="59">
        <f t="shared" si="62"/>
        <v>826.21296354532319</v>
      </c>
      <c r="BI111" s="59">
        <f ca="1">AVERAGE(OFFSET($BH$3,0,0,'Données projet'!$E$11+1,1))-AVERAGE(OFFSET($H$3,0,0,'Données projet'!$E$11+1,1))</f>
        <v>404.24955007425774</v>
      </c>
      <c r="BJ111" s="59">
        <f t="shared" si="92"/>
        <v>211.49137630071019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41.581071380252681</v>
      </c>
      <c r="BQ111" s="21">
        <f>EXP(-LN(2)/25)*BQ110+(1-EXP(-LN(2)/25))/(LN(2)/25)*Calculateur!BL111*Calculateur!BN111*VLOOKUP('Données projet'!$B$11,Paramètres!$A$1:$I$89,3,0)*0.475*44/12</f>
        <v>11.123825196681892</v>
      </c>
      <c r="BR111" s="21">
        <f>EXP(-LN(2)/2)*BR110+(1-EXP(-LN(2)/2))/(LN(2)/2)*BL111*BO111*VLOOKUP('Données projet'!$B$11,Paramètres!$A$1:$I$89,3,0)*0.475*44/12</f>
        <v>1.2691437981467144</v>
      </c>
      <c r="BS111" s="22">
        <f t="shared" si="63"/>
        <v>53.974040375081287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195.99999999999994</v>
      </c>
      <c r="BZ111" s="13">
        <f>BY111*VLOOKUP('Données projet'!$B$12,Paramètres!$A$1:$I$89,3,0)*VLOOKUP('Données projet'!$B$12,Paramètres!$A$1:$I$89,5,0)</f>
        <v>152.87999999999997</v>
      </c>
      <c r="CA111" s="13">
        <f t="shared" si="93"/>
        <v>39.232349774697852</v>
      </c>
      <c r="CB111" s="20">
        <f t="shared" si="64"/>
        <v>334.59567585759868</v>
      </c>
      <c r="CC111" s="59">
        <f t="shared" si="65"/>
        <v>614.08076004759801</v>
      </c>
      <c r="CD111" s="59">
        <f ca="1">AVERAGE(OFFSET($CC$3,0,0,'Données projet'!$E$12+1,1))-AVERAGE(OFFSET($H$3,0,0,'Données projet'!$E$12+1,1))</f>
        <v>250.01410333089137</v>
      </c>
      <c r="CE111" s="59">
        <f t="shared" si="94"/>
        <v>169.55868564318885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20.627866016198293</v>
      </c>
      <c r="CL111" s="21">
        <f>EXP(-LN(2)/25)*CL110+(1-EXP(-LN(2)/25))/(LN(2)/25)*Calculateur!CG111*Calculateur!CI111*VLOOKUP('Données projet'!$B$12,Paramètres!$A$1:$I$89,3,0)*0.475*44/12</f>
        <v>6.905290312345981</v>
      </c>
      <c r="CM111" s="21">
        <f>EXP(-LN(2)/2)*CM110+(1-EXP(-LN(2)/2))/(LN(2)/2)*CG111*CJ111*VLOOKUP('Données projet'!$B$12,Paramètres!$A$1:$I$89,3,0)*0.475*44/12</f>
        <v>3.4996324264269907E-2</v>
      </c>
      <c r="CN111" s="22">
        <f t="shared" si="66"/>
        <v>27.568152652808543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5.6</v>
      </c>
      <c r="N112" s="13">
        <f>IF('Données projet'!$A$36&gt;35,N111+M112-V111,IF(A112&lt;'Données projet'!$A$36,$K$205^A112,IF(A112='Données projet'!$A$36,'Données projet'!$B$36,N111+M112-V111)))</f>
        <v>240.39999999999989</v>
      </c>
      <c r="O112" s="13">
        <f>N112*VLOOKUP('Données projet'!$B$9,Paramètres!$A$1:$I$89,3,0)*VLOOKUP('Données projet'!$B$9,Paramètres!$A$1:$I$89,5,0)</f>
        <v>217.5139199999999</v>
      </c>
      <c r="P112" s="13">
        <f t="shared" si="87"/>
        <v>53.574191642819187</v>
      </c>
      <c r="Q112" s="20">
        <f t="shared" si="107"/>
        <v>472.14512777790975</v>
      </c>
      <c r="R112" s="59">
        <f t="shared" si="55"/>
        <v>751.87044813049897</v>
      </c>
      <c r="S112" s="59">
        <f ca="1">AVERAGE(OFFSET($R$3,0,0,'Données projet'!$E$9+1,1))-AVERAGE(OFFSET($H$3,0,0,'Données projet'!$E$9+1,1))</f>
        <v>469.5773392354356</v>
      </c>
      <c r="T112" s="59">
        <f t="shared" si="88"/>
        <v>187.25344022835239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28.230355350816332</v>
      </c>
      <c r="AA112" s="21">
        <f>EXP(-LN(2)/25)*AA111+(1-EXP(-LN(2)/25))/(LN(2)/25)*Calculateur!V112*Calculateur!X112*VLOOKUP('Données projet'!$B$9,Paramètres!$A$1:$I$89,3,0)*0.475*44/12</f>
        <v>9.9491691672043672</v>
      </c>
      <c r="AB112" s="21">
        <f>EXP(-LN(2)/2)*AB111+(1-EXP(-LN(2)/2))/(LN(2)/2)*V112*Y112*VLOOKUP('Données projet'!$B$9,Paramètres!$A$1:$I$89,3,0)*0.475*44/12</f>
        <v>0.75439522932686254</v>
      </c>
      <c r="AC112" s="22">
        <f t="shared" si="57"/>
        <v>38.933919747347559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5.6</v>
      </c>
      <c r="AI112" s="13">
        <f>IF('Données projet'!$A$62&gt;35,AI111+AH112-AQ111,IF(A112&lt;'Données projet'!$A$62,$AF$205^A112,IF(A112='Données projet'!$A$62,'Données projet'!$B$62,AI111+AH112-AQ111)))</f>
        <v>240.39999999999989</v>
      </c>
      <c r="AJ112" s="13">
        <f>AI112*VLOOKUP('Données projet'!$B$10,Paramètres!$A$1:$I$89,3,0)*VLOOKUP('Données projet'!$B$10,Paramètres!$A$1:$I$89,5,0)</f>
        <v>232.51487999999992</v>
      </c>
      <c r="AK112" s="13">
        <f t="shared" si="89"/>
        <v>56.826112740205971</v>
      </c>
      <c r="AL112" s="20">
        <f t="shared" si="58"/>
        <v>503.93556235585856</v>
      </c>
      <c r="AM112" s="59">
        <f t="shared" si="59"/>
        <v>783.66088270844784</v>
      </c>
      <c r="AN112" s="59">
        <f ca="1">AVERAGE(OFFSET($AM$3,0,0,'Données projet'!$E$10+1,1))-AVERAGE(OFFSET($H$3,0,0,'Données projet'!$E$10+1,1))</f>
        <v>370.91255999489181</v>
      </c>
      <c r="AO112" s="59">
        <f t="shared" si="90"/>
        <v>196.07869248605735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36.63004202624613</v>
      </c>
      <c r="AV112" s="21">
        <f>EXP(-LN(2)/25)*AV111+(1-EXP(-LN(2)/25))/(LN(2)/25)*Calculateur!AQ112*Calculateur!AS112*VLOOKUP('Données projet'!$B$10,Paramètres!$A$1:$I$89,3,0)*0.475*44/12</f>
        <v>9.72199860761636</v>
      </c>
      <c r="AW112" s="21">
        <f>EXP(-LN(2)/2)*AW111+(1-EXP(-LN(2)/2))/(LN(2)/2)*AQ112*AT112*VLOOKUP('Données projet'!$B$10,Paramètres!$A$1:$I$89,3,0)*0.475*44/12</f>
        <v>0.80637755840817904</v>
      </c>
      <c r="AX112" s="21">
        <f t="shared" si="60"/>
        <v>47.158418192270666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5.6</v>
      </c>
      <c r="BD112" s="12">
        <f>IF('Données projet'!$A$88&gt;35,BD111+BC112-BL111,IF(A112&lt;'Données projet'!$A$88,$BA$205^A112,IF(A112='Données projet'!$A$88,'Données projet'!$B$88,BD111+BC112-BL111)))</f>
        <v>240.39999999999989</v>
      </c>
      <c r="BE112" s="13">
        <f>BD112*VLOOKUP('Données projet'!$B$11,Paramètres!$A$1:$I$89,3,0)*VLOOKUP('Données projet'!$B$11,Paramètres!$A$1:$I$89,5,0)</f>
        <v>258.76655999999986</v>
      </c>
      <c r="BF112" s="13">
        <f t="shared" si="91"/>
        <v>62.459385671822886</v>
      </c>
      <c r="BG112" s="20">
        <f t="shared" si="61"/>
        <v>559.46852204509116</v>
      </c>
      <c r="BH112" s="59">
        <f t="shared" si="62"/>
        <v>839.19384239768044</v>
      </c>
      <c r="BI112" s="59">
        <f ca="1">AVERAGE(OFFSET($BH$3,0,0,'Données projet'!$E$11+1,1))-AVERAGE(OFFSET($H$3,0,0,'Données projet'!$E$11+1,1))</f>
        <v>404.24955007425774</v>
      </c>
      <c r="BJ112" s="59">
        <f t="shared" si="92"/>
        <v>211.49137630071019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40.765691932435182</v>
      </c>
      <c r="BQ112" s="21">
        <f>EXP(-LN(2)/25)*BQ111+(1-EXP(-LN(2)/25))/(LN(2)/25)*Calculateur!BL112*Calculateur!BN112*VLOOKUP('Données projet'!$B$11,Paramètres!$A$1:$I$89,3,0)*0.475*44/12</f>
        <v>10.819643611702082</v>
      </c>
      <c r="BR112" s="21">
        <f>EXP(-LN(2)/2)*BR111+(1-EXP(-LN(2)/2))/(LN(2)/2)*BL112*BO112*VLOOKUP('Données projet'!$B$11,Paramètres!$A$1:$I$89,3,0)*0.475*44/12</f>
        <v>0.89742018597039264</v>
      </c>
      <c r="BS112" s="22">
        <f t="shared" si="63"/>
        <v>52.482755730107655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195.99999999999994</v>
      </c>
      <c r="BZ112" s="13">
        <f>BY112*VLOOKUP('Données projet'!$B$12,Paramètres!$A$1:$I$89,3,0)*VLOOKUP('Données projet'!$B$12,Paramètres!$A$1:$I$89,5,0)</f>
        <v>152.87999999999997</v>
      </c>
      <c r="CA112" s="13">
        <f t="shared" si="93"/>
        <v>39.232349774697852</v>
      </c>
      <c r="CB112" s="20">
        <f t="shared" si="64"/>
        <v>334.59567585759868</v>
      </c>
      <c r="CC112" s="59">
        <f t="shared" si="65"/>
        <v>614.32099621018801</v>
      </c>
      <c r="CD112" s="59">
        <f ca="1">AVERAGE(OFFSET($CC$3,0,0,'Données projet'!$E$12+1,1))-AVERAGE(OFFSET($H$3,0,0,'Données projet'!$E$12+1,1))</f>
        <v>250.01410333089137</v>
      </c>
      <c r="CE112" s="59">
        <f t="shared" si="94"/>
        <v>169.55868564318885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20.22336614537657</v>
      </c>
      <c r="CL112" s="21">
        <f>EXP(-LN(2)/25)*CL111+(1-EXP(-LN(2)/25))/(LN(2)/25)*Calculateur!CG112*Calculateur!CI112*VLOOKUP('Données projet'!$B$12,Paramètres!$A$1:$I$89,3,0)*0.475*44/12</f>
        <v>6.7164647856214446</v>
      </c>
      <c r="CM112" s="21">
        <f>EXP(-LN(2)/2)*CM111+(1-EXP(-LN(2)/2))/(LN(2)/2)*CG112*CJ112*VLOOKUP('Données projet'!$B$12,Paramètres!$A$1:$I$89,3,0)*0.475*44/12</f>
        <v>2.4746138203868565E-2</v>
      </c>
      <c r="CN112" s="22">
        <f t="shared" si="66"/>
        <v>26.964577069201884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5.6</v>
      </c>
      <c r="N113" s="13">
        <f>IF('Données projet'!$A$36&gt;35,N112+M113-V112,IF(A113&lt;'Données projet'!$A$36,$K$205^A113,IF(A113='Données projet'!$A$36,'Données projet'!$B$36,N112+M113-V112)))</f>
        <v>245.99999999999989</v>
      </c>
      <c r="O113" s="13">
        <f>N113*VLOOKUP('Données projet'!$B$9,Paramètres!$A$1:$I$89,3,0)*VLOOKUP('Données projet'!$B$9,Paramètres!$A$1:$I$89,5,0)</f>
        <v>222.5807999999999</v>
      </c>
      <c r="P113" s="13">
        <f t="shared" si="87"/>
        <v>54.675428546153199</v>
      </c>
      <c r="Q113" s="20">
        <f t="shared" si="107"/>
        <v>482.88793138454997</v>
      </c>
      <c r="R113" s="59">
        <f t="shared" si="55"/>
        <v>762.84932033939583</v>
      </c>
      <c r="S113" s="59">
        <f ca="1">AVERAGE(OFFSET($R$3,0,0,'Données projet'!$E$9+1,1))-AVERAGE(OFFSET($H$3,0,0,'Données projet'!$E$9+1,1))</f>
        <v>469.5773392354356</v>
      </c>
      <c r="T113" s="59">
        <f t="shared" si="88"/>
        <v>187.25344022835239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27.676775301203371</v>
      </c>
      <c r="AA113" s="21">
        <f>EXP(-LN(2)/25)*AA112+(1-EXP(-LN(2)/25))/(LN(2)/25)*Calculateur!V113*Calculateur!X113*VLOOKUP('Données projet'!$B$9,Paramètres!$A$1:$I$89,3,0)*0.475*44/12</f>
        <v>9.6771086131230959</v>
      </c>
      <c r="AB113" s="21">
        <f>EXP(-LN(2)/2)*AB112+(1-EXP(-LN(2)/2))/(LN(2)/2)*V113*Y113*VLOOKUP('Données projet'!$B$9,Paramètres!$A$1:$I$89,3,0)*0.475*44/12</f>
        <v>0.53343798235180517</v>
      </c>
      <c r="AC113" s="22">
        <f t="shared" si="57"/>
        <v>37.887321896678273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5.6</v>
      </c>
      <c r="AI113" s="13">
        <f>IF('Données projet'!$A$62&gt;35,AI112+AH113-AQ112,IF(A113&lt;'Données projet'!$A$62,$AF$205^A113,IF(A113='Données projet'!$A$62,'Données projet'!$B$62,AI112+AH113-AQ112)))</f>
        <v>245.99999999999989</v>
      </c>
      <c r="AJ113" s="13">
        <f>AI113*VLOOKUP('Données projet'!$B$10,Paramètres!$A$1:$I$89,3,0)*VLOOKUP('Données projet'!$B$10,Paramètres!$A$1:$I$89,5,0)</f>
        <v>237.9311999999999</v>
      </c>
      <c r="AK113" s="13">
        <f t="shared" si="89"/>
        <v>57.994194058907944</v>
      </c>
      <c r="AL113" s="20">
        <f t="shared" si="58"/>
        <v>515.40339465259785</v>
      </c>
      <c r="AM113" s="59">
        <f t="shared" si="59"/>
        <v>795.36478360744377</v>
      </c>
      <c r="AN113" s="59">
        <f ca="1">AVERAGE(OFFSET($AM$3,0,0,'Données projet'!$E$10+1,1))-AVERAGE(OFFSET($H$3,0,0,'Données projet'!$E$10+1,1))</f>
        <v>370.91255999489181</v>
      </c>
      <c r="AO113" s="59">
        <f t="shared" si="90"/>
        <v>196.07869248605735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35.911749244230975</v>
      </c>
      <c r="AV113" s="21">
        <f>EXP(-LN(2)/25)*AV112+(1-EXP(-LN(2)/25))/(LN(2)/25)*Calculateur!AQ113*Calculateur!AS113*VLOOKUP('Données projet'!$B$10,Paramètres!$A$1:$I$89,3,0)*0.475*44/12</f>
        <v>9.4561500444334037</v>
      </c>
      <c r="AW113" s="21">
        <f>EXP(-LN(2)/2)*AW112+(1-EXP(-LN(2)/2))/(LN(2)/2)*AQ113*AT113*VLOOKUP('Données projet'!$B$10,Paramètres!$A$1:$I$89,3,0)*0.475*44/12</f>
        <v>0.57019503974707475</v>
      </c>
      <c r="AX113" s="21">
        <f t="shared" si="60"/>
        <v>45.938094328411452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5.6</v>
      </c>
      <c r="BD113" s="12">
        <f>IF('Données projet'!$A$88&gt;35,BD112+BC113-BL112,IF(A113&lt;'Données projet'!$A$88,$BA$205^A113,IF(A113='Données projet'!$A$88,'Données projet'!$B$88,BD112+BC113-BL112)))</f>
        <v>245.99999999999989</v>
      </c>
      <c r="BE113" s="13">
        <f>BD113*VLOOKUP('Données projet'!$B$11,Paramètres!$A$1:$I$89,3,0)*VLOOKUP('Données projet'!$B$11,Paramètres!$A$1:$I$89,5,0)</f>
        <v>264.79439999999983</v>
      </c>
      <c r="BF113" s="13">
        <f t="shared" si="91"/>
        <v>63.74326095490612</v>
      </c>
      <c r="BG113" s="20">
        <f t="shared" si="61"/>
        <v>572.20309282979451</v>
      </c>
      <c r="BH113" s="59">
        <f t="shared" si="62"/>
        <v>852.16448178464043</v>
      </c>
      <c r="BI113" s="59">
        <f ca="1">AVERAGE(OFFSET($BH$3,0,0,'Données projet'!$E$11+1,1))-AVERAGE(OFFSET($H$3,0,0,'Données projet'!$E$11+1,1))</f>
        <v>404.24955007425774</v>
      </c>
      <c r="BJ113" s="59">
        <f t="shared" si="92"/>
        <v>211.49137630071019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39.966301578257031</v>
      </c>
      <c r="BQ113" s="21">
        <f>EXP(-LN(2)/25)*BQ112+(1-EXP(-LN(2)/25))/(LN(2)/25)*Calculateur!BL113*Calculateur!BN113*VLOOKUP('Données projet'!$B$11,Paramètres!$A$1:$I$89,3,0)*0.475*44/12</f>
        <v>10.52377988815976</v>
      </c>
      <c r="BR113" s="21">
        <f>EXP(-LN(2)/2)*BR112+(1-EXP(-LN(2)/2))/(LN(2)/2)*BL113*BO113*VLOOKUP('Données projet'!$B$11,Paramètres!$A$1:$I$89,3,0)*0.475*44/12</f>
        <v>0.6345718990733572</v>
      </c>
      <c r="BS113" s="22">
        <f t="shared" si="63"/>
        <v>51.124653365490147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195.99999999999994</v>
      </c>
      <c r="BZ113" s="13">
        <f>BY113*VLOOKUP('Données projet'!$B$12,Paramètres!$A$1:$I$89,3,0)*VLOOKUP('Données projet'!$B$12,Paramètres!$A$1:$I$89,5,0)</f>
        <v>152.87999999999997</v>
      </c>
      <c r="CA113" s="13">
        <f t="shared" si="93"/>
        <v>39.232349774697852</v>
      </c>
      <c r="CB113" s="20">
        <f t="shared" si="64"/>
        <v>334.59567585759868</v>
      </c>
      <c r="CC113" s="59">
        <f t="shared" si="65"/>
        <v>614.55706481244454</v>
      </c>
      <c r="CD113" s="59">
        <f ca="1">AVERAGE(OFFSET($CC$3,0,0,'Données projet'!$E$12+1,1))-AVERAGE(OFFSET($H$3,0,0,'Données projet'!$E$12+1,1))</f>
        <v>250.01410333089137</v>
      </c>
      <c r="CE113" s="59">
        <f t="shared" si="94"/>
        <v>169.55868564318885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19.826798270301101</v>
      </c>
      <c r="CL113" s="21">
        <f>EXP(-LN(2)/25)*CL112+(1-EXP(-LN(2)/25))/(LN(2)/25)*Calculateur!CG113*Calculateur!CI113*VLOOKUP('Données projet'!$B$12,Paramètres!$A$1:$I$89,3,0)*0.475*44/12</f>
        <v>6.5328027028550935</v>
      </c>
      <c r="CM113" s="21">
        <f>EXP(-LN(2)/2)*CM112+(1-EXP(-LN(2)/2))/(LN(2)/2)*CG113*CJ113*VLOOKUP('Données projet'!$B$12,Paramètres!$A$1:$I$89,3,0)*0.475*44/12</f>
        <v>1.7498162132134953E-2</v>
      </c>
      <c r="CN113" s="22">
        <f t="shared" si="66"/>
        <v>26.377099135288329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5.6</v>
      </c>
      <c r="N114" s="13">
        <f>IF('Données projet'!$A$36&gt;35,N113+M114-V113,IF(A114&lt;'Données projet'!$A$36,$K$205^A114,IF(A114='Données projet'!$A$36,'Données projet'!$B$36,N113+M114-V113)))</f>
        <v>251.59999999999988</v>
      </c>
      <c r="O114" s="13">
        <f>N114*VLOOKUP('Données projet'!$B$9,Paramètres!$A$1:$I$89,3,0)*VLOOKUP('Données projet'!$B$9,Paramètres!$A$1:$I$89,5,0)</f>
        <v>227.64767999999987</v>
      </c>
      <c r="P114" s="13">
        <f t="shared" si="87"/>
        <v>55.773751036838313</v>
      </c>
      <c r="Q114" s="20">
        <f t="shared" si="107"/>
        <v>493.62565905582642</v>
      </c>
      <c r="R114" s="59">
        <f t="shared" si="55"/>
        <v>773.81902135044993</v>
      </c>
      <c r="S114" s="59">
        <f ca="1">AVERAGE(OFFSET($R$3,0,0,'Données projet'!$E$9+1,1))-AVERAGE(OFFSET($H$3,0,0,'Données projet'!$E$9+1,1))</f>
        <v>469.5773392354356</v>
      </c>
      <c r="T114" s="59">
        <f t="shared" si="88"/>
        <v>187.25344022835239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27.134050618712831</v>
      </c>
      <c r="AA114" s="21">
        <f>EXP(-LN(2)/25)*AA113+(1-EXP(-LN(2)/25))/(LN(2)/25)*Calculateur!V114*Calculateur!X114*VLOOKUP('Données projet'!$B$9,Paramètres!$A$1:$I$89,3,0)*0.475*44/12</f>
        <v>9.4124875692002199</v>
      </c>
      <c r="AB114" s="21">
        <f>EXP(-LN(2)/2)*AB113+(1-EXP(-LN(2)/2))/(LN(2)/2)*V114*Y114*VLOOKUP('Données projet'!$B$9,Paramètres!$A$1:$I$89,3,0)*0.475*44/12</f>
        <v>0.37719761466343132</v>
      </c>
      <c r="AC114" s="22">
        <f t="shared" si="57"/>
        <v>36.923735802576481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5.6</v>
      </c>
      <c r="AI114" s="13">
        <f>IF('Données projet'!$A$62&gt;35,AI113+AH114-AQ113,IF(A114&lt;'Données projet'!$A$62,$AF$205^A114,IF(A114='Données projet'!$A$62,'Données projet'!$B$62,AI113+AH114-AQ113)))</f>
        <v>251.59999999999988</v>
      </c>
      <c r="AJ114" s="13">
        <f>AI114*VLOOKUP('Données projet'!$B$10,Paramètres!$A$1:$I$89,3,0)*VLOOKUP('Données projet'!$B$10,Paramètres!$A$1:$I$89,5,0)</f>
        <v>243.34751999999992</v>
      </c>
      <c r="AK114" s="13">
        <f t="shared" si="89"/>
        <v>59.159184061872203</v>
      </c>
      <c r="AL114" s="20">
        <f t="shared" si="58"/>
        <v>526.86584290776057</v>
      </c>
      <c r="AM114" s="59">
        <f t="shared" si="59"/>
        <v>807.05920520238419</v>
      </c>
      <c r="AN114" s="59">
        <f ca="1">AVERAGE(OFFSET($AM$3,0,0,'Données projet'!$E$10+1,1))-AVERAGE(OFFSET($H$3,0,0,'Données projet'!$E$10+1,1))</f>
        <v>370.91255999489181</v>
      </c>
      <c r="AO114" s="59">
        <f t="shared" si="90"/>
        <v>196.07869248605735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35.207541745555801</v>
      </c>
      <c r="AV114" s="21">
        <f>EXP(-LN(2)/25)*AV113+(1-EXP(-LN(2)/25))/(LN(2)/25)*Calculateur!AQ114*Calculateur!AS114*VLOOKUP('Données projet'!$B$10,Paramètres!$A$1:$I$89,3,0)*0.475*44/12</f>
        <v>9.1975711241910538</v>
      </c>
      <c r="AW114" s="21">
        <f>EXP(-LN(2)/2)*AW113+(1-EXP(-LN(2)/2))/(LN(2)/2)*AQ114*AT114*VLOOKUP('Données projet'!$B$10,Paramètres!$A$1:$I$89,3,0)*0.475*44/12</f>
        <v>0.40318877920408958</v>
      </c>
      <c r="AX114" s="21">
        <f t="shared" si="60"/>
        <v>44.808301648950945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5.6</v>
      </c>
      <c r="BD114" s="12">
        <f>IF('Données projet'!$A$88&gt;35,BD113+BC114-BL113,IF(A114&lt;'Données projet'!$A$88,$BA$205^A114,IF(A114='Données projet'!$A$88,'Données projet'!$B$88,BD113+BC114-BL113)))</f>
        <v>251.59999999999988</v>
      </c>
      <c r="BE114" s="13">
        <f>BD114*VLOOKUP('Données projet'!$B$11,Paramètres!$A$1:$I$89,3,0)*VLOOKUP('Données projet'!$B$11,Paramètres!$A$1:$I$89,5,0)</f>
        <v>270.82223999999985</v>
      </c>
      <c r="BF114" s="13">
        <f t="shared" si="91"/>
        <v>65.023738474662338</v>
      </c>
      <c r="BG114" s="20">
        <f t="shared" si="61"/>
        <v>584.93174584336987</v>
      </c>
      <c r="BH114" s="59">
        <f t="shared" si="62"/>
        <v>865.12510813799349</v>
      </c>
      <c r="BI114" s="59">
        <f ca="1">AVERAGE(OFFSET($BH$3,0,0,'Données projet'!$E$11+1,1))-AVERAGE(OFFSET($H$3,0,0,'Données projet'!$E$11+1,1))</f>
        <v>404.24955007425774</v>
      </c>
      <c r="BJ114" s="59">
        <f t="shared" si="92"/>
        <v>211.49137630071019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39.182586781344341</v>
      </c>
      <c r="BQ114" s="21">
        <f>EXP(-LN(2)/25)*BQ113+(1-EXP(-LN(2)/25))/(LN(2)/25)*Calculateur!BL114*Calculateur!BN114*VLOOKUP('Données projet'!$B$11,Paramètres!$A$1:$I$89,3,0)*0.475*44/12</f>
        <v>10.2360065736965</v>
      </c>
      <c r="BR114" s="21">
        <f>EXP(-LN(2)/2)*BR113+(1-EXP(-LN(2)/2))/(LN(2)/2)*BL114*BO114*VLOOKUP('Données projet'!$B$11,Paramètres!$A$1:$I$89,3,0)*0.475*44/12</f>
        <v>0.44871009298519632</v>
      </c>
      <c r="BS114" s="22">
        <f t="shared" si="63"/>
        <v>49.867303448026036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195.99999999999994</v>
      </c>
      <c r="BZ114" s="13">
        <f>BY114*VLOOKUP('Données projet'!$B$12,Paramètres!$A$1:$I$89,3,0)*VLOOKUP('Données projet'!$B$12,Paramètres!$A$1:$I$89,5,0)</f>
        <v>152.87999999999997</v>
      </c>
      <c r="CA114" s="13">
        <f t="shared" si="93"/>
        <v>39.232349774697852</v>
      </c>
      <c r="CB114" s="20">
        <f t="shared" si="64"/>
        <v>334.59567585759868</v>
      </c>
      <c r="CC114" s="59">
        <f t="shared" si="65"/>
        <v>614.78903815222225</v>
      </c>
      <c r="CD114" s="59">
        <f ca="1">AVERAGE(OFFSET($CC$3,0,0,'Données projet'!$E$12+1,1))-AVERAGE(OFFSET($H$3,0,0,'Données projet'!$E$12+1,1))</f>
        <v>250.01410333089137</v>
      </c>
      <c r="CE114" s="59">
        <f t="shared" si="94"/>
        <v>169.55868564318885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19.438006849373341</v>
      </c>
      <c r="CL114" s="21">
        <f>EXP(-LN(2)/25)*CL113+(1-EXP(-LN(2)/25))/(LN(2)/25)*Calculateur!CG114*Calculateur!CI114*VLOOKUP('Données projet'!$B$12,Paramètres!$A$1:$I$89,3,0)*0.475*44/12</f>
        <v>6.3541628694003576</v>
      </c>
      <c r="CM114" s="21">
        <f>EXP(-LN(2)/2)*CM113+(1-EXP(-LN(2)/2))/(LN(2)/2)*CG114*CJ114*VLOOKUP('Données projet'!$B$12,Paramètres!$A$1:$I$89,3,0)*0.475*44/12</f>
        <v>1.2373069101934283E-2</v>
      </c>
      <c r="CN114" s="22">
        <f t="shared" si="66"/>
        <v>25.804542787875633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5.6</v>
      </c>
      <c r="N115" s="13">
        <f>IF('Données projet'!$A$36&gt;35,N114+M115-V114,IF(A115&lt;'Données projet'!$A$36,$K$205^A115,IF(A115='Données projet'!$A$36,'Données projet'!$B$36,N114+M115-V114)))</f>
        <v>257.19999999999987</v>
      </c>
      <c r="O115" s="13">
        <f>N115*VLOOKUP('Données projet'!$B$9,Paramètres!$A$1:$I$89,3,0)*VLOOKUP('Données projet'!$B$9,Paramètres!$A$1:$I$89,5,0)</f>
        <v>232.71455999999989</v>
      </c>
      <c r="P115" s="13">
        <f t="shared" si="87"/>
        <v>56.869231451501811</v>
      </c>
      <c r="Q115" s="20">
        <f t="shared" si="107"/>
        <v>504.35843677803217</v>
      </c>
      <c r="R115" s="59">
        <f t="shared" si="55"/>
        <v>784.77974819360304</v>
      </c>
      <c r="S115" s="59">
        <f ca="1">AVERAGE(OFFSET($R$3,0,0,'Données projet'!$E$9+1,1))-AVERAGE(OFFSET($H$3,0,0,'Données projet'!$E$9+1,1))</f>
        <v>469.5773392354356</v>
      </c>
      <c r="T115" s="59">
        <f t="shared" si="88"/>
        <v>187.25344022835239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26.601968436216559</v>
      </c>
      <c r="AA115" s="21">
        <f>EXP(-LN(2)/25)*AA114+(1-EXP(-LN(2)/25))/(LN(2)/25)*Calculateur!V115*Calculateur!X115*VLOOKUP('Données projet'!$B$9,Paramètres!$A$1:$I$89,3,0)*0.475*44/12</f>
        <v>9.1551026016392303</v>
      </c>
      <c r="AB115" s="21">
        <f>EXP(-LN(2)/2)*AB114+(1-EXP(-LN(2)/2))/(LN(2)/2)*V115*Y115*VLOOKUP('Données projet'!$B$9,Paramètres!$A$1:$I$89,3,0)*0.475*44/12</f>
        <v>0.26671899117590264</v>
      </c>
      <c r="AC115" s="22">
        <f t="shared" si="57"/>
        <v>36.023790029031687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5.6</v>
      </c>
      <c r="AI115" s="13">
        <f>IF('Données projet'!$A$62&gt;35,AI114+AH115-AQ114,IF(A115&lt;'Données projet'!$A$62,$AF$205^A115,IF(A115='Données projet'!$A$62,'Données projet'!$B$62,AI114+AH115-AQ114)))</f>
        <v>257.19999999999987</v>
      </c>
      <c r="AJ115" s="13">
        <f>AI115*VLOOKUP('Données projet'!$B$10,Paramètres!$A$1:$I$89,3,0)*VLOOKUP('Données projet'!$B$10,Paramètres!$A$1:$I$89,5,0)</f>
        <v>248.76383999999987</v>
      </c>
      <c r="AK115" s="13">
        <f t="shared" si="89"/>
        <v>60.321159476515668</v>
      </c>
      <c r="AL115" s="20">
        <f t="shared" si="58"/>
        <v>538.32304075493118</v>
      </c>
      <c r="AM115" s="59">
        <f t="shared" si="59"/>
        <v>818.744352170502</v>
      </c>
      <c r="AN115" s="59">
        <f ca="1">AVERAGE(OFFSET($AM$3,0,0,'Données projet'!$E$10+1,1))-AVERAGE(OFFSET($H$3,0,0,'Données projet'!$E$10+1,1))</f>
        <v>370.91255999489181</v>
      </c>
      <c r="AO115" s="59">
        <f t="shared" si="90"/>
        <v>196.07869248605735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34.517143326405488</v>
      </c>
      <c r="AV115" s="21">
        <f>EXP(-LN(2)/25)*AV114+(1-EXP(-LN(2)/25))/(LN(2)/25)*Calculateur!AQ115*Calculateur!AS115*VLOOKUP('Données projet'!$B$10,Paramètres!$A$1:$I$89,3,0)*0.475*44/12</f>
        <v>8.9460630581208047</v>
      </c>
      <c r="AW115" s="21">
        <f>EXP(-LN(2)/2)*AW114+(1-EXP(-LN(2)/2))/(LN(2)/2)*AQ115*AT115*VLOOKUP('Données projet'!$B$10,Paramètres!$A$1:$I$89,3,0)*0.475*44/12</f>
        <v>0.28509751987353743</v>
      </c>
      <c r="AX115" s="21">
        <f t="shared" si="60"/>
        <v>43.748303904399833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5.6</v>
      </c>
      <c r="BD115" s="12">
        <f>IF('Données projet'!$A$88&gt;35,BD114+BC115-BL114,IF(A115&lt;'Données projet'!$A$88,$BA$205^A115,IF(A115='Données projet'!$A$88,'Données projet'!$B$88,BD114+BC115-BL114)))</f>
        <v>257.19999999999987</v>
      </c>
      <c r="BE115" s="13">
        <f>BD115*VLOOKUP('Données projet'!$B$11,Paramètres!$A$1:$I$89,3,0)*VLOOKUP('Données projet'!$B$11,Paramètres!$A$1:$I$89,5,0)</f>
        <v>276.85007999999988</v>
      </c>
      <c r="BF115" s="13">
        <f t="shared" si="91"/>
        <v>66.300902564632594</v>
      </c>
      <c r="BG115" s="20">
        <f t="shared" si="61"/>
        <v>597.65462796673489</v>
      </c>
      <c r="BH115" s="59">
        <f t="shared" si="62"/>
        <v>878.07593938230571</v>
      </c>
      <c r="BI115" s="59">
        <f ca="1">AVERAGE(OFFSET($BH$3,0,0,'Données projet'!$E$11+1,1))-AVERAGE(OFFSET($H$3,0,0,'Données projet'!$E$11+1,1))</f>
        <v>404.24955007425774</v>
      </c>
      <c r="BJ115" s="59">
        <f t="shared" si="92"/>
        <v>211.49137630071019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38.41424015358028</v>
      </c>
      <c r="BQ115" s="21">
        <f>EXP(-LN(2)/25)*BQ114+(1-EXP(-LN(2)/25))/(LN(2)/25)*Calculateur!BL115*Calculateur!BN115*VLOOKUP('Données projet'!$B$11,Paramètres!$A$1:$I$89,3,0)*0.475*44/12</f>
        <v>9.9561024356505783</v>
      </c>
      <c r="BR115" s="21">
        <f>EXP(-LN(2)/2)*BR114+(1-EXP(-LN(2)/2))/(LN(2)/2)*BL115*BO115*VLOOKUP('Données projet'!$B$11,Paramètres!$A$1:$I$89,3,0)*0.475*44/12</f>
        <v>0.3172859495366786</v>
      </c>
      <c r="BS115" s="22">
        <f t="shared" si="63"/>
        <v>48.687628538767534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195.99999999999994</v>
      </c>
      <c r="BZ115" s="13">
        <f>BY115*VLOOKUP('Données projet'!$B$12,Paramètres!$A$1:$I$89,3,0)*VLOOKUP('Données projet'!$B$12,Paramètres!$A$1:$I$89,5,0)</f>
        <v>152.87999999999997</v>
      </c>
      <c r="CA115" s="13">
        <f t="shared" si="93"/>
        <v>39.232349774697852</v>
      </c>
      <c r="CB115" s="20">
        <f t="shared" si="64"/>
        <v>334.59567585759868</v>
      </c>
      <c r="CC115" s="59">
        <f t="shared" si="65"/>
        <v>615.01698727316955</v>
      </c>
      <c r="CD115" s="59">
        <f ca="1">AVERAGE(OFFSET($CC$3,0,0,'Données projet'!$E$12+1,1))-AVERAGE(OFFSET($H$3,0,0,'Données projet'!$E$12+1,1))</f>
        <v>250.01410333089137</v>
      </c>
      <c r="CE115" s="59">
        <f t="shared" si="94"/>
        <v>169.55868564318885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19.056839391070625</v>
      </c>
      <c r="CL115" s="21">
        <f>EXP(-LN(2)/25)*CL114+(1-EXP(-LN(2)/25))/(LN(2)/25)*Calculateur!CG115*Calculateur!CI115*VLOOKUP('Données projet'!$B$12,Paramètres!$A$1:$I$89,3,0)*0.475*44/12</f>
        <v>6.1804079515857024</v>
      </c>
      <c r="CM115" s="21">
        <f>EXP(-LN(2)/2)*CM114+(1-EXP(-LN(2)/2))/(LN(2)/2)*CG115*CJ115*VLOOKUP('Données projet'!$B$12,Paramètres!$A$1:$I$89,3,0)*0.475*44/12</f>
        <v>8.7490810660674767E-3</v>
      </c>
      <c r="CN115" s="22">
        <f t="shared" si="66"/>
        <v>25.245996423722396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5.6</v>
      </c>
      <c r="N116" s="13">
        <f>IF('Données projet'!$A$36&gt;35,N115+M116-V115,IF(A116&lt;'Données projet'!$A$36,$K$205^A116,IF(A116='Données projet'!$A$36,'Données projet'!$B$36,N115+M116-V115)))</f>
        <v>262.7999999999999</v>
      </c>
      <c r="O116" s="13">
        <f>N116*VLOOKUP('Données projet'!$B$9,Paramètres!$A$1:$I$89,3,0)*VLOOKUP('Données projet'!$B$9,Paramètres!$A$1:$I$89,5,0)</f>
        <v>237.78143999999989</v>
      </c>
      <c r="P116" s="13">
        <f t="shared" si="87"/>
        <v>57.9619387969109</v>
      </c>
      <c r="Q116" s="20">
        <f t="shared" si="107"/>
        <v>515.08638473795293</v>
      </c>
      <c r="R116" s="59">
        <f t="shared" si="55"/>
        <v>795.73169086684061</v>
      </c>
      <c r="S116" s="59">
        <f ca="1">AVERAGE(OFFSET($R$3,0,0,'Données projet'!$E$9+1,1))-AVERAGE(OFFSET($H$3,0,0,'Données projet'!$E$9+1,1))</f>
        <v>469.5773392354356</v>
      </c>
      <c r="T116" s="59">
        <f t="shared" si="88"/>
        <v>187.25344022835239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26.080320060780952</v>
      </c>
      <c r="AA116" s="21">
        <f>EXP(-LN(2)/25)*AA115+(1-EXP(-LN(2)/25))/(LN(2)/25)*Calculateur!V116*Calculateur!X116*VLOOKUP('Données projet'!$B$9,Paramètres!$A$1:$I$89,3,0)*0.475*44/12</f>
        <v>8.9047558395514841</v>
      </c>
      <c r="AB116" s="21">
        <f>EXP(-LN(2)/2)*AB115+(1-EXP(-LN(2)/2))/(LN(2)/2)*V116*Y116*VLOOKUP('Données projet'!$B$9,Paramètres!$A$1:$I$89,3,0)*0.475*44/12</f>
        <v>0.18859880733171569</v>
      </c>
      <c r="AC116" s="22">
        <f t="shared" si="57"/>
        <v>35.173674707664148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5.6</v>
      </c>
      <c r="AI116" s="13">
        <f>IF('Données projet'!$A$62&gt;35,AI115+AH116-AQ115,IF(A116&lt;'Données projet'!$A$62,$AF$205^A116,IF(A116='Données projet'!$A$62,'Données projet'!$B$62,AI115+AH116-AQ115)))</f>
        <v>262.7999999999999</v>
      </c>
      <c r="AJ116" s="13">
        <f>AI116*VLOOKUP('Données projet'!$B$10,Paramètres!$A$1:$I$89,3,0)*VLOOKUP('Données projet'!$B$10,Paramètres!$A$1:$I$89,5,0)</f>
        <v>254.18015999999989</v>
      </c>
      <c r="AK116" s="13">
        <f t="shared" si="89"/>
        <v>61.480193498274737</v>
      </c>
      <c r="AL116" s="20">
        <f t="shared" si="58"/>
        <v>549.77511567616159</v>
      </c>
      <c r="AM116" s="59">
        <f t="shared" si="59"/>
        <v>830.42042180504927</v>
      </c>
      <c r="AN116" s="59">
        <f ca="1">AVERAGE(OFFSET($AM$3,0,0,'Données projet'!$E$10+1,1))-AVERAGE(OFFSET($H$3,0,0,'Données projet'!$E$10+1,1))</f>
        <v>370.91255999489181</v>
      </c>
      <c r="AO116" s="59">
        <f t="shared" si="90"/>
        <v>196.07869248605735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33.840283199153255</v>
      </c>
      <c r="AV116" s="21">
        <f>EXP(-LN(2)/25)*AV115+(1-EXP(-LN(2)/25))/(LN(2)/25)*Calculateur!AQ116*Calculateur!AS116*VLOOKUP('Données projet'!$B$10,Paramètres!$A$1:$I$89,3,0)*0.475*44/12</f>
        <v>8.7014324933434821</v>
      </c>
      <c r="AW116" s="21">
        <f>EXP(-LN(2)/2)*AW115+(1-EXP(-LN(2)/2))/(LN(2)/2)*AQ116*AT116*VLOOKUP('Données projet'!$B$10,Paramètres!$A$1:$I$89,3,0)*0.475*44/12</f>
        <v>0.20159438960204484</v>
      </c>
      <c r="AX116" s="21">
        <f t="shared" si="60"/>
        <v>42.74331008209878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5.6</v>
      </c>
      <c r="BD116" s="12">
        <f>IF('Données projet'!$A$88&gt;35,BD115+BC116-BL115,IF(A116&lt;'Données projet'!$A$88,$BA$205^A116,IF(A116='Données projet'!$A$88,'Données projet'!$B$88,BD115+BC116-BL115)))</f>
        <v>262.7999999999999</v>
      </c>
      <c r="BE116" s="13">
        <f>BD116*VLOOKUP('Données projet'!$B$11,Paramètres!$A$1:$I$89,3,0)*VLOOKUP('Données projet'!$B$11,Paramètres!$A$1:$I$89,5,0)</f>
        <v>282.87791999999985</v>
      </c>
      <c r="BF116" s="13">
        <f t="shared" si="91"/>
        <v>67.574833676246314</v>
      </c>
      <c r="BG116" s="20">
        <f t="shared" si="61"/>
        <v>610.3718793194621</v>
      </c>
      <c r="BH116" s="59">
        <f t="shared" si="62"/>
        <v>891.01718544834966</v>
      </c>
      <c r="BI116" s="59">
        <f ca="1">AVERAGE(OFFSET($BH$3,0,0,'Données projet'!$E$11+1,1))-AVERAGE(OFFSET($H$3,0,0,'Données projet'!$E$11+1,1))</f>
        <v>404.24955007425774</v>
      </c>
      <c r="BJ116" s="59">
        <f t="shared" si="92"/>
        <v>211.49137630071019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37.660960334541507</v>
      </c>
      <c r="BQ116" s="21">
        <f>EXP(-LN(2)/25)*BQ115+(1-EXP(-LN(2)/25))/(LN(2)/25)*Calculateur!BL116*Calculateur!BN116*VLOOKUP('Données projet'!$B$11,Paramètres!$A$1:$I$89,3,0)*0.475*44/12</f>
        <v>9.6838522909790417</v>
      </c>
      <c r="BR116" s="21">
        <f>EXP(-LN(2)/2)*BR115+(1-EXP(-LN(2)/2))/(LN(2)/2)*BL116*BO116*VLOOKUP('Données projet'!$B$11,Paramètres!$A$1:$I$89,3,0)*0.475*44/12</f>
        <v>0.22435504649259816</v>
      </c>
      <c r="BS116" s="22">
        <f t="shared" si="63"/>
        <v>47.569167672013144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195.99999999999994</v>
      </c>
      <c r="BZ116" s="13">
        <f>BY116*VLOOKUP('Données projet'!$B$12,Paramètres!$A$1:$I$89,3,0)*VLOOKUP('Données projet'!$B$12,Paramètres!$A$1:$I$89,5,0)</f>
        <v>152.87999999999997</v>
      </c>
      <c r="CA116" s="13">
        <f t="shared" si="93"/>
        <v>39.232349774697852</v>
      </c>
      <c r="CB116" s="20">
        <f t="shared" si="64"/>
        <v>334.59567585759868</v>
      </c>
      <c r="CC116" s="59">
        <f t="shared" si="65"/>
        <v>615.2409819864863</v>
      </c>
      <c r="CD116" s="59">
        <f ca="1">AVERAGE(OFFSET($CC$3,0,0,'Données projet'!$E$12+1,1))-AVERAGE(OFFSET($H$3,0,0,'Données projet'!$E$12+1,1))</f>
        <v>250.01410333089137</v>
      </c>
      <c r="CE116" s="59">
        <f t="shared" si="94"/>
        <v>169.55868564318885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18.683146394136031</v>
      </c>
      <c r="CL116" s="21">
        <f>EXP(-LN(2)/25)*CL115+(1-EXP(-LN(2)/25))/(LN(2)/25)*Calculateur!CG116*Calculateur!CI116*VLOOKUP('Données projet'!$B$12,Paramètres!$A$1:$I$89,3,0)*0.475*44/12</f>
        <v>6.011404371136063</v>
      </c>
      <c r="CM116" s="21">
        <f>EXP(-LN(2)/2)*CM115+(1-EXP(-LN(2)/2))/(LN(2)/2)*CG116*CJ116*VLOOKUP('Données projet'!$B$12,Paramètres!$A$1:$I$89,3,0)*0.475*44/12</f>
        <v>6.1865345509671413E-3</v>
      </c>
      <c r="CN116" s="22">
        <f t="shared" si="66"/>
        <v>24.700737299823061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5.6</v>
      </c>
      <c r="N117" s="13">
        <f>IF('Données projet'!$A$36&gt;35,N116+M117-V116,IF(A117&lt;'Données projet'!$A$36,$K$205^A117,IF(A117='Données projet'!$A$36,'Données projet'!$B$36,N116+M117-V116)))</f>
        <v>268.39999999999992</v>
      </c>
      <c r="O117" s="13">
        <f>N117*VLOOKUP('Données projet'!$B$9,Paramètres!$A$1:$I$89,3,0)*VLOOKUP('Données projet'!$B$9,Paramètres!$A$1:$I$89,5,0)</f>
        <v>242.84831999999992</v>
      </c>
      <c r="P117" s="13">
        <f t="shared" si="87"/>
        <v>59.051938970892948</v>
      </c>
      <c r="Q117" s="20">
        <f t="shared" si="107"/>
        <v>525.80961770763849</v>
      </c>
      <c r="R117" s="59">
        <f t="shared" si="55"/>
        <v>806.675032742344</v>
      </c>
      <c r="S117" s="59">
        <f ca="1">AVERAGE(OFFSET($R$3,0,0,'Données projet'!$E$9+1,1))-AVERAGE(OFFSET($H$3,0,0,'Données projet'!$E$9+1,1))</f>
        <v>469.5773392354356</v>
      </c>
      <c r="T117" s="59">
        <f t="shared" si="88"/>
        <v>187.25344022835239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25.568900891813549</v>
      </c>
      <c r="AA117" s="21">
        <f>EXP(-LN(2)/25)*AA116+(1-EXP(-LN(2)/25))/(LN(2)/25)*Calculateur!V117*Calculateur!X117*VLOOKUP('Données projet'!$B$9,Paramètres!$A$1:$I$89,3,0)*0.475*44/12</f>
        <v>8.6612548228381918</v>
      </c>
      <c r="AB117" s="21">
        <f>EXP(-LN(2)/2)*AB116+(1-EXP(-LN(2)/2))/(LN(2)/2)*V117*Y117*VLOOKUP('Données projet'!$B$9,Paramètres!$A$1:$I$89,3,0)*0.475*44/12</f>
        <v>0.13335949558795132</v>
      </c>
      <c r="AC117" s="22">
        <f t="shared" si="57"/>
        <v>34.363515210239697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5.6</v>
      </c>
      <c r="AI117" s="13">
        <f>IF('Données projet'!$A$62&gt;35,AI116+AH117-AQ116,IF(A117&lt;'Données projet'!$A$62,$AF$205^A117,IF(A117='Données projet'!$A$62,'Données projet'!$B$62,AI116+AH117-AQ116)))</f>
        <v>268.39999999999992</v>
      </c>
      <c r="AJ117" s="13">
        <f>AI117*VLOOKUP('Données projet'!$B$10,Paramètres!$A$1:$I$89,3,0)*VLOOKUP('Données projet'!$B$10,Paramètres!$A$1:$I$89,5,0)</f>
        <v>259.59647999999993</v>
      </c>
      <c r="AK117" s="13">
        <f t="shared" si="89"/>
        <v>62.636356024935033</v>
      </c>
      <c r="AL117" s="20">
        <f t="shared" si="58"/>
        <v>561.22218941009498</v>
      </c>
      <c r="AM117" s="59">
        <f t="shared" si="59"/>
        <v>842.08760444480049</v>
      </c>
      <c r="AN117" s="59">
        <f ca="1">AVERAGE(OFFSET($AM$3,0,0,'Données projet'!$E$10+1,1))-AVERAGE(OFFSET($H$3,0,0,'Données projet'!$E$10+1,1))</f>
        <v>370.91255999489181</v>
      </c>
      <c r="AO117" s="59">
        <f t="shared" si="90"/>
        <v>196.07869248605735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33.17669588615253</v>
      </c>
      <c r="AV117" s="21">
        <f>EXP(-LN(2)/25)*AV116+(1-EXP(-LN(2)/25))/(LN(2)/25)*Calculateur!AQ117*Calculateur!AS117*VLOOKUP('Données projet'!$B$10,Paramètres!$A$1:$I$89,3,0)*0.475*44/12</f>
        <v>8.4634913642245575</v>
      </c>
      <c r="AW117" s="21">
        <f>EXP(-LN(2)/2)*AW116+(1-EXP(-LN(2)/2))/(LN(2)/2)*AQ117*AT117*VLOOKUP('Données projet'!$B$10,Paramètres!$A$1:$I$89,3,0)*0.475*44/12</f>
        <v>0.14254875993676874</v>
      </c>
      <c r="AX117" s="21">
        <f t="shared" si="60"/>
        <v>41.782736010313855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5.6</v>
      </c>
      <c r="BD117" s="12">
        <f>IF('Données projet'!$A$88&gt;35,BD116+BC117-BL116,IF(A117&lt;'Données projet'!$A$88,$BA$205^A117,IF(A117='Données projet'!$A$88,'Données projet'!$B$88,BD116+BC117-BL116)))</f>
        <v>268.39999999999992</v>
      </c>
      <c r="BE117" s="13">
        <f>BD117*VLOOKUP('Données projet'!$B$11,Paramètres!$A$1:$I$89,3,0)*VLOOKUP('Données projet'!$B$11,Paramètres!$A$1:$I$89,5,0)</f>
        <v>288.90575999999993</v>
      </c>
      <c r="BF117" s="13">
        <f t="shared" si="91"/>
        <v>68.84560863637995</v>
      </c>
      <c r="BG117" s="20">
        <f t="shared" si="61"/>
        <v>623.08363370836162</v>
      </c>
      <c r="BH117" s="59">
        <f t="shared" si="62"/>
        <v>903.94904874306712</v>
      </c>
      <c r="BI117" s="59">
        <f ca="1">AVERAGE(OFFSET($BH$3,0,0,'Données projet'!$E$11+1,1))-AVERAGE(OFFSET($H$3,0,0,'Données projet'!$E$11+1,1))</f>
        <v>404.24955007425774</v>
      </c>
      <c r="BJ117" s="59">
        <f t="shared" si="92"/>
        <v>211.49137630071019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36.922451873298762</v>
      </c>
      <c r="BQ117" s="21">
        <f>EXP(-LN(2)/25)*BQ116+(1-EXP(-LN(2)/25))/(LN(2)/25)*Calculateur!BL117*Calculateur!BN117*VLOOKUP('Données projet'!$B$11,Paramètres!$A$1:$I$89,3,0)*0.475*44/12</f>
        <v>9.4190468408305605</v>
      </c>
      <c r="BR117" s="21">
        <f>EXP(-LN(2)/2)*BR116+(1-EXP(-LN(2)/2))/(LN(2)/2)*BL117*BO117*VLOOKUP('Données projet'!$B$11,Paramètres!$A$1:$I$89,3,0)*0.475*44/12</f>
        <v>0.1586429747683393</v>
      </c>
      <c r="BS117" s="22">
        <f t="shared" si="63"/>
        <v>46.500141688897664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195.99999999999994</v>
      </c>
      <c r="BZ117" s="13">
        <f>BY117*VLOOKUP('Données projet'!$B$12,Paramètres!$A$1:$I$89,3,0)*VLOOKUP('Données projet'!$B$12,Paramètres!$A$1:$I$89,5,0)</f>
        <v>152.87999999999997</v>
      </c>
      <c r="CA117" s="13">
        <f t="shared" si="93"/>
        <v>39.232349774697852</v>
      </c>
      <c r="CB117" s="20">
        <f t="shared" si="64"/>
        <v>334.59567585759868</v>
      </c>
      <c r="CC117" s="59">
        <f t="shared" si="65"/>
        <v>615.46109089230413</v>
      </c>
      <c r="CD117" s="59">
        <f ca="1">AVERAGE(OFFSET($CC$3,0,0,'Données projet'!$E$12+1,1))-AVERAGE(OFFSET($H$3,0,0,'Données projet'!$E$12+1,1))</f>
        <v>250.01410333089137</v>
      </c>
      <c r="CE117" s="59">
        <f t="shared" si="94"/>
        <v>169.55868564318885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18.316781288941101</v>
      </c>
      <c r="CL117" s="21">
        <f>EXP(-LN(2)/25)*CL116+(1-EXP(-LN(2)/25))/(LN(2)/25)*Calculateur!CG117*Calculateur!CI117*VLOOKUP('Données projet'!$B$12,Paramètres!$A$1:$I$89,3,0)*0.475*44/12</f>
        <v>5.8470222024813303</v>
      </c>
      <c r="CM117" s="21">
        <f>EXP(-LN(2)/2)*CM116+(1-EXP(-LN(2)/2))/(LN(2)/2)*CG117*CJ117*VLOOKUP('Données projet'!$B$12,Paramètres!$A$1:$I$89,3,0)*0.475*44/12</f>
        <v>4.3745405330337384E-3</v>
      </c>
      <c r="CN117" s="22">
        <f t="shared" si="66"/>
        <v>24.168178031955463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274</v>
      </c>
      <c r="L118" s="12">
        <f>VLOOKUP(A118,'Données projet'!$A$35:$I$55,9,0)</f>
        <v>5.6</v>
      </c>
      <c r="M118" s="12">
        <f t="array" ref="M118">INDEX(L:L,MIN(IF(ISNUMBER(L118:L314),ROW(L118:L314),"")))</f>
        <v>5.6</v>
      </c>
      <c r="N118" s="13">
        <f>IF('Données projet'!$A$36&gt;35,N117+M118-V117,IF(A118&lt;'Données projet'!$A$36,$K$205^A118,IF(A118='Données projet'!$A$36,'Données projet'!$B$36,N117+M118-V117)))</f>
        <v>273.99999999999994</v>
      </c>
      <c r="O118" s="13">
        <f>N118*VLOOKUP('Données projet'!$B$9,Paramètres!$A$1:$I$89,3,0)*VLOOKUP('Données projet'!$B$9,Paramètres!$A$1:$I$89,5,0)</f>
        <v>247.91519999999994</v>
      </c>
      <c r="P118" s="13">
        <f t="shared" si="87"/>
        <v>60.139294964297406</v>
      </c>
      <c r="Q118" s="20">
        <f t="shared" si="107"/>
        <v>536.52824539615119</v>
      </c>
      <c r="R118" s="59">
        <f t="shared" si="55"/>
        <v>817.60995093924839</v>
      </c>
      <c r="S118" s="59">
        <f ca="1">AVERAGE(OFFSET($R$3,0,0,'Données projet'!$E$9+1,1))-AVERAGE(OFFSET($H$3,0,0,'Données projet'!$E$9+1,1))</f>
        <v>469.5773392354356</v>
      </c>
      <c r="T118" s="59">
        <f t="shared" si="88"/>
        <v>187.25344022835239</v>
      </c>
      <c r="U118" s="15">
        <f>IF(ISNA(VLOOKUP(A118,'Données projet'!$A$35:$I$55,3,0)),0,VLOOKUP(A118,'Données projet'!$A$35:$I$55,3,0))</f>
        <v>12</v>
      </c>
      <c r="V118" s="15">
        <f>IF(ISNA(VLOOKUP(A118,'Données projet'!$A$35:$I$55,4,0)),0,VLOOKUP(A118,'Données projet'!$A$35:$I$55,4,0))</f>
        <v>37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4.3000000000000003E-2</v>
      </c>
      <c r="Y118" s="16">
        <f>IF(ISNA(VLOOKUP(A118,'Données projet'!$A$35:$I$55,7,0)),0%,VLOOKUP(A118,'Données projet'!$A$35:$I$55,7,0))</f>
        <v>0.1</v>
      </c>
      <c r="Z118" s="21">
        <f>EXP(-LN(2)/35)*Z117+(1-EXP(-LN(2)/35))/(LN(2)/35)*V118*W118*VLOOKUP('Données projet'!$B$9,Paramètres!$A$1:$I$89,3,0)*0.475*44/12</f>
        <v>37.798432681995891</v>
      </c>
      <c r="AA118" s="21">
        <f>EXP(-LN(2)/25)*AA117+(1-EXP(-LN(2)/25))/(LN(2)/25)*Calculateur!V118*Calculateur!X118*VLOOKUP('Données projet'!$B$9,Paramètres!$A$1:$I$89,3,0)*0.475*44/12</f>
        <v>10.009511835364865</v>
      </c>
      <c r="AB118" s="21">
        <f>EXP(-LN(2)/2)*AB117+(1-EXP(-LN(2)/2))/(LN(2)/2)*V118*Y118*VLOOKUP('Données projet'!$B$9,Paramètres!$A$1:$I$89,3,0)*0.475*44/12</f>
        <v>3.2530010673051923</v>
      </c>
      <c r="AC118" s="22">
        <f t="shared" si="57"/>
        <v>51.060945584665944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274</v>
      </c>
      <c r="AG118" s="12">
        <f>VLOOKUP(A118,'Données projet'!$A$61:$I$81,9,0)</f>
        <v>5.6</v>
      </c>
      <c r="AH118" s="12">
        <f t="array" ref="AH118">INDEX(AG:AG,MIN(IF(ISNUMBER(AG118:AG314),ROW(AG118:AG314),"")))</f>
        <v>5.6</v>
      </c>
      <c r="AI118" s="13">
        <f>IF('Données projet'!$A$62&gt;35,AI117+AH118-AQ117,IF(A118&lt;'Données projet'!$A$62,$AF$205^A118,IF(A118='Données projet'!$A$62,'Données projet'!$B$62,AI117+AH118-AQ117)))</f>
        <v>273.99999999999994</v>
      </c>
      <c r="AJ118" s="13">
        <f>AI118*VLOOKUP('Données projet'!$B$10,Paramètres!$A$1:$I$89,3,0)*VLOOKUP('Données projet'!$B$10,Paramètres!$A$1:$I$89,5,0)</f>
        <v>265.01279999999997</v>
      </c>
      <c r="AK118" s="13">
        <f t="shared" si="89"/>
        <v>63.789713870852729</v>
      </c>
      <c r="AL118" s="20">
        <f t="shared" si="58"/>
        <v>572.66437832506847</v>
      </c>
      <c r="AM118" s="59">
        <f t="shared" si="59"/>
        <v>853.74608386816567</v>
      </c>
      <c r="AN118" s="59">
        <f ca="1">AVERAGE(OFFSET($AM$3,0,0,'Données projet'!$E$10+1,1))-AVERAGE(OFFSET($H$3,0,0,'Données projet'!$E$10+1,1))</f>
        <v>370.91255999489181</v>
      </c>
      <c r="AO118" s="59">
        <f t="shared" si="90"/>
        <v>196.07869248605735</v>
      </c>
      <c r="AP118" s="15">
        <f>IF(ISNA(VLOOKUP(A118,'Données projet'!$A$61:$I$81,3,0)),0,VLOOKUP(A118,'Données projet'!$A$61:$I$81,3,0))</f>
        <v>12</v>
      </c>
      <c r="AQ118" s="15">
        <f>IF(ISNA(VLOOKUP(A118,'Données projet'!$A$61:$I$81,4,0)),0,VLOOKUP(A118,'Données projet'!$A$61:$I$81,4,0))</f>
        <v>37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4.3000000000000003E-2</v>
      </c>
      <c r="AT118" s="16">
        <f>IF(ISNA(VLOOKUP(A118,'Données projet'!$A$61:$I$81,7,0)),0%,VLOOKUP(A118,'Données projet'!$A$61:$I$81,7,0))</f>
        <v>0.1</v>
      </c>
      <c r="AU118" s="21">
        <f>EXP(-LN(2)/35)*AU117+(1-EXP(-LN(2)/35))/(LN(2)/35)*AQ118*AR118*VLOOKUP('Données projet'!$B$10,Paramètres!$A$1:$I$89,3,0)*0.475*44/12</f>
        <v>46.135038101012036</v>
      </c>
      <c r="AV118" s="21">
        <f>EXP(-LN(2)/25)*AV117+(1-EXP(-LN(2)/25))/(LN(2)/25)*Calculateur!AQ118*Calculateur!AS118*VLOOKUP('Données projet'!$B$10,Paramètres!$A$1:$I$89,3,0)*0.475*44/12</f>
        <v>9.9264734345223147</v>
      </c>
      <c r="AW118" s="21">
        <f>EXP(-LN(2)/2)*AW117+(1-EXP(-LN(2)/2))/(LN(2)/2)*AQ118*AT118*VLOOKUP('Données projet'!$B$10,Paramètres!$A$1:$I$89,3,0)*0.475*44/12</f>
        <v>3.4773403524844491</v>
      </c>
      <c r="AX118" s="21">
        <f t="shared" si="60"/>
        <v>59.538851888018797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274</v>
      </c>
      <c r="BB118" s="12">
        <f>VLOOKUP(A118,'Données projet'!$A$87:$I$107,9,0)</f>
        <v>5.6</v>
      </c>
      <c r="BC118" s="12">
        <f t="array" ref="BC118">INDEX(BB:BB,MIN(IF(ISNUMBER(BB118:BB314),ROW(BB118:BB314),"")))</f>
        <v>5.6</v>
      </c>
      <c r="BD118" s="12">
        <f>IF('Données projet'!$A$88&gt;35,BD117+BC118-BL117,IF(A118&lt;'Données projet'!$A$88,$BA$205^A118,IF(A118='Données projet'!$A$88,'Données projet'!$B$88,BD117+BC118-BL117)))</f>
        <v>273.99999999999994</v>
      </c>
      <c r="BE118" s="13">
        <f>BD118*VLOOKUP('Données projet'!$B$11,Paramètres!$A$1:$I$89,3,0)*VLOOKUP('Données projet'!$B$11,Paramètres!$A$1:$I$89,5,0)</f>
        <v>294.9335999999999</v>
      </c>
      <c r="BF118" s="13">
        <f t="shared" si="91"/>
        <v>70.113300882814869</v>
      </c>
      <c r="BG118" s="20">
        <f t="shared" si="61"/>
        <v>635.79001903756898</v>
      </c>
      <c r="BH118" s="59">
        <f t="shared" si="62"/>
        <v>916.8717245806663</v>
      </c>
      <c r="BI118" s="59">
        <f ca="1">AVERAGE(OFFSET($BH$3,0,0,'Données projet'!$E$11+1,1))-AVERAGE(OFFSET($H$3,0,0,'Données projet'!$E$11+1,1))</f>
        <v>404.24955007425774</v>
      </c>
      <c r="BJ118" s="59">
        <f t="shared" si="92"/>
        <v>211.49137630071019</v>
      </c>
      <c r="BK118" s="15">
        <f>IF(ISNA(VLOOKUP(A118,'Données projet'!$A$87:$I$107,3,0)),0,VLOOKUP(A118,'Données projet'!$A$87:$I$107,3,0))</f>
        <v>12</v>
      </c>
      <c r="BL118" s="15">
        <f>IF(ISNA(VLOOKUP(A118,'Données projet'!$A$87:$I$107,4,0)),0,VLOOKUP(A118,'Données projet'!$A$87:$I$107,4,0))</f>
        <v>37</v>
      </c>
      <c r="BM118" s="16">
        <f>IF(ISNA(VLOOKUP(A118,'Données projet'!$A$87:$I$107,5,0)),0%,VLOOKUP(A118,'Données projet'!$A$87:$I$107,5,0)*VLOOKUP('Données projet'!$B$11,Paramètres!$A$1:$I$89,7,0))</f>
        <v>0.34400000000000003</v>
      </c>
      <c r="BN118" s="16">
        <f>IF(ISNA(VLOOKUP(A118,'Données projet'!$A$87:$I$107,6,0)),0%,VLOOKUP(A118,'Données projet'!$A$87:$I$107,6,0)*VLOOKUP('Données projet'!$B$11,Paramètres!$A$1:$I$89,7,0))</f>
        <v>4.3000000000000003E-2</v>
      </c>
      <c r="BO118" s="16">
        <f>IF(ISNA(VLOOKUP(A118,'Données projet'!$A$87:$I$107,7,0)),0%,VLOOKUP(A118,'Données projet'!$A$87:$I$107,7,0))</f>
        <v>0.1</v>
      </c>
      <c r="BP118" s="21">
        <f>EXP(-LN(2)/35)*BP117+(1-EXP(-LN(2)/35))/(LN(2)/35)*BL118*BM118*VLOOKUP('Données projet'!$B$11,Paramètres!$A$1:$I$89,3,0)*0.475*44/12</f>
        <v>51.343832725319821</v>
      </c>
      <c r="BQ118" s="21">
        <f>EXP(-LN(2)/25)*BQ117+(1-EXP(-LN(2)/25))/(LN(2)/25)*Calculateur!BL118*Calculateur!BN118*VLOOKUP('Données projet'!$B$11,Paramètres!$A$1:$I$89,3,0)*0.475*44/12</f>
        <v>11.047204306161936</v>
      </c>
      <c r="BR118" s="21">
        <f>EXP(-LN(2)/2)*BR117+(1-EXP(-LN(2)/2))/(LN(2)/2)*BL118*BO118*VLOOKUP('Données projet'!$B$11,Paramètres!$A$1:$I$89,3,0)*0.475*44/12</f>
        <v>3.8699432955068862</v>
      </c>
      <c r="BS118" s="22">
        <f t="shared" si="63"/>
        <v>66.260980326988644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195.99999999999994</v>
      </c>
      <c r="BZ118" s="13">
        <f>BY118*VLOOKUP('Données projet'!$B$12,Paramètres!$A$1:$I$89,3,0)*VLOOKUP('Données projet'!$B$12,Paramètres!$A$1:$I$89,5,0)</f>
        <v>152.87999999999997</v>
      </c>
      <c r="CA118" s="13">
        <f t="shared" si="93"/>
        <v>39.232349774697852</v>
      </c>
      <c r="CB118" s="20">
        <f t="shared" si="64"/>
        <v>334.59567585759868</v>
      </c>
      <c r="CC118" s="59">
        <f t="shared" si="65"/>
        <v>615.67738140069594</v>
      </c>
      <c r="CD118" s="59">
        <f ca="1">AVERAGE(OFFSET($CC$3,0,0,'Données projet'!$E$12+1,1))-AVERAGE(OFFSET($H$3,0,0,'Données projet'!$E$12+1,1))</f>
        <v>250.01410333089137</v>
      </c>
      <c r="CE118" s="59">
        <f t="shared" si="94"/>
        <v>169.55868564318885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17.957600379998397</v>
      </c>
      <c r="CL118" s="21">
        <f>EXP(-LN(2)/25)*CL117+(1-EXP(-LN(2)/25))/(LN(2)/25)*Calculateur!CG118*Calculateur!CI118*VLOOKUP('Données projet'!$B$12,Paramètres!$A$1:$I$89,3,0)*0.475*44/12</f>
        <v>5.6871350728729446</v>
      </c>
      <c r="CM118" s="21">
        <f>EXP(-LN(2)/2)*CM117+(1-EXP(-LN(2)/2))/(LN(2)/2)*CG118*CJ118*VLOOKUP('Données projet'!$B$12,Paramètres!$A$1:$I$89,3,0)*0.475*44/12</f>
        <v>3.0932672754835707E-3</v>
      </c>
      <c r="CN118" s="22">
        <f t="shared" si="66"/>
        <v>23.647828720146826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5.5</v>
      </c>
      <c r="N119" s="13">
        <f>IF('Données projet'!$A$36&gt;35,N118+M119-V118,IF(A119&lt;'Données projet'!$A$36,$K$205^A119,IF(A119='Données projet'!$A$36,'Données projet'!$B$36,N118+M119-V118)))</f>
        <v>242.49999999999994</v>
      </c>
      <c r="O119" s="13">
        <f>N119*VLOOKUP('Données projet'!$B$9,Paramètres!$A$1:$I$89,3,0)*VLOOKUP('Données projet'!$B$9,Paramètres!$A$1:$I$89,5,0)</f>
        <v>219.41399999999993</v>
      </c>
      <c r="P119" s="13">
        <f t="shared" si="87"/>
        <v>53.987501751847169</v>
      </c>
      <c r="Q119" s="20">
        <f t="shared" si="107"/>
        <v>476.17428221780034</v>
      </c>
      <c r="R119" s="59">
        <f t="shared" si="55"/>
        <v>757.46852611252189</v>
      </c>
      <c r="S119" s="59">
        <f ca="1">AVERAGE(OFFSET($R$3,0,0,'Données projet'!$E$9+1,1))-AVERAGE(OFFSET($H$3,0,0,'Données projet'!$E$9+1,1))</f>
        <v>469.5773392354356</v>
      </c>
      <c r="T119" s="59">
        <f t="shared" si="88"/>
        <v>187.25344022835239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37.057228471869415</v>
      </c>
      <c r="AA119" s="21">
        <f>EXP(-LN(2)/25)*AA118+(1-EXP(-LN(2)/25))/(LN(2)/25)*Calculateur!V119*Calculateur!X119*VLOOKUP('Données projet'!$B$9,Paramètres!$A$1:$I$89,3,0)*0.475*44/12</f>
        <v>9.7358012078494625</v>
      </c>
      <c r="AB119" s="21">
        <f>EXP(-LN(2)/2)*AB118+(1-EXP(-LN(2)/2))/(LN(2)/2)*V119*Y119*VLOOKUP('Données projet'!$B$9,Paramètres!$A$1:$I$89,3,0)*0.475*44/12</f>
        <v>2.3002191138985784</v>
      </c>
      <c r="AC119" s="22">
        <f t="shared" si="57"/>
        <v>49.093248793617455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5.5</v>
      </c>
      <c r="AI119" s="13">
        <f>IF('Données projet'!$A$62&gt;35,AI118+AH119-AQ118,IF(A119&lt;'Données projet'!$A$62,$AF$205^A119,IF(A119='Données projet'!$A$62,'Données projet'!$B$62,AI118+AH119-AQ118)))</f>
        <v>242.49999999999994</v>
      </c>
      <c r="AJ119" s="13">
        <f>AI119*VLOOKUP('Données projet'!$B$10,Paramètres!$A$1:$I$89,3,0)*VLOOKUP('Données projet'!$B$10,Paramètres!$A$1:$I$89,5,0)</f>
        <v>234.54599999999996</v>
      </c>
      <c r="AK119" s="13">
        <f t="shared" si="89"/>
        <v>57.264510523393774</v>
      </c>
      <c r="AL119" s="20">
        <f t="shared" si="58"/>
        <v>508.23663916157744</v>
      </c>
      <c r="AM119" s="59">
        <f t="shared" si="59"/>
        <v>789.53088305629899</v>
      </c>
      <c r="AN119" s="59">
        <f ca="1">AVERAGE(OFFSET($AM$3,0,0,'Données projet'!$E$10+1,1))-AVERAGE(OFFSET($H$3,0,0,'Données projet'!$E$10+1,1))</f>
        <v>370.91255999489181</v>
      </c>
      <c r="AO119" s="59">
        <f t="shared" si="90"/>
        <v>196.07869248605735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45.230358143445876</v>
      </c>
      <c r="AV119" s="21">
        <f>EXP(-LN(2)/25)*AV118+(1-EXP(-LN(2)/25))/(LN(2)/25)*Calculateur!AQ119*Calculateur!AS119*VLOOKUP('Données projet'!$B$10,Paramètres!$A$1:$I$89,3,0)*0.475*44/12</f>
        <v>9.6550334964447515</v>
      </c>
      <c r="AW119" s="21">
        <f>EXP(-LN(2)/2)*AW118+(1-EXP(-LN(2)/2))/(LN(2)/2)*AQ119*AT119*VLOOKUP('Données projet'!$B$10,Paramètres!$A$1:$I$89,3,0)*0.475*44/12</f>
        <v>2.4588509437353734</v>
      </c>
      <c r="AX119" s="21">
        <f t="shared" si="60"/>
        <v>57.344242583625999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5.5</v>
      </c>
      <c r="BD119" s="12">
        <f>IF('Données projet'!$A$88&gt;35,BD118+BC119-BL118,IF(A119&lt;'Données projet'!$A$88,$BA$205^A119,IF(A119='Données projet'!$A$88,'Données projet'!$B$88,BD118+BC119-BL118)))</f>
        <v>242.49999999999994</v>
      </c>
      <c r="BE119" s="13">
        <f>BD119*VLOOKUP('Données projet'!$B$11,Paramètres!$A$1:$I$89,3,0)*VLOOKUP('Données projet'!$B$11,Paramètres!$A$1:$I$89,5,0)</f>
        <v>261.02699999999993</v>
      </c>
      <c r="BF119" s="13">
        <f t="shared" si="91"/>
        <v>62.94124260162873</v>
      </c>
      <c r="BG119" s="20">
        <f t="shared" si="61"/>
        <v>564.24468919783658</v>
      </c>
      <c r="BH119" s="59">
        <f t="shared" si="62"/>
        <v>845.53893309255807</v>
      </c>
      <c r="BI119" s="59">
        <f ca="1">AVERAGE(OFFSET($BH$3,0,0,'Données projet'!$E$11+1,1))-AVERAGE(OFFSET($H$3,0,0,'Données projet'!$E$11+1,1))</f>
        <v>404.24955007425774</v>
      </c>
      <c r="BJ119" s="59">
        <f t="shared" si="92"/>
        <v>211.49137630071019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50.337011482222003</v>
      </c>
      <c r="BQ119" s="21">
        <f>EXP(-LN(2)/25)*BQ118+(1-EXP(-LN(2)/25))/(LN(2)/25)*Calculateur!BL119*Calculateur!BN119*VLOOKUP('Données projet'!$B$11,Paramètres!$A$1:$I$89,3,0)*0.475*44/12</f>
        <v>10.745117923462711</v>
      </c>
      <c r="BR119" s="21">
        <f>EXP(-LN(2)/2)*BR118+(1-EXP(-LN(2)/2))/(LN(2)/2)*BL119*BO119*VLOOKUP('Données projet'!$B$11,Paramètres!$A$1:$I$89,3,0)*0.475*44/12</f>
        <v>2.7364631470603347</v>
      </c>
      <c r="BS119" s="22">
        <f t="shared" si="63"/>
        <v>63.818592552745045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195.99999999999994</v>
      </c>
      <c r="BZ119" s="13">
        <f>BY119*VLOOKUP('Données projet'!$B$12,Paramètres!$A$1:$I$89,3,0)*VLOOKUP('Données projet'!$B$12,Paramètres!$A$1:$I$89,5,0)</f>
        <v>152.87999999999997</v>
      </c>
      <c r="CA119" s="13">
        <f t="shared" si="93"/>
        <v>39.232349774697852</v>
      </c>
      <c r="CB119" s="20">
        <f t="shared" si="64"/>
        <v>334.59567585759868</v>
      </c>
      <c r="CC119" s="59">
        <f t="shared" si="65"/>
        <v>615.88991975232011</v>
      </c>
      <c r="CD119" s="59">
        <f ca="1">AVERAGE(OFFSET($CC$3,0,0,'Données projet'!$E$12+1,1))-AVERAGE(OFFSET($H$3,0,0,'Données projet'!$E$12+1,1))</f>
        <v>250.01410333089137</v>
      </c>
      <c r="CE119" s="59">
        <f t="shared" si="94"/>
        <v>169.55868564318885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17.605462789601336</v>
      </c>
      <c r="CL119" s="21">
        <f>EXP(-LN(2)/25)*CL118+(1-EXP(-LN(2)/25))/(LN(2)/25)*Calculateur!CG119*Calculateur!CI119*VLOOKUP('Données projet'!$B$12,Paramètres!$A$1:$I$89,3,0)*0.475*44/12</f>
        <v>5.5316200652317988</v>
      </c>
      <c r="CM119" s="21">
        <f>EXP(-LN(2)/2)*CM118+(1-EXP(-LN(2)/2))/(LN(2)/2)*CG119*CJ119*VLOOKUP('Données projet'!$B$12,Paramètres!$A$1:$I$89,3,0)*0.475*44/12</f>
        <v>2.1872702665168692E-3</v>
      </c>
      <c r="CN119" s="22">
        <f t="shared" si="66"/>
        <v>23.139270125099653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5.5</v>
      </c>
      <c r="N120" s="13">
        <f>IF('Données projet'!$A$36&gt;35,N119+M120-V119,IF(A120&lt;'Données projet'!$A$36,$K$205^A120,IF(A120='Données projet'!$A$36,'Données projet'!$B$36,N119+M120-V119)))</f>
        <v>247.99999999999994</v>
      </c>
      <c r="O120" s="13">
        <f>N120*VLOOKUP('Données projet'!$B$9,Paramètres!$A$1:$I$89,3,0)*VLOOKUP('Données projet'!$B$9,Paramètres!$A$1:$I$89,5,0)</f>
        <v>224.39039999999991</v>
      </c>
      <c r="P120" s="13">
        <f t="shared" si="87"/>
        <v>55.068017311015808</v>
      </c>
      <c r="Q120" s="20">
        <f t="shared" si="107"/>
        <v>486.72341015001911</v>
      </c>
      <c r="R120" s="59">
        <f t="shared" si="55"/>
        <v>768.22650533112869</v>
      </c>
      <c r="S120" s="59">
        <f ca="1">AVERAGE(OFFSET($R$3,0,0,'Données projet'!$E$9+1,1))-AVERAGE(OFFSET($H$3,0,0,'Données projet'!$E$9+1,1))</f>
        <v>469.5773392354356</v>
      </c>
      <c r="T120" s="59">
        <f t="shared" si="88"/>
        <v>187.25344022835239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36.330558824213597</v>
      </c>
      <c r="AA120" s="21">
        <f>EXP(-LN(2)/25)*AA119+(1-EXP(-LN(2)/25))/(LN(2)/25)*Calculateur!V120*Calculateur!X120*VLOOKUP('Données projet'!$B$9,Paramètres!$A$1:$I$89,3,0)*0.475*44/12</f>
        <v>9.4695752118372845</v>
      </c>
      <c r="AB120" s="21">
        <f>EXP(-LN(2)/2)*AB119+(1-EXP(-LN(2)/2))/(LN(2)/2)*V120*Y120*VLOOKUP('Données projet'!$B$9,Paramètres!$A$1:$I$89,3,0)*0.475*44/12</f>
        <v>1.6265005336525964</v>
      </c>
      <c r="AC120" s="22">
        <f t="shared" si="57"/>
        <v>47.426634569703474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5.5</v>
      </c>
      <c r="AI120" s="13">
        <f>IF('Données projet'!$A$62&gt;35,AI119+AH120-AQ119,IF(A120&lt;'Données projet'!$A$62,$AF$205^A120,IF(A120='Données projet'!$A$62,'Données projet'!$B$62,AI119+AH120-AQ119)))</f>
        <v>247.99999999999994</v>
      </c>
      <c r="AJ120" s="13">
        <f>AI120*VLOOKUP('Données projet'!$B$10,Paramètres!$A$1:$I$89,3,0)*VLOOKUP('Données projet'!$B$10,Paramètres!$A$1:$I$89,5,0)</f>
        <v>239.86559999999994</v>
      </c>
      <c r="AK120" s="13">
        <f t="shared" si="89"/>
        <v>58.410612724846153</v>
      </c>
      <c r="AL120" s="20">
        <f t="shared" si="58"/>
        <v>519.49773716244033</v>
      </c>
      <c r="AM120" s="59">
        <f t="shared" si="59"/>
        <v>801.00083234354997</v>
      </c>
      <c r="AN120" s="59">
        <f ca="1">AVERAGE(OFFSET($AM$3,0,0,'Données projet'!$E$10+1,1))-AVERAGE(OFFSET($H$3,0,0,'Données projet'!$E$10+1,1))</f>
        <v>370.91255999489181</v>
      </c>
      <c r="AO120" s="59">
        <f t="shared" si="90"/>
        <v>196.07869248605735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44.343418408047299</v>
      </c>
      <c r="AV120" s="21">
        <f>EXP(-LN(2)/25)*AV119+(1-EXP(-LN(2)/25))/(LN(2)/25)*Calculateur!AQ120*Calculateur!AS120*VLOOKUP('Données projet'!$B$10,Paramètres!$A$1:$I$89,3,0)*0.475*44/12</f>
        <v>9.3910160977483255</v>
      </c>
      <c r="AW120" s="21">
        <f>EXP(-LN(2)/2)*AW119+(1-EXP(-LN(2)/2))/(LN(2)/2)*AQ120*AT120*VLOOKUP('Données projet'!$B$10,Paramètres!$A$1:$I$89,3,0)*0.475*44/12</f>
        <v>1.7386701762422248</v>
      </c>
      <c r="AX120" s="21">
        <f t="shared" si="60"/>
        <v>55.473104682037849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5.5</v>
      </c>
      <c r="BD120" s="12">
        <f>IF('Données projet'!$A$88&gt;35,BD119+BC120-BL119,IF(A120&lt;'Données projet'!$A$88,$BA$205^A120,IF(A120='Données projet'!$A$88,'Données projet'!$B$88,BD119+BC120-BL119)))</f>
        <v>247.99999999999994</v>
      </c>
      <c r="BE120" s="13">
        <f>BD120*VLOOKUP('Données projet'!$B$11,Paramètres!$A$1:$I$89,3,0)*VLOOKUP('Données projet'!$B$11,Paramètres!$A$1:$I$89,5,0)</f>
        <v>266.94719999999995</v>
      </c>
      <c r="BF120" s="13">
        <f t="shared" si="91"/>
        <v>64.200959938746379</v>
      </c>
      <c r="BG120" s="20">
        <f t="shared" si="61"/>
        <v>576.74971189331654</v>
      </c>
      <c r="BH120" s="59">
        <f t="shared" si="62"/>
        <v>858.25280707442619</v>
      </c>
      <c r="BI120" s="59">
        <f ca="1">AVERAGE(OFFSET($BH$3,0,0,'Données projet'!$E$11+1,1))-AVERAGE(OFFSET($H$3,0,0,'Données projet'!$E$11+1,1))</f>
        <v>404.24955007425774</v>
      </c>
      <c r="BJ120" s="59">
        <f t="shared" si="92"/>
        <v>211.49137630071019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49.349933389601013</v>
      </c>
      <c r="BQ120" s="21">
        <f>EXP(-LN(2)/25)*BQ119+(1-EXP(-LN(2)/25))/(LN(2)/25)*Calculateur!BL120*Calculateur!BN120*VLOOKUP('Données projet'!$B$11,Paramètres!$A$1:$I$89,3,0)*0.475*44/12</f>
        <v>10.451292108784431</v>
      </c>
      <c r="BR120" s="21">
        <f>EXP(-LN(2)/2)*BR119+(1-EXP(-LN(2)/2))/(LN(2)/2)*BL120*BO120*VLOOKUP('Données projet'!$B$11,Paramètres!$A$1:$I$89,3,0)*0.475*44/12</f>
        <v>1.9349716477534433</v>
      </c>
      <c r="BS120" s="22">
        <f t="shared" si="63"/>
        <v>61.736197146138885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195.99999999999994</v>
      </c>
      <c r="BZ120" s="13">
        <f>BY120*VLOOKUP('Données projet'!$B$12,Paramètres!$A$1:$I$89,3,0)*VLOOKUP('Données projet'!$B$12,Paramètres!$A$1:$I$89,5,0)</f>
        <v>152.87999999999997</v>
      </c>
      <c r="CA120" s="13">
        <f t="shared" si="93"/>
        <v>39.232349774697852</v>
      </c>
      <c r="CB120" s="20">
        <f t="shared" si="64"/>
        <v>334.59567585759868</v>
      </c>
      <c r="CC120" s="59">
        <f t="shared" si="65"/>
        <v>616.09877103870826</v>
      </c>
      <c r="CD120" s="59">
        <f ca="1">AVERAGE(OFFSET($CC$3,0,0,'Données projet'!$E$12+1,1))-AVERAGE(OFFSET($H$3,0,0,'Données projet'!$E$12+1,1))</f>
        <v>250.01410333089137</v>
      </c>
      <c r="CE120" s="59">
        <f t="shared" si="94"/>
        <v>169.55868564318885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17.260230402569238</v>
      </c>
      <c r="CL120" s="21">
        <f>EXP(-LN(2)/25)*CL119+(1-EXP(-LN(2)/25))/(LN(2)/25)*Calculateur!CG120*Calculateur!CI120*VLOOKUP('Données projet'!$B$12,Paramètres!$A$1:$I$89,3,0)*0.475*44/12</f>
        <v>5.3803576236527784</v>
      </c>
      <c r="CM120" s="21">
        <f>EXP(-LN(2)/2)*CM119+(1-EXP(-LN(2)/2))/(LN(2)/2)*CG120*CJ120*VLOOKUP('Données projet'!$B$12,Paramètres!$A$1:$I$89,3,0)*0.475*44/12</f>
        <v>1.5466336377417853E-3</v>
      </c>
      <c r="CN120" s="22">
        <f t="shared" si="66"/>
        <v>22.642134659859757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5.5</v>
      </c>
      <c r="N121" s="13">
        <f>IF('Données projet'!$A$36&gt;35,N120+M121-V120,IF(A121&lt;'Données projet'!$A$36,$K$205^A121,IF(A121='Données projet'!$A$36,'Données projet'!$B$36,N120+M121-V120)))</f>
        <v>253.49999999999994</v>
      </c>
      <c r="O121" s="13">
        <f>N121*VLOOKUP('Données projet'!$B$9,Paramètres!$A$1:$I$89,3,0)*VLOOKUP('Données projet'!$B$9,Paramètres!$A$1:$I$89,5,0)</f>
        <v>229.36679999999993</v>
      </c>
      <c r="P121" s="13">
        <f t="shared" si="87"/>
        <v>56.14574692729505</v>
      </c>
      <c r="Q121" s="20">
        <f t="shared" si="107"/>
        <v>497.26768589837201</v>
      </c>
      <c r="R121" s="59">
        <f t="shared" si="55"/>
        <v>778.97600926297241</v>
      </c>
      <c r="S121" s="59">
        <f ca="1">AVERAGE(OFFSET($R$3,0,0,'Données projet'!$E$9+1,1))-AVERAGE(OFFSET($H$3,0,0,'Données projet'!$E$9+1,1))</f>
        <v>469.5773392354356</v>
      </c>
      <c r="T121" s="59">
        <f t="shared" si="88"/>
        <v>187.25344022835239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35.618138725123586</v>
      </c>
      <c r="AA121" s="21">
        <f>EXP(-LN(2)/25)*AA120+(1-EXP(-LN(2)/25))/(LN(2)/25)*Calculateur!V121*Calculateur!X121*VLOOKUP('Données projet'!$B$9,Paramètres!$A$1:$I$89,3,0)*0.475*44/12</f>
        <v>9.2106291796862774</v>
      </c>
      <c r="AB121" s="21">
        <f>EXP(-LN(2)/2)*AB120+(1-EXP(-LN(2)/2))/(LN(2)/2)*V121*Y121*VLOOKUP('Données projet'!$B$9,Paramètres!$A$1:$I$89,3,0)*0.475*44/12</f>
        <v>1.1501095569492894</v>
      </c>
      <c r="AC121" s="22">
        <f t="shared" si="57"/>
        <v>45.978877461759154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5.5</v>
      </c>
      <c r="AI121" s="13">
        <f>IF('Données projet'!$A$62&gt;35,AI120+AH121-AQ120,IF(A121&lt;'Données projet'!$A$62,$AF$205^A121,IF(A121='Données projet'!$A$62,'Données projet'!$B$62,AI120+AH121-AQ120)))</f>
        <v>253.49999999999994</v>
      </c>
      <c r="AJ121" s="13">
        <f>AI121*VLOOKUP('Données projet'!$B$10,Paramètres!$A$1:$I$89,3,0)*VLOOKUP('Données projet'!$B$10,Paramètres!$A$1:$I$89,5,0)</f>
        <v>245.18519999999995</v>
      </c>
      <c r="AK121" s="13">
        <f t="shared" si="89"/>
        <v>59.553759878357077</v>
      </c>
      <c r="AL121" s="20">
        <f t="shared" si="58"/>
        <v>530.75368845480523</v>
      </c>
      <c r="AM121" s="59">
        <f t="shared" si="59"/>
        <v>812.46201181940569</v>
      </c>
      <c r="AN121" s="59">
        <f ca="1">AVERAGE(OFFSET($AM$3,0,0,'Données projet'!$E$10+1,1))-AVERAGE(OFFSET($H$3,0,0,'Données projet'!$E$10+1,1))</f>
        <v>370.91255999489181</v>
      </c>
      <c r="AO121" s="59">
        <f t="shared" si="90"/>
        <v>196.07869248605735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43.473871019880072</v>
      </c>
      <c r="AV121" s="21">
        <f>EXP(-LN(2)/25)*AV120+(1-EXP(-LN(2)/25))/(LN(2)/25)*Calculateur!AQ121*Calculateur!AS121*VLOOKUP('Données projet'!$B$10,Paramètres!$A$1:$I$89,3,0)*0.475*44/12</f>
        <v>9.1342182687033251</v>
      </c>
      <c r="AW121" s="21">
        <f>EXP(-LN(2)/2)*AW120+(1-EXP(-LN(2)/2))/(LN(2)/2)*AQ121*AT121*VLOOKUP('Données projet'!$B$10,Paramètres!$A$1:$I$89,3,0)*0.475*44/12</f>
        <v>1.2294254718676869</v>
      </c>
      <c r="AX121" s="21">
        <f t="shared" si="60"/>
        <v>53.837514760451086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5.5</v>
      </c>
      <c r="BD121" s="12">
        <f>IF('Données projet'!$A$88&gt;35,BD120+BC121-BL120,IF(A121&lt;'Données projet'!$A$88,$BA$205^A121,IF(A121='Données projet'!$A$88,'Données projet'!$B$88,BD120+BC121-BL120)))</f>
        <v>253.49999999999994</v>
      </c>
      <c r="BE121" s="13">
        <f>BD121*VLOOKUP('Données projet'!$B$11,Paramètres!$A$1:$I$89,3,0)*VLOOKUP('Données projet'!$B$11,Paramètres!$A$1:$I$89,5,0)</f>
        <v>272.86739999999992</v>
      </c>
      <c r="BF121" s="13">
        <f t="shared" si="91"/>
        <v>65.457429288800483</v>
      </c>
      <c r="BG121" s="20">
        <f t="shared" si="61"/>
        <v>589.24907767799402</v>
      </c>
      <c r="BH121" s="59">
        <f t="shared" si="62"/>
        <v>870.95740104259448</v>
      </c>
      <c r="BI121" s="59">
        <f ca="1">AVERAGE(OFFSET($BH$3,0,0,'Données projet'!$E$11+1,1))-AVERAGE(OFFSET($H$3,0,0,'Données projet'!$E$11+1,1))</f>
        <v>404.24955007425774</v>
      </c>
      <c r="BJ121" s="59">
        <f t="shared" si="92"/>
        <v>211.49137630071019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48.382211296318125</v>
      </c>
      <c r="BQ121" s="21">
        <f>EXP(-LN(2)/25)*BQ120+(1-EXP(-LN(2)/25))/(LN(2)/25)*Calculateur!BL121*Calculateur!BN121*VLOOKUP('Données projet'!$B$11,Paramètres!$A$1:$I$89,3,0)*0.475*44/12</f>
        <v>10.165500976460155</v>
      </c>
      <c r="BR121" s="21">
        <f>EXP(-LN(2)/2)*BR120+(1-EXP(-LN(2)/2))/(LN(2)/2)*BL121*BO121*VLOOKUP('Données projet'!$B$11,Paramètres!$A$1:$I$89,3,0)*0.475*44/12</f>
        <v>1.3682315735301676</v>
      </c>
      <c r="BS121" s="22">
        <f t="shared" si="63"/>
        <v>59.915943846308451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195.99999999999994</v>
      </c>
      <c r="BZ121" s="13">
        <f>BY121*VLOOKUP('Données projet'!$B$12,Paramètres!$A$1:$I$89,3,0)*VLOOKUP('Données projet'!$B$12,Paramètres!$A$1:$I$89,5,0)</f>
        <v>152.87999999999997</v>
      </c>
      <c r="CA121" s="13">
        <f t="shared" si="93"/>
        <v>39.232349774697852</v>
      </c>
      <c r="CB121" s="20">
        <f t="shared" si="64"/>
        <v>334.59567585759868</v>
      </c>
      <c r="CC121" s="59">
        <f t="shared" si="65"/>
        <v>616.30399922219908</v>
      </c>
      <c r="CD121" s="59">
        <f ca="1">AVERAGE(OFFSET($CC$3,0,0,'Données projet'!$E$12+1,1))-AVERAGE(OFFSET($H$3,0,0,'Données projet'!$E$12+1,1))</f>
        <v>250.01410333089137</v>
      </c>
      <c r="CE121" s="59">
        <f t="shared" si="94"/>
        <v>169.55868564318885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16.921767812075878</v>
      </c>
      <c r="CL121" s="21">
        <f>EXP(-LN(2)/25)*CL120+(1-EXP(-LN(2)/25))/(LN(2)/25)*Calculateur!CG121*Calculateur!CI121*VLOOKUP('Données projet'!$B$12,Paramètres!$A$1:$I$89,3,0)*0.475*44/12</f>
        <v>5.2332314614932827</v>
      </c>
      <c r="CM121" s="21">
        <f>EXP(-LN(2)/2)*CM120+(1-EXP(-LN(2)/2))/(LN(2)/2)*CG121*CJ121*VLOOKUP('Données projet'!$B$12,Paramètres!$A$1:$I$89,3,0)*0.475*44/12</f>
        <v>1.0936351332584346E-3</v>
      </c>
      <c r="CN121" s="22">
        <f t="shared" si="66"/>
        <v>22.156092908702419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5.5</v>
      </c>
      <c r="N122" s="13">
        <f>IF('Données projet'!$A$36&gt;35,N121+M122-V121,IF(A122&lt;'Données projet'!$A$36,$K$205^A122,IF(A122='Données projet'!$A$36,'Données projet'!$B$36,N121+M122-V121)))</f>
        <v>258.99999999999994</v>
      </c>
      <c r="O122" s="13">
        <f>N122*VLOOKUP('Données projet'!$B$9,Paramètres!$A$1:$I$89,3,0)*VLOOKUP('Données projet'!$B$9,Paramètres!$A$1:$I$89,5,0)</f>
        <v>234.34319999999997</v>
      </c>
      <c r="P122" s="13">
        <f t="shared" si="87"/>
        <v>57.220758006491614</v>
      </c>
      <c r="Q122" s="20">
        <f t="shared" si="107"/>
        <v>507.80722686130616</v>
      </c>
      <c r="R122" s="59">
        <f t="shared" si="55"/>
        <v>789.71721815923524</v>
      </c>
      <c r="S122" s="59">
        <f ca="1">AVERAGE(OFFSET($R$3,0,0,'Données projet'!$E$9+1,1))-AVERAGE(OFFSET($H$3,0,0,'Données projet'!$E$9+1,1))</f>
        <v>469.5773392354356</v>
      </c>
      <c r="T122" s="59">
        <f t="shared" si="88"/>
        <v>187.25344022835239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34.919688749643377</v>
      </c>
      <c r="AA122" s="21">
        <f>EXP(-LN(2)/25)*AA121+(1-EXP(-LN(2)/25))/(LN(2)/25)*Calculateur!V122*Calculateur!X122*VLOOKUP('Données projet'!$B$9,Paramètres!$A$1:$I$89,3,0)*0.475*44/12</f>
        <v>8.9587640404018192</v>
      </c>
      <c r="AB122" s="21">
        <f>EXP(-LN(2)/2)*AB121+(1-EXP(-LN(2)/2))/(LN(2)/2)*V122*Y122*VLOOKUP('Données projet'!$B$9,Paramètres!$A$1:$I$89,3,0)*0.475*44/12</f>
        <v>0.81325026682629831</v>
      </c>
      <c r="AC122" s="22">
        <f t="shared" si="57"/>
        <v>44.691703056871496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5.5</v>
      </c>
      <c r="AI122" s="13">
        <f>IF('Données projet'!$A$62&gt;35,AI121+AH122-AQ121,IF(A122&lt;'Données projet'!$A$62,$AF$205^A122,IF(A122='Données projet'!$A$62,'Données projet'!$B$62,AI121+AH122-AQ121)))</f>
        <v>258.99999999999994</v>
      </c>
      <c r="AJ122" s="13">
        <f>AI122*VLOOKUP('Données projet'!$B$10,Paramètres!$A$1:$I$89,3,0)*VLOOKUP('Données projet'!$B$10,Paramètres!$A$1:$I$89,5,0)</f>
        <v>250.50479999999993</v>
      </c>
      <c r="AK122" s="13">
        <f t="shared" si="89"/>
        <v>60.694023481225365</v>
      </c>
      <c r="AL122" s="20">
        <f t="shared" si="58"/>
        <v>542.00461756313405</v>
      </c>
      <c r="AM122" s="59">
        <f t="shared" si="59"/>
        <v>823.91460886106324</v>
      </c>
      <c r="AN122" s="59">
        <f ca="1">AVERAGE(OFFSET($AM$3,0,0,'Données projet'!$E$10+1,1))-AVERAGE(OFFSET($H$3,0,0,'Données projet'!$E$10+1,1))</f>
        <v>370.91255999489181</v>
      </c>
      <c r="AO122" s="59">
        <f t="shared" si="90"/>
        <v>196.07869248605735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42.621374925623265</v>
      </c>
      <c r="AV122" s="21">
        <f>EXP(-LN(2)/25)*AV121+(1-EXP(-LN(2)/25))/(LN(2)/25)*Calculateur!AQ122*Calculateur!AS122*VLOOKUP('Données projet'!$B$10,Paramètres!$A$1:$I$89,3,0)*0.475*44/12</f>
        <v>8.8844425897979704</v>
      </c>
      <c r="AW122" s="21">
        <f>EXP(-LN(2)/2)*AW121+(1-EXP(-LN(2)/2))/(LN(2)/2)*AQ122*AT122*VLOOKUP('Données projet'!$B$10,Paramètres!$A$1:$I$89,3,0)*0.475*44/12</f>
        <v>0.86933508812111249</v>
      </c>
      <c r="AX122" s="21">
        <f t="shared" si="60"/>
        <v>52.375152603542347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5.5</v>
      </c>
      <c r="BD122" s="12">
        <f>IF('Données projet'!$A$88&gt;35,BD121+BC122-BL121,IF(A122&lt;'Données projet'!$A$88,$BA$205^A122,IF(A122='Données projet'!$A$88,'Données projet'!$B$88,BD121+BC122-BL121)))</f>
        <v>258.99999999999994</v>
      </c>
      <c r="BE122" s="13">
        <f>BD122*VLOOKUP('Données projet'!$B$11,Paramètres!$A$1:$I$89,3,0)*VLOOKUP('Données projet'!$B$11,Paramètres!$A$1:$I$89,5,0)</f>
        <v>278.78759999999994</v>
      </c>
      <c r="BF122" s="13">
        <f t="shared" si="91"/>
        <v>66.710729236743305</v>
      </c>
      <c r="BG122" s="20">
        <f t="shared" si="61"/>
        <v>601.74292342066121</v>
      </c>
      <c r="BH122" s="59">
        <f t="shared" si="62"/>
        <v>883.65291471859041</v>
      </c>
      <c r="BI122" s="59">
        <f ca="1">AVERAGE(OFFSET($BH$3,0,0,'Données projet'!$E$11+1,1))-AVERAGE(OFFSET($H$3,0,0,'Données projet'!$E$11+1,1))</f>
        <v>404.24955007425774</v>
      </c>
      <c r="BJ122" s="59">
        <f t="shared" si="92"/>
        <v>211.49137630071019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47.433465643032321</v>
      </c>
      <c r="BQ122" s="21">
        <f>EXP(-LN(2)/25)*BQ121+(1-EXP(-LN(2)/25))/(LN(2)/25)*Calculateur!BL122*Calculateur!BN122*VLOOKUP('Données projet'!$B$11,Paramètres!$A$1:$I$89,3,0)*0.475*44/12</f>
        <v>9.8875248176783899</v>
      </c>
      <c r="BR122" s="21">
        <f>EXP(-LN(2)/2)*BR121+(1-EXP(-LN(2)/2))/(LN(2)/2)*BL122*BO122*VLOOKUP('Données projet'!$B$11,Paramètres!$A$1:$I$89,3,0)*0.475*44/12</f>
        <v>0.96748582387672188</v>
      </c>
      <c r="BS122" s="22">
        <f t="shared" si="63"/>
        <v>58.288476284587432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195.99999999999994</v>
      </c>
      <c r="BZ122" s="13">
        <f>BY122*VLOOKUP('Données projet'!$B$12,Paramètres!$A$1:$I$89,3,0)*VLOOKUP('Données projet'!$B$12,Paramètres!$A$1:$I$89,5,0)</f>
        <v>152.87999999999997</v>
      </c>
      <c r="CA122" s="13">
        <f t="shared" si="93"/>
        <v>39.232349774697852</v>
      </c>
      <c r="CB122" s="20">
        <f t="shared" si="64"/>
        <v>334.59567585759868</v>
      </c>
      <c r="CC122" s="59">
        <f t="shared" si="65"/>
        <v>616.50566715552782</v>
      </c>
      <c r="CD122" s="59">
        <f ca="1">AVERAGE(OFFSET($CC$3,0,0,'Données projet'!$E$12+1,1))-AVERAGE(OFFSET($H$3,0,0,'Données projet'!$E$12+1,1))</f>
        <v>250.01410333089137</v>
      </c>
      <c r="CE122" s="59">
        <f t="shared" si="94"/>
        <v>169.55868564318885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16.589942266540294</v>
      </c>
      <c r="CL122" s="21">
        <f>EXP(-LN(2)/25)*CL121+(1-EXP(-LN(2)/25))/(LN(2)/25)*Calculateur!CG122*Calculateur!CI122*VLOOKUP('Données projet'!$B$12,Paramètres!$A$1:$I$89,3,0)*0.475*44/12</f>
        <v>5.090128471975067</v>
      </c>
      <c r="CM122" s="21">
        <f>EXP(-LN(2)/2)*CM121+(1-EXP(-LN(2)/2))/(LN(2)/2)*CG122*CJ122*VLOOKUP('Données projet'!$B$12,Paramètres!$A$1:$I$89,3,0)*0.475*44/12</f>
        <v>7.7331681887089266E-4</v>
      </c>
      <c r="CN122" s="22">
        <f t="shared" si="66"/>
        <v>21.680844055334234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5.5</v>
      </c>
      <c r="N123" s="13">
        <f>IF('Données projet'!$A$36&gt;35,N122+M123-V122,IF(A123&lt;'Données projet'!$A$36,$K$205^A123,IF(A123='Données projet'!$A$36,'Données projet'!$B$36,N122+M123-V122)))</f>
        <v>264.49999999999994</v>
      </c>
      <c r="O123" s="13">
        <f>N123*VLOOKUP('Données projet'!$B$9,Paramètres!$A$1:$I$89,3,0)*VLOOKUP('Données projet'!$B$9,Paramètres!$A$1:$I$89,5,0)</f>
        <v>239.31959999999995</v>
      </c>
      <c r="P123" s="13">
        <f t="shared" si="87"/>
        <v>58.293114928060888</v>
      </c>
      <c r="Q123" s="20">
        <f t="shared" si="107"/>
        <v>518.34214516637257</v>
      </c>
      <c r="R123" s="59">
        <f t="shared" si="55"/>
        <v>800.45030590984925</v>
      </c>
      <c r="S123" s="59">
        <f ca="1">AVERAGE(OFFSET($R$3,0,0,'Données projet'!$E$9+1,1))-AVERAGE(OFFSET($H$3,0,0,'Données projet'!$E$9+1,1))</f>
        <v>469.5773392354356</v>
      </c>
      <c r="T123" s="59">
        <f t="shared" si="88"/>
        <v>187.25344022835239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34.234934952169915</v>
      </c>
      <c r="AA123" s="21">
        <f>EXP(-LN(2)/25)*AA122+(1-EXP(-LN(2)/25))/(LN(2)/25)*Calculateur!V123*Calculateur!X123*VLOOKUP('Données projet'!$B$9,Paramètres!$A$1:$I$89,3,0)*0.475*44/12</f>
        <v>8.7137861665961065</v>
      </c>
      <c r="AB123" s="21">
        <f>EXP(-LN(2)/2)*AB122+(1-EXP(-LN(2)/2))/(LN(2)/2)*V123*Y123*VLOOKUP('Données projet'!$B$9,Paramètres!$A$1:$I$89,3,0)*0.475*44/12</f>
        <v>0.5750547784746447</v>
      </c>
      <c r="AC123" s="22">
        <f t="shared" si="57"/>
        <v>43.523775897240668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5.5</v>
      </c>
      <c r="AI123" s="13">
        <f>IF('Données projet'!$A$62&gt;35,AI122+AH123-AQ122,IF(A123&lt;'Données projet'!$A$62,$AF$205^A123,IF(A123='Données projet'!$A$62,'Données projet'!$B$62,AI122+AH123-AQ122)))</f>
        <v>264.49999999999994</v>
      </c>
      <c r="AJ123" s="13">
        <f>AI123*VLOOKUP('Données projet'!$B$10,Paramètres!$A$1:$I$89,3,0)*VLOOKUP('Données projet'!$B$10,Paramètres!$A$1:$I$89,5,0)</f>
        <v>255.82439999999994</v>
      </c>
      <c r="AK123" s="13">
        <f t="shared" si="89"/>
        <v>61.831471820700337</v>
      </c>
      <c r="AL123" s="20">
        <f t="shared" si="58"/>
        <v>553.25064342105304</v>
      </c>
      <c r="AM123" s="59">
        <f t="shared" si="59"/>
        <v>835.3588041645296</v>
      </c>
      <c r="AN123" s="59">
        <f ca="1">AVERAGE(OFFSET($AM$3,0,0,'Données projet'!$E$10+1,1))-AVERAGE(OFFSET($H$3,0,0,'Données projet'!$E$10+1,1))</f>
        <v>370.91255999489181</v>
      </c>
      <c r="AO123" s="59">
        <f t="shared" si="90"/>
        <v>196.07869248605735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41.785595759803556</v>
      </c>
      <c r="AV123" s="21">
        <f>EXP(-LN(2)/25)*AV122+(1-EXP(-LN(2)/25))/(LN(2)/25)*Calculateur!AQ123*Calculateur!AS123*VLOOKUP('Données projet'!$B$10,Paramètres!$A$1:$I$89,3,0)*0.475*44/12</f>
        <v>8.6414970399674154</v>
      </c>
      <c r="AW123" s="21">
        <f>EXP(-LN(2)/2)*AW122+(1-EXP(-LN(2)/2))/(LN(2)/2)*AQ123*AT123*VLOOKUP('Données projet'!$B$10,Paramètres!$A$1:$I$89,3,0)*0.475*44/12</f>
        <v>0.61471273593384357</v>
      </c>
      <c r="AX123" s="21">
        <f t="shared" si="60"/>
        <v>51.041805535704817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5.5</v>
      </c>
      <c r="BD123" s="12">
        <f>IF('Données projet'!$A$88&gt;35,BD122+BC123-BL122,IF(A123&lt;'Données projet'!$A$88,$BA$205^A123,IF(A123='Données projet'!$A$88,'Données projet'!$B$88,BD122+BC123-BL122)))</f>
        <v>264.49999999999994</v>
      </c>
      <c r="BE123" s="13">
        <f>BD123*VLOOKUP('Données projet'!$B$11,Paramètres!$A$1:$I$89,3,0)*VLOOKUP('Données projet'!$B$11,Paramètres!$A$1:$I$89,5,0)</f>
        <v>284.70779999999991</v>
      </c>
      <c r="BF123" s="13">
        <f t="shared" si="91"/>
        <v>67.960934839259721</v>
      </c>
      <c r="BG123" s="20">
        <f t="shared" si="61"/>
        <v>614.23137984504376</v>
      </c>
      <c r="BH123" s="59">
        <f t="shared" si="62"/>
        <v>896.33954058852032</v>
      </c>
      <c r="BI123" s="59">
        <f ca="1">AVERAGE(OFFSET($BH$3,0,0,'Données projet'!$E$11+1,1))-AVERAGE(OFFSET($H$3,0,0,'Données projet'!$E$11+1,1))</f>
        <v>404.24955007425774</v>
      </c>
      <c r="BJ123" s="59">
        <f t="shared" si="92"/>
        <v>211.49137630071019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46.503324313329742</v>
      </c>
      <c r="BQ123" s="21">
        <f>EXP(-LN(2)/25)*BQ122+(1-EXP(-LN(2)/25))/(LN(2)/25)*Calculateur!BL123*Calculateur!BN123*VLOOKUP('Données projet'!$B$11,Paramètres!$A$1:$I$89,3,0)*0.475*44/12</f>
        <v>9.6171499315766429</v>
      </c>
      <c r="BR123" s="21">
        <f>EXP(-LN(2)/2)*BR122+(1-EXP(-LN(2)/2))/(LN(2)/2)*BL123*BO123*VLOOKUP('Données projet'!$B$11,Paramètres!$A$1:$I$89,3,0)*0.475*44/12</f>
        <v>0.68411578676508389</v>
      </c>
      <c r="BS123" s="22">
        <f t="shared" si="63"/>
        <v>56.804590031671466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195.99999999999994</v>
      </c>
      <c r="BZ123" s="13">
        <f>BY123*VLOOKUP('Données projet'!$B$12,Paramètres!$A$1:$I$89,3,0)*VLOOKUP('Données projet'!$B$12,Paramètres!$A$1:$I$89,5,0)</f>
        <v>152.87999999999997</v>
      </c>
      <c r="CA123" s="13">
        <f t="shared" si="93"/>
        <v>39.232349774697852</v>
      </c>
      <c r="CB123" s="20">
        <f t="shared" si="64"/>
        <v>334.59567585759868</v>
      </c>
      <c r="CC123" s="59">
        <f t="shared" si="65"/>
        <v>616.7038366010753</v>
      </c>
      <c r="CD123" s="59">
        <f ca="1">AVERAGE(OFFSET($CC$3,0,0,'Données projet'!$E$12+1,1))-AVERAGE(OFFSET($H$3,0,0,'Données projet'!$E$12+1,1))</f>
        <v>250.01410333089137</v>
      </c>
      <c r="CE123" s="59">
        <f t="shared" si="94"/>
        <v>169.55868564318885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16.264623617559067</v>
      </c>
      <c r="CL123" s="21">
        <f>EXP(-LN(2)/25)*CL122+(1-EXP(-LN(2)/25))/(LN(2)/25)*Calculateur!CG123*Calculateur!CI123*VLOOKUP('Données projet'!$B$12,Paramètres!$A$1:$I$89,3,0)*0.475*44/12</f>
        <v>4.9509386412306862</v>
      </c>
      <c r="CM123" s="21">
        <f>EXP(-LN(2)/2)*CM122+(1-EXP(-LN(2)/2))/(LN(2)/2)*CG123*CJ123*VLOOKUP('Données projet'!$B$12,Paramètres!$A$1:$I$89,3,0)*0.475*44/12</f>
        <v>5.4681756662921729E-4</v>
      </c>
      <c r="CN123" s="22">
        <f t="shared" si="66"/>
        <v>21.216109076356382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5.5</v>
      </c>
      <c r="N124" s="13">
        <f>IF('Données projet'!$A$36&gt;35,N123+M124-V123,IF(A124&lt;'Données projet'!$A$36,$K$205^A124,IF(A124='Données projet'!$A$36,'Données projet'!$B$36,N123+M124-V123)))</f>
        <v>269.99999999999994</v>
      </c>
      <c r="O124" s="13">
        <f>N124*VLOOKUP('Données projet'!$B$9,Paramètres!$A$1:$I$89,3,0)*VLOOKUP('Données projet'!$B$9,Paramètres!$A$1:$I$89,5,0)</f>
        <v>244.29599999999996</v>
      </c>
      <c r="P124" s="13">
        <f t="shared" si="87"/>
        <v>59.362879241040368</v>
      </c>
      <c r="Q124" s="20">
        <f t="shared" si="107"/>
        <v>528.87254801147856</v>
      </c>
      <c r="R124" s="59">
        <f t="shared" si="55"/>
        <v>811.17544040366295</v>
      </c>
      <c r="S124" s="59">
        <f ca="1">AVERAGE(OFFSET($R$3,0,0,'Données projet'!$E$9+1,1))-AVERAGE(OFFSET($H$3,0,0,'Données projet'!$E$9+1,1))</f>
        <v>469.5773392354356</v>
      </c>
      <c r="T124" s="59">
        <f t="shared" si="88"/>
        <v>187.25344022835239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33.563608759006335</v>
      </c>
      <c r="AA124" s="21">
        <f>EXP(-LN(2)/25)*AA123+(1-EXP(-LN(2)/25))/(LN(2)/25)*Calculateur!V124*Calculateur!X124*VLOOKUP('Données projet'!$B$9,Paramètres!$A$1:$I$89,3,0)*0.475*44/12</f>
        <v>8.4755072256324375</v>
      </c>
      <c r="AB124" s="21">
        <f>EXP(-LN(2)/2)*AB123+(1-EXP(-LN(2)/2))/(LN(2)/2)*V124*Y124*VLOOKUP('Données projet'!$B$9,Paramètres!$A$1:$I$89,3,0)*0.475*44/12</f>
        <v>0.40662513341314915</v>
      </c>
      <c r="AC124" s="22">
        <f t="shared" si="57"/>
        <v>42.44574111805192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5.5</v>
      </c>
      <c r="AI124" s="13">
        <f>IF('Données projet'!$A$62&gt;35,AI123+AH124-AQ123,IF(A124&lt;'Données projet'!$A$62,$AF$205^A124,IF(A124='Données projet'!$A$62,'Données projet'!$B$62,AI123+AH124-AQ123)))</f>
        <v>269.99999999999994</v>
      </c>
      <c r="AJ124" s="13">
        <f>AI124*VLOOKUP('Données projet'!$B$10,Paramètres!$A$1:$I$89,3,0)*VLOOKUP('Données projet'!$B$10,Paramètres!$A$1:$I$89,5,0)</f>
        <v>261.14399999999995</v>
      </c>
      <c r="AK124" s="13">
        <f t="shared" si="89"/>
        <v>62.966170181808813</v>
      </c>
      <c r="AL124" s="20">
        <f t="shared" si="58"/>
        <v>564.49187973331686</v>
      </c>
      <c r="AM124" s="59">
        <f t="shared" si="59"/>
        <v>846.79477212550125</v>
      </c>
      <c r="AN124" s="59">
        <f ca="1">AVERAGE(OFFSET($AM$3,0,0,'Données projet'!$E$10+1,1))-AVERAGE(OFFSET($H$3,0,0,'Données projet'!$E$10+1,1))</f>
        <v>370.91255999489181</v>
      </c>
      <c r="AO124" s="59">
        <f t="shared" si="90"/>
        <v>196.07869248605735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40.966205713650616</v>
      </c>
      <c r="AV124" s="21">
        <f>EXP(-LN(2)/25)*AV123+(1-EXP(-LN(2)/25))/(LN(2)/25)*Calculateur!AQ124*Calculateur!AS124*VLOOKUP('Données projet'!$B$10,Paramètres!$A$1:$I$89,3,0)*0.475*44/12</f>
        <v>8.4051948489729273</v>
      </c>
      <c r="AW124" s="21">
        <f>EXP(-LN(2)/2)*AW123+(1-EXP(-LN(2)/2))/(LN(2)/2)*AQ124*AT124*VLOOKUP('Données projet'!$B$10,Paramètres!$A$1:$I$89,3,0)*0.475*44/12</f>
        <v>0.4346675440605563</v>
      </c>
      <c r="AX124" s="21">
        <f t="shared" si="60"/>
        <v>49.806068106684101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5.5</v>
      </c>
      <c r="BD124" s="12">
        <f>IF('Données projet'!$A$88&gt;35,BD123+BC124-BL123,IF(A124&lt;'Données projet'!$A$88,$BA$205^A124,IF(A124='Données projet'!$A$88,'Données projet'!$B$88,BD123+BC124-BL123)))</f>
        <v>269.99999999999994</v>
      </c>
      <c r="BE124" s="13">
        <f>BD124*VLOOKUP('Données projet'!$B$11,Paramètres!$A$1:$I$89,3,0)*VLOOKUP('Données projet'!$B$11,Paramètres!$A$1:$I$89,5,0)</f>
        <v>290.62799999999993</v>
      </c>
      <c r="BF124" s="13">
        <f t="shared" si="91"/>
        <v>69.208117853196882</v>
      </c>
      <c r="BG124" s="20">
        <f t="shared" si="61"/>
        <v>626.71457192765104</v>
      </c>
      <c r="BH124" s="59">
        <f t="shared" si="62"/>
        <v>909.01746431983543</v>
      </c>
      <c r="BI124" s="59">
        <f ca="1">AVERAGE(OFFSET($BH$3,0,0,'Données projet'!$E$11+1,1))-AVERAGE(OFFSET($H$3,0,0,'Données projet'!$E$11+1,1))</f>
        <v>404.24955007425774</v>
      </c>
      <c r="BJ124" s="59">
        <f t="shared" si="92"/>
        <v>211.49137630071019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45.591422487772441</v>
      </c>
      <c r="BQ124" s="21">
        <f>EXP(-LN(2)/25)*BQ123+(1-EXP(-LN(2)/25))/(LN(2)/25)*Calculateur!BL124*Calculateur!BN124*VLOOKUP('Données projet'!$B$11,Paramètres!$A$1:$I$89,3,0)*0.475*44/12</f>
        <v>9.3541684609537441</v>
      </c>
      <c r="BR124" s="21">
        <f>EXP(-LN(2)/2)*BR123+(1-EXP(-LN(2)/2))/(LN(2)/2)*BL124*BO124*VLOOKUP('Données projet'!$B$11,Paramètres!$A$1:$I$89,3,0)*0.475*44/12</f>
        <v>0.483742911938361</v>
      </c>
      <c r="BS124" s="22">
        <f t="shared" si="63"/>
        <v>55.429333860664549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195.99999999999994</v>
      </c>
      <c r="BZ124" s="13">
        <f>BY124*VLOOKUP('Données projet'!$B$12,Paramètres!$A$1:$I$89,3,0)*VLOOKUP('Données projet'!$B$12,Paramètres!$A$1:$I$89,5,0)</f>
        <v>152.87999999999997</v>
      </c>
      <c r="CA124" s="13">
        <f t="shared" si="93"/>
        <v>39.232349774697852</v>
      </c>
      <c r="CB124" s="20">
        <f t="shared" si="64"/>
        <v>334.59567585759868</v>
      </c>
      <c r="CC124" s="59">
        <f t="shared" si="65"/>
        <v>616.89856824978301</v>
      </c>
      <c r="CD124" s="59">
        <f ca="1">AVERAGE(OFFSET($CC$3,0,0,'Données projet'!$E$12+1,1))-AVERAGE(OFFSET($H$3,0,0,'Données projet'!$E$12+1,1))</f>
        <v>250.01410333089137</v>
      </c>
      <c r="CE124" s="59">
        <f t="shared" si="94"/>
        <v>169.55868564318885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15.945684268859578</v>
      </c>
      <c r="CL124" s="21">
        <f>EXP(-LN(2)/25)*CL123+(1-EXP(-LN(2)/25))/(LN(2)/25)*Calculateur!CG124*Calculateur!CI124*VLOOKUP('Données projet'!$B$12,Paramètres!$A$1:$I$89,3,0)*0.475*44/12</f>
        <v>4.8155549637276858</v>
      </c>
      <c r="CM124" s="21">
        <f>EXP(-LN(2)/2)*CM123+(1-EXP(-LN(2)/2))/(LN(2)/2)*CG124*CJ124*VLOOKUP('Données projet'!$B$12,Paramètres!$A$1:$I$89,3,0)*0.475*44/12</f>
        <v>3.8665840943544633E-4</v>
      </c>
      <c r="CN124" s="22">
        <f t="shared" si="66"/>
        <v>20.761625890996701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5.5</v>
      </c>
      <c r="N125" s="13">
        <f>IF('Données projet'!$A$36&gt;35,N124+M125-V124,IF(A125&lt;'Données projet'!$A$36,$K$205^A125,IF(A125='Données projet'!$A$36,'Données projet'!$B$36,N124+M125-V124)))</f>
        <v>275.49999999999994</v>
      </c>
      <c r="O125" s="13">
        <f>N125*VLOOKUP('Données projet'!$B$9,Paramètres!$A$1:$I$89,3,0)*VLOOKUP('Données projet'!$B$9,Paramètres!$A$1:$I$89,5,0)</f>
        <v>249.27239999999995</v>
      </c>
      <c r="P125" s="13">
        <f t="shared" si="87"/>
        <v>60.430109843567763</v>
      </c>
      <c r="Q125" s="20">
        <f t="shared" si="107"/>
        <v>539.39853797754711</v>
      </c>
      <c r="R125" s="59">
        <f t="shared" si="55"/>
        <v>821.89278385968896</v>
      </c>
      <c r="S125" s="59">
        <f ca="1">AVERAGE(OFFSET($R$3,0,0,'Données projet'!$E$9+1,1))-AVERAGE(OFFSET($H$3,0,0,'Données projet'!$E$9+1,1))</f>
        <v>469.5773392354356</v>
      </c>
      <c r="T125" s="59">
        <f t="shared" si="88"/>
        <v>187.25344022835239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32.905446863022142</v>
      </c>
      <c r="AA125" s="21">
        <f>EXP(-LN(2)/25)*AA124+(1-EXP(-LN(2)/25))/(LN(2)/25)*Calculateur!V125*Calculateur!X125*VLOOKUP('Données projet'!$B$9,Paramètres!$A$1:$I$89,3,0)*0.475*44/12</f>
        <v>8.2437440348399651</v>
      </c>
      <c r="AB125" s="21">
        <f>EXP(-LN(2)/2)*AB124+(1-EXP(-LN(2)/2))/(LN(2)/2)*V125*Y125*VLOOKUP('Données projet'!$B$9,Paramètres!$A$1:$I$89,3,0)*0.475*44/12</f>
        <v>0.28752738923732235</v>
      </c>
      <c r="AC125" s="22">
        <f t="shared" si="57"/>
        <v>41.436718287099431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5.5</v>
      </c>
      <c r="AI125" s="13">
        <f>IF('Données projet'!$A$62&gt;35,AI124+AH125-AQ124,IF(A125&lt;'Données projet'!$A$62,$AF$205^A125,IF(A125='Données projet'!$A$62,'Données projet'!$B$62,AI124+AH125-AQ124)))</f>
        <v>275.49999999999994</v>
      </c>
      <c r="AJ125" s="13">
        <f>AI125*VLOOKUP('Données projet'!$B$10,Paramètres!$A$1:$I$89,3,0)*VLOOKUP('Données projet'!$B$10,Paramètres!$A$1:$I$89,5,0)</f>
        <v>266.46359999999999</v>
      </c>
      <c r="AK125" s="13">
        <f t="shared" si="89"/>
        <v>64.098181037770061</v>
      </c>
      <c r="AL125" s="20">
        <f t="shared" si="58"/>
        <v>575.72843530744956</v>
      </c>
      <c r="AM125" s="59">
        <f t="shared" si="59"/>
        <v>858.22268118959141</v>
      </c>
      <c r="AN125" s="59">
        <f ca="1">AVERAGE(OFFSET($AM$3,0,0,'Données projet'!$E$10+1,1))-AVERAGE(OFFSET($H$3,0,0,'Données projet'!$E$10+1,1))</f>
        <v>370.91255999489181</v>
      </c>
      <c r="AO125" s="59">
        <f t="shared" si="90"/>
        <v>196.07869248605735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40.162883406524159</v>
      </c>
      <c r="AV125" s="21">
        <f>EXP(-LN(2)/25)*AV124+(1-EXP(-LN(2)/25))/(LN(2)/25)*Calculateur!AQ125*Calculateur!AS125*VLOOKUP('Données projet'!$B$10,Paramètres!$A$1:$I$89,3,0)*0.475*44/12</f>
        <v>8.1753543538177755</v>
      </c>
      <c r="AW125" s="21">
        <f>EXP(-LN(2)/2)*AW124+(1-EXP(-LN(2)/2))/(LN(2)/2)*AQ125*AT125*VLOOKUP('Données projet'!$B$10,Paramètres!$A$1:$I$89,3,0)*0.475*44/12</f>
        <v>0.30735636796692178</v>
      </c>
      <c r="AX125" s="21">
        <f t="shared" si="60"/>
        <v>48.645594128308858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5.5</v>
      </c>
      <c r="BD125" s="12">
        <f>IF('Données projet'!$A$88&gt;35,BD124+BC125-BL124,IF(A125&lt;'Données projet'!$A$88,$BA$205^A125,IF(A125='Données projet'!$A$88,'Données projet'!$B$88,BD124+BC125-BL124)))</f>
        <v>275.49999999999994</v>
      </c>
      <c r="BE125" s="13">
        <f>BD125*VLOOKUP('Données projet'!$B$11,Paramètres!$A$1:$I$89,3,0)*VLOOKUP('Données projet'!$B$11,Paramètres!$A$1:$I$89,5,0)</f>
        <v>296.54819999999989</v>
      </c>
      <c r="BF125" s="13">
        <f t="shared" si="91"/>
        <v>70.452346944854398</v>
      </c>
      <c r="BG125" s="20">
        <f t="shared" si="61"/>
        <v>639.19261926228785</v>
      </c>
      <c r="BH125" s="59">
        <f t="shared" si="62"/>
        <v>921.6868651444297</v>
      </c>
      <c r="BI125" s="59">
        <f ca="1">AVERAGE(OFFSET($BH$3,0,0,'Données projet'!$E$11+1,1))-AVERAGE(OFFSET($H$3,0,0,'Données projet'!$E$11+1,1))</f>
        <v>404.24955007425774</v>
      </c>
      <c r="BJ125" s="59">
        <f t="shared" si="92"/>
        <v>211.49137630071019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44.697402500809126</v>
      </c>
      <c r="BQ125" s="21">
        <f>EXP(-LN(2)/25)*BQ124+(1-EXP(-LN(2)/25))/(LN(2)/25)*Calculateur!BL125*Calculateur!BN125*VLOOKUP('Données projet'!$B$11,Paramètres!$A$1:$I$89,3,0)*0.475*44/12</f>
        <v>9.098378232474623</v>
      </c>
      <c r="BR125" s="21">
        <f>EXP(-LN(2)/2)*BR124+(1-EXP(-LN(2)/2))/(LN(2)/2)*BL125*BO125*VLOOKUP('Données projet'!$B$11,Paramètres!$A$1:$I$89,3,0)*0.475*44/12</f>
        <v>0.342057893382542</v>
      </c>
      <c r="BS125" s="22">
        <f t="shared" si="63"/>
        <v>54.137838626666294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195.99999999999994</v>
      </c>
      <c r="BZ125" s="13">
        <f>BY125*VLOOKUP('Données projet'!$B$12,Paramètres!$A$1:$I$89,3,0)*VLOOKUP('Données projet'!$B$12,Paramètres!$A$1:$I$89,5,0)</f>
        <v>152.87999999999997</v>
      </c>
      <c r="CA125" s="13">
        <f t="shared" si="93"/>
        <v>39.232349774697852</v>
      </c>
      <c r="CB125" s="20">
        <f t="shared" si="64"/>
        <v>334.59567585759868</v>
      </c>
      <c r="CC125" s="59">
        <f t="shared" si="65"/>
        <v>617.08992173974048</v>
      </c>
      <c r="CD125" s="59">
        <f ca="1">AVERAGE(OFFSET($CC$3,0,0,'Données projet'!$E$12+1,1))-AVERAGE(OFFSET($H$3,0,0,'Données projet'!$E$12+1,1))</f>
        <v>250.01410333089137</v>
      </c>
      <c r="CE125" s="59">
        <f t="shared" si="94"/>
        <v>169.55868564318885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15.632999126254292</v>
      </c>
      <c r="CL125" s="21">
        <f>EXP(-LN(2)/25)*CL124+(1-EXP(-LN(2)/25))/(LN(2)/25)*Calculateur!CG125*Calculateur!CI125*VLOOKUP('Données projet'!$B$12,Paramètres!$A$1:$I$89,3,0)*0.475*44/12</f>
        <v>4.6838733600055225</v>
      </c>
      <c r="CM125" s="21">
        <f>EXP(-LN(2)/2)*CM124+(1-EXP(-LN(2)/2))/(LN(2)/2)*CG125*CJ125*VLOOKUP('Données projet'!$B$12,Paramètres!$A$1:$I$89,3,0)*0.475*44/12</f>
        <v>2.7340878331460865E-4</v>
      </c>
      <c r="CN125" s="22">
        <f t="shared" si="66"/>
        <v>20.317145895043129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5.5</v>
      </c>
      <c r="N126" s="13">
        <f>IF('Données projet'!$A$36&gt;35,N125+M126-V125,IF(A126&lt;'Données projet'!$A$36,$K$205^A126,IF(A126='Données projet'!$A$36,'Données projet'!$B$36,N125+M126-V125)))</f>
        <v>280.99999999999994</v>
      </c>
      <c r="O126" s="13">
        <f>N126*VLOOKUP('Données projet'!$B$9,Paramètres!$A$1:$I$89,3,0)*VLOOKUP('Données projet'!$B$9,Paramètres!$A$1:$I$89,5,0)</f>
        <v>254.24879999999996</v>
      </c>
      <c r="P126" s="13">
        <f t="shared" si="87"/>
        <v>61.494863147658862</v>
      </c>
      <c r="Q126" s="20">
        <f t="shared" si="107"/>
        <v>549.92021331550575</v>
      </c>
      <c r="R126" s="59">
        <f t="shared" si="55"/>
        <v>832.60249313235636</v>
      </c>
      <c r="S126" s="59">
        <f ca="1">AVERAGE(OFFSET($R$3,0,0,'Données projet'!$E$9+1,1))-AVERAGE(OFFSET($H$3,0,0,'Données projet'!$E$9+1,1))</f>
        <v>469.5773392354356</v>
      </c>
      <c r="T126" s="59">
        <f t="shared" si="88"/>
        <v>187.25344022835239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32.260191120379083</v>
      </c>
      <c r="AA126" s="21">
        <f>EXP(-LN(2)/25)*AA125+(1-EXP(-LN(2)/25))/(LN(2)/25)*Calculateur!V126*Calculateur!X126*VLOOKUP('Données projet'!$B$9,Paramètres!$A$1:$I$89,3,0)*0.475*44/12</f>
        <v>8.0183184206876081</v>
      </c>
      <c r="AB126" s="21">
        <f>EXP(-LN(2)/2)*AB125+(1-EXP(-LN(2)/2))/(LN(2)/2)*V126*Y126*VLOOKUP('Données projet'!$B$9,Paramètres!$A$1:$I$89,3,0)*0.475*44/12</f>
        <v>0.20331256670657458</v>
      </c>
      <c r="AC126" s="22">
        <f t="shared" si="57"/>
        <v>40.481822107773262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5.5</v>
      </c>
      <c r="AI126" s="13">
        <f>IF('Données projet'!$A$62&gt;35,AI125+AH126-AQ125,IF(A126&lt;'Données projet'!$A$62,$AF$205^A126,IF(A126='Données projet'!$A$62,'Données projet'!$B$62,AI125+AH126-AQ125)))</f>
        <v>280.99999999999994</v>
      </c>
      <c r="AJ126" s="13">
        <f>AI126*VLOOKUP('Données projet'!$B$10,Paramètres!$A$1:$I$89,3,0)*VLOOKUP('Données projet'!$B$10,Paramètres!$A$1:$I$89,5,0)</f>
        <v>271.78319999999997</v>
      </c>
      <c r="AK126" s="13">
        <f t="shared" si="89"/>
        <v>65.227564224775122</v>
      </c>
      <c r="AL126" s="20">
        <f t="shared" si="58"/>
        <v>586.96041435814993</v>
      </c>
      <c r="AM126" s="59">
        <f t="shared" si="59"/>
        <v>869.64269417500054</v>
      </c>
      <c r="AN126" s="59">
        <f ca="1">AVERAGE(OFFSET($AM$3,0,0,'Données projet'!$E$10+1,1))-AVERAGE(OFFSET($H$3,0,0,'Données projet'!$E$10+1,1))</f>
        <v>370.91255999489181</v>
      </c>
      <c r="AO126" s="59">
        <f t="shared" si="90"/>
        <v>196.07869248605735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39.375313759862223</v>
      </c>
      <c r="AV126" s="21">
        <f>EXP(-LN(2)/25)*AV125+(1-EXP(-LN(2)/25))/(LN(2)/25)*Calculateur!AQ126*Calculateur!AS126*VLOOKUP('Données projet'!$B$10,Paramètres!$A$1:$I$89,3,0)*0.475*44/12</f>
        <v>7.9517988590894282</v>
      </c>
      <c r="AW126" s="21">
        <f>EXP(-LN(2)/2)*AW125+(1-EXP(-LN(2)/2))/(LN(2)/2)*AQ126*AT126*VLOOKUP('Données projet'!$B$10,Paramètres!$A$1:$I$89,3,0)*0.475*44/12</f>
        <v>0.21733377203027815</v>
      </c>
      <c r="AX126" s="21">
        <f t="shared" si="60"/>
        <v>47.544446390981932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5.5</v>
      </c>
      <c r="BD126" s="12">
        <f>IF('Données projet'!$A$88&gt;35,BD125+BC126-BL125,IF(A126&lt;'Données projet'!$A$88,$BA$205^A126,IF(A126='Données projet'!$A$88,'Données projet'!$B$88,BD125+BC126-BL125)))</f>
        <v>280.99999999999994</v>
      </c>
      <c r="BE126" s="13">
        <f>BD126*VLOOKUP('Données projet'!$B$11,Paramètres!$A$1:$I$89,3,0)*VLOOKUP('Données projet'!$B$11,Paramètres!$A$1:$I$89,5,0)</f>
        <v>302.46839999999992</v>
      </c>
      <c r="BF126" s="13">
        <f t="shared" si="91"/>
        <v>71.693687882090742</v>
      </c>
      <c r="BG126" s="20">
        <f t="shared" si="61"/>
        <v>651.66563639464118</v>
      </c>
      <c r="BH126" s="59">
        <f t="shared" si="62"/>
        <v>934.34791621149179</v>
      </c>
      <c r="BI126" s="59">
        <f ca="1">AVERAGE(OFFSET($BH$3,0,0,'Données projet'!$E$11+1,1))-AVERAGE(OFFSET($H$3,0,0,'Données projet'!$E$11+1,1))</f>
        <v>404.24955007425774</v>
      </c>
      <c r="BJ126" s="59">
        <f t="shared" si="92"/>
        <v>211.49137630071019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43.820913700491815</v>
      </c>
      <c r="BQ126" s="21">
        <f>EXP(-LN(2)/25)*BQ125+(1-EXP(-LN(2)/25))/(LN(2)/25)*Calculateur!BL126*Calculateur!BN126*VLOOKUP('Données projet'!$B$11,Paramètres!$A$1:$I$89,3,0)*0.475*44/12</f>
        <v>8.8495826012446877</v>
      </c>
      <c r="BR126" s="21">
        <f>EXP(-LN(2)/2)*BR125+(1-EXP(-LN(2)/2))/(LN(2)/2)*BL126*BO126*VLOOKUP('Données projet'!$B$11,Paramètres!$A$1:$I$89,3,0)*0.475*44/12</f>
        <v>0.24187145596918055</v>
      </c>
      <c r="BS126" s="22">
        <f t="shared" si="63"/>
        <v>52.912367757705688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195.99999999999994</v>
      </c>
      <c r="BZ126" s="13">
        <f>BY126*VLOOKUP('Données projet'!$B$12,Paramètres!$A$1:$I$89,3,0)*VLOOKUP('Données projet'!$B$12,Paramètres!$A$1:$I$89,5,0)</f>
        <v>152.87999999999997</v>
      </c>
      <c r="CA126" s="13">
        <f t="shared" si="93"/>
        <v>39.232349774697852</v>
      </c>
      <c r="CB126" s="20">
        <f t="shared" si="64"/>
        <v>334.59567585759868</v>
      </c>
      <c r="CC126" s="59">
        <f t="shared" si="65"/>
        <v>617.27795567444934</v>
      </c>
      <c r="CD126" s="59">
        <f ca="1">AVERAGE(OFFSET($CC$3,0,0,'Données projet'!$E$12+1,1))-AVERAGE(OFFSET($H$3,0,0,'Données projet'!$E$12+1,1))</f>
        <v>250.01410333089137</v>
      </c>
      <c r="CE126" s="59">
        <f t="shared" si="94"/>
        <v>169.55868564318885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15.326445548576391</v>
      </c>
      <c r="CL126" s="21">
        <f>EXP(-LN(2)/25)*CL125+(1-EXP(-LN(2)/25))/(LN(2)/25)*Calculateur!CG126*Calculateur!CI126*VLOOKUP('Données projet'!$B$12,Paramètres!$A$1:$I$89,3,0)*0.475*44/12</f>
        <v>4.555792596661977</v>
      </c>
      <c r="CM126" s="21">
        <f>EXP(-LN(2)/2)*CM125+(1-EXP(-LN(2)/2))/(LN(2)/2)*CG126*CJ126*VLOOKUP('Données projet'!$B$12,Paramètres!$A$1:$I$89,3,0)*0.475*44/12</f>
        <v>1.9332920471772317E-4</v>
      </c>
      <c r="CN126" s="22">
        <f t="shared" si="66"/>
        <v>19.882431474443084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5.5</v>
      </c>
      <c r="N127" s="13">
        <f>IF('Données projet'!$A$36&gt;35,N126+M127-V126,IF(A127&lt;'Données projet'!$A$36,$K$205^A127,IF(A127='Données projet'!$A$36,'Données projet'!$B$36,N126+M127-V126)))</f>
        <v>286.49999999999994</v>
      </c>
      <c r="O127" s="13">
        <f>N127*VLOOKUP('Données projet'!$B$9,Paramètres!$A$1:$I$89,3,0)*VLOOKUP('Données projet'!$B$9,Paramètres!$A$1:$I$89,5,0)</f>
        <v>259.22519999999997</v>
      </c>
      <c r="P127" s="13">
        <f t="shared" si="87"/>
        <v>62.557193230719982</v>
      </c>
      <c r="Q127" s="20">
        <f t="shared" si="107"/>
        <v>560.4376682101705</v>
      </c>
      <c r="R127" s="59">
        <f t="shared" si="55"/>
        <v>843.30471999334384</v>
      </c>
      <c r="S127" s="59">
        <f ca="1">AVERAGE(OFFSET($R$3,0,0,'Données projet'!$E$9+1,1))-AVERAGE(OFFSET($H$3,0,0,'Données projet'!$E$9+1,1))</f>
        <v>469.5773392354356</v>
      </c>
      <c r="T127" s="59">
        <f t="shared" si="88"/>
        <v>187.25344022835239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31.627588449282111</v>
      </c>
      <c r="AA127" s="21">
        <f>EXP(-LN(2)/25)*AA126+(1-EXP(-LN(2)/25))/(LN(2)/25)*Calculateur!V127*Calculateur!X127*VLOOKUP('Données projet'!$B$9,Paramètres!$A$1:$I$89,3,0)*0.475*44/12</f>
        <v>7.7990570818088658</v>
      </c>
      <c r="AB127" s="21">
        <f>EXP(-LN(2)/2)*AB126+(1-EXP(-LN(2)/2))/(LN(2)/2)*V127*Y127*VLOOKUP('Données projet'!$B$9,Paramètres!$A$1:$I$89,3,0)*0.475*44/12</f>
        <v>0.14376369461866118</v>
      </c>
      <c r="AC127" s="22">
        <f t="shared" si="57"/>
        <v>39.570409225709639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5.5</v>
      </c>
      <c r="AI127" s="13">
        <f>IF('Données projet'!$A$62&gt;35,AI126+AH127-AQ126,IF(A127&lt;'Données projet'!$A$62,$AF$205^A127,IF(A127='Données projet'!$A$62,'Données projet'!$B$62,AI126+AH127-AQ126)))</f>
        <v>286.49999999999994</v>
      </c>
      <c r="AJ127" s="13">
        <f>AI127*VLOOKUP('Données projet'!$B$10,Paramètres!$A$1:$I$89,3,0)*VLOOKUP('Données projet'!$B$10,Paramètres!$A$1:$I$89,5,0)</f>
        <v>277.10279999999995</v>
      </c>
      <c r="AK127" s="13">
        <f t="shared" si="89"/>
        <v>66.354377102696205</v>
      </c>
      <c r="AL127" s="20">
        <f t="shared" si="58"/>
        <v>598.18791678719572</v>
      </c>
      <c r="AM127" s="59">
        <f t="shared" si="59"/>
        <v>881.05496857036906</v>
      </c>
      <c r="AN127" s="59">
        <f ca="1">AVERAGE(OFFSET($AM$3,0,0,'Données projet'!$E$10+1,1))-AVERAGE(OFFSET($H$3,0,0,'Données projet'!$E$10+1,1))</f>
        <v>370.91255999489181</v>
      </c>
      <c r="AO127" s="59">
        <f t="shared" si="90"/>
        <v>196.07869248605735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38.603187873601279</v>
      </c>
      <c r="AV127" s="21">
        <f>EXP(-LN(2)/25)*AV126+(1-EXP(-LN(2)/25))/(LN(2)/25)*Calculateur!AQ127*Calculateur!AS127*VLOOKUP('Données projet'!$B$10,Paramètres!$A$1:$I$89,3,0)*0.475*44/12</f>
        <v>7.7343565011206996</v>
      </c>
      <c r="AW127" s="21">
        <f>EXP(-LN(2)/2)*AW126+(1-EXP(-LN(2)/2))/(LN(2)/2)*AQ127*AT127*VLOOKUP('Données projet'!$B$10,Paramètres!$A$1:$I$89,3,0)*0.475*44/12</f>
        <v>0.15367818398346089</v>
      </c>
      <c r="AX127" s="21">
        <f t="shared" si="60"/>
        <v>46.491222558705438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5.5</v>
      </c>
      <c r="BD127" s="12">
        <f>IF('Données projet'!$A$88&gt;35,BD126+BC127-BL126,IF(A127&lt;'Données projet'!$A$88,$BA$205^A127,IF(A127='Données projet'!$A$88,'Données projet'!$B$88,BD126+BC127-BL126)))</f>
        <v>286.49999999999994</v>
      </c>
      <c r="BE127" s="13">
        <f>BD127*VLOOKUP('Données projet'!$B$11,Paramètres!$A$1:$I$89,3,0)*VLOOKUP('Données projet'!$B$11,Paramètres!$A$1:$I$89,5,0)</f>
        <v>308.38859999999994</v>
      </c>
      <c r="BF127" s="13">
        <f t="shared" si="91"/>
        <v>72.932203710963435</v>
      </c>
      <c r="BG127" s="20">
        <f t="shared" si="61"/>
        <v>664.13373312992792</v>
      </c>
      <c r="BH127" s="59">
        <f t="shared" si="62"/>
        <v>947.00078491310126</v>
      </c>
      <c r="BI127" s="59">
        <f ca="1">AVERAGE(OFFSET($BH$3,0,0,'Données projet'!$E$11+1,1))-AVERAGE(OFFSET($H$3,0,0,'Données projet'!$E$11+1,1))</f>
        <v>404.24955007425774</v>
      </c>
      <c r="BJ127" s="59">
        <f t="shared" si="92"/>
        <v>211.49137630071019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42.961612310943345</v>
      </c>
      <c r="BQ127" s="21">
        <f>EXP(-LN(2)/25)*BQ126+(1-EXP(-LN(2)/25))/(LN(2)/25)*Calculateur!BL127*Calculateur!BN127*VLOOKUP('Données projet'!$B$11,Paramètres!$A$1:$I$89,3,0)*0.475*44/12</f>
        <v>8.6075902996343281</v>
      </c>
      <c r="BR127" s="21">
        <f>EXP(-LN(2)/2)*BR126+(1-EXP(-LN(2)/2))/(LN(2)/2)*BL127*BO127*VLOOKUP('Données projet'!$B$11,Paramètres!$A$1:$I$89,3,0)*0.475*44/12</f>
        <v>0.17102894669127103</v>
      </c>
      <c r="BS127" s="22">
        <f t="shared" si="63"/>
        <v>51.740231557268949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195.99999999999994</v>
      </c>
      <c r="BZ127" s="13">
        <f>BY127*VLOOKUP('Données projet'!$B$12,Paramètres!$A$1:$I$89,3,0)*VLOOKUP('Données projet'!$B$12,Paramètres!$A$1:$I$89,5,0)</f>
        <v>152.87999999999997</v>
      </c>
      <c r="CA127" s="13">
        <f t="shared" si="93"/>
        <v>39.232349774697852</v>
      </c>
      <c r="CB127" s="20">
        <f t="shared" si="64"/>
        <v>334.59567585759868</v>
      </c>
      <c r="CC127" s="59">
        <f t="shared" si="65"/>
        <v>617.46272764077207</v>
      </c>
      <c r="CD127" s="59">
        <f ca="1">AVERAGE(OFFSET($CC$3,0,0,'Données projet'!$E$12+1,1))-AVERAGE(OFFSET($H$3,0,0,'Données projet'!$E$12+1,1))</f>
        <v>250.01410333089137</v>
      </c>
      <c r="CE127" s="59">
        <f t="shared" si="94"/>
        <v>169.55868564318885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15.025903299577534</v>
      </c>
      <c r="CL127" s="21">
        <f>EXP(-LN(2)/25)*CL126+(1-EXP(-LN(2)/25))/(LN(2)/25)*Calculateur!CG127*Calculateur!CI127*VLOOKUP('Données projet'!$B$12,Paramètres!$A$1:$I$89,3,0)*0.475*44/12</f>
        <v>4.4312142085275346</v>
      </c>
      <c r="CM127" s="21">
        <f>EXP(-LN(2)/2)*CM126+(1-EXP(-LN(2)/2))/(LN(2)/2)*CG127*CJ127*VLOOKUP('Données projet'!$B$12,Paramètres!$A$1:$I$89,3,0)*0.475*44/12</f>
        <v>1.3670439165730432E-4</v>
      </c>
      <c r="CN127" s="22">
        <f t="shared" si="66"/>
        <v>19.457254212496725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292</v>
      </c>
      <c r="L128" s="12">
        <f>VLOOKUP(A128,'Données projet'!$A$35:$I$55,9,0)</f>
        <v>5.5</v>
      </c>
      <c r="M128" s="12">
        <f t="array" ref="M128">INDEX(L:L,MIN(IF(ISNUMBER(L128:L324),ROW(L128:L324),"")))</f>
        <v>5.5</v>
      </c>
      <c r="N128" s="13">
        <f>IF('Données projet'!$A$36&gt;35,N127+M128-V127,IF(A128&lt;'Données projet'!$A$36,$K$205^A128,IF(A128='Données projet'!$A$36,'Données projet'!$B$36,N127+M128-V127)))</f>
        <v>291.99999999999994</v>
      </c>
      <c r="O128" s="13">
        <f>N128*VLOOKUP('Données projet'!$B$9,Paramètres!$A$1:$I$89,3,0)*VLOOKUP('Données projet'!$B$9,Paramètres!$A$1:$I$89,5,0)</f>
        <v>264.20159999999993</v>
      </c>
      <c r="P128" s="13">
        <f t="shared" si="87"/>
        <v>63.617151975096768</v>
      </c>
      <c r="Q128" s="20">
        <f t="shared" si="107"/>
        <v>570.95099302329334</v>
      </c>
      <c r="R128" s="59">
        <f t="shared" si="55"/>
        <v>853.99961139226184</v>
      </c>
      <c r="S128" s="59">
        <f ca="1">AVERAGE(OFFSET($R$3,0,0,'Données projet'!$E$9+1,1))-AVERAGE(OFFSET($H$3,0,0,'Données projet'!$E$9+1,1))</f>
        <v>469.5773392354356</v>
      </c>
      <c r="T128" s="59">
        <f t="shared" si="88"/>
        <v>187.25344022835239</v>
      </c>
      <c r="U128" s="15">
        <f>IF(ISNA(VLOOKUP(A128,'Données projet'!$A$35:$I$55,3,0)),0,VLOOKUP(A128,'Données projet'!$A$35:$I$55,3,0))</f>
        <v>13</v>
      </c>
      <c r="V128" s="15">
        <f>IF(ISNA(VLOOKUP(A128,'Données projet'!$A$35:$I$55,4,0)),0,VLOOKUP(A128,'Données projet'!$A$35:$I$55,4,0))</f>
        <v>39</v>
      </c>
      <c r="W128" s="16">
        <f>IF(ISNA(VLOOKUP(A128,'Données projet'!$A$35:$I$55,5,0)),0%,VLOOKUP(A128,'Données projet'!$A$35:$I$55,5,0)*VLOOKUP('Données projet'!$B$9,Paramètres!$A$1:$I$89,7,0))</f>
        <v>0.34400000000000003</v>
      </c>
      <c r="X128" s="16">
        <f>IF(ISNA(VLOOKUP(A128,'Données projet'!$A$35:$I$55,6,0)),0%,VLOOKUP(A128,'Données projet'!$A$35:$I$55,6,0)*VLOOKUP('Données projet'!$B$9,Paramètres!$A$1:$I$89,7,0))</f>
        <v>4.3000000000000003E-2</v>
      </c>
      <c r="Y128" s="16">
        <f>IF(ISNA(VLOOKUP(A128,'Données projet'!$A$35:$I$55,7,0)),0%,VLOOKUP(A128,'Données projet'!$A$35:$I$55,7,0))</f>
        <v>0.1</v>
      </c>
      <c r="Z128" s="21">
        <f>EXP(-LN(2)/35)*Z127+(1-EXP(-LN(2)/35))/(LN(2)/35)*V128*W128*VLOOKUP('Données projet'!$B$9,Paramètres!$A$1:$I$89,3,0)*0.475*44/12</f>
        <v>44.426471036285186</v>
      </c>
      <c r="AA128" s="21">
        <f>EXP(-LN(2)/25)*AA127+(1-EXP(-LN(2)/25))/(LN(2)/25)*Calculateur!V128*Calculateur!X128*VLOOKUP('Données projet'!$B$9,Paramètres!$A$1:$I$89,3,0)*0.475*44/12</f>
        <v>9.2565719899392001</v>
      </c>
      <c r="AB128" s="21">
        <f>EXP(-LN(2)/2)*AB127+(1-EXP(-LN(2)/2))/(LN(2)/2)*V128*Y128*VLOOKUP('Données projet'!$B$9,Paramètres!$A$1:$I$89,3,0)*0.475*44/12</f>
        <v>3.4310985774596126</v>
      </c>
      <c r="AC128" s="22">
        <f t="shared" si="57"/>
        <v>57.114141603683997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292</v>
      </c>
      <c r="AG128" s="12">
        <f>VLOOKUP(A128,'Données projet'!$A$61:$I$81,9,0)</f>
        <v>5.5</v>
      </c>
      <c r="AH128" s="12">
        <f t="array" ref="AH128">INDEX(AG:AG,MIN(IF(ISNUMBER(AG128:AG324),ROW(AG128:AG324),"")))</f>
        <v>5.5</v>
      </c>
      <c r="AI128" s="13">
        <f>IF('Données projet'!$A$62&gt;35,AI127+AH128-AQ127,IF(A128&lt;'Données projet'!$A$62,$AF$205^A128,IF(A128='Données projet'!$A$62,'Données projet'!$B$62,AI127+AH128-AQ127)))</f>
        <v>291.99999999999994</v>
      </c>
      <c r="AJ128" s="13">
        <f>AI128*VLOOKUP('Données projet'!$B$10,Paramètres!$A$1:$I$89,3,0)*VLOOKUP('Données projet'!$B$10,Paramètres!$A$1:$I$89,5,0)</f>
        <v>282.42239999999993</v>
      </c>
      <c r="AK128" s="13">
        <f t="shared" si="89"/>
        <v>67.478674703106179</v>
      </c>
      <c r="AL128" s="20">
        <f t="shared" si="58"/>
        <v>609.41103844124325</v>
      </c>
      <c r="AM128" s="59">
        <f t="shared" si="59"/>
        <v>892.45965681021175</v>
      </c>
      <c r="AN128" s="59">
        <f ca="1">AVERAGE(OFFSET($AM$3,0,0,'Données projet'!$E$10+1,1))-AVERAGE(OFFSET($H$3,0,0,'Données projet'!$E$10+1,1))</f>
        <v>370.91255999489181</v>
      </c>
      <c r="AO128" s="59">
        <f t="shared" si="90"/>
        <v>196.07869248605735</v>
      </c>
      <c r="AP128" s="15">
        <f>IF(ISNA(VLOOKUP(A128,'Données projet'!$A$61:$I$81,3,0)),0,VLOOKUP(A128,'Données projet'!$A$61:$I$81,3,0))</f>
        <v>13</v>
      </c>
      <c r="AQ128" s="15">
        <f>IF(ISNA(VLOOKUP(A128,'Données projet'!$A$61:$I$81,4,0)),0,VLOOKUP(A128,'Données projet'!$A$61:$I$81,4,0))</f>
        <v>39</v>
      </c>
      <c r="AR128" s="16">
        <f>IF(ISNA(VLOOKUP(A128,'Données projet'!$A$61:$I$81,5,0)),0%,VLOOKUP(A128,'Données projet'!$A$61:$I$81,5,0)*VLOOKUP('Données projet'!$B$10,Paramètres!$A$1:$I$89,7,0))</f>
        <v>0.34400000000000003</v>
      </c>
      <c r="AS128" s="16">
        <f>IF(ISNA(VLOOKUP(A128,'Données projet'!$A$61:$I$81,6,0)),0%,VLOOKUP(A128,'Données projet'!$A$61:$I$81,6,0)*VLOOKUP('Données projet'!$B$10,Paramètres!$A$1:$I$89,7,0))</f>
        <v>4.3000000000000003E-2</v>
      </c>
      <c r="AT128" s="16">
        <f>IF(ISNA(VLOOKUP(A128,'Données projet'!$A$61:$I$81,7,0)),0%,VLOOKUP(A128,'Données projet'!$A$61:$I$81,7,0))</f>
        <v>0.1</v>
      </c>
      <c r="AU128" s="21">
        <f>EXP(-LN(2)/35)*AU127+(1-EXP(-LN(2)/35))/(LN(2)/35)*AQ128*AR128*VLOOKUP('Données projet'!$B$10,Paramètres!$A$1:$I$89,3,0)*0.475*44/12</f>
        <v>52.190737024766186</v>
      </c>
      <c r="AV128" s="21">
        <f>EXP(-LN(2)/25)*AV127+(1-EXP(-LN(2)/25))/(LN(2)/25)*Calculateur!AQ128*Calculateur!AS128*VLOOKUP('Données projet'!$B$10,Paramètres!$A$1:$I$89,3,0)*0.475*44/12</f>
        <v>9.3088668937680623</v>
      </c>
      <c r="AW128" s="21">
        <f>EXP(-LN(2)/2)*AW127+(1-EXP(-LN(2)/2))/(LN(2)/2)*AQ128*AT128*VLOOKUP('Données projet'!$B$10,Paramètres!$A$1:$I$89,3,0)*0.475*44/12</f>
        <v>3.667725890059832</v>
      </c>
      <c r="AX128" s="21">
        <f t="shared" si="60"/>
        <v>65.167329808594076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292</v>
      </c>
      <c r="BB128" s="12">
        <f>VLOOKUP(A128,'Données projet'!$A$87:$I$107,9,0)</f>
        <v>5.5</v>
      </c>
      <c r="BC128" s="12">
        <f t="array" ref="BC128">INDEX(BB:BB,MIN(IF(ISNUMBER(BB128:BB324),ROW(BB128:BB324),"")))</f>
        <v>5.5</v>
      </c>
      <c r="BD128" s="12">
        <f>IF('Données projet'!$A$88&gt;35,BD127+BC128-BL127,IF(A128&lt;'Données projet'!$A$88,$BA$205^A128,IF(A128='Données projet'!$A$88,'Données projet'!$B$88,BD127+BC128-BL127)))</f>
        <v>291.99999999999994</v>
      </c>
      <c r="BE128" s="13">
        <f>BD128*VLOOKUP('Données projet'!$B$11,Paramètres!$A$1:$I$89,3,0)*VLOOKUP('Données projet'!$B$11,Paramètres!$A$1:$I$89,5,0)</f>
        <v>314.30879999999991</v>
      </c>
      <c r="BF128" s="13">
        <f t="shared" si="91"/>
        <v>74.167954918422382</v>
      </c>
      <c r="BG128" s="20">
        <f t="shared" si="61"/>
        <v>676.59701481625211</v>
      </c>
      <c r="BH128" s="59">
        <f t="shared" si="62"/>
        <v>959.64563318522062</v>
      </c>
      <c r="BI128" s="59">
        <f ca="1">AVERAGE(OFFSET($BH$3,0,0,'Données projet'!$E$11+1,1))-AVERAGE(OFFSET($H$3,0,0,'Données projet'!$E$11+1,1))</f>
        <v>404.24955007425774</v>
      </c>
      <c r="BJ128" s="59">
        <f t="shared" si="92"/>
        <v>211.49137630071019</v>
      </c>
      <c r="BK128" s="15">
        <f>IF(ISNA(VLOOKUP(A128,'Données projet'!$A$87:$I$107,3,0)),0,VLOOKUP(A128,'Données projet'!$A$87:$I$107,3,0))</f>
        <v>13</v>
      </c>
      <c r="BL128" s="15">
        <f>IF(ISNA(VLOOKUP(A128,'Données projet'!$A$87:$I$107,4,0)),0,VLOOKUP(A128,'Données projet'!$A$87:$I$107,4,0))</f>
        <v>39</v>
      </c>
      <c r="BM128" s="16">
        <f>IF(ISNA(VLOOKUP(A128,'Données projet'!$A$87:$I$107,5,0)),0%,VLOOKUP(A128,'Données projet'!$A$87:$I$107,5,0)*VLOOKUP('Données projet'!$B$11,Paramètres!$A$1:$I$89,7,0))</f>
        <v>0.34400000000000003</v>
      </c>
      <c r="BN128" s="16">
        <f>IF(ISNA(VLOOKUP(A128,'Données projet'!$A$87:$I$107,6,0)),0%,VLOOKUP(A128,'Données projet'!$A$87:$I$107,6,0)*VLOOKUP('Données projet'!$B$11,Paramètres!$A$1:$I$89,7,0))</f>
        <v>4.3000000000000003E-2</v>
      </c>
      <c r="BO128" s="16">
        <f>IF(ISNA(VLOOKUP(A128,'Données projet'!$A$87:$I$107,7,0)),0%,VLOOKUP(A128,'Données projet'!$A$87:$I$107,7,0))</f>
        <v>0.1</v>
      </c>
      <c r="BP128" s="21">
        <f>EXP(-LN(2)/35)*BP127+(1-EXP(-LN(2)/35))/(LN(2)/35)*BL128*BM128*VLOOKUP('Données projet'!$B$11,Paramètres!$A$1:$I$89,3,0)*0.475*44/12</f>
        <v>58.083239592078485</v>
      </c>
      <c r="BQ128" s="21">
        <f>EXP(-LN(2)/25)*BQ127+(1-EXP(-LN(2)/25))/(LN(2)/25)*Calculateur!BL128*Calculateur!BN128*VLOOKUP('Données projet'!$B$11,Paramètres!$A$1:$I$89,3,0)*0.475*44/12</f>
        <v>10.35986799467736</v>
      </c>
      <c r="BR128" s="21">
        <f>EXP(-LN(2)/2)*BR127+(1-EXP(-LN(2)/2))/(LN(2)/2)*BL128*BO128*VLOOKUP('Données projet'!$B$11,Paramètres!$A$1:$I$89,3,0)*0.475*44/12</f>
        <v>4.0818239744214253</v>
      </c>
      <c r="BS128" s="22">
        <f t="shared" si="63"/>
        <v>72.524931561177269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195.99999999999994</v>
      </c>
      <c r="BZ128" s="13">
        <f>BY128*VLOOKUP('Données projet'!$B$12,Paramètres!$A$1:$I$89,3,0)*VLOOKUP('Données projet'!$B$12,Paramètres!$A$1:$I$89,5,0)</f>
        <v>152.87999999999997</v>
      </c>
      <c r="CA128" s="13">
        <f t="shared" si="93"/>
        <v>39.232349774697852</v>
      </c>
      <c r="CB128" s="20">
        <f t="shared" si="64"/>
        <v>334.59567585759868</v>
      </c>
      <c r="CC128" s="59">
        <f t="shared" si="65"/>
        <v>617.64429422656713</v>
      </c>
      <c r="CD128" s="59">
        <f ca="1">AVERAGE(OFFSET($CC$3,0,0,'Données projet'!$E$12+1,1))-AVERAGE(OFFSET($H$3,0,0,'Données projet'!$E$12+1,1))</f>
        <v>250.01410333089137</v>
      </c>
      <c r="CE128" s="59">
        <f t="shared" si="94"/>
        <v>169.55868564318885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14.731254500768873</v>
      </c>
      <c r="CL128" s="21">
        <f>EXP(-LN(2)/25)*CL127+(1-EXP(-LN(2)/25))/(LN(2)/25)*Calculateur!CG128*Calculateur!CI128*VLOOKUP('Données projet'!$B$12,Paramètres!$A$1:$I$89,3,0)*0.475*44/12</f>
        <v>4.3100424229679213</v>
      </c>
      <c r="CM128" s="21">
        <f>EXP(-LN(2)/2)*CM127+(1-EXP(-LN(2)/2))/(LN(2)/2)*CG128*CJ128*VLOOKUP('Données projet'!$B$12,Paramètres!$A$1:$I$89,3,0)*0.475*44/12</f>
        <v>9.6664602358861583E-5</v>
      </c>
      <c r="CN128" s="22">
        <f t="shared" si="66"/>
        <v>19.041393588339155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5.6</v>
      </c>
      <c r="N129" s="13">
        <f>IF('Données projet'!$A$36&gt;35,N128+M129-V128,IF(A129&lt;'Données projet'!$A$36,$K$205^A129,IF(A129='Données projet'!$A$36,'Données projet'!$B$36,N128+M129-V128)))</f>
        <v>258.59999999999997</v>
      </c>
      <c r="O129" s="13">
        <f>N129*VLOOKUP('Données projet'!$B$9,Paramètres!$A$1:$I$89,3,0)*VLOOKUP('Données projet'!$B$9,Paramètres!$A$1:$I$89,5,0)</f>
        <v>233.98127999999997</v>
      </c>
      <c r="P129" s="13">
        <f t="shared" si="87"/>
        <v>57.14266563744804</v>
      </c>
      <c r="Q129" s="20">
        <f t="shared" si="107"/>
        <v>507.04087198522188</v>
      </c>
      <c r="R129" s="59">
        <f t="shared" si="55"/>
        <v>790.26790716564415</v>
      </c>
      <c r="S129" s="59">
        <f ca="1">AVERAGE(OFFSET($R$3,0,0,'Données projet'!$E$9+1,1))-AVERAGE(OFFSET($H$3,0,0,'Données projet'!$E$9+1,1))</f>
        <v>469.5773392354356</v>
      </c>
      <c r="T129" s="59">
        <f t="shared" si="88"/>
        <v>187.25344022835239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43.555295036735309</v>
      </c>
      <c r="AA129" s="21">
        <f>EXP(-LN(2)/25)*AA128+(1-EXP(-LN(2)/25))/(LN(2)/25)*Calculateur!V129*Calculateur!X129*VLOOKUP('Données projet'!$B$9,Paramètres!$A$1:$I$89,3,0)*0.475*44/12</f>
        <v>9.0034505420923487</v>
      </c>
      <c r="AB129" s="21">
        <f>EXP(-LN(2)/2)*AB128+(1-EXP(-LN(2)/2))/(LN(2)/2)*V129*Y129*VLOOKUP('Données projet'!$B$9,Paramètres!$A$1:$I$89,3,0)*0.475*44/12</f>
        <v>2.4261530710412087</v>
      </c>
      <c r="AC129" s="22">
        <f t="shared" si="57"/>
        <v>54.98489864986886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252.99999999999994</v>
      </c>
      <c r="AJ129" s="13">
        <f>AI129*VLOOKUP('Données projet'!$B$10,Paramètres!$A$1:$I$89,3,0)*VLOOKUP('Données projet'!$B$10,Paramètres!$A$1:$I$89,5,0)</f>
        <v>244.70159999999993</v>
      </c>
      <c r="AK129" s="13">
        <f t="shared" si="89"/>
        <v>59.44995761550765</v>
      </c>
      <c r="AL129" s="20">
        <f t="shared" si="58"/>
        <v>529.73062951367569</v>
      </c>
      <c r="AM129" s="59">
        <f t="shared" si="59"/>
        <v>812.95766469409796</v>
      </c>
      <c r="AN129" s="59">
        <f ca="1">AVERAGE(OFFSET($AM$3,0,0,'Données projet'!$E$10+1,1))-AVERAGE(OFFSET($H$3,0,0,'Données projet'!$E$10+1,1))</f>
        <v>370.91255999489181</v>
      </c>
      <c r="AO129" s="59">
        <f t="shared" si="90"/>
        <v>196.07869248605735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51.167308504916839</v>
      </c>
      <c r="AV129" s="21">
        <f>EXP(-LN(2)/25)*AV128+(1-EXP(-LN(2)/25))/(LN(2)/25)*Calculateur!AQ129*Calculateur!AS129*VLOOKUP('Données projet'!$B$10,Paramètres!$A$1:$I$89,3,0)*0.475*44/12</f>
        <v>9.0543154390259399</v>
      </c>
      <c r="AW129" s="21">
        <f>EXP(-LN(2)/2)*AW128+(1-EXP(-LN(2)/2))/(LN(2)/2)*AQ129*AT129*VLOOKUP('Données projet'!$B$10,Paramètres!$A$1:$I$89,3,0)*0.475*44/12</f>
        <v>2.593473848394773</v>
      </c>
      <c r="AX129" s="21">
        <f t="shared" si="60"/>
        <v>62.815097792337554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252.99999999999994</v>
      </c>
      <c r="BE129" s="13">
        <f>BD129*VLOOKUP('Données projet'!$B$11,Paramètres!$A$1:$I$89,3,0)*VLOOKUP('Données projet'!$B$11,Paramètres!$A$1:$I$89,5,0)</f>
        <v>272.3291999999999</v>
      </c>
      <c r="BF129" s="13">
        <f t="shared" si="91"/>
        <v>65.34333692428207</v>
      </c>
      <c r="BG129" s="20">
        <f t="shared" si="61"/>
        <v>588.11300180979117</v>
      </c>
      <c r="BH129" s="59">
        <f t="shared" si="62"/>
        <v>871.34003699021332</v>
      </c>
      <c r="BI129" s="59">
        <f ca="1">AVERAGE(OFFSET($BH$3,0,0,'Données projet'!$E$11+1,1))-AVERAGE(OFFSET($H$3,0,0,'Données projet'!$E$11+1,1))</f>
        <v>404.24955007425774</v>
      </c>
      <c r="BJ129" s="59">
        <f t="shared" si="92"/>
        <v>211.49137630071019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56.944262690955824</v>
      </c>
      <c r="BQ129" s="21">
        <f>EXP(-LN(2)/25)*BQ128+(1-EXP(-LN(2)/25))/(LN(2)/25)*Calculateur!BL129*Calculateur!BN129*VLOOKUP('Données projet'!$B$11,Paramètres!$A$1:$I$89,3,0)*0.475*44/12</f>
        <v>10.076576859561127</v>
      </c>
      <c r="BR129" s="21">
        <f>EXP(-LN(2)/2)*BR128+(1-EXP(-LN(2)/2))/(LN(2)/2)*BL129*BO129*VLOOKUP('Données projet'!$B$11,Paramètres!$A$1:$I$89,3,0)*0.475*44/12</f>
        <v>2.8862854119232146</v>
      </c>
      <c r="BS129" s="22">
        <f t="shared" si="63"/>
        <v>69.907124962440164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195.99999999999994</v>
      </c>
      <c r="BZ129" s="13">
        <f>BY129*VLOOKUP('Données projet'!$B$12,Paramètres!$A$1:$I$89,3,0)*VLOOKUP('Données projet'!$B$12,Paramètres!$A$1:$I$89,5,0)</f>
        <v>152.87999999999997</v>
      </c>
      <c r="CA129" s="13">
        <f t="shared" si="93"/>
        <v>39.232349774697852</v>
      </c>
      <c r="CB129" s="20">
        <f t="shared" si="64"/>
        <v>334.59567585759868</v>
      </c>
      <c r="CC129" s="59">
        <f t="shared" si="65"/>
        <v>617.82271103802088</v>
      </c>
      <c r="CD129" s="59">
        <f ca="1">AVERAGE(OFFSET($CC$3,0,0,'Données projet'!$E$12+1,1))-AVERAGE(OFFSET($H$3,0,0,'Données projet'!$E$12+1,1))</f>
        <v>250.01410333089137</v>
      </c>
      <c r="CE129" s="59">
        <f t="shared" si="94"/>
        <v>169.55868564318885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14.442383585186828</v>
      </c>
      <c r="CL129" s="21">
        <f>EXP(-LN(2)/25)*CL128+(1-EXP(-LN(2)/25))/(LN(2)/25)*Calculateur!CG129*Calculateur!CI129*VLOOKUP('Données projet'!$B$12,Paramètres!$A$1:$I$89,3,0)*0.475*44/12</f>
        <v>4.1921840862565833</v>
      </c>
      <c r="CM129" s="21">
        <f>EXP(-LN(2)/2)*CM128+(1-EXP(-LN(2)/2))/(LN(2)/2)*CG129*CJ129*VLOOKUP('Données projet'!$B$12,Paramètres!$A$1:$I$89,3,0)*0.475*44/12</f>
        <v>6.8352195828652162E-5</v>
      </c>
      <c r="CN129" s="22">
        <f t="shared" si="66"/>
        <v>18.634636023639242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5.6</v>
      </c>
      <c r="N130" s="13">
        <f>IF('Données projet'!$A$36&gt;35,N129+M130-V129,IF(A130&lt;'Données projet'!$A$36,$K$205^A130,IF(A130='Données projet'!$A$36,'Données projet'!$B$36,N129+M130-V129)))</f>
        <v>264.2</v>
      </c>
      <c r="O130" s="13">
        <f>N130*VLOOKUP('Données projet'!$B$9,Paramètres!$A$1:$I$89,3,0)*VLOOKUP('Données projet'!$B$9,Paramètres!$A$1:$I$89,5,0)</f>
        <v>239.04816</v>
      </c>
      <c r="P130" s="13">
        <f t="shared" si="87"/>
        <v>58.234690128947292</v>
      </c>
      <c r="Q130" s="20">
        <f t="shared" si="107"/>
        <v>517.76763064124987</v>
      </c>
      <c r="R130" s="59">
        <f t="shared" si="55"/>
        <v>801.16998750032735</v>
      </c>
      <c r="S130" s="59">
        <f ca="1">AVERAGE(OFFSET($R$3,0,0,'Données projet'!$E$9+1,1))-AVERAGE(OFFSET($H$3,0,0,'Données projet'!$E$9+1,1))</f>
        <v>469.5773392354356</v>
      </c>
      <c r="T130" s="59">
        <f t="shared" si="88"/>
        <v>187.25344022835239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42.701202267171716</v>
      </c>
      <c r="AA130" s="21">
        <f>EXP(-LN(2)/25)*AA129+(1-EXP(-LN(2)/25))/(LN(2)/25)*Calculateur!V130*Calculateur!X130*VLOOKUP('Données projet'!$B$9,Paramètres!$A$1:$I$89,3,0)*0.475*44/12</f>
        <v>8.7572507135479469</v>
      </c>
      <c r="AB130" s="21">
        <f>EXP(-LN(2)/2)*AB129+(1-EXP(-LN(2)/2))/(LN(2)/2)*V130*Y130*VLOOKUP('Données projet'!$B$9,Paramètres!$A$1:$I$89,3,0)*0.475*44/12</f>
        <v>1.7155492887298063</v>
      </c>
      <c r="AC130" s="22">
        <f t="shared" si="57"/>
        <v>53.174002269449467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252.99999999999994</v>
      </c>
      <c r="AJ130" s="13">
        <f>AI130*VLOOKUP('Données projet'!$B$10,Paramètres!$A$1:$I$89,3,0)*VLOOKUP('Données projet'!$B$10,Paramètres!$A$1:$I$89,5,0)</f>
        <v>244.70159999999993</v>
      </c>
      <c r="AK130" s="13">
        <f t="shared" si="89"/>
        <v>59.44995761550765</v>
      </c>
      <c r="AL130" s="20">
        <f t="shared" si="58"/>
        <v>529.73062951367569</v>
      </c>
      <c r="AM130" s="59">
        <f t="shared" si="59"/>
        <v>813.13298637275307</v>
      </c>
      <c r="AN130" s="59">
        <f ca="1">AVERAGE(OFFSET($AM$3,0,0,'Données projet'!$E$10+1,1))-AVERAGE(OFFSET($H$3,0,0,'Données projet'!$E$10+1,1))</f>
        <v>370.91255999489181</v>
      </c>
      <c r="AO130" s="59">
        <f t="shared" si="90"/>
        <v>196.07869248605735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50.163948794111981</v>
      </c>
      <c r="AV130" s="21">
        <f>EXP(-LN(2)/25)*AV129+(1-EXP(-LN(2)/25))/(LN(2)/25)*Calculateur!AQ130*Calculateur!AS130*VLOOKUP('Données projet'!$B$10,Paramètres!$A$1:$I$89,3,0)*0.475*44/12</f>
        <v>8.8067247072000203</v>
      </c>
      <c r="AW130" s="21">
        <f>EXP(-LN(2)/2)*AW129+(1-EXP(-LN(2)/2))/(LN(2)/2)*AQ130*AT130*VLOOKUP('Données projet'!$B$10,Paramètres!$A$1:$I$89,3,0)*0.475*44/12</f>
        <v>1.8338629450299162</v>
      </c>
      <c r="AX130" s="21">
        <f t="shared" si="60"/>
        <v>60.804536446341913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252.99999999999994</v>
      </c>
      <c r="BE130" s="13">
        <f>BD130*VLOOKUP('Données projet'!$B$11,Paramètres!$A$1:$I$89,3,0)*VLOOKUP('Données projet'!$B$11,Paramètres!$A$1:$I$89,5,0)</f>
        <v>272.3291999999999</v>
      </c>
      <c r="BF130" s="13">
        <f t="shared" si="91"/>
        <v>65.34333692428207</v>
      </c>
      <c r="BG130" s="20">
        <f t="shared" si="61"/>
        <v>588.11300180979117</v>
      </c>
      <c r="BH130" s="59">
        <f t="shared" si="62"/>
        <v>871.51535866886866</v>
      </c>
      <c r="BI130" s="59">
        <f ca="1">AVERAGE(OFFSET($BH$3,0,0,'Données projet'!$E$11+1,1))-AVERAGE(OFFSET($H$3,0,0,'Données projet'!$E$11+1,1))</f>
        <v>404.24955007425774</v>
      </c>
      <c r="BJ130" s="59">
        <f t="shared" si="92"/>
        <v>211.49137630071019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55.827620432156863</v>
      </c>
      <c r="BQ130" s="21">
        <f>EXP(-LN(2)/25)*BQ129+(1-EXP(-LN(2)/25))/(LN(2)/25)*Calculateur!BL130*Calculateur!BN130*VLOOKUP('Données projet'!$B$11,Paramètres!$A$1:$I$89,3,0)*0.475*44/12</f>
        <v>9.8010323354322821</v>
      </c>
      <c r="BR130" s="21">
        <f>EXP(-LN(2)/2)*BR129+(1-EXP(-LN(2)/2))/(LN(2)/2)*BL130*BO130*VLOOKUP('Données projet'!$B$11,Paramètres!$A$1:$I$89,3,0)*0.475*44/12</f>
        <v>2.0409119872107127</v>
      </c>
      <c r="BS130" s="22">
        <f t="shared" si="63"/>
        <v>67.669564754799865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195.99999999999994</v>
      </c>
      <c r="BZ130" s="13">
        <f>BY130*VLOOKUP('Données projet'!$B$12,Paramètres!$A$1:$I$89,3,0)*VLOOKUP('Données projet'!$B$12,Paramètres!$A$1:$I$89,5,0)</f>
        <v>152.87999999999997</v>
      </c>
      <c r="CA130" s="13">
        <f t="shared" si="93"/>
        <v>39.232349774697852</v>
      </c>
      <c r="CB130" s="20">
        <f t="shared" si="64"/>
        <v>334.59567585759868</v>
      </c>
      <c r="CC130" s="59">
        <f t="shared" si="65"/>
        <v>617.99803271667611</v>
      </c>
      <c r="CD130" s="59">
        <f ca="1">AVERAGE(OFFSET($CC$3,0,0,'Données projet'!$E$12+1,1))-AVERAGE(OFFSET($H$3,0,0,'Données projet'!$E$12+1,1))</f>
        <v>250.01410333089137</v>
      </c>
      <c r="CE130" s="59">
        <f t="shared" si="94"/>
        <v>169.55868564318885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14.159177252065486</v>
      </c>
      <c r="CL130" s="21">
        <f>EXP(-LN(2)/25)*CL129+(1-EXP(-LN(2)/25))/(LN(2)/25)*Calculateur!CG130*Calculateur!CI130*VLOOKUP('Données projet'!$B$12,Paramètres!$A$1:$I$89,3,0)*0.475*44/12</f>
        <v>4.0775485919605172</v>
      </c>
      <c r="CM130" s="21">
        <f>EXP(-LN(2)/2)*CM129+(1-EXP(-LN(2)/2))/(LN(2)/2)*CG130*CJ130*VLOOKUP('Données projet'!$B$12,Paramètres!$A$1:$I$89,3,0)*0.475*44/12</f>
        <v>4.8332301179430791E-5</v>
      </c>
      <c r="CN130" s="22">
        <f t="shared" si="66"/>
        <v>18.236774176327184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5.6</v>
      </c>
      <c r="N131" s="13">
        <f>IF('Données projet'!$A$36&gt;35,N130+M131-V130,IF(A131&lt;'Données projet'!$A$36,$K$205^A131,IF(A131='Données projet'!$A$36,'Données projet'!$B$36,N130+M131-V130)))</f>
        <v>269.8</v>
      </c>
      <c r="O131" s="13">
        <f>N131*VLOOKUP('Données projet'!$B$9,Paramètres!$A$1:$I$89,3,0)*VLOOKUP('Données projet'!$B$9,Paramètres!$A$1:$I$89,5,0)</f>
        <v>244.11504000000002</v>
      </c>
      <c r="P131" s="13">
        <f t="shared" si="87"/>
        <v>59.324023461759062</v>
      </c>
      <c r="Q131" s="20">
        <f t="shared" ref="Q131:Q153" si="108">(O131+P131)*0.475*44/12</f>
        <v>528.48970219589705</v>
      </c>
      <c r="R131" s="59">
        <f t="shared" ref="R131:R194" si="109">Q131+(I131+J131)*44/12</f>
        <v>812.06433929446553</v>
      </c>
      <c r="S131" s="59">
        <f ca="1">AVERAGE(OFFSET($R$3,0,0,'Données projet'!$E$9+1,1))-AVERAGE(OFFSET($H$3,0,0,'Données projet'!$E$9+1,1))</f>
        <v>469.5773392354356</v>
      </c>
      <c r="T131" s="59">
        <f t="shared" si="88"/>
        <v>187.25344022835239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41.863857735874113</v>
      </c>
      <c r="AA131" s="21">
        <f>EXP(-LN(2)/25)*AA130+(1-EXP(-LN(2)/25))/(LN(2)/25)*Calculateur!V131*Calculateur!X131*VLOOKUP('Données projet'!$B$9,Paramètres!$A$1:$I$89,3,0)*0.475*44/12</f>
        <v>8.5177832322621789</v>
      </c>
      <c r="AB131" s="21">
        <f>EXP(-LN(2)/2)*AB130+(1-EXP(-LN(2)/2))/(LN(2)/2)*V131*Y131*VLOOKUP('Données projet'!$B$9,Paramètres!$A$1:$I$89,3,0)*0.475*44/12</f>
        <v>1.2130765355206043</v>
      </c>
      <c r="AC131" s="22">
        <f t="shared" si="57"/>
        <v>51.594717503656902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252.99999999999994</v>
      </c>
      <c r="AJ131" s="13">
        <f>AI131*VLOOKUP('Données projet'!$B$10,Paramètres!$A$1:$I$89,3,0)*VLOOKUP('Données projet'!$B$10,Paramètres!$A$1:$I$89,5,0)</f>
        <v>244.70159999999993</v>
      </c>
      <c r="AK131" s="13">
        <f t="shared" si="89"/>
        <v>59.44995761550765</v>
      </c>
      <c r="AL131" s="20">
        <f t="shared" si="58"/>
        <v>529.73062951367569</v>
      </c>
      <c r="AM131" s="59">
        <f t="shared" si="59"/>
        <v>813.30526661224417</v>
      </c>
      <c r="AN131" s="59">
        <f ca="1">AVERAGE(OFFSET($AM$3,0,0,'Données projet'!$E$10+1,1))-AVERAGE(OFFSET($H$3,0,0,'Données projet'!$E$10+1,1))</f>
        <v>370.91255999489181</v>
      </c>
      <c r="AO131" s="59">
        <f t="shared" si="90"/>
        <v>196.07869248605735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49.180264355247004</v>
      </c>
      <c r="AV131" s="21">
        <f>EXP(-LN(2)/25)*AV130+(1-EXP(-LN(2)/25))/(LN(2)/25)*Calculateur!AQ131*Calculateur!AS131*VLOOKUP('Données projet'!$B$10,Paramètres!$A$1:$I$89,3,0)*0.475*44/12</f>
        <v>8.5659043569561106</v>
      </c>
      <c r="AW131" s="21">
        <f>EXP(-LN(2)/2)*AW130+(1-EXP(-LN(2)/2))/(LN(2)/2)*AQ131*AT131*VLOOKUP('Données projet'!$B$10,Paramètres!$A$1:$I$89,3,0)*0.475*44/12</f>
        <v>1.2967369241973867</v>
      </c>
      <c r="AX131" s="21">
        <f t="shared" si="60"/>
        <v>59.042905636400505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252.99999999999994</v>
      </c>
      <c r="BE131" s="13">
        <f>BD131*VLOOKUP('Données projet'!$B$11,Paramètres!$A$1:$I$89,3,0)*VLOOKUP('Données projet'!$B$11,Paramètres!$A$1:$I$89,5,0)</f>
        <v>272.3291999999999</v>
      </c>
      <c r="BF131" s="13">
        <f t="shared" si="91"/>
        <v>65.34333692428207</v>
      </c>
      <c r="BG131" s="20">
        <f t="shared" si="61"/>
        <v>588.11300180979117</v>
      </c>
      <c r="BH131" s="59">
        <f t="shared" si="62"/>
        <v>871.68763890835976</v>
      </c>
      <c r="BI131" s="59">
        <f ca="1">AVERAGE(OFFSET($BH$3,0,0,'Données projet'!$E$11+1,1))-AVERAGE(OFFSET($H$3,0,0,'Données projet'!$E$11+1,1))</f>
        <v>404.24955007425774</v>
      </c>
      <c r="BJ131" s="59">
        <f t="shared" si="92"/>
        <v>211.49137630071019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54.732874846968429</v>
      </c>
      <c r="BQ131" s="21">
        <f>EXP(-LN(2)/25)*BQ130+(1-EXP(-LN(2)/25))/(LN(2)/25)*Calculateur!BL131*Calculateur!BN131*VLOOKUP('Données projet'!$B$11,Paramètres!$A$1:$I$89,3,0)*0.475*44/12</f>
        <v>9.5330225908059969</v>
      </c>
      <c r="BR131" s="21">
        <f>EXP(-LN(2)/2)*BR130+(1-EXP(-LN(2)/2))/(LN(2)/2)*BL131*BO131*VLOOKUP('Données projet'!$B$11,Paramètres!$A$1:$I$89,3,0)*0.475*44/12</f>
        <v>1.4431427059616073</v>
      </c>
      <c r="BS131" s="22">
        <f t="shared" si="63"/>
        <v>65.709040143736033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195.99999999999994</v>
      </c>
      <c r="BZ131" s="13">
        <f>BY131*VLOOKUP('Données projet'!$B$12,Paramètres!$A$1:$I$89,3,0)*VLOOKUP('Données projet'!$B$12,Paramètres!$A$1:$I$89,5,0)</f>
        <v>152.87999999999997</v>
      </c>
      <c r="CA131" s="13">
        <f t="shared" si="93"/>
        <v>39.232349774697852</v>
      </c>
      <c r="CB131" s="20">
        <f t="shared" si="64"/>
        <v>334.59567585759868</v>
      </c>
      <c r="CC131" s="59">
        <f t="shared" si="65"/>
        <v>618.17031295616721</v>
      </c>
      <c r="CD131" s="59">
        <f ca="1">AVERAGE(OFFSET($CC$3,0,0,'Données projet'!$E$12+1,1))-AVERAGE(OFFSET($H$3,0,0,'Données projet'!$E$12+1,1))</f>
        <v>250.01410333089137</v>
      </c>
      <c r="CE131" s="59">
        <f t="shared" si="94"/>
        <v>169.55868564318885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13.881524422397847</v>
      </c>
      <c r="CL131" s="21">
        <f>EXP(-LN(2)/25)*CL130+(1-EXP(-LN(2)/25))/(LN(2)/25)*Calculateur!CG131*Calculateur!CI131*VLOOKUP('Données projet'!$B$12,Paramètres!$A$1:$I$89,3,0)*0.475*44/12</f>
        <v>3.9660478112843958</v>
      </c>
      <c r="CM131" s="21">
        <f>EXP(-LN(2)/2)*CM130+(1-EXP(-LN(2)/2))/(LN(2)/2)*CG131*CJ131*VLOOKUP('Données projet'!$B$12,Paramètres!$A$1:$I$89,3,0)*0.475*44/12</f>
        <v>3.4176097914326081E-5</v>
      </c>
      <c r="CN131" s="22">
        <f t="shared" si="66"/>
        <v>17.847606409780155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5.6</v>
      </c>
      <c r="N132" s="13">
        <f>IF('Données projet'!$A$36&gt;35,N131+M132-V131,IF(A132&lt;'Données projet'!$A$36,$K$205^A132,IF(A132='Données projet'!$A$36,'Données projet'!$B$36,N131+M132-V131)))</f>
        <v>275.40000000000003</v>
      </c>
      <c r="O132" s="13">
        <f>N132*VLOOKUP('Données projet'!$B$9,Paramètres!$A$1:$I$89,3,0)*VLOOKUP('Données projet'!$B$9,Paramètres!$A$1:$I$89,5,0)</f>
        <v>249.18192000000002</v>
      </c>
      <c r="P132" s="13">
        <f t="shared" si="87"/>
        <v>60.410727929515595</v>
      </c>
      <c r="Q132" s="20">
        <f t="shared" si="108"/>
        <v>539.20719514390646</v>
      </c>
      <c r="R132" s="59">
        <f t="shared" si="109"/>
        <v>822.95112380497176</v>
      </c>
      <c r="S132" s="59">
        <f ca="1">AVERAGE(OFFSET($R$3,0,0,'Données projet'!$E$9+1,1))-AVERAGE(OFFSET($H$3,0,0,'Données projet'!$E$9+1,1))</f>
        <v>469.5773392354356</v>
      </c>
      <c r="T132" s="59">
        <f t="shared" si="88"/>
        <v>187.25344022835239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41.042933020105522</v>
      </c>
      <c r="AA132" s="21">
        <f>EXP(-LN(2)/25)*AA131+(1-EXP(-LN(2)/25))/(LN(2)/25)*Calculateur!V132*Calculateur!X132*VLOOKUP('Données projet'!$B$9,Paramètres!$A$1:$I$89,3,0)*0.475*44/12</f>
        <v>8.284864001845218</v>
      </c>
      <c r="AB132" s="21">
        <f>EXP(-LN(2)/2)*AB131+(1-EXP(-LN(2)/2))/(LN(2)/2)*V132*Y132*VLOOKUP('Données projet'!$B$9,Paramètres!$A$1:$I$89,3,0)*0.475*44/12</f>
        <v>0.85777464436490314</v>
      </c>
      <c r="AC132" s="22">
        <f t="shared" ref="AC132:AC153" si="111">SUM(Z132:AB132)</f>
        <v>50.185571666315646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252.99999999999994</v>
      </c>
      <c r="AJ132" s="13">
        <f>AI132*VLOOKUP('Données projet'!$B$10,Paramètres!$A$1:$I$89,3,0)*VLOOKUP('Données projet'!$B$10,Paramètres!$A$1:$I$89,5,0)</f>
        <v>244.70159999999993</v>
      </c>
      <c r="AK132" s="13">
        <f t="shared" si="89"/>
        <v>59.44995761550765</v>
      </c>
      <c r="AL132" s="20">
        <f t="shared" ref="AL132:AL153" si="112">(AJ132+AK132)*0.475*44/12</f>
        <v>529.73062951367569</v>
      </c>
      <c r="AM132" s="59">
        <f t="shared" ref="AM132:AM195" si="113">AL132+(AD132+AE132)*44/12</f>
        <v>813.47455817474111</v>
      </c>
      <c r="AN132" s="59">
        <f ca="1">AVERAGE(OFFSET($AM$3,0,0,'Données projet'!$E$10+1,1))-AVERAGE(OFFSET($H$3,0,0,'Données projet'!$E$10+1,1))</f>
        <v>370.91255999489181</v>
      </c>
      <c r="AO132" s="59">
        <f t="shared" si="90"/>
        <v>196.07869248605735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48.215869368239908</v>
      </c>
      <c r="AV132" s="21">
        <f>EXP(-LN(2)/25)*AV131+(1-EXP(-LN(2)/25))/(LN(2)/25)*Calculateur!AQ132*Calculateur!AS132*VLOOKUP('Données projet'!$B$10,Paramètres!$A$1:$I$89,3,0)*0.475*44/12</f>
        <v>8.331669251853814</v>
      </c>
      <c r="AW132" s="21">
        <f>EXP(-LN(2)/2)*AW131+(1-EXP(-LN(2)/2))/(LN(2)/2)*AQ132*AT132*VLOOKUP('Données projet'!$B$10,Paramètres!$A$1:$I$89,3,0)*0.475*44/12</f>
        <v>0.91693147251495821</v>
      </c>
      <c r="AX132" s="21">
        <f t="shared" ref="AX132:AX153" si="114">SUM(AU132:AW132)</f>
        <v>57.464470092608678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252.99999999999994</v>
      </c>
      <c r="BE132" s="13">
        <f>BD132*VLOOKUP('Données projet'!$B$11,Paramètres!$A$1:$I$89,3,0)*VLOOKUP('Données projet'!$B$11,Paramètres!$A$1:$I$89,5,0)</f>
        <v>272.3291999999999</v>
      </c>
      <c r="BF132" s="13">
        <f t="shared" si="91"/>
        <v>65.34333692428207</v>
      </c>
      <c r="BG132" s="20">
        <f t="shared" ref="BG132:BG153" si="115">(BE132+BF132)*0.475*44/12</f>
        <v>588.11300180979117</v>
      </c>
      <c r="BH132" s="59">
        <f t="shared" ref="BH132:BH195" si="116">BG132+(AY132+AZ132)*44/12</f>
        <v>871.85693047085647</v>
      </c>
      <c r="BI132" s="59">
        <f ca="1">AVERAGE(OFFSET($BH$3,0,0,'Données projet'!$E$11+1,1))-AVERAGE(OFFSET($H$3,0,0,'Données projet'!$E$11+1,1))</f>
        <v>404.24955007425774</v>
      </c>
      <c r="BJ132" s="59">
        <f t="shared" si="92"/>
        <v>211.49137630071019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53.659596554976659</v>
      </c>
      <c r="BQ132" s="21">
        <f>EXP(-LN(2)/25)*BQ131+(1-EXP(-LN(2)/25))/(LN(2)/25)*Calculateur!BL132*Calculateur!BN132*VLOOKUP('Données projet'!$B$11,Paramètres!$A$1:$I$89,3,0)*0.475*44/12</f>
        <v>9.2723415867405361</v>
      </c>
      <c r="BR132" s="21">
        <f>EXP(-LN(2)/2)*BR131+(1-EXP(-LN(2)/2))/(LN(2)/2)*BL132*BO132*VLOOKUP('Données projet'!$B$11,Paramètres!$A$1:$I$89,3,0)*0.475*44/12</f>
        <v>1.0204559936053563</v>
      </c>
      <c r="BS132" s="22">
        <f t="shared" ref="BS132:BS153" si="117">SUM(BP132:BR132)</f>
        <v>63.95239413532255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195.99999999999994</v>
      </c>
      <c r="BZ132" s="13">
        <f>BY132*VLOOKUP('Données projet'!$B$12,Paramètres!$A$1:$I$89,3,0)*VLOOKUP('Données projet'!$B$12,Paramètres!$A$1:$I$89,5,0)</f>
        <v>152.87999999999997</v>
      </c>
      <c r="CA132" s="13">
        <f t="shared" si="93"/>
        <v>39.232349774697852</v>
      </c>
      <c r="CB132" s="20">
        <f t="shared" ref="CB132:CB153" si="118">(BZ132+CA132)*0.475*44/12</f>
        <v>334.59567585759868</v>
      </c>
      <c r="CC132" s="59">
        <f t="shared" ref="CC132:CC195" si="119">CB132+(BT132+BU132)*44/12</f>
        <v>618.33960451866403</v>
      </c>
      <c r="CD132" s="59">
        <f ca="1">AVERAGE(OFFSET($CC$3,0,0,'Données projet'!$E$12+1,1))-AVERAGE(OFFSET($H$3,0,0,'Données projet'!$E$12+1,1))</f>
        <v>250.01410333089137</v>
      </c>
      <c r="CE132" s="59">
        <f t="shared" si="94"/>
        <v>169.55868564318885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13.609316195368487</v>
      </c>
      <c r="CL132" s="21">
        <f>EXP(-LN(2)/25)*CL131+(1-EXP(-LN(2)/25))/(LN(2)/25)*Calculateur!CG132*Calculateur!CI132*VLOOKUP('Données projet'!$B$12,Paramètres!$A$1:$I$89,3,0)*0.475*44/12</f>
        <v>3.8575960253194341</v>
      </c>
      <c r="CM132" s="21">
        <f>EXP(-LN(2)/2)*CM131+(1-EXP(-LN(2)/2))/(LN(2)/2)*CG132*CJ132*VLOOKUP('Données projet'!$B$12,Paramètres!$A$1:$I$89,3,0)*0.475*44/12</f>
        <v>2.4166150589715396E-5</v>
      </c>
      <c r="CN132" s="22">
        <f t="shared" ref="CN132:CN153" si="120">SUM(CK132:CM132)</f>
        <v>17.466936386838508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5.6</v>
      </c>
      <c r="N133" s="13">
        <f>IF('Données projet'!$A$36&gt;35,N132+M133-V132,IF(A133&lt;'Données projet'!$A$36,$K$205^A133,IF(A133='Données projet'!$A$36,'Données projet'!$B$36,N132+M133-V132)))</f>
        <v>281.00000000000006</v>
      </c>
      <c r="O133" s="13">
        <f>N133*VLOOKUP('Données projet'!$B$9,Paramètres!$A$1:$I$89,3,0)*VLOOKUP('Données projet'!$B$9,Paramètres!$A$1:$I$89,5,0)</f>
        <v>254.24880000000005</v>
      </c>
      <c r="P133" s="13">
        <f t="shared" ref="P133:P196" si="141">EXP(-1.0587+0.8836*LN(O133)+0.284)</f>
        <v>61.494863147658911</v>
      </c>
      <c r="Q133" s="20">
        <f t="shared" si="108"/>
        <v>549.92021331550598</v>
      </c>
      <c r="R133" s="59">
        <f t="shared" si="109"/>
        <v>833.83049670893809</v>
      </c>
      <c r="S133" s="59">
        <f ca="1">AVERAGE(OFFSET($R$3,0,0,'Données projet'!$E$9+1,1))-AVERAGE(OFFSET($H$3,0,0,'Données projet'!$E$9+1,1))</f>
        <v>469.5773392354356</v>
      </c>
      <c r="T133" s="59">
        <f t="shared" ref="T133:T196" si="142">$T$3</f>
        <v>187.25344022835239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40.238106137298523</v>
      </c>
      <c r="AA133" s="21">
        <f>EXP(-LN(2)/25)*AA132+(1-EXP(-LN(2)/25))/(LN(2)/25)*Calculateur!V133*Calculateur!X133*VLOOKUP('Données projet'!$B$9,Paramètres!$A$1:$I$89,3,0)*0.475*44/12</f>
        <v>8.0583139600326987</v>
      </c>
      <c r="AB133" s="21">
        <f>EXP(-LN(2)/2)*AB132+(1-EXP(-LN(2)/2))/(LN(2)/2)*V133*Y133*VLOOKUP('Données projet'!$B$9,Paramètres!$A$1:$I$89,3,0)*0.475*44/12</f>
        <v>0.60653826776030217</v>
      </c>
      <c r="AC133" s="22">
        <f t="shared" si="111"/>
        <v>48.902958365091521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252.99999999999994</v>
      </c>
      <c r="AJ133" s="13">
        <f>AI133*VLOOKUP('Données projet'!$B$10,Paramètres!$A$1:$I$89,3,0)*VLOOKUP('Données projet'!$B$10,Paramètres!$A$1:$I$89,5,0)</f>
        <v>244.70159999999993</v>
      </c>
      <c r="AK133" s="13">
        <f t="shared" ref="AK133:AK153" si="143">EXP(-1.0587+0.8836*LN(AJ133)+0.284)</f>
        <v>59.44995761550765</v>
      </c>
      <c r="AL133" s="20">
        <f t="shared" si="112"/>
        <v>529.73062951367569</v>
      </c>
      <c r="AM133" s="59">
        <f t="shared" si="113"/>
        <v>813.6409129071078</v>
      </c>
      <c r="AN133" s="59">
        <f ca="1">AVERAGE(OFFSET($AM$3,0,0,'Données projet'!$E$10+1,1))-AVERAGE(OFFSET($H$3,0,0,'Données projet'!$E$10+1,1))</f>
        <v>370.91255999489181</v>
      </c>
      <c r="AO133" s="59">
        <f t="shared" ref="AO133:AO196" si="144">$AO$3</f>
        <v>196.07869248605735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47.270385578705159</v>
      </c>
      <c r="AV133" s="21">
        <f>EXP(-LN(2)/25)*AV132+(1-EXP(-LN(2)/25))/(LN(2)/25)*Calculateur!AQ133*Calculateur!AS133*VLOOKUP('Données projet'!$B$10,Paramètres!$A$1:$I$89,3,0)*0.475*44/12</f>
        <v>8.1038393180184283</v>
      </c>
      <c r="AW133" s="21">
        <f>EXP(-LN(2)/2)*AW132+(1-EXP(-LN(2)/2))/(LN(2)/2)*AQ133*AT133*VLOOKUP('Données projet'!$B$10,Paramètres!$A$1:$I$89,3,0)*0.475*44/12</f>
        <v>0.64836846209869337</v>
      </c>
      <c r="AX133" s="21">
        <f t="shared" si="114"/>
        <v>56.022593358822284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252.99999999999994</v>
      </c>
      <c r="BE133" s="13">
        <f>BD133*VLOOKUP('Données projet'!$B$11,Paramètres!$A$1:$I$89,3,0)*VLOOKUP('Données projet'!$B$11,Paramètres!$A$1:$I$89,5,0)</f>
        <v>272.3291999999999</v>
      </c>
      <c r="BF133" s="13">
        <f t="shared" ref="BF133:BF153" si="145">EXP(-1.0587+0.8836*LN(BE133)+0.284)</f>
        <v>65.34333692428207</v>
      </c>
      <c r="BG133" s="20">
        <f t="shared" si="115"/>
        <v>588.11300180979117</v>
      </c>
      <c r="BH133" s="59">
        <f t="shared" si="116"/>
        <v>872.02328520322328</v>
      </c>
      <c r="BI133" s="59">
        <f ca="1">AVERAGE(OFFSET($BH$3,0,0,'Données projet'!$E$11+1,1))-AVERAGE(OFFSET($H$3,0,0,'Données projet'!$E$11+1,1))</f>
        <v>404.24955007425774</v>
      </c>
      <c r="BJ133" s="59">
        <f t="shared" ref="BJ133:BJ196" si="146">$BJ$3</f>
        <v>211.49137630071019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52.607364595655731</v>
      </c>
      <c r="BQ133" s="21">
        <f>EXP(-LN(2)/25)*BQ132+(1-EXP(-LN(2)/25))/(LN(2)/25)*Calculateur!BL133*Calculateur!BN133*VLOOKUP('Données projet'!$B$11,Paramètres!$A$1:$I$89,3,0)*0.475*44/12</f>
        <v>9.0187889184398635</v>
      </c>
      <c r="BR133" s="21">
        <f>EXP(-LN(2)/2)*BR132+(1-EXP(-LN(2)/2))/(LN(2)/2)*BL133*BO133*VLOOKUP('Données projet'!$B$11,Paramètres!$A$1:$I$89,3,0)*0.475*44/12</f>
        <v>0.72157135298080366</v>
      </c>
      <c r="BS133" s="22">
        <f t="shared" si="117"/>
        <v>62.347724867076394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195.99999999999994</v>
      </c>
      <c r="BZ133" s="13">
        <f>BY133*VLOOKUP('Données projet'!$B$12,Paramètres!$A$1:$I$89,3,0)*VLOOKUP('Données projet'!$B$12,Paramètres!$A$1:$I$89,5,0)</f>
        <v>152.87999999999997</v>
      </c>
      <c r="CA133" s="13">
        <f t="shared" ref="CA133:CA153" si="147">EXP(-1.0587+0.8836*LN(BZ133)+0.284)</f>
        <v>39.232349774697852</v>
      </c>
      <c r="CB133" s="20">
        <f t="shared" si="118"/>
        <v>334.59567585759868</v>
      </c>
      <c r="CC133" s="59">
        <f t="shared" si="119"/>
        <v>618.50595925103084</v>
      </c>
      <c r="CD133" s="59">
        <f ca="1">AVERAGE(OFFSET($CC$3,0,0,'Données projet'!$E$12+1,1))-AVERAGE(OFFSET($H$3,0,0,'Données projet'!$E$12+1,1))</f>
        <v>250.01410333089137</v>
      </c>
      <c r="CE133" s="59">
        <f t="shared" ref="CE133:CE196" si="148">$CE$3</f>
        <v>169.55868564318885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13.342445805640548</v>
      </c>
      <c r="CL133" s="21">
        <f>EXP(-LN(2)/25)*CL132+(1-EXP(-LN(2)/25))/(LN(2)/25)*Calculateur!CG133*Calculateur!CI133*VLOOKUP('Données projet'!$B$12,Paramètres!$A$1:$I$89,3,0)*0.475*44/12</f>
        <v>3.752109859144916</v>
      </c>
      <c r="CM133" s="21">
        <f>EXP(-LN(2)/2)*CM132+(1-EXP(-LN(2)/2))/(LN(2)/2)*CG133*CJ133*VLOOKUP('Données projet'!$B$12,Paramètres!$A$1:$I$89,3,0)*0.475*44/12</f>
        <v>1.708804895716304E-5</v>
      </c>
      <c r="CN133" s="22">
        <f t="shared" si="120"/>
        <v>17.09457275283442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5.6</v>
      </c>
      <c r="N134" s="13">
        <f>IF('Données projet'!$A$36&gt;35,N133+M134-V133,IF(A134&lt;'Données projet'!$A$36,$K$205^A134,IF(A134='Données projet'!$A$36,'Données projet'!$B$36,N133+M134-V133)))</f>
        <v>286.60000000000008</v>
      </c>
      <c r="O134" s="13">
        <f>N134*VLOOKUP('Données projet'!$B$9,Paramètres!$A$1:$I$89,3,0)*VLOOKUP('Données projet'!$B$9,Paramètres!$A$1:$I$89,5,0)</f>
        <v>259.31568000000004</v>
      </c>
      <c r="P134" s="13">
        <f t="shared" si="141"/>
        <v>62.576486219623845</v>
      </c>
      <c r="Q134" s="20">
        <f t="shared" si="108"/>
        <v>560.62885616584492</v>
      </c>
      <c r="R134" s="59">
        <f t="shared" si="109"/>
        <v>844.70260840895071</v>
      </c>
      <c r="S134" s="59">
        <f ca="1">AVERAGE(OFFSET($R$3,0,0,'Données projet'!$E$9+1,1))-AVERAGE(OFFSET($H$3,0,0,'Données projet'!$E$9+1,1))</f>
        <v>469.5773392354356</v>
      </c>
      <c r="T134" s="59">
        <f t="shared" si="142"/>
        <v>187.25344022835239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39.449061418767442</v>
      </c>
      <c r="AA134" s="21">
        <f>EXP(-LN(2)/25)*AA133+(1-EXP(-LN(2)/25))/(LN(2)/25)*Calculateur!V134*Calculateur!X134*VLOOKUP('Données projet'!$B$9,Paramètres!$A$1:$I$89,3,0)*0.475*44/12</f>
        <v>7.8379589410272912</v>
      </c>
      <c r="AB134" s="21">
        <f>EXP(-LN(2)/2)*AB133+(1-EXP(-LN(2)/2))/(LN(2)/2)*V134*Y134*VLOOKUP('Données projet'!$B$9,Paramètres!$A$1:$I$89,3,0)*0.475*44/12</f>
        <v>0.42888732218245157</v>
      </c>
      <c r="AC134" s="22">
        <f t="shared" si="111"/>
        <v>47.715907681977185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252.99999999999994</v>
      </c>
      <c r="AJ134" s="13">
        <f>AI134*VLOOKUP('Données projet'!$B$10,Paramètres!$A$1:$I$89,3,0)*VLOOKUP('Données projet'!$B$10,Paramètres!$A$1:$I$89,5,0)</f>
        <v>244.70159999999993</v>
      </c>
      <c r="AK134" s="13">
        <f t="shared" si="143"/>
        <v>59.44995761550765</v>
      </c>
      <c r="AL134" s="20">
        <f t="shared" si="112"/>
        <v>529.73062951367569</v>
      </c>
      <c r="AM134" s="59">
        <f t="shared" si="113"/>
        <v>813.80438175678137</v>
      </c>
      <c r="AN134" s="59">
        <f ca="1">AVERAGE(OFFSET($AM$3,0,0,'Données projet'!$E$10+1,1))-AVERAGE(OFFSET($H$3,0,0,'Données projet'!$E$10+1,1))</f>
        <v>370.91255999489181</v>
      </c>
      <c r="AO134" s="59">
        <f t="shared" si="144"/>
        <v>196.07869248605735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46.34344214959502</v>
      </c>
      <c r="AV134" s="21">
        <f>EXP(-LN(2)/25)*AV133+(1-EXP(-LN(2)/25))/(LN(2)/25)*Calculateur!AQ134*Calculateur!AS134*VLOOKUP('Données projet'!$B$10,Paramètres!$A$1:$I$89,3,0)*0.475*44/12</f>
        <v>7.8822394057048264</v>
      </c>
      <c r="AW134" s="21">
        <f>EXP(-LN(2)/2)*AW133+(1-EXP(-LN(2)/2))/(LN(2)/2)*AQ134*AT134*VLOOKUP('Données projet'!$B$10,Paramètres!$A$1:$I$89,3,0)*0.475*44/12</f>
        <v>0.45846573625747911</v>
      </c>
      <c r="AX134" s="21">
        <f t="shared" si="114"/>
        <v>54.684147291557323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252.99999999999994</v>
      </c>
      <c r="BE134" s="13">
        <f>BD134*VLOOKUP('Données projet'!$B$11,Paramètres!$A$1:$I$89,3,0)*VLOOKUP('Données projet'!$B$11,Paramètres!$A$1:$I$89,5,0)</f>
        <v>272.3291999999999</v>
      </c>
      <c r="BF134" s="13">
        <f t="shared" si="145"/>
        <v>65.34333692428207</v>
      </c>
      <c r="BG134" s="20">
        <f t="shared" si="115"/>
        <v>588.11300180979117</v>
      </c>
      <c r="BH134" s="59">
        <f t="shared" si="116"/>
        <v>872.18675405289696</v>
      </c>
      <c r="BI134" s="59">
        <f ca="1">AVERAGE(OFFSET($BH$3,0,0,'Données projet'!$E$11+1,1))-AVERAGE(OFFSET($H$3,0,0,'Données projet'!$E$11+1,1))</f>
        <v>404.24955007425774</v>
      </c>
      <c r="BJ134" s="59">
        <f t="shared" si="146"/>
        <v>211.49137630071019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51.575766263258963</v>
      </c>
      <c r="BQ134" s="21">
        <f>EXP(-LN(2)/25)*BQ133+(1-EXP(-LN(2)/25))/(LN(2)/25)*Calculateur!BL134*Calculateur!BN134*VLOOKUP('Données projet'!$B$11,Paramètres!$A$1:$I$89,3,0)*0.475*44/12</f>
        <v>8.772169661187629</v>
      </c>
      <c r="BR134" s="21">
        <f>EXP(-LN(2)/2)*BR133+(1-EXP(-LN(2)/2))/(LN(2)/2)*BL134*BO134*VLOOKUP('Données projet'!$B$11,Paramètres!$A$1:$I$89,3,0)*0.475*44/12</f>
        <v>0.51022799680267816</v>
      </c>
      <c r="BS134" s="22">
        <f t="shared" si="117"/>
        <v>60.858163921249265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195.99999999999994</v>
      </c>
      <c r="BZ134" s="13">
        <f>BY134*VLOOKUP('Données projet'!$B$12,Paramètres!$A$1:$I$89,3,0)*VLOOKUP('Données projet'!$B$12,Paramètres!$A$1:$I$89,5,0)</f>
        <v>152.87999999999997</v>
      </c>
      <c r="CA134" s="13">
        <f t="shared" si="147"/>
        <v>39.232349774697852</v>
      </c>
      <c r="CB134" s="20">
        <f t="shared" si="118"/>
        <v>334.59567585759868</v>
      </c>
      <c r="CC134" s="59">
        <f t="shared" si="119"/>
        <v>618.66942810070441</v>
      </c>
      <c r="CD134" s="59">
        <f ca="1">AVERAGE(OFFSET($CC$3,0,0,'Données projet'!$E$12+1,1))-AVERAGE(OFFSET($H$3,0,0,'Données projet'!$E$12+1,1))</f>
        <v>250.01410333089137</v>
      </c>
      <c r="CE134" s="59">
        <f t="shared" si="148"/>
        <v>169.55868564318885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13.080808581480309</v>
      </c>
      <c r="CL134" s="21">
        <f>EXP(-LN(2)/25)*CL133+(1-EXP(-LN(2)/25))/(LN(2)/25)*Calculateur!CG134*Calculateur!CI134*VLOOKUP('Données projet'!$B$12,Paramètres!$A$1:$I$89,3,0)*0.475*44/12</f>
        <v>3.6495082177317162</v>
      </c>
      <c r="CM134" s="21">
        <f>EXP(-LN(2)/2)*CM133+(1-EXP(-LN(2)/2))/(LN(2)/2)*CG134*CJ134*VLOOKUP('Données projet'!$B$12,Paramètres!$A$1:$I$89,3,0)*0.475*44/12</f>
        <v>1.2083075294857698E-5</v>
      </c>
      <c r="CN134" s="22">
        <f t="shared" si="120"/>
        <v>16.730328882287321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5.6</v>
      </c>
      <c r="N135" s="13">
        <f>IF('Données projet'!$A$36&gt;35,N134+M135-V134,IF(A135&lt;'Données projet'!$A$36,$K$205^A135,IF(A135='Données projet'!$A$36,'Données projet'!$B$36,N134+M135-V134)))</f>
        <v>292.2000000000001</v>
      </c>
      <c r="O135" s="13">
        <f>N135*VLOOKUP('Données projet'!$B$9,Paramètres!$A$1:$I$89,3,0)*VLOOKUP('Données projet'!$B$9,Paramètres!$A$1:$I$89,5,0)</f>
        <v>264.38256000000007</v>
      </c>
      <c r="P135" s="13">
        <f t="shared" si="141"/>
        <v>63.655651889666466</v>
      </c>
      <c r="Q135" s="20">
        <f t="shared" si="108"/>
        <v>571.33321904116917</v>
      </c>
      <c r="R135" s="59">
        <f t="shared" si="109"/>
        <v>855.56760431486828</v>
      </c>
      <c r="S135" s="59">
        <f ca="1">AVERAGE(OFFSET($R$3,0,0,'Données projet'!$E$9+1,1))-AVERAGE(OFFSET($H$3,0,0,'Données projet'!$E$9+1,1))</f>
        <v>469.5773392354356</v>
      </c>
      <c r="T135" s="59">
        <f t="shared" si="142"/>
        <v>187.25344022835239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38.675489385896995</v>
      </c>
      <c r="AA135" s="21">
        <f>EXP(-LN(2)/25)*AA134+(1-EXP(-LN(2)/25))/(LN(2)/25)*Calculateur!V135*Calculateur!X135*VLOOKUP('Données projet'!$B$9,Paramètres!$A$1:$I$89,3,0)*0.475*44/12</f>
        <v>7.6236295416045534</v>
      </c>
      <c r="AB135" s="21">
        <f>EXP(-LN(2)/2)*AB134+(1-EXP(-LN(2)/2))/(LN(2)/2)*V135*Y135*VLOOKUP('Données projet'!$B$9,Paramètres!$A$1:$I$89,3,0)*0.475*44/12</f>
        <v>0.30326913388015109</v>
      </c>
      <c r="AC135" s="22">
        <f t="shared" si="111"/>
        <v>46.602388061381696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252.99999999999994</v>
      </c>
      <c r="AJ135" s="13">
        <f>AI135*VLOOKUP('Données projet'!$B$10,Paramètres!$A$1:$I$89,3,0)*VLOOKUP('Données projet'!$B$10,Paramètres!$A$1:$I$89,5,0)</f>
        <v>244.70159999999993</v>
      </c>
      <c r="AK135" s="13">
        <f t="shared" si="143"/>
        <v>59.44995761550765</v>
      </c>
      <c r="AL135" s="20">
        <f t="shared" si="112"/>
        <v>529.73062951367569</v>
      </c>
      <c r="AM135" s="59">
        <f t="shared" si="113"/>
        <v>813.96501478737491</v>
      </c>
      <c r="AN135" s="59">
        <f ca="1">AVERAGE(OFFSET($AM$3,0,0,'Données projet'!$E$10+1,1))-AVERAGE(OFFSET($H$3,0,0,'Données projet'!$E$10+1,1))</f>
        <v>370.91255999489181</v>
      </c>
      <c r="AO135" s="59">
        <f t="shared" si="144"/>
        <v>196.07869248605735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45.434675515750065</v>
      </c>
      <c r="AV135" s="21">
        <f>EXP(-LN(2)/25)*AV134+(1-EXP(-LN(2)/25))/(LN(2)/25)*Calculateur!AQ135*Calculateur!AS135*VLOOKUP('Données projet'!$B$10,Paramètres!$A$1:$I$89,3,0)*0.475*44/12</f>
        <v>7.6666991546468726</v>
      </c>
      <c r="AW135" s="21">
        <f>EXP(-LN(2)/2)*AW134+(1-EXP(-LN(2)/2))/(LN(2)/2)*AQ135*AT135*VLOOKUP('Données projet'!$B$10,Paramètres!$A$1:$I$89,3,0)*0.475*44/12</f>
        <v>0.32418423104934668</v>
      </c>
      <c r="AX135" s="21">
        <f t="shared" si="114"/>
        <v>53.42555890144628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252.99999999999994</v>
      </c>
      <c r="BE135" s="13">
        <f>BD135*VLOOKUP('Données projet'!$B$11,Paramètres!$A$1:$I$89,3,0)*VLOOKUP('Données projet'!$B$11,Paramètres!$A$1:$I$89,5,0)</f>
        <v>272.3291999999999</v>
      </c>
      <c r="BF135" s="13">
        <f t="shared" si="145"/>
        <v>65.34333692428207</v>
      </c>
      <c r="BG135" s="20">
        <f t="shared" si="115"/>
        <v>588.11300180979117</v>
      </c>
      <c r="BH135" s="59">
        <f t="shared" si="116"/>
        <v>872.34738708349028</v>
      </c>
      <c r="BI135" s="59">
        <f ca="1">AVERAGE(OFFSET($BH$3,0,0,'Données projet'!$E$11+1,1))-AVERAGE(OFFSET($H$3,0,0,'Données projet'!$E$11+1,1))</f>
        <v>404.24955007425774</v>
      </c>
      <c r="BJ135" s="59">
        <f t="shared" si="146"/>
        <v>211.49137630071019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50.564396944947646</v>
      </c>
      <c r="BQ135" s="21">
        <f>EXP(-LN(2)/25)*BQ134+(1-EXP(-LN(2)/25))/(LN(2)/25)*Calculateur!BL135*Calculateur!BN135*VLOOKUP('Données projet'!$B$11,Paramètres!$A$1:$I$89,3,0)*0.475*44/12</f>
        <v>8.5322942204940997</v>
      </c>
      <c r="BR135" s="21">
        <f>EXP(-LN(2)/2)*BR134+(1-EXP(-LN(2)/2))/(LN(2)/2)*BL135*BO135*VLOOKUP('Données projet'!$B$11,Paramètres!$A$1:$I$89,3,0)*0.475*44/12</f>
        <v>0.36078567649040183</v>
      </c>
      <c r="BS135" s="22">
        <f t="shared" si="117"/>
        <v>59.457476841932149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195.99999999999994</v>
      </c>
      <c r="BZ135" s="13">
        <f>BY135*VLOOKUP('Données projet'!$B$12,Paramètres!$A$1:$I$89,3,0)*VLOOKUP('Données projet'!$B$12,Paramètres!$A$1:$I$89,5,0)</f>
        <v>152.87999999999997</v>
      </c>
      <c r="CA135" s="13">
        <f t="shared" si="147"/>
        <v>39.232349774697852</v>
      </c>
      <c r="CB135" s="20">
        <f t="shared" si="118"/>
        <v>334.59567585759868</v>
      </c>
      <c r="CC135" s="59">
        <f t="shared" si="119"/>
        <v>618.83006113129784</v>
      </c>
      <c r="CD135" s="59">
        <f ca="1">AVERAGE(OFFSET($CC$3,0,0,'Données projet'!$E$12+1,1))-AVERAGE(OFFSET($H$3,0,0,'Données projet'!$E$12+1,1))</f>
        <v>250.01410333089137</v>
      </c>
      <c r="CE135" s="59">
        <f t="shared" si="148"/>
        <v>169.55868564318885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12.824301903702903</v>
      </c>
      <c r="CL135" s="21">
        <f>EXP(-LN(2)/25)*CL134+(1-EXP(-LN(2)/25))/(LN(2)/25)*Calculateur!CG135*Calculateur!CI135*VLOOKUP('Données projet'!$B$12,Paramètres!$A$1:$I$89,3,0)*0.475*44/12</f>
        <v>3.5497122235985463</v>
      </c>
      <c r="CM135" s="21">
        <f>EXP(-LN(2)/2)*CM134+(1-EXP(-LN(2)/2))/(LN(2)/2)*CG135*CJ135*VLOOKUP('Données projet'!$B$12,Paramètres!$A$1:$I$89,3,0)*0.475*44/12</f>
        <v>8.5440244785815202E-6</v>
      </c>
      <c r="CN135" s="22">
        <f t="shared" si="120"/>
        <v>16.374022671325928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5.6</v>
      </c>
      <c r="N136" s="13">
        <f>IF('Données projet'!$A$36&gt;35,N135+M136-V135,IF(A136&lt;'Données projet'!$A$36,$K$205^A136,IF(A136='Données projet'!$A$36,'Données projet'!$B$36,N135+M136-V135)))</f>
        <v>297.80000000000013</v>
      </c>
      <c r="O136" s="13">
        <f>N136*VLOOKUP('Données projet'!$B$9,Paramètres!$A$1:$I$89,3,0)*VLOOKUP('Données projet'!$B$9,Paramètres!$A$1:$I$89,5,0)</f>
        <v>269.44944000000015</v>
      </c>
      <c r="P136" s="13">
        <f t="shared" si="141"/>
        <v>64.732412683644625</v>
      </c>
      <c r="Q136" s="20">
        <f t="shared" si="108"/>
        <v>582.03339342401466</v>
      </c>
      <c r="R136" s="59">
        <f t="shared" si="109"/>
        <v>866.425625104348</v>
      </c>
      <c r="S136" s="59">
        <f ca="1">AVERAGE(OFFSET($R$3,0,0,'Données projet'!$E$9+1,1))-AVERAGE(OFFSET($H$3,0,0,'Données projet'!$E$9+1,1))</f>
        <v>469.5773392354356</v>
      </c>
      <c r="T136" s="59">
        <f t="shared" si="142"/>
        <v>187.25344022835239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37.917086628758788</v>
      </c>
      <c r="AA136" s="21">
        <f>EXP(-LN(2)/25)*AA135+(1-EXP(-LN(2)/25))/(LN(2)/25)*Calculateur!V136*Calculateur!X136*VLOOKUP('Données projet'!$B$9,Paramètres!$A$1:$I$89,3,0)*0.475*44/12</f>
        <v>7.415160990880123</v>
      </c>
      <c r="AB136" s="21">
        <f>EXP(-LN(2)/2)*AB135+(1-EXP(-LN(2)/2))/(LN(2)/2)*V136*Y136*VLOOKUP('Données projet'!$B$9,Paramètres!$A$1:$I$89,3,0)*0.475*44/12</f>
        <v>0.21444366109122578</v>
      </c>
      <c r="AC136" s="22">
        <f t="shared" si="111"/>
        <v>45.546691280730137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252.99999999999994</v>
      </c>
      <c r="AJ136" s="13">
        <f>AI136*VLOOKUP('Données projet'!$B$10,Paramètres!$A$1:$I$89,3,0)*VLOOKUP('Données projet'!$B$10,Paramètres!$A$1:$I$89,5,0)</f>
        <v>244.70159999999993</v>
      </c>
      <c r="AK136" s="13">
        <f t="shared" si="143"/>
        <v>59.44995761550765</v>
      </c>
      <c r="AL136" s="20">
        <f t="shared" si="112"/>
        <v>529.73062951367569</v>
      </c>
      <c r="AM136" s="59">
        <f t="shared" si="113"/>
        <v>814.12286119400915</v>
      </c>
      <c r="AN136" s="59">
        <f ca="1">AVERAGE(OFFSET($AM$3,0,0,'Données projet'!$E$10+1,1))-AVERAGE(OFFSET($H$3,0,0,'Données projet'!$E$10+1,1))</f>
        <v>370.91255999489181</v>
      </c>
      <c r="AO136" s="59">
        <f t="shared" si="144"/>
        <v>196.07869248605735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44.543729241301897</v>
      </c>
      <c r="AV136" s="21">
        <f>EXP(-LN(2)/25)*AV135+(1-EXP(-LN(2)/25))/(LN(2)/25)*Calculateur!AQ136*Calculateur!AS136*VLOOKUP('Données projet'!$B$10,Paramètres!$A$1:$I$89,3,0)*0.475*44/12</f>
        <v>7.4570528630888679</v>
      </c>
      <c r="AW136" s="21">
        <f>EXP(-LN(2)/2)*AW135+(1-EXP(-LN(2)/2))/(LN(2)/2)*AQ136*AT136*VLOOKUP('Données projet'!$B$10,Paramètres!$A$1:$I$89,3,0)*0.475*44/12</f>
        <v>0.22923286812873955</v>
      </c>
      <c r="AX136" s="21">
        <f t="shared" si="114"/>
        <v>52.230014972519506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252.99999999999994</v>
      </c>
      <c r="BE136" s="13">
        <f>BD136*VLOOKUP('Données projet'!$B$11,Paramètres!$A$1:$I$89,3,0)*VLOOKUP('Données projet'!$B$11,Paramètres!$A$1:$I$89,5,0)</f>
        <v>272.3291999999999</v>
      </c>
      <c r="BF136" s="13">
        <f t="shared" si="145"/>
        <v>65.34333692428207</v>
      </c>
      <c r="BG136" s="20">
        <f t="shared" si="115"/>
        <v>588.11300180979117</v>
      </c>
      <c r="BH136" s="59">
        <f t="shared" si="116"/>
        <v>872.50523349012451</v>
      </c>
      <c r="BI136" s="59">
        <f ca="1">AVERAGE(OFFSET($BH$3,0,0,'Données projet'!$E$11+1,1))-AVERAGE(OFFSET($H$3,0,0,'Données projet'!$E$11+1,1))</f>
        <v>404.24955007425774</v>
      </c>
      <c r="BJ136" s="59">
        <f t="shared" si="146"/>
        <v>211.49137630071019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49.572859962094043</v>
      </c>
      <c r="BQ136" s="21">
        <f>EXP(-LN(2)/25)*BQ135+(1-EXP(-LN(2)/25))/(LN(2)/25)*Calculateur!BL136*Calculateur!BN136*VLOOKUP('Données projet'!$B$11,Paramètres!$A$1:$I$89,3,0)*0.475*44/12</f>
        <v>8.2989781863408361</v>
      </c>
      <c r="BR136" s="21">
        <f>EXP(-LN(2)/2)*BR135+(1-EXP(-LN(2)/2))/(LN(2)/2)*BL136*BO136*VLOOKUP('Données projet'!$B$11,Paramètres!$A$1:$I$89,3,0)*0.475*44/12</f>
        <v>0.25511399840133908</v>
      </c>
      <c r="BS136" s="22">
        <f t="shared" si="117"/>
        <v>58.126952146836217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195.99999999999994</v>
      </c>
      <c r="BZ136" s="13">
        <f>BY136*VLOOKUP('Données projet'!$B$12,Paramètres!$A$1:$I$89,3,0)*VLOOKUP('Données projet'!$B$12,Paramètres!$A$1:$I$89,5,0)</f>
        <v>152.87999999999997</v>
      </c>
      <c r="CA136" s="13">
        <f t="shared" si="147"/>
        <v>39.232349774697852</v>
      </c>
      <c r="CB136" s="20">
        <f t="shared" si="118"/>
        <v>334.59567585759868</v>
      </c>
      <c r="CC136" s="59">
        <f t="shared" si="119"/>
        <v>618.98790753793207</v>
      </c>
      <c r="CD136" s="59">
        <f ca="1">AVERAGE(OFFSET($CC$3,0,0,'Données projet'!$E$12+1,1))-AVERAGE(OFFSET($H$3,0,0,'Données projet'!$E$12+1,1))</f>
        <v>250.01410333089137</v>
      </c>
      <c r="CE136" s="59">
        <f t="shared" si="148"/>
        <v>169.55868564318885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12.572825165423087</v>
      </c>
      <c r="CL136" s="21">
        <f>EXP(-LN(2)/25)*CL135+(1-EXP(-LN(2)/25))/(LN(2)/25)*Calculateur!CG136*Calculateur!CI136*VLOOKUP('Données projet'!$B$12,Paramètres!$A$1:$I$89,3,0)*0.475*44/12</f>
        <v>3.4526451561729914</v>
      </c>
      <c r="CM136" s="21">
        <f>EXP(-LN(2)/2)*CM135+(1-EXP(-LN(2)/2))/(LN(2)/2)*CG136*CJ136*VLOOKUP('Données projet'!$B$12,Paramètres!$A$1:$I$89,3,0)*0.475*44/12</f>
        <v>6.0415376474288489E-6</v>
      </c>
      <c r="CN136" s="22">
        <f t="shared" si="120"/>
        <v>16.025476363133727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5.6</v>
      </c>
      <c r="N137" s="13">
        <f>IF('Données projet'!$A$36&gt;35,N136+M137-V136,IF(A137&lt;'Données projet'!$A$36,$K$205^A137,IF(A137='Données projet'!$A$36,'Données projet'!$B$36,N136+M137-V136)))</f>
        <v>303.40000000000015</v>
      </c>
      <c r="O137" s="13">
        <f>N137*VLOOKUP('Données projet'!$B$9,Paramètres!$A$1:$I$89,3,0)*VLOOKUP('Données projet'!$B$9,Paramètres!$A$1:$I$89,5,0)</f>
        <v>274.51632000000012</v>
      </c>
      <c r="P137" s="13">
        <f t="shared" si="141"/>
        <v>65.80681903890995</v>
      </c>
      <c r="Q137" s="20">
        <f t="shared" si="108"/>
        <v>592.7294671594351</v>
      </c>
      <c r="R137" s="59">
        <f t="shared" si="109"/>
        <v>877.27680696413938</v>
      </c>
      <c r="S137" s="59">
        <f ca="1">AVERAGE(OFFSET($R$3,0,0,'Données projet'!$E$9+1,1))-AVERAGE(OFFSET($H$3,0,0,'Données projet'!$E$9+1,1))</f>
        <v>469.5773392354356</v>
      </c>
      <c r="T137" s="59">
        <f t="shared" si="142"/>
        <v>187.25344022835239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37.173555687108056</v>
      </c>
      <c r="AA137" s="21">
        <f>EXP(-LN(2)/25)*AA136+(1-EXP(-LN(2)/25))/(LN(2)/25)*Calculateur!V137*Calculateur!X137*VLOOKUP('Données projet'!$B$9,Paramètres!$A$1:$I$89,3,0)*0.475*44/12</f>
        <v>7.2123930236381373</v>
      </c>
      <c r="AB137" s="21">
        <f>EXP(-LN(2)/2)*AB136+(1-EXP(-LN(2)/2))/(LN(2)/2)*V137*Y137*VLOOKUP('Données projet'!$B$9,Paramètres!$A$1:$I$89,3,0)*0.475*44/12</f>
        <v>0.15163456694007554</v>
      </c>
      <c r="AC137" s="22">
        <f t="shared" si="111"/>
        <v>44.537583277686267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252.99999999999994</v>
      </c>
      <c r="AJ137" s="13">
        <f>AI137*VLOOKUP('Données projet'!$B$10,Paramètres!$A$1:$I$89,3,0)*VLOOKUP('Données projet'!$B$10,Paramètres!$A$1:$I$89,5,0)</f>
        <v>244.70159999999993</v>
      </c>
      <c r="AK137" s="13">
        <f t="shared" si="143"/>
        <v>59.44995761550765</v>
      </c>
      <c r="AL137" s="20">
        <f t="shared" si="112"/>
        <v>529.73062951367569</v>
      </c>
      <c r="AM137" s="59">
        <f t="shared" si="113"/>
        <v>814.27796931837997</v>
      </c>
      <c r="AN137" s="59">
        <f ca="1">AVERAGE(OFFSET($AM$3,0,0,'Données projet'!$E$10+1,1))-AVERAGE(OFFSET($H$3,0,0,'Données projet'!$E$10+1,1))</f>
        <v>370.91255999489181</v>
      </c>
      <c r="AO137" s="59">
        <f t="shared" si="144"/>
        <v>196.07869248605735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43.670253879872085</v>
      </c>
      <c r="AV137" s="21">
        <f>EXP(-LN(2)/25)*AV136+(1-EXP(-LN(2)/25))/(LN(2)/25)*Calculateur!AQ137*Calculateur!AS137*VLOOKUP('Données projet'!$B$10,Paramètres!$A$1:$I$89,3,0)*0.475*44/12</f>
        <v>7.2531393603983361</v>
      </c>
      <c r="AW137" s="21">
        <f>EXP(-LN(2)/2)*AW136+(1-EXP(-LN(2)/2))/(LN(2)/2)*AQ137*AT137*VLOOKUP('Données projet'!$B$10,Paramètres!$A$1:$I$89,3,0)*0.475*44/12</f>
        <v>0.16209211552467334</v>
      </c>
      <c r="AX137" s="21">
        <f t="shared" si="114"/>
        <v>51.085485355795093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252.99999999999994</v>
      </c>
      <c r="BE137" s="13">
        <f>BD137*VLOOKUP('Données projet'!$B$11,Paramètres!$A$1:$I$89,3,0)*VLOOKUP('Données projet'!$B$11,Paramètres!$A$1:$I$89,5,0)</f>
        <v>272.3291999999999</v>
      </c>
      <c r="BF137" s="13">
        <f t="shared" si="145"/>
        <v>65.34333692428207</v>
      </c>
      <c r="BG137" s="20">
        <f t="shared" si="115"/>
        <v>588.11300180979117</v>
      </c>
      <c r="BH137" s="59">
        <f t="shared" si="116"/>
        <v>872.66034161449545</v>
      </c>
      <c r="BI137" s="59">
        <f ca="1">AVERAGE(OFFSET($BH$3,0,0,'Données projet'!$E$11+1,1))-AVERAGE(OFFSET($H$3,0,0,'Données projet'!$E$11+1,1))</f>
        <v>404.24955007425774</v>
      </c>
      <c r="BJ137" s="59">
        <f t="shared" si="146"/>
        <v>211.49137630071019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48.600766414696352</v>
      </c>
      <c r="BQ137" s="21">
        <f>EXP(-LN(2)/25)*BQ136+(1-EXP(-LN(2)/25))/(LN(2)/25)*Calculateur!BL137*Calculateur!BN137*VLOOKUP('Données projet'!$B$11,Paramètres!$A$1:$I$89,3,0)*0.475*44/12</f>
        <v>8.0720421914110503</v>
      </c>
      <c r="BR137" s="21">
        <f>EXP(-LN(2)/2)*BR136+(1-EXP(-LN(2)/2))/(LN(2)/2)*BL137*BO137*VLOOKUP('Données projet'!$B$11,Paramètres!$A$1:$I$89,3,0)*0.475*44/12</f>
        <v>0.18039283824520091</v>
      </c>
      <c r="BS137" s="22">
        <f t="shared" si="117"/>
        <v>56.853201444352607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195.99999999999994</v>
      </c>
      <c r="BZ137" s="13">
        <f>BY137*VLOOKUP('Données projet'!$B$12,Paramètres!$A$1:$I$89,3,0)*VLOOKUP('Données projet'!$B$12,Paramètres!$A$1:$I$89,5,0)</f>
        <v>152.87999999999997</v>
      </c>
      <c r="CA137" s="13">
        <f t="shared" si="147"/>
        <v>39.232349774697852</v>
      </c>
      <c r="CB137" s="20">
        <f t="shared" si="118"/>
        <v>334.59567585759868</v>
      </c>
      <c r="CC137" s="59">
        <f t="shared" si="119"/>
        <v>619.14301566230301</v>
      </c>
      <c r="CD137" s="59">
        <f ca="1">AVERAGE(OFFSET($CC$3,0,0,'Données projet'!$E$12+1,1))-AVERAGE(OFFSET($H$3,0,0,'Données projet'!$E$12+1,1))</f>
        <v>250.01410333089137</v>
      </c>
      <c r="CE137" s="59">
        <f t="shared" si="148"/>
        <v>169.55868564318885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12.326279732595273</v>
      </c>
      <c r="CL137" s="21">
        <f>EXP(-LN(2)/25)*CL136+(1-EXP(-LN(2)/25))/(LN(2)/25)*Calculateur!CG137*Calculateur!CI137*VLOOKUP('Données projet'!$B$12,Paramètres!$A$1:$I$89,3,0)*0.475*44/12</f>
        <v>3.3582323928107232</v>
      </c>
      <c r="CM137" s="21">
        <f>EXP(-LN(2)/2)*CM136+(1-EXP(-LN(2)/2))/(LN(2)/2)*CG137*CJ137*VLOOKUP('Données projet'!$B$12,Paramètres!$A$1:$I$89,3,0)*0.475*44/12</f>
        <v>4.2720122392907601E-6</v>
      </c>
      <c r="CN137" s="22">
        <f t="shared" si="120"/>
        <v>15.684516397418236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>
        <f>VLOOKUP(A138,'Données projet'!$A$35:$I$55,2,0)</f>
        <v>309</v>
      </c>
      <c r="L138" s="12">
        <f>VLOOKUP(A138,'Données projet'!$A$35:$I$55,9,0)</f>
        <v>5.6</v>
      </c>
      <c r="M138" s="12">
        <f t="array" ref="M138">INDEX(L:L,MIN(IF(ISNUMBER(L138:L334),ROW(L138:L334),"")))</f>
        <v>5.6</v>
      </c>
      <c r="N138" s="13">
        <f>IF('Données projet'!$A$36&gt;35,N137+M138-V137,IF(A138&lt;'Données projet'!$A$36,$K$205^A138,IF(A138='Données projet'!$A$36,'Données projet'!$B$36,N137+M138-V137)))</f>
        <v>309.00000000000017</v>
      </c>
      <c r="O138" s="13">
        <f>N138*VLOOKUP('Données projet'!$B$9,Paramètres!$A$1:$I$89,3,0)*VLOOKUP('Données projet'!$B$9,Paramètres!$A$1:$I$89,5,0)</f>
        <v>279.58320000000015</v>
      </c>
      <c r="P138" s="13">
        <f t="shared" si="141"/>
        <v>66.878919424339628</v>
      </c>
      <c r="Q138" s="20">
        <f t="shared" si="108"/>
        <v>603.42152466405844</v>
      </c>
      <c r="R138" s="59">
        <f t="shared" si="109"/>
        <v>888.12128181394564</v>
      </c>
      <c r="S138" s="59">
        <f ca="1">AVERAGE(OFFSET($R$3,0,0,'Données projet'!$E$9+1,1))-AVERAGE(OFFSET($H$3,0,0,'Données projet'!$E$9+1,1))</f>
        <v>469.5773392354356</v>
      </c>
      <c r="T138" s="59">
        <f t="shared" si="142"/>
        <v>187.25344022835239</v>
      </c>
      <c r="U138" s="15">
        <f>IF(ISNA(VLOOKUP(A138,'Données projet'!$A$35:$I$55,3,0)),0,VLOOKUP(A138,'Données projet'!$A$35:$I$55,3,0))</f>
        <v>14</v>
      </c>
      <c r="V138" s="15">
        <f>IF(ISNA(VLOOKUP(A138,'Données projet'!$A$35:$I$55,4,0)),0,VLOOKUP(A138,'Données projet'!$A$35:$I$55,4,0))</f>
        <v>40</v>
      </c>
      <c r="W138" s="16">
        <f>IF(ISNA(VLOOKUP(A138,'Données projet'!$A$35:$I$55,5,0)),0%,VLOOKUP(A138,'Données projet'!$A$35:$I$55,5,0)*VLOOKUP('Données projet'!$B$9,Paramètres!$A$1:$I$89,7,0))</f>
        <v>0.34400000000000003</v>
      </c>
      <c r="X138" s="16">
        <f>IF(ISNA(VLOOKUP(A138,'Données projet'!$A$35:$I$55,6,0)),0%,VLOOKUP(A138,'Données projet'!$A$35:$I$55,6,0)*VLOOKUP('Données projet'!$B$9,Paramètres!$A$1:$I$89,7,0))</f>
        <v>4.3000000000000003E-2</v>
      </c>
      <c r="Y138" s="16">
        <f>IF(ISNA(VLOOKUP(A138,'Données projet'!$A$35:$I$55,7,0)),0%,VLOOKUP(A138,'Données projet'!$A$35:$I$55,7,0))</f>
        <v>0.1</v>
      </c>
      <c r="Z138" s="21">
        <f>EXP(-LN(2)/35)*Z137+(1-EXP(-LN(2)/35))/(LN(2)/35)*V138*W138*VLOOKUP('Données projet'!$B$9,Paramètres!$A$1:$I$89,3,0)*0.475*44/12</f>
        <v>50.207764221477454</v>
      </c>
      <c r="AA138" s="21">
        <f>EXP(-LN(2)/25)*AA137+(1-EXP(-LN(2)/25))/(LN(2)/25)*Calculateur!V138*Calculateur!X138*VLOOKUP('Données projet'!$B$9,Paramètres!$A$1:$I$89,3,0)*0.475*44/12</f>
        <v>8.7287908178075746</v>
      </c>
      <c r="AB138" s="21">
        <f>EXP(-LN(2)/2)*AB137+(1-EXP(-LN(2)/2))/(LN(2)/2)*V138*Y138*VLOOKUP('Données projet'!$B$9,Paramètres!$A$1:$I$89,3,0)*0.475*44/12</f>
        <v>3.5220344398854335</v>
      </c>
      <c r="AC138" s="22">
        <f t="shared" si="111"/>
        <v>62.458589479170456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252.99999999999994</v>
      </c>
      <c r="AJ138" s="13">
        <f>AI138*VLOOKUP('Données projet'!$B$10,Paramètres!$A$1:$I$89,3,0)*VLOOKUP('Données projet'!$B$10,Paramètres!$A$1:$I$89,5,0)</f>
        <v>244.70159999999993</v>
      </c>
      <c r="AK138" s="13">
        <f t="shared" si="143"/>
        <v>59.44995761550765</v>
      </c>
      <c r="AL138" s="20">
        <f t="shared" si="112"/>
        <v>529.73062951367569</v>
      </c>
      <c r="AM138" s="59">
        <f t="shared" si="113"/>
        <v>814.43038666356279</v>
      </c>
      <c r="AN138" s="59">
        <f ca="1">AVERAGE(OFFSET($AM$3,0,0,'Données projet'!$E$10+1,1))-AVERAGE(OFFSET($H$3,0,0,'Données projet'!$E$10+1,1))</f>
        <v>370.91255999489181</v>
      </c>
      <c r="AO138" s="59">
        <f t="shared" si="144"/>
        <v>196.07869248605735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42.813906837512555</v>
      </c>
      <c r="AV138" s="21">
        <f>EXP(-LN(2)/25)*AV137+(1-EXP(-LN(2)/25))/(LN(2)/25)*Calculateur!AQ138*Calculateur!AS138*VLOOKUP('Données projet'!$B$10,Paramètres!$A$1:$I$89,3,0)*0.475*44/12</f>
        <v>7.0548018831622219</v>
      </c>
      <c r="AW138" s="21">
        <f>EXP(-LN(2)/2)*AW137+(1-EXP(-LN(2)/2))/(LN(2)/2)*AQ138*AT138*VLOOKUP('Données projet'!$B$10,Paramètres!$A$1:$I$89,3,0)*0.475*44/12</f>
        <v>0.11461643406436978</v>
      </c>
      <c r="AX138" s="21">
        <f t="shared" si="114"/>
        <v>49.983325154739141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252.99999999999994</v>
      </c>
      <c r="BE138" s="13">
        <f>BD138*VLOOKUP('Données projet'!$B$11,Paramètres!$A$1:$I$89,3,0)*VLOOKUP('Données projet'!$B$11,Paramètres!$A$1:$I$89,5,0)</f>
        <v>272.3291999999999</v>
      </c>
      <c r="BF138" s="13">
        <f t="shared" si="145"/>
        <v>65.34333692428207</v>
      </c>
      <c r="BG138" s="20">
        <f t="shared" si="115"/>
        <v>588.11300180979117</v>
      </c>
      <c r="BH138" s="59">
        <f t="shared" si="116"/>
        <v>872.81275895967838</v>
      </c>
      <c r="BI138" s="59">
        <f ca="1">AVERAGE(OFFSET($BH$3,0,0,'Données projet'!$E$11+1,1))-AVERAGE(OFFSET($H$3,0,0,'Données projet'!$E$11+1,1))</f>
        <v>404.24955007425774</v>
      </c>
      <c r="BJ138" s="59">
        <f t="shared" si="146"/>
        <v>211.49137630071019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47.647735028844615</v>
      </c>
      <c r="BQ138" s="21">
        <f>EXP(-LN(2)/25)*BQ137+(1-EXP(-LN(2)/25))/(LN(2)/25)*Calculateur!BL138*Calculateur!BN138*VLOOKUP('Données projet'!$B$11,Paramètres!$A$1:$I$89,3,0)*0.475*44/12</f>
        <v>7.8513117731966648</v>
      </c>
      <c r="BR138" s="21">
        <f>EXP(-LN(2)/2)*BR137+(1-EXP(-LN(2)/2))/(LN(2)/2)*BL138*BO138*VLOOKUP('Données projet'!$B$11,Paramètres!$A$1:$I$89,3,0)*0.475*44/12</f>
        <v>0.12755699920066954</v>
      </c>
      <c r="BS138" s="22">
        <f t="shared" si="117"/>
        <v>55.626603801241949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195.99999999999994</v>
      </c>
      <c r="BZ138" s="13">
        <f>BY138*VLOOKUP('Données projet'!$B$12,Paramètres!$A$1:$I$89,3,0)*VLOOKUP('Données projet'!$B$12,Paramètres!$A$1:$I$89,5,0)</f>
        <v>152.87999999999997</v>
      </c>
      <c r="CA138" s="13">
        <f t="shared" si="147"/>
        <v>39.232349774697852</v>
      </c>
      <c r="CB138" s="20">
        <f t="shared" si="118"/>
        <v>334.59567585759868</v>
      </c>
      <c r="CC138" s="59">
        <f t="shared" si="119"/>
        <v>619.29543300748583</v>
      </c>
      <c r="CD138" s="59">
        <f ca="1">AVERAGE(OFFSET($CC$3,0,0,'Données projet'!$E$12+1,1))-AVERAGE(OFFSET($H$3,0,0,'Données projet'!$E$12+1,1))</f>
        <v>250.01410333089137</v>
      </c>
      <c r="CE138" s="59">
        <f t="shared" si="148"/>
        <v>169.55868564318885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12.084568905327346</v>
      </c>
      <c r="CL138" s="21">
        <f>EXP(-LN(2)/25)*CL137+(1-EXP(-LN(2)/25))/(LN(2)/25)*Calculateur!CG138*Calculateur!CI138*VLOOKUP('Données projet'!$B$12,Paramètres!$A$1:$I$89,3,0)*0.475*44/12</f>
        <v>3.2664013514275476</v>
      </c>
      <c r="CM138" s="21">
        <f>EXP(-LN(2)/2)*CM137+(1-EXP(-LN(2)/2))/(LN(2)/2)*CG138*CJ138*VLOOKUP('Données projet'!$B$12,Paramètres!$A$1:$I$89,3,0)*0.475*44/12</f>
        <v>3.0207688237144245E-6</v>
      </c>
      <c r="CN138" s="22">
        <f t="shared" si="120"/>
        <v>15.350973277523719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5.7</v>
      </c>
      <c r="N139" s="13">
        <f>IF('Données projet'!$A$36&gt;35,N138+M139-V138,IF(A139&lt;'Données projet'!$A$36,$K$205^A139,IF(A139='Données projet'!$A$36,'Données projet'!$B$36,N138+M139-V138)))</f>
        <v>274.70000000000016</v>
      </c>
      <c r="O139" s="13">
        <f>N139*VLOOKUP('Données projet'!$B$9,Paramètres!$A$1:$I$89,3,0)*VLOOKUP('Données projet'!$B$9,Paramètres!$A$1:$I$89,5,0)</f>
        <v>248.54856000000012</v>
      </c>
      <c r="P139" s="13">
        <f t="shared" si="141"/>
        <v>60.275031574666947</v>
      </c>
      <c r="Q139" s="20">
        <f t="shared" si="108"/>
        <v>537.86775532587853</v>
      </c>
      <c r="R139" s="59">
        <f t="shared" si="109"/>
        <v>822.71728572076381</v>
      </c>
      <c r="S139" s="59">
        <f ca="1">AVERAGE(OFFSET($R$3,0,0,'Données projet'!$E$9+1,1))-AVERAGE(OFFSET($H$3,0,0,'Données projet'!$E$9+1,1))</f>
        <v>469.5773392354356</v>
      </c>
      <c r="T139" s="59">
        <f t="shared" si="142"/>
        <v>187.25344022835239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49.223220588806619</v>
      </c>
      <c r="AA139" s="21">
        <f>EXP(-LN(2)/25)*AA138+(1-EXP(-LN(2)/25))/(LN(2)/25)*Calculateur!V139*Calculateur!X139*VLOOKUP('Données projet'!$B$9,Paramètres!$A$1:$I$89,3,0)*0.475*44/12</f>
        <v>8.4901015738674666</v>
      </c>
      <c r="AB139" s="21">
        <f>EXP(-LN(2)/2)*AB138+(1-EXP(-LN(2)/2))/(LN(2)/2)*V139*Y139*VLOOKUP('Données projet'!$B$9,Paramètres!$A$1:$I$89,3,0)*0.475*44/12</f>
        <v>2.4904544360155541</v>
      </c>
      <c r="AC139" s="22">
        <f t="shared" si="111"/>
        <v>60.203776598689643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252.99999999999994</v>
      </c>
      <c r="AJ139" s="13">
        <f>AI139*VLOOKUP('Données projet'!$B$10,Paramètres!$A$1:$I$89,3,0)*VLOOKUP('Données projet'!$B$10,Paramètres!$A$1:$I$89,5,0)</f>
        <v>244.70159999999993</v>
      </c>
      <c r="AK139" s="13">
        <f t="shared" si="143"/>
        <v>59.44995761550765</v>
      </c>
      <c r="AL139" s="20">
        <f t="shared" si="112"/>
        <v>529.73062951367569</v>
      </c>
      <c r="AM139" s="59">
        <f t="shared" si="113"/>
        <v>814.58015990856097</v>
      </c>
      <c r="AN139" s="59">
        <f ca="1">AVERAGE(OFFSET($AM$3,0,0,'Données projet'!$E$10+1,1))-AVERAGE(OFFSET($H$3,0,0,'Données projet'!$E$10+1,1))</f>
        <v>370.91255999489181</v>
      </c>
      <c r="AO139" s="59">
        <f t="shared" si="144"/>
        <v>196.07869248605735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41.974352238333573</v>
      </c>
      <c r="AV139" s="21">
        <f>EXP(-LN(2)/25)*AV138+(1-EXP(-LN(2)/25))/(LN(2)/25)*Calculateur!AQ139*Calculateur!AS139*VLOOKUP('Données projet'!$B$10,Paramètres!$A$1:$I$89,3,0)*0.475*44/12</f>
        <v>6.8618879546712437</v>
      </c>
      <c r="AW139" s="21">
        <f>EXP(-LN(2)/2)*AW138+(1-EXP(-LN(2)/2))/(LN(2)/2)*AQ139*AT139*VLOOKUP('Données projet'!$B$10,Paramètres!$A$1:$I$89,3,0)*0.475*44/12</f>
        <v>8.1046057762336671E-2</v>
      </c>
      <c r="AX139" s="21">
        <f t="shared" si="114"/>
        <v>48.917286250767155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252.99999999999994</v>
      </c>
      <c r="BE139" s="13">
        <f>BD139*VLOOKUP('Données projet'!$B$11,Paramètres!$A$1:$I$89,3,0)*VLOOKUP('Données projet'!$B$11,Paramètres!$A$1:$I$89,5,0)</f>
        <v>272.3291999999999</v>
      </c>
      <c r="BF139" s="13">
        <f t="shared" si="145"/>
        <v>65.34333692428207</v>
      </c>
      <c r="BG139" s="20">
        <f t="shared" si="115"/>
        <v>588.11300180979117</v>
      </c>
      <c r="BH139" s="59">
        <f t="shared" si="116"/>
        <v>872.96253220467634</v>
      </c>
      <c r="BI139" s="59">
        <f ca="1">AVERAGE(OFFSET($BH$3,0,0,'Données projet'!$E$11+1,1))-AVERAGE(OFFSET($H$3,0,0,'Données projet'!$E$11+1,1))</f>
        <v>404.24955007425774</v>
      </c>
      <c r="BJ139" s="59">
        <f t="shared" si="146"/>
        <v>211.49137630071019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46.713392007177681</v>
      </c>
      <c r="BQ139" s="21">
        <f>EXP(-LN(2)/25)*BQ138+(1-EXP(-LN(2)/25))/(LN(2)/25)*Calculateur!BL139*Calculateur!BN139*VLOOKUP('Données projet'!$B$11,Paramètres!$A$1:$I$89,3,0)*0.475*44/12</f>
        <v>7.6366172398760606</v>
      </c>
      <c r="BR139" s="21">
        <f>EXP(-LN(2)/2)*BR138+(1-EXP(-LN(2)/2))/(LN(2)/2)*BL139*BO139*VLOOKUP('Données projet'!$B$11,Paramètres!$A$1:$I$89,3,0)*0.475*44/12</f>
        <v>9.0196419122600457E-2</v>
      </c>
      <c r="BS139" s="22">
        <f t="shared" si="117"/>
        <v>54.44020566617634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195.99999999999994</v>
      </c>
      <c r="BZ139" s="13">
        <f>BY139*VLOOKUP('Données projet'!$B$12,Paramètres!$A$1:$I$89,3,0)*VLOOKUP('Données projet'!$B$12,Paramètres!$A$1:$I$89,5,0)</f>
        <v>152.87999999999997</v>
      </c>
      <c r="CA139" s="13">
        <f t="shared" si="147"/>
        <v>39.232349774697852</v>
      </c>
      <c r="CB139" s="20">
        <f t="shared" si="118"/>
        <v>334.59567585759868</v>
      </c>
      <c r="CC139" s="59">
        <f t="shared" si="119"/>
        <v>619.4452062524839</v>
      </c>
      <c r="CD139" s="59">
        <f ca="1">AVERAGE(OFFSET($CC$3,0,0,'Données projet'!$E$12+1,1))-AVERAGE(OFFSET($H$3,0,0,'Données projet'!$E$12+1,1))</f>
        <v>250.01410333089137</v>
      </c>
      <c r="CE139" s="59">
        <f t="shared" si="148"/>
        <v>169.55868564318885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11.847597879953097</v>
      </c>
      <c r="CL139" s="21">
        <f>EXP(-LN(2)/25)*CL138+(1-EXP(-LN(2)/25))/(LN(2)/25)*Calculateur!CG139*Calculateur!CI139*VLOOKUP('Données projet'!$B$12,Paramètres!$A$1:$I$89,3,0)*0.475*44/12</f>
        <v>3.1770814347001797</v>
      </c>
      <c r="CM139" s="21">
        <f>EXP(-LN(2)/2)*CM138+(1-EXP(-LN(2)/2))/(LN(2)/2)*CG139*CJ139*VLOOKUP('Données projet'!$B$12,Paramètres!$A$1:$I$89,3,0)*0.475*44/12</f>
        <v>2.1360061196453801E-6</v>
      </c>
      <c r="CN139" s="22">
        <f t="shared" si="120"/>
        <v>15.024681450659397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5.7</v>
      </c>
      <c r="N140" s="13">
        <f>IF('Données projet'!$A$36&gt;35,N139+M140-V139,IF(A140&lt;'Données projet'!$A$36,$K$205^A140,IF(A140='Données projet'!$A$36,'Données projet'!$B$36,N139+M140-V139)))</f>
        <v>280.40000000000015</v>
      </c>
      <c r="O140" s="13">
        <f>N140*VLOOKUP('Données projet'!$B$9,Paramètres!$A$1:$I$89,3,0)*VLOOKUP('Données projet'!$B$9,Paramètres!$A$1:$I$89,5,0)</f>
        <v>253.70592000000011</v>
      </c>
      <c r="P140" s="13">
        <f t="shared" si="141"/>
        <v>61.378826950685976</v>
      </c>
      <c r="Q140" s="20">
        <f t="shared" si="108"/>
        <v>548.7726009391115</v>
      </c>
      <c r="R140" s="59">
        <f t="shared" si="109"/>
        <v>833.76930634803693</v>
      </c>
      <c r="S140" s="59">
        <f ca="1">AVERAGE(OFFSET($R$3,0,0,'Données projet'!$E$9+1,1))-AVERAGE(OFFSET($H$3,0,0,'Données projet'!$E$9+1,1))</f>
        <v>469.5773392354356</v>
      </c>
      <c r="T140" s="59">
        <f t="shared" si="142"/>
        <v>187.25344022835239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48.257983256260133</v>
      </c>
      <c r="AA140" s="21">
        <f>EXP(-LN(2)/25)*AA139+(1-EXP(-LN(2)/25))/(LN(2)/25)*Calculateur!V140*Calculateur!X140*VLOOKUP('Données projet'!$B$9,Paramètres!$A$1:$I$89,3,0)*0.475*44/12</f>
        <v>8.257939299855023</v>
      </c>
      <c r="AB140" s="21">
        <f>EXP(-LN(2)/2)*AB139+(1-EXP(-LN(2)/2))/(LN(2)/2)*V140*Y140*VLOOKUP('Données projet'!$B$9,Paramètres!$A$1:$I$89,3,0)*0.475*44/12</f>
        <v>1.7610172199427172</v>
      </c>
      <c r="AC140" s="22">
        <f t="shared" si="111"/>
        <v>58.276939776057873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252.99999999999994</v>
      </c>
      <c r="AJ140" s="13">
        <f>AI140*VLOOKUP('Données projet'!$B$10,Paramètres!$A$1:$I$89,3,0)*VLOOKUP('Données projet'!$B$10,Paramètres!$A$1:$I$89,5,0)</f>
        <v>244.70159999999993</v>
      </c>
      <c r="AK140" s="13">
        <f t="shared" si="143"/>
        <v>59.44995761550765</v>
      </c>
      <c r="AL140" s="20">
        <f t="shared" si="112"/>
        <v>529.73062951367569</v>
      </c>
      <c r="AM140" s="59">
        <f t="shared" si="113"/>
        <v>814.72733492260113</v>
      </c>
      <c r="AN140" s="59">
        <f ca="1">AVERAGE(OFFSET($AM$3,0,0,'Données projet'!$E$10+1,1))-AVERAGE(OFFSET($H$3,0,0,'Données projet'!$E$10+1,1))</f>
        <v>370.91255999489181</v>
      </c>
      <c r="AO140" s="59">
        <f t="shared" si="144"/>
        <v>196.07869248605735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41.151260792766749</v>
      </c>
      <c r="AV140" s="21">
        <f>EXP(-LN(2)/25)*AV139+(1-EXP(-LN(2)/25))/(LN(2)/25)*Calculateur!AQ140*Calculateur!AS140*VLOOKUP('Données projet'!$B$10,Paramètres!$A$1:$I$89,3,0)*0.475*44/12</f>
        <v>6.6742492676997545</v>
      </c>
      <c r="AW140" s="21">
        <f>EXP(-LN(2)/2)*AW139+(1-EXP(-LN(2)/2))/(LN(2)/2)*AQ140*AT140*VLOOKUP('Données projet'!$B$10,Paramètres!$A$1:$I$89,3,0)*0.475*44/12</f>
        <v>5.7308217032184888E-2</v>
      </c>
      <c r="AX140" s="21">
        <f t="shared" si="114"/>
        <v>47.882818277498693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252.99999999999994</v>
      </c>
      <c r="BE140" s="13">
        <f>BD140*VLOOKUP('Données projet'!$B$11,Paramètres!$A$1:$I$89,3,0)*VLOOKUP('Données projet'!$B$11,Paramètres!$A$1:$I$89,5,0)</f>
        <v>272.3291999999999</v>
      </c>
      <c r="BF140" s="13">
        <f t="shared" si="145"/>
        <v>65.34333692428207</v>
      </c>
      <c r="BG140" s="20">
        <f t="shared" si="115"/>
        <v>588.11300180979117</v>
      </c>
      <c r="BH140" s="59">
        <f t="shared" si="116"/>
        <v>873.10970721871649</v>
      </c>
      <c r="BI140" s="59">
        <f ca="1">AVERAGE(OFFSET($BH$3,0,0,'Données projet'!$E$11+1,1))-AVERAGE(OFFSET($H$3,0,0,'Données projet'!$E$11+1,1))</f>
        <v>404.24955007425774</v>
      </c>
      <c r="BJ140" s="59">
        <f t="shared" si="146"/>
        <v>211.49137630071019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45.797370882272666</v>
      </c>
      <c r="BQ140" s="21">
        <f>EXP(-LN(2)/25)*BQ139+(1-EXP(-LN(2)/25))/(LN(2)/25)*Calculateur!BL140*Calculateur!BN140*VLOOKUP('Données projet'!$B$11,Paramètres!$A$1:$I$89,3,0)*0.475*44/12</f>
        <v>7.4277935398594028</v>
      </c>
      <c r="BR140" s="21">
        <f>EXP(-LN(2)/2)*BR139+(1-EXP(-LN(2)/2))/(LN(2)/2)*BL140*BO140*VLOOKUP('Données projet'!$B$11,Paramètres!$A$1:$I$89,3,0)*0.475*44/12</f>
        <v>6.377849960033477E-2</v>
      </c>
      <c r="BS140" s="22">
        <f t="shared" si="117"/>
        <v>53.288942921732399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195.99999999999994</v>
      </c>
      <c r="BZ140" s="13">
        <f>BY140*VLOOKUP('Données projet'!$B$12,Paramètres!$A$1:$I$89,3,0)*VLOOKUP('Données projet'!$B$12,Paramètres!$A$1:$I$89,5,0)</f>
        <v>152.87999999999997</v>
      </c>
      <c r="CA140" s="13">
        <f t="shared" si="147"/>
        <v>39.232349774697852</v>
      </c>
      <c r="CB140" s="20">
        <f t="shared" si="118"/>
        <v>334.59567585759868</v>
      </c>
      <c r="CC140" s="59">
        <f t="shared" si="119"/>
        <v>619.59238126652406</v>
      </c>
      <c r="CD140" s="59">
        <f ca="1">AVERAGE(OFFSET($CC$3,0,0,'Données projet'!$E$12+1,1))-AVERAGE(OFFSET($H$3,0,0,'Données projet'!$E$12+1,1))</f>
        <v>250.01410333089137</v>
      </c>
      <c r="CE140" s="59">
        <f t="shared" si="148"/>
        <v>169.55868564318885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11.615273711848385</v>
      </c>
      <c r="CL140" s="21">
        <f>EXP(-LN(2)/25)*CL139+(1-EXP(-LN(2)/25))/(LN(2)/25)*Calculateur!CG140*Calculateur!CI140*VLOOKUP('Données projet'!$B$12,Paramètres!$A$1:$I$89,3,0)*0.475*44/12</f>
        <v>3.0902039757928521</v>
      </c>
      <c r="CM140" s="21">
        <f>EXP(-LN(2)/2)*CM139+(1-EXP(-LN(2)/2))/(LN(2)/2)*CG140*CJ140*VLOOKUP('Données projet'!$B$12,Paramètres!$A$1:$I$89,3,0)*0.475*44/12</f>
        <v>1.5103844118572122E-6</v>
      </c>
      <c r="CN140" s="22">
        <f t="shared" si="120"/>
        <v>14.705479198025648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5.7</v>
      </c>
      <c r="N141" s="13">
        <f>IF('Données projet'!$A$36&gt;35,N140+M141-V140,IF(A141&lt;'Données projet'!$A$36,$K$205^A141,IF(A141='Données projet'!$A$36,'Données projet'!$B$36,N140+M141-V140)))</f>
        <v>286.10000000000014</v>
      </c>
      <c r="O141" s="13">
        <f>N141*VLOOKUP('Données projet'!$B$9,Paramètres!$A$1:$I$89,3,0)*VLOOKUP('Données projet'!$B$9,Paramètres!$A$1:$I$89,5,0)</f>
        <v>258.86328000000015</v>
      </c>
      <c r="P141" s="13">
        <f t="shared" si="141"/>
        <v>62.480013433480131</v>
      </c>
      <c r="Q141" s="20">
        <f t="shared" si="108"/>
        <v>559.67290272997809</v>
      </c>
      <c r="R141" s="59">
        <f t="shared" si="109"/>
        <v>844.81422999548408</v>
      </c>
      <c r="S141" s="59">
        <f ca="1">AVERAGE(OFFSET($R$3,0,0,'Données projet'!$E$9+1,1))-AVERAGE(OFFSET($H$3,0,0,'Données projet'!$E$9+1,1))</f>
        <v>469.5773392354356</v>
      </c>
      <c r="T141" s="59">
        <f t="shared" si="142"/>
        <v>187.25344022835239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47.311673639068246</v>
      </c>
      <c r="AA141" s="21">
        <f>EXP(-LN(2)/25)*AA140+(1-EXP(-LN(2)/25))/(LN(2)/25)*Calculateur!V141*Calculateur!X141*VLOOKUP('Données projet'!$B$9,Paramètres!$A$1:$I$89,3,0)*0.475*44/12</f>
        <v>8.0321255154343341</v>
      </c>
      <c r="AB141" s="21">
        <f>EXP(-LN(2)/2)*AB140+(1-EXP(-LN(2)/2))/(LN(2)/2)*V141*Y141*VLOOKUP('Données projet'!$B$9,Paramètres!$A$1:$I$89,3,0)*0.475*44/12</f>
        <v>1.2452272180077772</v>
      </c>
      <c r="AC141" s="22">
        <f t="shared" si="111"/>
        <v>56.589026372510354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252.99999999999994</v>
      </c>
      <c r="AJ141" s="13">
        <f>AI141*VLOOKUP('Données projet'!$B$10,Paramètres!$A$1:$I$89,3,0)*VLOOKUP('Données projet'!$B$10,Paramètres!$A$1:$I$89,5,0)</f>
        <v>244.70159999999993</v>
      </c>
      <c r="AK141" s="13">
        <f t="shared" si="143"/>
        <v>59.44995761550765</v>
      </c>
      <c r="AL141" s="20">
        <f t="shared" si="112"/>
        <v>529.73062951367569</v>
      </c>
      <c r="AM141" s="59">
        <f t="shared" si="113"/>
        <v>814.87195677918157</v>
      </c>
      <c r="AN141" s="59">
        <f ca="1">AVERAGE(OFFSET($AM$3,0,0,'Données projet'!$E$10+1,1))-AVERAGE(OFFSET($H$3,0,0,'Données projet'!$E$10+1,1))</f>
        <v>370.91255999489181</v>
      </c>
      <c r="AO141" s="59">
        <f t="shared" si="144"/>
        <v>196.07869248605735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40.344309668411277</v>
      </c>
      <c r="AV141" s="21">
        <f>EXP(-LN(2)/25)*AV140+(1-EXP(-LN(2)/25))/(LN(2)/25)*Calculateur!AQ141*Calculateur!AS141*VLOOKUP('Données projet'!$B$10,Paramètres!$A$1:$I$89,3,0)*0.475*44/12</f>
        <v>6.4917415704909898</v>
      </c>
      <c r="AW141" s="21">
        <f>EXP(-LN(2)/2)*AW140+(1-EXP(-LN(2)/2))/(LN(2)/2)*AQ141*AT141*VLOOKUP('Données projet'!$B$10,Paramètres!$A$1:$I$89,3,0)*0.475*44/12</f>
        <v>4.0523028881168335E-2</v>
      </c>
      <c r="AX141" s="21">
        <f t="shared" si="114"/>
        <v>46.876574267783433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252.99999999999994</v>
      </c>
      <c r="BE141" s="13">
        <f>BD141*VLOOKUP('Données projet'!$B$11,Paramètres!$A$1:$I$89,3,0)*VLOOKUP('Données projet'!$B$11,Paramètres!$A$1:$I$89,5,0)</f>
        <v>272.3291999999999</v>
      </c>
      <c r="BF141" s="13">
        <f t="shared" si="145"/>
        <v>65.34333692428207</v>
      </c>
      <c r="BG141" s="20">
        <f t="shared" si="115"/>
        <v>588.11300180979117</v>
      </c>
      <c r="BH141" s="59">
        <f t="shared" si="116"/>
        <v>873.25432907529716</v>
      </c>
      <c r="BI141" s="59">
        <f ca="1">AVERAGE(OFFSET($BH$3,0,0,'Données projet'!$E$11+1,1))-AVERAGE(OFFSET($H$3,0,0,'Données projet'!$E$11+1,1))</f>
        <v>404.24955007425774</v>
      </c>
      <c r="BJ141" s="59">
        <f t="shared" si="146"/>
        <v>211.49137630071019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44.899312372909321</v>
      </c>
      <c r="BQ141" s="21">
        <f>EXP(-LN(2)/25)*BQ140+(1-EXP(-LN(2)/25))/(LN(2)/25)*Calculateur!BL141*Calculateur!BN141*VLOOKUP('Données projet'!$B$11,Paramètres!$A$1:$I$89,3,0)*0.475*44/12</f>
        <v>7.2246801349012619</v>
      </c>
      <c r="BR141" s="21">
        <f>EXP(-LN(2)/2)*BR140+(1-EXP(-LN(2)/2))/(LN(2)/2)*BL141*BO141*VLOOKUP('Données projet'!$B$11,Paramètres!$A$1:$I$89,3,0)*0.475*44/12</f>
        <v>4.5098209561300229E-2</v>
      </c>
      <c r="BS141" s="22">
        <f t="shared" si="117"/>
        <v>52.169090717371887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195.99999999999994</v>
      </c>
      <c r="BZ141" s="13">
        <f>BY141*VLOOKUP('Données projet'!$B$12,Paramètres!$A$1:$I$89,3,0)*VLOOKUP('Données projet'!$B$12,Paramètres!$A$1:$I$89,5,0)</f>
        <v>152.87999999999997</v>
      </c>
      <c r="CA141" s="13">
        <f t="shared" si="147"/>
        <v>39.232349774697852</v>
      </c>
      <c r="CB141" s="20">
        <f t="shared" si="118"/>
        <v>334.59567585759868</v>
      </c>
      <c r="CC141" s="59">
        <f t="shared" si="119"/>
        <v>619.73700312310461</v>
      </c>
      <c r="CD141" s="59">
        <f ca="1">AVERAGE(OFFSET($CC$3,0,0,'Données projet'!$E$12+1,1))-AVERAGE(OFFSET($H$3,0,0,'Données projet'!$E$12+1,1))</f>
        <v>250.01410333089137</v>
      </c>
      <c r="CE141" s="59">
        <f t="shared" si="148"/>
        <v>169.55868564318885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11.387505278976455</v>
      </c>
      <c r="CL141" s="21">
        <f>EXP(-LN(2)/25)*CL140+(1-EXP(-LN(2)/25))/(LN(2)/25)*Calculateur!CG141*Calculateur!CI141*VLOOKUP('Données projet'!$B$12,Paramètres!$A$1:$I$89,3,0)*0.475*44/12</f>
        <v>3.0057021855680324</v>
      </c>
      <c r="CM141" s="21">
        <f>EXP(-LN(2)/2)*CM140+(1-EXP(-LN(2)/2))/(LN(2)/2)*CG141*CJ141*VLOOKUP('Données projet'!$B$12,Paramètres!$A$1:$I$89,3,0)*0.475*44/12</f>
        <v>1.06800305982269E-6</v>
      </c>
      <c r="CN141" s="22">
        <f t="shared" si="120"/>
        <v>14.393208532547549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5.7</v>
      </c>
      <c r="N142" s="13">
        <f>IF('Données projet'!$A$36&gt;35,N141+M142-V141,IF(A142&lt;'Données projet'!$A$36,$K$205^A142,IF(A142='Données projet'!$A$36,'Données projet'!$B$36,N141+M142-V141)))</f>
        <v>291.80000000000013</v>
      </c>
      <c r="O142" s="13">
        <f>N142*VLOOKUP('Données projet'!$B$9,Paramètres!$A$1:$I$89,3,0)*VLOOKUP('Données projet'!$B$9,Paramètres!$A$1:$I$89,5,0)</f>
        <v>264.02064000000007</v>
      </c>
      <c r="P142" s="13">
        <f t="shared" si="141"/>
        <v>63.578648990959174</v>
      </c>
      <c r="Q142" s="20">
        <f t="shared" si="108"/>
        <v>570.56876165925394</v>
      </c>
      <c r="R142" s="59">
        <f t="shared" si="109"/>
        <v>855.85220191545477</v>
      </c>
      <c r="S142" s="59">
        <f ca="1">AVERAGE(OFFSET($R$3,0,0,'Données projet'!$E$9+1,1))-AVERAGE(OFFSET($H$3,0,0,'Données projet'!$E$9+1,1))</f>
        <v>469.5773392354356</v>
      </c>
      <c r="T142" s="59">
        <f t="shared" si="142"/>
        <v>187.25344022835239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46.383920576277617</v>
      </c>
      <c r="AA142" s="21">
        <f>EXP(-LN(2)/25)*AA141+(1-EXP(-LN(2)/25))/(LN(2)/25)*Calculateur!V142*Calculateur!X142*VLOOKUP('Données projet'!$B$9,Paramètres!$A$1:$I$89,3,0)*0.475*44/12</f>
        <v>7.812486620823659</v>
      </c>
      <c r="AB142" s="21">
        <f>EXP(-LN(2)/2)*AB141+(1-EXP(-LN(2)/2))/(LN(2)/2)*V142*Y142*VLOOKUP('Données projet'!$B$9,Paramètres!$A$1:$I$89,3,0)*0.475*44/12</f>
        <v>0.88050860997135871</v>
      </c>
      <c r="AC142" s="22">
        <f t="shared" si="111"/>
        <v>55.076915807072638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252.99999999999994</v>
      </c>
      <c r="AJ142" s="13">
        <f>AI142*VLOOKUP('Données projet'!$B$10,Paramètres!$A$1:$I$89,3,0)*VLOOKUP('Données projet'!$B$10,Paramètres!$A$1:$I$89,5,0)</f>
        <v>244.70159999999993</v>
      </c>
      <c r="AK142" s="13">
        <f t="shared" si="143"/>
        <v>59.44995761550765</v>
      </c>
      <c r="AL142" s="20">
        <f t="shared" si="112"/>
        <v>529.73062951367569</v>
      </c>
      <c r="AM142" s="59">
        <f t="shared" si="113"/>
        <v>815.01406976987664</v>
      </c>
      <c r="AN142" s="59">
        <f ca="1">AVERAGE(OFFSET($AM$3,0,0,'Données projet'!$E$10+1,1))-AVERAGE(OFFSET($H$3,0,0,'Données projet'!$E$10+1,1))</f>
        <v>370.91255999489181</v>
      </c>
      <c r="AO142" s="59">
        <f t="shared" si="144"/>
        <v>196.07869248605735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39.55318236341283</v>
      </c>
      <c r="AV142" s="21">
        <f>EXP(-LN(2)/25)*AV141+(1-EXP(-LN(2)/25))/(LN(2)/25)*Calculateur!AQ142*Calculateur!AS142*VLOOKUP('Données projet'!$B$10,Paramètres!$A$1:$I$89,3,0)*0.475*44/12</f>
        <v>6.3142245558600614</v>
      </c>
      <c r="AW142" s="21">
        <f>EXP(-LN(2)/2)*AW141+(1-EXP(-LN(2)/2))/(LN(2)/2)*AQ142*AT142*VLOOKUP('Données projet'!$B$10,Paramètres!$A$1:$I$89,3,0)*0.475*44/12</f>
        <v>2.8654108516092444E-2</v>
      </c>
      <c r="AX142" s="21">
        <f t="shared" si="114"/>
        <v>45.896061027788988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252.99999999999994</v>
      </c>
      <c r="BE142" s="13">
        <f>BD142*VLOOKUP('Données projet'!$B$11,Paramètres!$A$1:$I$89,3,0)*VLOOKUP('Données projet'!$B$11,Paramètres!$A$1:$I$89,5,0)</f>
        <v>272.3291999999999</v>
      </c>
      <c r="BF142" s="13">
        <f t="shared" si="145"/>
        <v>65.34333692428207</v>
      </c>
      <c r="BG142" s="20">
        <f t="shared" si="115"/>
        <v>588.11300180979117</v>
      </c>
      <c r="BH142" s="59">
        <f t="shared" si="116"/>
        <v>873.39644206599201</v>
      </c>
      <c r="BI142" s="59">
        <f ca="1">AVERAGE(OFFSET($BH$3,0,0,'Données projet'!$E$11+1,1))-AVERAGE(OFFSET($H$3,0,0,'Données projet'!$E$11+1,1))</f>
        <v>404.24955007425774</v>
      </c>
      <c r="BJ142" s="59">
        <f t="shared" si="146"/>
        <v>211.49137630071019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44.018864243152983</v>
      </c>
      <c r="BQ142" s="21">
        <f>EXP(-LN(2)/25)*BQ141+(1-EXP(-LN(2)/25))/(LN(2)/25)*Calculateur!BL142*Calculateur!BN142*VLOOKUP('Données projet'!$B$11,Paramètres!$A$1:$I$89,3,0)*0.475*44/12</f>
        <v>7.0271208766829707</v>
      </c>
      <c r="BR142" s="21">
        <f>EXP(-LN(2)/2)*BR141+(1-EXP(-LN(2)/2))/(LN(2)/2)*BL142*BO142*VLOOKUP('Données projet'!$B$11,Paramètres!$A$1:$I$89,3,0)*0.475*44/12</f>
        <v>3.1889249800167385E-2</v>
      </c>
      <c r="BS142" s="22">
        <f t="shared" si="117"/>
        <v>51.07787436963612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195.99999999999994</v>
      </c>
      <c r="BZ142" s="13">
        <f>BY142*VLOOKUP('Données projet'!$B$12,Paramètres!$A$1:$I$89,3,0)*VLOOKUP('Données projet'!$B$12,Paramètres!$A$1:$I$89,5,0)</f>
        <v>152.87999999999997</v>
      </c>
      <c r="CA142" s="13">
        <f t="shared" si="147"/>
        <v>39.232349774697852</v>
      </c>
      <c r="CB142" s="20">
        <f t="shared" si="118"/>
        <v>334.59567585759868</v>
      </c>
      <c r="CC142" s="59">
        <f t="shared" si="119"/>
        <v>619.87911611379957</v>
      </c>
      <c r="CD142" s="59">
        <f ca="1">AVERAGE(OFFSET($CC$3,0,0,'Données projet'!$E$12+1,1))-AVERAGE(OFFSET($H$3,0,0,'Données projet'!$E$12+1,1))</f>
        <v>250.01410333089137</v>
      </c>
      <c r="CE142" s="59">
        <f t="shared" si="148"/>
        <v>169.55868564318885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11.164203246148118</v>
      </c>
      <c r="CL142" s="21">
        <f>EXP(-LN(2)/25)*CL141+(1-EXP(-LN(2)/25))/(LN(2)/25)*Calculateur!CG142*Calculateur!CI142*VLOOKUP('Données projet'!$B$12,Paramètres!$A$1:$I$89,3,0)*0.475*44/12</f>
        <v>2.923511101240666</v>
      </c>
      <c r="CM142" s="21">
        <f>EXP(-LN(2)/2)*CM141+(1-EXP(-LN(2)/2))/(LN(2)/2)*CG142*CJ142*VLOOKUP('Données projet'!$B$12,Paramètres!$A$1:$I$89,3,0)*0.475*44/12</f>
        <v>7.5519220592860612E-7</v>
      </c>
      <c r="CN142" s="22">
        <f t="shared" si="120"/>
        <v>14.087715102580988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5.7</v>
      </c>
      <c r="N143" s="13">
        <f>IF('Données projet'!$A$36&gt;35,N142+M143-V142,IF(A143&lt;'Données projet'!$A$36,$K$205^A143,IF(A143='Données projet'!$A$36,'Données projet'!$B$36,N142+M143-V142)))</f>
        <v>297.50000000000011</v>
      </c>
      <c r="O143" s="13">
        <f>N143*VLOOKUP('Données projet'!$B$9,Paramètres!$A$1:$I$89,3,0)*VLOOKUP('Données projet'!$B$9,Paramètres!$A$1:$I$89,5,0)</f>
        <v>269.17800000000011</v>
      </c>
      <c r="P143" s="13">
        <f t="shared" si="141"/>
        <v>64.674789196812455</v>
      </c>
      <c r="Q143" s="20">
        <f t="shared" si="108"/>
        <v>581.46027451778195</v>
      </c>
      <c r="R143" s="59">
        <f t="shared" si="109"/>
        <v>866.88336242200626</v>
      </c>
      <c r="S143" s="59">
        <f ca="1">AVERAGE(OFFSET($R$3,0,0,'Données projet'!$E$9+1,1))-AVERAGE(OFFSET($H$3,0,0,'Données projet'!$E$9+1,1))</f>
        <v>469.5773392354356</v>
      </c>
      <c r="T143" s="59">
        <f t="shared" si="142"/>
        <v>187.25344022835239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45.474360185174824</v>
      </c>
      <c r="AA143" s="21">
        <f>EXP(-LN(2)/25)*AA142+(1-EXP(-LN(2)/25))/(LN(2)/25)*Calculateur!V143*Calculateur!X143*VLOOKUP('Données projet'!$B$9,Paramètres!$A$1:$I$89,3,0)*0.475*44/12</f>
        <v>7.5988537633364199</v>
      </c>
      <c r="AB143" s="21">
        <f>EXP(-LN(2)/2)*AB142+(1-EXP(-LN(2)/2))/(LN(2)/2)*V143*Y143*VLOOKUP('Données projet'!$B$9,Paramètres!$A$1:$I$89,3,0)*0.475*44/12</f>
        <v>0.62261360900388873</v>
      </c>
      <c r="AC143" s="22">
        <f t="shared" si="111"/>
        <v>53.695827557515138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252.99999999999994</v>
      </c>
      <c r="AJ143" s="13">
        <f>AI143*VLOOKUP('Données projet'!$B$10,Paramètres!$A$1:$I$89,3,0)*VLOOKUP('Données projet'!$B$10,Paramètres!$A$1:$I$89,5,0)</f>
        <v>244.70159999999993</v>
      </c>
      <c r="AK143" s="13">
        <f t="shared" si="143"/>
        <v>59.44995761550765</v>
      </c>
      <c r="AL143" s="20">
        <f t="shared" si="112"/>
        <v>529.73062951367569</v>
      </c>
      <c r="AM143" s="59">
        <f t="shared" si="113"/>
        <v>815.1537174179</v>
      </c>
      <c r="AN143" s="59">
        <f ca="1">AVERAGE(OFFSET($AM$3,0,0,'Données projet'!$E$10+1,1))-AVERAGE(OFFSET($H$3,0,0,'Données projet'!$E$10+1,1))</f>
        <v>370.91255999489181</v>
      </c>
      <c r="AO143" s="59">
        <f t="shared" si="144"/>
        <v>196.07869248605735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38.777568582325394</v>
      </c>
      <c r="AV143" s="21">
        <f>EXP(-LN(2)/25)*AV142+(1-EXP(-LN(2)/25))/(LN(2)/25)*Calculateur!AQ143*Calculateur!AS143*VLOOKUP('Données projet'!$B$10,Paramètres!$A$1:$I$89,3,0)*0.475*44/12</f>
        <v>6.1415617533294302</v>
      </c>
      <c r="AW143" s="21">
        <f>EXP(-LN(2)/2)*AW142+(1-EXP(-LN(2)/2))/(LN(2)/2)*AQ143*AT143*VLOOKUP('Données projet'!$B$10,Paramètres!$A$1:$I$89,3,0)*0.475*44/12</f>
        <v>2.0261514440584168E-2</v>
      </c>
      <c r="AX143" s="21">
        <f t="shared" si="114"/>
        <v>44.939391850095411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252.99999999999994</v>
      </c>
      <c r="BE143" s="13">
        <f>BD143*VLOOKUP('Données projet'!$B$11,Paramètres!$A$1:$I$89,3,0)*VLOOKUP('Données projet'!$B$11,Paramètres!$A$1:$I$89,5,0)</f>
        <v>272.3291999999999</v>
      </c>
      <c r="BF143" s="13">
        <f t="shared" si="145"/>
        <v>65.34333692428207</v>
      </c>
      <c r="BG143" s="20">
        <f t="shared" si="115"/>
        <v>588.11300180979117</v>
      </c>
      <c r="BH143" s="59">
        <f t="shared" si="116"/>
        <v>873.53608971401559</v>
      </c>
      <c r="BI143" s="59">
        <f ca="1">AVERAGE(OFFSET($BH$3,0,0,'Données projet'!$E$11+1,1))-AVERAGE(OFFSET($H$3,0,0,'Données projet'!$E$11+1,1))</f>
        <v>404.24955007425774</v>
      </c>
      <c r="BJ143" s="59">
        <f t="shared" si="146"/>
        <v>211.49137630071019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43.155681164200836</v>
      </c>
      <c r="BQ143" s="21">
        <f>EXP(-LN(2)/25)*BQ142+(1-EXP(-LN(2)/25))/(LN(2)/25)*Calculateur!BL143*Calculateur!BN143*VLOOKUP('Données projet'!$B$11,Paramètres!$A$1:$I$89,3,0)*0.475*44/12</f>
        <v>6.8349638867698488</v>
      </c>
      <c r="BR143" s="21">
        <f>EXP(-LN(2)/2)*BR142+(1-EXP(-LN(2)/2))/(LN(2)/2)*BL143*BO143*VLOOKUP('Données projet'!$B$11,Paramètres!$A$1:$I$89,3,0)*0.475*44/12</f>
        <v>2.2549104780650114E-2</v>
      </c>
      <c r="BS143" s="22">
        <f t="shared" si="117"/>
        <v>50.013194155751336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195.99999999999994</v>
      </c>
      <c r="BZ143" s="13">
        <f>BY143*VLOOKUP('Données projet'!$B$12,Paramètres!$A$1:$I$89,3,0)*VLOOKUP('Données projet'!$B$12,Paramètres!$A$1:$I$89,5,0)</f>
        <v>152.87999999999997</v>
      </c>
      <c r="CA143" s="13">
        <f t="shared" si="147"/>
        <v>39.232349774697852</v>
      </c>
      <c r="CB143" s="20">
        <f t="shared" si="118"/>
        <v>334.59567585759868</v>
      </c>
      <c r="CC143" s="59">
        <f t="shared" si="119"/>
        <v>620.01876376182304</v>
      </c>
      <c r="CD143" s="59">
        <f ca="1">AVERAGE(OFFSET($CC$3,0,0,'Données projet'!$E$12+1,1))-AVERAGE(OFFSET($H$3,0,0,'Données projet'!$E$12+1,1))</f>
        <v>250.01410333089137</v>
      </c>
      <c r="CE143" s="59">
        <f t="shared" si="148"/>
        <v>169.55868564318885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10.945280029982751</v>
      </c>
      <c r="CL143" s="21">
        <f>EXP(-LN(2)/25)*CL142+(1-EXP(-LN(2)/25))/(LN(2)/25)*Calculateur!CG143*Calculateur!CI143*VLOOKUP('Données projet'!$B$12,Paramètres!$A$1:$I$89,3,0)*0.475*44/12</f>
        <v>2.8435675364364732</v>
      </c>
      <c r="CM143" s="21">
        <f>EXP(-LN(2)/2)*CM142+(1-EXP(-LN(2)/2))/(LN(2)/2)*CG143*CJ143*VLOOKUP('Données projet'!$B$12,Paramètres!$A$1:$I$89,3,0)*0.475*44/12</f>
        <v>5.3400152991134501E-7</v>
      </c>
      <c r="CN143" s="22">
        <f t="shared" si="120"/>
        <v>13.788848100420754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5.7</v>
      </c>
      <c r="N144" s="13">
        <f>IF('Données projet'!$A$36&gt;35,N143+M144-V143,IF(A144&lt;'Données projet'!$A$36,$K$205^A144,IF(A144='Données projet'!$A$36,'Données projet'!$B$36,N143+M144-V143)))</f>
        <v>303.2000000000001</v>
      </c>
      <c r="O144" s="13">
        <f>N144*VLOOKUP('Données projet'!$B$9,Paramètres!$A$1:$I$89,3,0)*VLOOKUP('Données projet'!$B$9,Paramètres!$A$1:$I$89,5,0)</f>
        <v>274.33536000000009</v>
      </c>
      <c r="P144" s="13">
        <f t="shared" si="141"/>
        <v>65.768487373341415</v>
      </c>
      <c r="Q144" s="20">
        <f t="shared" si="108"/>
        <v>592.34753417523643</v>
      </c>
      <c r="R144" s="59">
        <f t="shared" si="109"/>
        <v>877.90784715299651</v>
      </c>
      <c r="S144" s="59">
        <f ca="1">AVERAGE(OFFSET($R$3,0,0,'Données projet'!$E$9+1,1))-AVERAGE(OFFSET($H$3,0,0,'Données projet'!$E$9+1,1))</f>
        <v>469.5773392354356</v>
      </c>
      <c r="T144" s="59">
        <f t="shared" si="142"/>
        <v>187.25344022835239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44.582635718564497</v>
      </c>
      <c r="AA144" s="21">
        <f>EXP(-LN(2)/25)*AA143+(1-EXP(-LN(2)/25))/(LN(2)/25)*Calculateur!V144*Calculateur!X144*VLOOKUP('Données projet'!$B$9,Paramètres!$A$1:$I$89,3,0)*0.475*44/12</f>
        <v>7.391062707571634</v>
      </c>
      <c r="AB144" s="21">
        <f>EXP(-LN(2)/2)*AB143+(1-EXP(-LN(2)/2))/(LN(2)/2)*V144*Y144*VLOOKUP('Données projet'!$B$9,Paramètres!$A$1:$I$89,3,0)*0.475*44/12</f>
        <v>0.44025430498567941</v>
      </c>
      <c r="AC144" s="22">
        <f t="shared" si="111"/>
        <v>52.41395273112181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252.99999999999994</v>
      </c>
      <c r="AJ144" s="13">
        <f>AI144*VLOOKUP('Données projet'!$B$10,Paramètres!$A$1:$I$89,3,0)*VLOOKUP('Données projet'!$B$10,Paramètres!$A$1:$I$89,5,0)</f>
        <v>244.70159999999993</v>
      </c>
      <c r="AK144" s="13">
        <f t="shared" si="143"/>
        <v>59.44995761550765</v>
      </c>
      <c r="AL144" s="20">
        <f t="shared" si="112"/>
        <v>529.73062951367569</v>
      </c>
      <c r="AM144" s="59">
        <f t="shared" si="113"/>
        <v>815.29094249143577</v>
      </c>
      <c r="AN144" s="59">
        <f ca="1">AVERAGE(OFFSET($AM$3,0,0,'Données projet'!$E$10+1,1))-AVERAGE(OFFSET($H$3,0,0,'Données projet'!$E$10+1,1))</f>
        <v>370.91255999489181</v>
      </c>
      <c r="AO144" s="59">
        <f t="shared" si="144"/>
        <v>196.07869248605735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38.017164114407386</v>
      </c>
      <c r="AV144" s="21">
        <f>EXP(-LN(2)/25)*AV143+(1-EXP(-LN(2)/25))/(LN(2)/25)*Calculateur!AQ144*Calculateur!AS144*VLOOKUP('Données projet'!$B$10,Paramètres!$A$1:$I$89,3,0)*0.475*44/12</f>
        <v>5.9736204242139408</v>
      </c>
      <c r="AW144" s="21">
        <f>EXP(-LN(2)/2)*AW143+(1-EXP(-LN(2)/2))/(LN(2)/2)*AQ144*AT144*VLOOKUP('Données projet'!$B$10,Paramètres!$A$1:$I$89,3,0)*0.475*44/12</f>
        <v>1.4327054258046222E-2</v>
      </c>
      <c r="AX144" s="21">
        <f t="shared" si="114"/>
        <v>44.005111592879373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252.99999999999994</v>
      </c>
      <c r="BE144" s="13">
        <f>BD144*VLOOKUP('Données projet'!$B$11,Paramètres!$A$1:$I$89,3,0)*VLOOKUP('Données projet'!$B$11,Paramètres!$A$1:$I$89,5,0)</f>
        <v>272.3291999999999</v>
      </c>
      <c r="BF144" s="13">
        <f t="shared" si="145"/>
        <v>65.34333692428207</v>
      </c>
      <c r="BG144" s="20">
        <f t="shared" si="115"/>
        <v>588.11300180979117</v>
      </c>
      <c r="BH144" s="59">
        <f t="shared" si="116"/>
        <v>873.67331478755113</v>
      </c>
      <c r="BI144" s="59">
        <f ca="1">AVERAGE(OFFSET($BH$3,0,0,'Données projet'!$E$11+1,1))-AVERAGE(OFFSET($H$3,0,0,'Données projet'!$E$11+1,1))</f>
        <v>404.24955007425774</v>
      </c>
      <c r="BJ144" s="59">
        <f t="shared" si="146"/>
        <v>211.49137630071019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42.309424578937247</v>
      </c>
      <c r="BQ144" s="21">
        <f>EXP(-LN(2)/25)*BQ143+(1-EXP(-LN(2)/25))/(LN(2)/25)*Calculateur!BL144*Calculateur!BN144*VLOOKUP('Données projet'!$B$11,Paramètres!$A$1:$I$89,3,0)*0.475*44/12</f>
        <v>6.6480614398509976</v>
      </c>
      <c r="BR144" s="21">
        <f>EXP(-LN(2)/2)*BR143+(1-EXP(-LN(2)/2))/(LN(2)/2)*BL144*BO144*VLOOKUP('Données projet'!$B$11,Paramètres!$A$1:$I$89,3,0)*0.475*44/12</f>
        <v>1.5944624900083693E-2</v>
      </c>
      <c r="BS144" s="22">
        <f t="shared" si="117"/>
        <v>48.973430643688332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195.99999999999994</v>
      </c>
      <c r="BZ144" s="13">
        <f>BY144*VLOOKUP('Données projet'!$B$12,Paramètres!$A$1:$I$89,3,0)*VLOOKUP('Données projet'!$B$12,Paramètres!$A$1:$I$89,5,0)</f>
        <v>152.87999999999997</v>
      </c>
      <c r="CA144" s="13">
        <f t="shared" si="147"/>
        <v>39.232349774697852</v>
      </c>
      <c r="CB144" s="20">
        <f t="shared" si="118"/>
        <v>334.59567585759868</v>
      </c>
      <c r="CC144" s="59">
        <f t="shared" si="119"/>
        <v>620.1559888353587</v>
      </c>
      <c r="CD144" s="59">
        <f ca="1">AVERAGE(OFFSET($CC$3,0,0,'Données projet'!$E$12+1,1))-AVERAGE(OFFSET($H$3,0,0,'Données projet'!$E$12+1,1))</f>
        <v>250.01410333089137</v>
      </c>
      <c r="CE144" s="59">
        <f t="shared" si="148"/>
        <v>169.55868564318885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10.730649764556411</v>
      </c>
      <c r="CL144" s="21">
        <f>EXP(-LN(2)/25)*CL143+(1-EXP(-LN(2)/25))/(LN(2)/25)*Calculateur!CG144*Calculateur!CI144*VLOOKUP('Données projet'!$B$12,Paramètres!$A$1:$I$89,3,0)*0.475*44/12</f>
        <v>2.7658100326159003</v>
      </c>
      <c r="CM144" s="21">
        <f>EXP(-LN(2)/2)*CM143+(1-EXP(-LN(2)/2))/(LN(2)/2)*CG144*CJ144*VLOOKUP('Données projet'!$B$12,Paramètres!$A$1:$I$89,3,0)*0.475*44/12</f>
        <v>3.7759610296430306E-7</v>
      </c>
      <c r="CN144" s="22">
        <f t="shared" si="120"/>
        <v>13.496460174768414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5.7</v>
      </c>
      <c r="N145" s="13">
        <f>IF('Données projet'!$A$36&gt;35,N144+M145-V144,IF(A145&lt;'Données projet'!$A$36,$K$205^A145,IF(A145='Données projet'!$A$36,'Données projet'!$B$36,N144+M145-V144)))</f>
        <v>308.90000000000009</v>
      </c>
      <c r="O145" s="13">
        <f>N145*VLOOKUP('Données projet'!$B$9,Paramètres!$A$1:$I$89,3,0)*VLOOKUP('Données projet'!$B$9,Paramètres!$A$1:$I$89,5,0)</f>
        <v>279.49272000000008</v>
      </c>
      <c r="P145" s="13">
        <f t="shared" si="141"/>
        <v>66.859794723247632</v>
      </c>
      <c r="Q145" s="20">
        <f t="shared" si="108"/>
        <v>603.23062980965642</v>
      </c>
      <c r="R145" s="59">
        <f t="shared" si="109"/>
        <v>888.92578731271556</v>
      </c>
      <c r="S145" s="59">
        <f ca="1">AVERAGE(OFFSET($R$3,0,0,'Données projet'!$E$9+1,1))-AVERAGE(OFFSET($H$3,0,0,'Données projet'!$E$9+1,1))</f>
        <v>469.5773392354356</v>
      </c>
      <c r="T145" s="59">
        <f t="shared" si="142"/>
        <v>187.25344022835239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43.708397424846176</v>
      </c>
      <c r="AA145" s="21">
        <f>EXP(-LN(2)/25)*AA144+(1-EXP(-LN(2)/25))/(LN(2)/25)*Calculateur!V145*Calculateur!X145*VLOOKUP('Données projet'!$B$9,Paramètres!$A$1:$I$89,3,0)*0.475*44/12</f>
        <v>7.1889537091539921</v>
      </c>
      <c r="AB145" s="21">
        <f>EXP(-LN(2)/2)*AB144+(1-EXP(-LN(2)/2))/(LN(2)/2)*V145*Y145*VLOOKUP('Données projet'!$B$9,Paramètres!$A$1:$I$89,3,0)*0.475*44/12</f>
        <v>0.31130680450194437</v>
      </c>
      <c r="AC145" s="22">
        <f t="shared" si="111"/>
        <v>51.208657938502114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252.99999999999994</v>
      </c>
      <c r="AJ145" s="13">
        <f>AI145*VLOOKUP('Données projet'!$B$10,Paramètres!$A$1:$I$89,3,0)*VLOOKUP('Données projet'!$B$10,Paramètres!$A$1:$I$89,5,0)</f>
        <v>244.70159999999993</v>
      </c>
      <c r="AK145" s="13">
        <f t="shared" si="143"/>
        <v>59.44995761550765</v>
      </c>
      <c r="AL145" s="20">
        <f t="shared" si="112"/>
        <v>529.73062951367569</v>
      </c>
      <c r="AM145" s="59">
        <f t="shared" si="113"/>
        <v>815.42578701673483</v>
      </c>
      <c r="AN145" s="59">
        <f ca="1">AVERAGE(OFFSET($AM$3,0,0,'Données projet'!$E$10+1,1))-AVERAGE(OFFSET($H$3,0,0,'Données projet'!$E$10+1,1))</f>
        <v>370.91255999489181</v>
      </c>
      <c r="AO145" s="59">
        <f t="shared" si="144"/>
        <v>196.07869248605735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37.271670714304321</v>
      </c>
      <c r="AV145" s="21">
        <f>EXP(-LN(2)/25)*AV144+(1-EXP(-LN(2)/25))/(LN(2)/25)*Calculateur!AQ145*Calculateur!AS145*VLOOKUP('Données projet'!$B$10,Paramètres!$A$1:$I$89,3,0)*0.475*44/12</f>
        <v>5.8102714595747651</v>
      </c>
      <c r="AW145" s="21">
        <f>EXP(-LN(2)/2)*AW144+(1-EXP(-LN(2)/2))/(LN(2)/2)*AQ145*AT145*VLOOKUP('Données projet'!$B$10,Paramètres!$A$1:$I$89,3,0)*0.475*44/12</f>
        <v>1.0130757220292084E-2</v>
      </c>
      <c r="AX145" s="21">
        <f t="shared" si="114"/>
        <v>43.092072931099381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252.99999999999994</v>
      </c>
      <c r="BE145" s="13">
        <f>BD145*VLOOKUP('Données projet'!$B$11,Paramètres!$A$1:$I$89,3,0)*VLOOKUP('Données projet'!$B$11,Paramètres!$A$1:$I$89,5,0)</f>
        <v>272.3291999999999</v>
      </c>
      <c r="BF145" s="13">
        <f t="shared" si="145"/>
        <v>65.34333692428207</v>
      </c>
      <c r="BG145" s="20">
        <f t="shared" si="115"/>
        <v>588.11300180979117</v>
      </c>
      <c r="BH145" s="59">
        <f t="shared" si="116"/>
        <v>873.80815931285019</v>
      </c>
      <c r="BI145" s="59">
        <f ca="1">AVERAGE(OFFSET($BH$3,0,0,'Données projet'!$E$11+1,1))-AVERAGE(OFFSET($H$3,0,0,'Données projet'!$E$11+1,1))</f>
        <v>404.24955007425774</v>
      </c>
      <c r="BJ145" s="59">
        <f t="shared" si="146"/>
        <v>211.49137630071019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41.47976256914513</v>
      </c>
      <c r="BQ145" s="21">
        <f>EXP(-LN(2)/25)*BQ144+(1-EXP(-LN(2)/25))/(LN(2)/25)*Calculateur!BL145*Calculateur!BN145*VLOOKUP('Données projet'!$B$11,Paramètres!$A$1:$I$89,3,0)*0.475*44/12</f>
        <v>6.4662698501719156</v>
      </c>
      <c r="BR145" s="21">
        <f>EXP(-LN(2)/2)*BR144+(1-EXP(-LN(2)/2))/(LN(2)/2)*BL145*BO145*VLOOKUP('Données projet'!$B$11,Paramètres!$A$1:$I$89,3,0)*0.475*44/12</f>
        <v>1.1274552390325057E-2</v>
      </c>
      <c r="BS145" s="22">
        <f t="shared" si="117"/>
        <v>47.957306971707375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195.99999999999994</v>
      </c>
      <c r="BZ145" s="13">
        <f>BY145*VLOOKUP('Données projet'!$B$12,Paramètres!$A$1:$I$89,3,0)*VLOOKUP('Données projet'!$B$12,Paramètres!$A$1:$I$89,5,0)</f>
        <v>152.87999999999997</v>
      </c>
      <c r="CA145" s="13">
        <f t="shared" si="147"/>
        <v>39.232349774697852</v>
      </c>
      <c r="CB145" s="20">
        <f t="shared" si="118"/>
        <v>334.59567585759868</v>
      </c>
      <c r="CC145" s="59">
        <f t="shared" si="119"/>
        <v>620.29083336065776</v>
      </c>
      <c r="CD145" s="59">
        <f ca="1">AVERAGE(OFFSET($CC$3,0,0,'Données projet'!$E$12+1,1))-AVERAGE(OFFSET($H$3,0,0,'Données projet'!$E$12+1,1))</f>
        <v>250.01410333089137</v>
      </c>
      <c r="CE145" s="59">
        <f t="shared" si="148"/>
        <v>169.55868564318885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10.520228267723546</v>
      </c>
      <c r="CL145" s="21">
        <f>EXP(-LN(2)/25)*CL144+(1-EXP(-LN(2)/25))/(LN(2)/25)*Calculateur!CG145*Calculateur!CI145*VLOOKUP('Données projet'!$B$12,Paramètres!$A$1:$I$89,3,0)*0.475*44/12</f>
        <v>2.6901788118263901</v>
      </c>
      <c r="CM145" s="21">
        <f>EXP(-LN(2)/2)*CM144+(1-EXP(-LN(2)/2))/(LN(2)/2)*CG145*CJ145*VLOOKUP('Données projet'!$B$12,Paramètres!$A$1:$I$89,3,0)*0.475*44/12</f>
        <v>2.6700076495567251E-7</v>
      </c>
      <c r="CN145" s="22">
        <f t="shared" si="120"/>
        <v>13.210407346550701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5.7</v>
      </c>
      <c r="N146" s="13">
        <f>IF('Données projet'!$A$36&gt;35,N145+M146-V145,IF(A146&lt;'Données projet'!$A$36,$K$205^A146,IF(A146='Données projet'!$A$36,'Données projet'!$B$36,N145+M146-V145)))</f>
        <v>314.60000000000008</v>
      </c>
      <c r="O146" s="13">
        <f>N146*VLOOKUP('Données projet'!$B$9,Paramètres!$A$1:$I$89,3,0)*VLOOKUP('Données projet'!$B$9,Paramètres!$A$1:$I$89,5,0)</f>
        <v>284.65008000000006</v>
      </c>
      <c r="P146" s="13">
        <f t="shared" si="141"/>
        <v>67.948760451419048</v>
      </c>
      <c r="Q146" s="20">
        <f t="shared" si="108"/>
        <v>614.10964711955501</v>
      </c>
      <c r="R146" s="59">
        <f t="shared" si="109"/>
        <v>899.93730989686651</v>
      </c>
      <c r="S146" s="59">
        <f ca="1">AVERAGE(OFFSET($R$3,0,0,'Données projet'!$E$9+1,1))-AVERAGE(OFFSET($H$3,0,0,'Données projet'!$E$9+1,1))</f>
        <v>469.5773392354356</v>
      </c>
      <c r="T146" s="59">
        <f t="shared" si="142"/>
        <v>187.25344022835239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42.851302410834968</v>
      </c>
      <c r="AA146" s="21">
        <f>EXP(-LN(2)/25)*AA145+(1-EXP(-LN(2)/25))/(LN(2)/25)*Calculateur!V146*Calculateur!X146*VLOOKUP('Données projet'!$B$9,Paramètres!$A$1:$I$89,3,0)*0.475*44/12</f>
        <v>6.9923713919265316</v>
      </c>
      <c r="AB146" s="21">
        <f>EXP(-LN(2)/2)*AB145+(1-EXP(-LN(2)/2))/(LN(2)/2)*V146*Y146*VLOOKUP('Données projet'!$B$9,Paramètres!$A$1:$I$89,3,0)*0.475*44/12</f>
        <v>0.22012715249283971</v>
      </c>
      <c r="AC146" s="22">
        <f t="shared" si="111"/>
        <v>50.063800955254344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252.99999999999994</v>
      </c>
      <c r="AJ146" s="13">
        <f>AI146*VLOOKUP('Données projet'!$B$10,Paramètres!$A$1:$I$89,3,0)*VLOOKUP('Données projet'!$B$10,Paramètres!$A$1:$I$89,5,0)</f>
        <v>244.70159999999993</v>
      </c>
      <c r="AK146" s="13">
        <f t="shared" si="143"/>
        <v>59.44995761550765</v>
      </c>
      <c r="AL146" s="20">
        <f t="shared" si="112"/>
        <v>529.73062951367569</v>
      </c>
      <c r="AM146" s="59">
        <f t="shared" si="113"/>
        <v>815.55829229098708</v>
      </c>
      <c r="AN146" s="59">
        <f ca="1">AVERAGE(OFFSET($AM$3,0,0,'Données projet'!$E$10+1,1))-AVERAGE(OFFSET($H$3,0,0,'Données projet'!$E$10+1,1))</f>
        <v>370.91255999489181</v>
      </c>
      <c r="AO146" s="59">
        <f t="shared" si="144"/>
        <v>196.07869248605735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36.540795985071206</v>
      </c>
      <c r="AV146" s="21">
        <f>EXP(-LN(2)/25)*AV145+(1-EXP(-LN(2)/25))/(LN(2)/25)*Calculateur!AQ146*Calculateur!AS146*VLOOKUP('Données projet'!$B$10,Paramètres!$A$1:$I$89,3,0)*0.475*44/12</f>
        <v>5.6513892809637962</v>
      </c>
      <c r="AW146" s="21">
        <f>EXP(-LN(2)/2)*AW145+(1-EXP(-LN(2)/2))/(LN(2)/2)*AQ146*AT146*VLOOKUP('Données projet'!$B$10,Paramètres!$A$1:$I$89,3,0)*0.475*44/12</f>
        <v>7.163527129023111E-3</v>
      </c>
      <c r="AX146" s="21">
        <f t="shared" si="114"/>
        <v>42.199348793164027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252.99999999999994</v>
      </c>
      <c r="BE146" s="13">
        <f>BD146*VLOOKUP('Données projet'!$B$11,Paramètres!$A$1:$I$89,3,0)*VLOOKUP('Données projet'!$B$11,Paramètres!$A$1:$I$89,5,0)</f>
        <v>272.3291999999999</v>
      </c>
      <c r="BF146" s="13">
        <f t="shared" si="145"/>
        <v>65.34333692428207</v>
      </c>
      <c r="BG146" s="20">
        <f t="shared" si="115"/>
        <v>588.11300180979117</v>
      </c>
      <c r="BH146" s="59">
        <f t="shared" si="116"/>
        <v>873.94066458710267</v>
      </c>
      <c r="BI146" s="59">
        <f ca="1">AVERAGE(OFFSET($BH$3,0,0,'Données projet'!$E$11+1,1))-AVERAGE(OFFSET($H$3,0,0,'Données projet'!$E$11+1,1))</f>
        <v>404.24955007425774</v>
      </c>
      <c r="BJ146" s="59">
        <f t="shared" si="146"/>
        <v>211.49137630071019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40.666369725321175</v>
      </c>
      <c r="BQ146" s="21">
        <f>EXP(-LN(2)/25)*BQ145+(1-EXP(-LN(2)/25))/(LN(2)/25)*Calculateur!BL146*Calculateur!BN146*VLOOKUP('Données projet'!$B$11,Paramètres!$A$1:$I$89,3,0)*0.475*44/12</f>
        <v>6.2894493610726121</v>
      </c>
      <c r="BR146" s="21">
        <f>EXP(-LN(2)/2)*BR145+(1-EXP(-LN(2)/2))/(LN(2)/2)*BL146*BO146*VLOOKUP('Données projet'!$B$11,Paramètres!$A$1:$I$89,3,0)*0.475*44/12</f>
        <v>7.9723124500418463E-3</v>
      </c>
      <c r="BS146" s="22">
        <f t="shared" si="117"/>
        <v>46.963791398843831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195.99999999999994</v>
      </c>
      <c r="BZ146" s="13">
        <f>BY146*VLOOKUP('Données projet'!$B$12,Paramètres!$A$1:$I$89,3,0)*VLOOKUP('Données projet'!$B$12,Paramètres!$A$1:$I$89,5,0)</f>
        <v>152.87999999999997</v>
      </c>
      <c r="CA146" s="13">
        <f t="shared" si="147"/>
        <v>39.232349774697852</v>
      </c>
      <c r="CB146" s="20">
        <f t="shared" si="118"/>
        <v>334.59567585759868</v>
      </c>
      <c r="CC146" s="59">
        <f t="shared" si="119"/>
        <v>620.42333863491012</v>
      </c>
      <c r="CD146" s="59">
        <f ca="1">AVERAGE(OFFSET($CC$3,0,0,'Données projet'!$E$12+1,1))-AVERAGE(OFFSET($H$3,0,0,'Données projet'!$E$12+1,1))</f>
        <v>250.01410333089137</v>
      </c>
      <c r="CE146" s="59">
        <f t="shared" si="148"/>
        <v>169.55868564318885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10.313933008099134</v>
      </c>
      <c r="CL146" s="21">
        <f>EXP(-LN(2)/25)*CL145+(1-EXP(-LN(2)/25))/(LN(2)/25)*Calculateur!CG146*Calculateur!CI146*VLOOKUP('Données projet'!$B$12,Paramètres!$A$1:$I$89,3,0)*0.475*44/12</f>
        <v>2.6166157307466422</v>
      </c>
      <c r="CM146" s="21">
        <f>EXP(-LN(2)/2)*CM145+(1-EXP(-LN(2)/2))/(LN(2)/2)*CG146*CJ146*VLOOKUP('Données projet'!$B$12,Paramètres!$A$1:$I$89,3,0)*0.475*44/12</f>
        <v>1.8879805148215153E-7</v>
      </c>
      <c r="CN146" s="22">
        <f t="shared" si="120"/>
        <v>12.930548927643827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5.7</v>
      </c>
      <c r="N147" s="13">
        <f>IF('Données projet'!$A$36&gt;35,N146+M147-V146,IF(A147&lt;'Données projet'!$A$36,$K$205^A147,IF(A147='Données projet'!$A$36,'Données projet'!$B$36,N146+M147-V146)))</f>
        <v>320.30000000000007</v>
      </c>
      <c r="O147" s="13">
        <f>N147*VLOOKUP('Données projet'!$B$9,Paramètres!$A$1:$I$89,3,0)*VLOOKUP('Données projet'!$B$9,Paramètres!$A$1:$I$89,5,0)</f>
        <v>289.80744000000004</v>
      </c>
      <c r="P147" s="13">
        <f t="shared" si="141"/>
        <v>69.035431877638658</v>
      </c>
      <c r="Q147" s="20">
        <f t="shared" si="108"/>
        <v>624.98466852022068</v>
      </c>
      <c r="R147" s="59">
        <f t="shared" si="109"/>
        <v>910.94253790151356</v>
      </c>
      <c r="S147" s="59">
        <f ca="1">AVERAGE(OFFSET($R$3,0,0,'Données projet'!$E$9+1,1))-AVERAGE(OFFSET($H$3,0,0,'Données projet'!$E$9+1,1))</f>
        <v>469.5773392354356</v>
      </c>
      <c r="T147" s="59">
        <f t="shared" si="142"/>
        <v>187.25344022835239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42.011014507272179</v>
      </c>
      <c r="AA147" s="21">
        <f>EXP(-LN(2)/25)*AA146+(1-EXP(-LN(2)/25))/(LN(2)/25)*Calculateur!V147*Calculateur!X147*VLOOKUP('Données projet'!$B$9,Paramètres!$A$1:$I$89,3,0)*0.475*44/12</f>
        <v>6.8011646285014704</v>
      </c>
      <c r="AB147" s="21">
        <f>EXP(-LN(2)/2)*AB146+(1-EXP(-LN(2)/2))/(LN(2)/2)*V147*Y147*VLOOKUP('Données projet'!$B$9,Paramètres!$A$1:$I$89,3,0)*0.475*44/12</f>
        <v>0.15565340225097218</v>
      </c>
      <c r="AC147" s="22">
        <f t="shared" si="111"/>
        <v>48.967832538024616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252.99999999999994</v>
      </c>
      <c r="AJ147" s="13">
        <f>AI147*VLOOKUP('Données projet'!$B$10,Paramètres!$A$1:$I$89,3,0)*VLOOKUP('Données projet'!$B$10,Paramètres!$A$1:$I$89,5,0)</f>
        <v>244.70159999999993</v>
      </c>
      <c r="AK147" s="13">
        <f t="shared" si="143"/>
        <v>59.44995761550765</v>
      </c>
      <c r="AL147" s="20">
        <f t="shared" si="112"/>
        <v>529.73062951367569</v>
      </c>
      <c r="AM147" s="59">
        <f t="shared" si="113"/>
        <v>815.68849889496857</v>
      </c>
      <c r="AN147" s="59">
        <f ca="1">AVERAGE(OFFSET($AM$3,0,0,'Données projet'!$E$10+1,1))-AVERAGE(OFFSET($H$3,0,0,'Données projet'!$E$10+1,1))</f>
        <v>370.91255999489181</v>
      </c>
      <c r="AO147" s="59">
        <f t="shared" si="144"/>
        <v>196.07869248605735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35.824253263488785</v>
      </c>
      <c r="AV147" s="21">
        <f>EXP(-LN(2)/25)*AV146+(1-EXP(-LN(2)/25))/(LN(2)/25)*Calculateur!AQ147*Calculateur!AS147*VLOOKUP('Données projet'!$B$10,Paramètres!$A$1:$I$89,3,0)*0.475*44/12</f>
        <v>5.4968517438821953</v>
      </c>
      <c r="AW147" s="21">
        <f>EXP(-LN(2)/2)*AW146+(1-EXP(-LN(2)/2))/(LN(2)/2)*AQ147*AT147*VLOOKUP('Données projet'!$B$10,Paramètres!$A$1:$I$89,3,0)*0.475*44/12</f>
        <v>5.0653786101460419E-3</v>
      </c>
      <c r="AX147" s="21">
        <f t="shared" si="114"/>
        <v>41.326170385981129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252.99999999999994</v>
      </c>
      <c r="BE147" s="13">
        <f>BD147*VLOOKUP('Données projet'!$B$11,Paramètres!$A$1:$I$89,3,0)*VLOOKUP('Données projet'!$B$11,Paramètres!$A$1:$I$89,5,0)</f>
        <v>272.3291999999999</v>
      </c>
      <c r="BF147" s="13">
        <f t="shared" si="145"/>
        <v>65.34333692428207</v>
      </c>
      <c r="BG147" s="20">
        <f t="shared" si="115"/>
        <v>588.11300180979117</v>
      </c>
      <c r="BH147" s="59">
        <f t="shared" si="116"/>
        <v>874.07087119108405</v>
      </c>
      <c r="BI147" s="59">
        <f ca="1">AVERAGE(OFFSET($BH$3,0,0,'Données projet'!$E$11+1,1))-AVERAGE(OFFSET($H$3,0,0,'Données projet'!$E$11+1,1))</f>
        <v>404.24955007425774</v>
      </c>
      <c r="BJ147" s="59">
        <f t="shared" si="146"/>
        <v>211.49137630071019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39.868927019043966</v>
      </c>
      <c r="BQ147" s="21">
        <f>EXP(-LN(2)/25)*BQ146+(1-EXP(-LN(2)/25))/(LN(2)/25)*Calculateur!BL147*Calculateur!BN147*VLOOKUP('Données projet'!$B$11,Paramètres!$A$1:$I$89,3,0)*0.475*44/12</f>
        <v>6.1174640375463145</v>
      </c>
      <c r="BR147" s="21">
        <f>EXP(-LN(2)/2)*BR146+(1-EXP(-LN(2)/2))/(LN(2)/2)*BL147*BO147*VLOOKUP('Données projet'!$B$11,Paramètres!$A$1:$I$89,3,0)*0.475*44/12</f>
        <v>5.6372761951625286E-3</v>
      </c>
      <c r="BS147" s="22">
        <f t="shared" si="117"/>
        <v>45.992028332785438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195.99999999999994</v>
      </c>
      <c r="BZ147" s="13">
        <f>BY147*VLOOKUP('Données projet'!$B$12,Paramètres!$A$1:$I$89,3,0)*VLOOKUP('Données projet'!$B$12,Paramètres!$A$1:$I$89,5,0)</f>
        <v>152.87999999999997</v>
      </c>
      <c r="CA147" s="13">
        <f t="shared" si="147"/>
        <v>39.232349774697852</v>
      </c>
      <c r="CB147" s="20">
        <f t="shared" si="118"/>
        <v>334.59567585759868</v>
      </c>
      <c r="CC147" s="59">
        <f t="shared" si="119"/>
        <v>620.5535452388915</v>
      </c>
      <c r="CD147" s="59">
        <f ca="1">AVERAGE(OFFSET($CC$3,0,0,'Données projet'!$E$12+1,1))-AVERAGE(OFFSET($H$3,0,0,'Données projet'!$E$12+1,1))</f>
        <v>250.01410333089137</v>
      </c>
      <c r="CE147" s="59">
        <f t="shared" si="148"/>
        <v>169.55868564318885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10.111683072688272</v>
      </c>
      <c r="CL147" s="21">
        <f>EXP(-LN(2)/25)*CL146+(1-EXP(-LN(2)/25))/(LN(2)/25)*Calculateur!CG147*Calculateur!CI147*VLOOKUP('Données projet'!$B$12,Paramètres!$A$1:$I$89,3,0)*0.475*44/12</f>
        <v>2.5450642359875344</v>
      </c>
      <c r="CM147" s="21">
        <f>EXP(-LN(2)/2)*CM146+(1-EXP(-LN(2)/2))/(LN(2)/2)*CG147*CJ147*VLOOKUP('Données projet'!$B$12,Paramètres!$A$1:$I$89,3,0)*0.475*44/12</f>
        <v>1.3350038247783625E-7</v>
      </c>
      <c r="CN147" s="22">
        <f t="shared" si="120"/>
        <v>12.65674744217619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>
        <f>VLOOKUP(A148,'Données projet'!$A$35:$I$55,2,0)</f>
        <v>326</v>
      </c>
      <c r="L148" s="12">
        <f>VLOOKUP(A148,'Données projet'!$A$35:$I$55,9,0)</f>
        <v>5.7</v>
      </c>
      <c r="M148" s="12">
        <f t="array" ref="M148">INDEX(L:L,MIN(IF(ISNUMBER(L148:L344),ROW(L148:L344),"")))</f>
        <v>5.7</v>
      </c>
      <c r="N148" s="13">
        <f>IF('Données projet'!$A$36&gt;35,N147+M148-V147,IF(A148&lt;'Données projet'!$A$36,$K$205^A148,IF(A148='Données projet'!$A$36,'Données projet'!$B$36,N147+M148-V147)))</f>
        <v>326.00000000000006</v>
      </c>
      <c r="O148" s="13">
        <f>N148*VLOOKUP('Données projet'!$B$9,Paramètres!$A$1:$I$89,3,0)*VLOOKUP('Données projet'!$B$9,Paramètres!$A$1:$I$89,5,0)</f>
        <v>294.96480000000003</v>
      </c>
      <c r="P148" s="13">
        <f t="shared" si="141"/>
        <v>70.119854541045001</v>
      </c>
      <c r="Q148" s="20">
        <f t="shared" si="108"/>
        <v>635.85577332565333</v>
      </c>
      <c r="R148" s="59">
        <f t="shared" si="109"/>
        <v>921.94159051744691</v>
      </c>
      <c r="S148" s="59">
        <f ca="1">AVERAGE(OFFSET($R$3,0,0,'Données projet'!$E$9+1,1))-AVERAGE(OFFSET($H$3,0,0,'Données projet'!$E$9+1,1))</f>
        <v>469.5773392354356</v>
      </c>
      <c r="T148" s="59">
        <f t="shared" si="142"/>
        <v>187.25344022835239</v>
      </c>
      <c r="U148" s="15">
        <f>IF(ISNA(VLOOKUP(A148,'Données projet'!$A$35:$I$55,3,0)),0,VLOOKUP(A148,'Données projet'!$A$35:$I$55,3,0))</f>
        <v>15</v>
      </c>
      <c r="V148" s="15">
        <f>IF(ISNA(VLOOKUP(A148,'Données projet'!$A$35:$I$55,4,0)),0,VLOOKUP(A148,'Données projet'!$A$35:$I$55,4,0))</f>
        <v>40</v>
      </c>
      <c r="W148" s="16">
        <f>IF(ISNA(VLOOKUP(A148,'Données projet'!$A$35:$I$55,5,0)),0%,VLOOKUP(A148,'Données projet'!$A$35:$I$55,5,0)*VLOOKUP('Données projet'!$B$9,Paramètres!$A$1:$I$89,7,0))</f>
        <v>0.34400000000000003</v>
      </c>
      <c r="X148" s="16">
        <f>IF(ISNA(VLOOKUP(A148,'Données projet'!$A$35:$I$55,6,0)),0%,VLOOKUP(A148,'Données projet'!$A$35:$I$55,6,0)*VLOOKUP('Données projet'!$B$9,Paramètres!$A$1:$I$89,7,0))</f>
        <v>4.3000000000000003E-2</v>
      </c>
      <c r="Y148" s="16">
        <f>IF(ISNA(VLOOKUP(A148,'Données projet'!$A$35:$I$55,7,0)),0%,VLOOKUP(A148,'Données projet'!$A$35:$I$55,7,0))</f>
        <v>0.1</v>
      </c>
      <c r="Z148" s="21">
        <f>EXP(-LN(2)/35)*Z147+(1-EXP(-LN(2)/35))/(LN(2)/35)*V148*W148*VLOOKUP('Données projet'!$B$9,Paramètres!$A$1:$I$89,3,0)*0.475*44/12</f>
        <v>54.950363424736693</v>
      </c>
      <c r="AA148" s="21">
        <f>EXP(-LN(2)/25)*AA147+(1-EXP(-LN(2)/25))/(LN(2)/25)*Calculateur!V148*Calculateur!X148*VLOOKUP('Données projet'!$B$9,Paramètres!$A$1:$I$89,3,0)*0.475*44/12</f>
        <v>8.3288074847614819</v>
      </c>
      <c r="AB148" s="21">
        <f>EXP(-LN(2)/2)*AB147+(1-EXP(-LN(2)/2))/(LN(2)/2)*V148*Y148*VLOOKUP('Données projet'!$B$9,Paramètres!$A$1:$I$89,3,0)*0.475*44/12</f>
        <v>3.5248761855862405</v>
      </c>
      <c r="AC148" s="22">
        <f t="shared" si="111"/>
        <v>66.804047095084414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252.99999999999994</v>
      </c>
      <c r="AJ148" s="13">
        <f>AI148*VLOOKUP('Données projet'!$B$10,Paramètres!$A$1:$I$89,3,0)*VLOOKUP('Données projet'!$B$10,Paramètres!$A$1:$I$89,5,0)</f>
        <v>244.70159999999993</v>
      </c>
      <c r="AK148" s="13">
        <f t="shared" si="143"/>
        <v>59.44995761550765</v>
      </c>
      <c r="AL148" s="20">
        <f t="shared" si="112"/>
        <v>529.73062951367569</v>
      </c>
      <c r="AM148" s="59">
        <f t="shared" si="113"/>
        <v>815.81644670546928</v>
      </c>
      <c r="AN148" s="59">
        <f ca="1">AVERAGE(OFFSET($AM$3,0,0,'Données projet'!$E$10+1,1))-AVERAGE(OFFSET($H$3,0,0,'Données projet'!$E$10+1,1))</f>
        <v>370.91255999489181</v>
      </c>
      <c r="AO148" s="59">
        <f t="shared" si="144"/>
        <v>196.07869248605735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35.12176150762869</v>
      </c>
      <c r="AV148" s="21">
        <f>EXP(-LN(2)/25)*AV147+(1-EXP(-LN(2)/25))/(LN(2)/25)*Calculateur!AQ148*Calculateur!AS148*VLOOKUP('Données projet'!$B$10,Paramètres!$A$1:$I$89,3,0)*0.475*44/12</f>
        <v>5.3465400438788668</v>
      </c>
      <c r="AW148" s="21">
        <f>EXP(-LN(2)/2)*AW147+(1-EXP(-LN(2)/2))/(LN(2)/2)*AQ148*AT148*VLOOKUP('Données projet'!$B$10,Paramètres!$A$1:$I$89,3,0)*0.475*44/12</f>
        <v>3.5817635645115555E-3</v>
      </c>
      <c r="AX148" s="21">
        <f t="shared" si="114"/>
        <v>40.47188331507207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252.99999999999994</v>
      </c>
      <c r="BE148" s="13">
        <f>BD148*VLOOKUP('Données projet'!$B$11,Paramètres!$A$1:$I$89,3,0)*VLOOKUP('Données projet'!$B$11,Paramètres!$A$1:$I$89,5,0)</f>
        <v>272.3291999999999</v>
      </c>
      <c r="BF148" s="13">
        <f t="shared" si="145"/>
        <v>65.34333692428207</v>
      </c>
      <c r="BG148" s="20">
        <f t="shared" si="115"/>
        <v>588.11300180979117</v>
      </c>
      <c r="BH148" s="59">
        <f t="shared" si="116"/>
        <v>874.19881900158475</v>
      </c>
      <c r="BI148" s="59">
        <f ca="1">AVERAGE(OFFSET($BH$3,0,0,'Données projet'!$E$11+1,1))-AVERAGE(OFFSET($H$3,0,0,'Données projet'!$E$11+1,1))</f>
        <v>404.24955007425774</v>
      </c>
      <c r="BJ148" s="59">
        <f t="shared" si="146"/>
        <v>211.49137630071019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39.087121677844827</v>
      </c>
      <c r="BQ148" s="21">
        <f>EXP(-LN(2)/25)*BQ147+(1-EXP(-LN(2)/25))/(LN(2)/25)*Calculateur!BL148*Calculateur!BN148*VLOOKUP('Données projet'!$B$11,Paramètres!$A$1:$I$89,3,0)*0.475*44/12</f>
        <v>5.950181661736158</v>
      </c>
      <c r="BR148" s="21">
        <f>EXP(-LN(2)/2)*BR147+(1-EXP(-LN(2)/2))/(LN(2)/2)*BL148*BO148*VLOOKUP('Données projet'!$B$11,Paramètres!$A$1:$I$89,3,0)*0.475*44/12</f>
        <v>3.9861562250209231E-3</v>
      </c>
      <c r="BS148" s="22">
        <f t="shared" si="117"/>
        <v>45.041289495806005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195.99999999999994</v>
      </c>
      <c r="BZ148" s="13">
        <f>BY148*VLOOKUP('Données projet'!$B$12,Paramètres!$A$1:$I$89,3,0)*VLOOKUP('Données projet'!$B$12,Paramètres!$A$1:$I$89,5,0)</f>
        <v>152.87999999999997</v>
      </c>
      <c r="CA148" s="13">
        <f t="shared" si="147"/>
        <v>39.232349774697852</v>
      </c>
      <c r="CB148" s="20">
        <f t="shared" si="118"/>
        <v>334.59567585759868</v>
      </c>
      <c r="CC148" s="59">
        <f t="shared" si="119"/>
        <v>620.6814930493922</v>
      </c>
      <c r="CD148" s="59">
        <f ca="1">AVERAGE(OFFSET($CC$3,0,0,'Données projet'!$E$12+1,1))-AVERAGE(OFFSET($H$3,0,0,'Données projet'!$E$12+1,1))</f>
        <v>250.01410333089137</v>
      </c>
      <c r="CE148" s="59">
        <f t="shared" si="148"/>
        <v>169.55868564318885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9.9133991351505379</v>
      </c>
      <c r="CL148" s="21">
        <f>EXP(-LN(2)/25)*CL147+(1-EXP(-LN(2)/25))/(LN(2)/25)*Calculateur!CG148*Calculateur!CI148*VLOOKUP('Données projet'!$B$12,Paramètres!$A$1:$I$89,3,0)*0.475*44/12</f>
        <v>2.475469320615344</v>
      </c>
      <c r="CM148" s="21">
        <f>EXP(-LN(2)/2)*CM147+(1-EXP(-LN(2)/2))/(LN(2)/2)*CG148*CJ148*VLOOKUP('Données projet'!$B$12,Paramètres!$A$1:$I$89,3,0)*0.475*44/12</f>
        <v>9.4399025741075765E-8</v>
      </c>
      <c r="CN148" s="22">
        <f t="shared" si="120"/>
        <v>12.388868550164908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5.9</v>
      </c>
      <c r="N149" s="13">
        <f>IF('Données projet'!$A$36&gt;35,N148+M149-V148,IF(A149&lt;'Données projet'!$A$36,$K$205^A149,IF(A149='Données projet'!$A$36,'Données projet'!$B$36,N148+M149-V148)))</f>
        <v>291.90000000000003</v>
      </c>
      <c r="O149" s="13">
        <f>N149*VLOOKUP('Données projet'!$B$9,Paramètres!$A$1:$I$89,3,0)*VLOOKUP('Données projet'!$B$9,Paramètres!$A$1:$I$89,5,0)</f>
        <v>264.11112000000003</v>
      </c>
      <c r="P149" s="13">
        <f t="shared" si="141"/>
        <v>63.59790086687066</v>
      </c>
      <c r="Q149" s="20">
        <f t="shared" si="108"/>
        <v>570.75987800979976</v>
      </c>
      <c r="R149" s="59">
        <f t="shared" si="109"/>
        <v>856.97142340363041</v>
      </c>
      <c r="S149" s="59">
        <f ca="1">AVERAGE(OFFSET($R$3,0,0,'Données projet'!$E$9+1,1))-AVERAGE(OFFSET($H$3,0,0,'Données projet'!$E$9+1,1))</f>
        <v>469.5773392354356</v>
      </c>
      <c r="T149" s="59">
        <f t="shared" si="142"/>
        <v>187.25344022835239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53.872820314389827</v>
      </c>
      <c r="AA149" s="21">
        <f>EXP(-LN(2)/25)*AA148+(1-EXP(-LN(2)/25))/(LN(2)/25)*Calculateur!V149*Calculateur!X149*VLOOKUP('Données projet'!$B$9,Paramètres!$A$1:$I$89,3,0)*0.475*44/12</f>
        <v>8.1010558060977296</v>
      </c>
      <c r="AB149" s="21">
        <f>EXP(-LN(2)/2)*AB148+(1-EXP(-LN(2)/2))/(LN(2)/2)*V149*Y149*VLOOKUP('Données projet'!$B$9,Paramètres!$A$1:$I$89,3,0)*0.475*44/12</f>
        <v>2.4924638536710022</v>
      </c>
      <c r="AC149" s="22">
        <f t="shared" si="111"/>
        <v>64.466339974158558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252.99999999999994</v>
      </c>
      <c r="AJ149" s="13">
        <f>AI149*VLOOKUP('Données projet'!$B$10,Paramètres!$A$1:$I$89,3,0)*VLOOKUP('Données projet'!$B$10,Paramètres!$A$1:$I$89,5,0)</f>
        <v>244.70159999999993</v>
      </c>
      <c r="AK149" s="13">
        <f t="shared" si="143"/>
        <v>59.44995761550765</v>
      </c>
      <c r="AL149" s="20">
        <f t="shared" si="112"/>
        <v>529.73062951367569</v>
      </c>
      <c r="AM149" s="59">
        <f t="shared" si="113"/>
        <v>815.94217490750634</v>
      </c>
      <c r="AN149" s="59">
        <f ca="1">AVERAGE(OFFSET($AM$3,0,0,'Données projet'!$E$10+1,1))-AVERAGE(OFFSET($H$3,0,0,'Données projet'!$E$10+1,1))</f>
        <v>370.91255999489181</v>
      </c>
      <c r="AO149" s="59">
        <f t="shared" si="144"/>
        <v>196.07869248605735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34.433045186623346</v>
      </c>
      <c r="AV149" s="21">
        <f>EXP(-LN(2)/25)*AV148+(1-EXP(-LN(2)/25))/(LN(2)/25)*Calculateur!AQ149*Calculateur!AS149*VLOOKUP('Données projet'!$B$10,Paramètres!$A$1:$I$89,3,0)*0.475*44/12</f>
        <v>5.2003386252166779</v>
      </c>
      <c r="AW149" s="21">
        <f>EXP(-LN(2)/2)*AW148+(1-EXP(-LN(2)/2))/(LN(2)/2)*AQ149*AT149*VLOOKUP('Données projet'!$B$10,Paramètres!$A$1:$I$89,3,0)*0.475*44/12</f>
        <v>2.532689305073021E-3</v>
      </c>
      <c r="AX149" s="21">
        <f t="shared" si="114"/>
        <v>39.635916501145097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252.99999999999994</v>
      </c>
      <c r="BE149" s="13">
        <f>BD149*VLOOKUP('Données projet'!$B$11,Paramètres!$A$1:$I$89,3,0)*VLOOKUP('Données projet'!$B$11,Paramètres!$A$1:$I$89,5,0)</f>
        <v>272.3291999999999</v>
      </c>
      <c r="BF149" s="13">
        <f t="shared" si="145"/>
        <v>65.34333692428207</v>
      </c>
      <c r="BG149" s="20">
        <f t="shared" si="115"/>
        <v>588.11300180979117</v>
      </c>
      <c r="BH149" s="59">
        <f t="shared" si="116"/>
        <v>874.32454720362182</v>
      </c>
      <c r="BI149" s="59">
        <f ca="1">AVERAGE(OFFSET($BH$3,0,0,'Données projet'!$E$11+1,1))-AVERAGE(OFFSET($H$3,0,0,'Données projet'!$E$11+1,1))</f>
        <v>404.24955007425774</v>
      </c>
      <c r="BJ149" s="59">
        <f t="shared" si="146"/>
        <v>211.49137630071019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38.32064706253243</v>
      </c>
      <c r="BQ149" s="21">
        <f>EXP(-LN(2)/25)*BQ148+(1-EXP(-LN(2)/25))/(LN(2)/25)*Calculateur!BL149*Calculateur!BN149*VLOOKUP('Données projet'!$B$11,Paramètres!$A$1:$I$89,3,0)*0.475*44/12</f>
        <v>5.7874736312895285</v>
      </c>
      <c r="BR149" s="21">
        <f>EXP(-LN(2)/2)*BR148+(1-EXP(-LN(2)/2))/(LN(2)/2)*BL149*BO149*VLOOKUP('Données projet'!$B$11,Paramètres!$A$1:$I$89,3,0)*0.475*44/12</f>
        <v>2.8186380975812643E-3</v>
      </c>
      <c r="BS149" s="22">
        <f t="shared" si="117"/>
        <v>44.110939331919539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195.99999999999994</v>
      </c>
      <c r="BZ149" s="13">
        <f>BY149*VLOOKUP('Données projet'!$B$12,Paramètres!$A$1:$I$89,3,0)*VLOOKUP('Données projet'!$B$12,Paramètres!$A$1:$I$89,5,0)</f>
        <v>152.87999999999997</v>
      </c>
      <c r="CA149" s="13">
        <f t="shared" si="147"/>
        <v>39.232349774697852</v>
      </c>
      <c r="CB149" s="20">
        <f t="shared" si="118"/>
        <v>334.59567585759868</v>
      </c>
      <c r="CC149" s="59">
        <f t="shared" si="119"/>
        <v>620.80722125142938</v>
      </c>
      <c r="CD149" s="59">
        <f ca="1">AVERAGE(OFFSET($CC$3,0,0,'Données projet'!$E$12+1,1))-AVERAGE(OFFSET($H$3,0,0,'Données projet'!$E$12+1,1))</f>
        <v>250.01410333089137</v>
      </c>
      <c r="CE149" s="59">
        <f t="shared" si="148"/>
        <v>169.55868564318885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9.7190034246866581</v>
      </c>
      <c r="CL149" s="21">
        <f>EXP(-LN(2)/25)*CL148+(1-EXP(-LN(2)/25))/(LN(2)/25)*Calculateur!CG149*Calculateur!CI149*VLOOKUP('Données projet'!$B$12,Paramètres!$A$1:$I$89,3,0)*0.475*44/12</f>
        <v>2.4077774818638438</v>
      </c>
      <c r="CM149" s="21">
        <f>EXP(-LN(2)/2)*CM148+(1-EXP(-LN(2)/2))/(LN(2)/2)*CG149*CJ149*VLOOKUP('Données projet'!$B$12,Paramètres!$A$1:$I$89,3,0)*0.475*44/12</f>
        <v>6.6750191238918127E-8</v>
      </c>
      <c r="CN149" s="22">
        <f t="shared" si="120"/>
        <v>12.126780973300693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5.9</v>
      </c>
      <c r="N150" s="13">
        <f>IF('Données projet'!$A$36&gt;35,N149+M150-V149,IF(A150&lt;'Données projet'!$A$36,$K$205^A150,IF(A150='Données projet'!$A$36,'Données projet'!$B$36,N149+M150-V149)))</f>
        <v>297.8</v>
      </c>
      <c r="O150" s="13">
        <f>N150*VLOOKUP('Données projet'!$B$9,Paramètres!$A$1:$I$89,3,0)*VLOOKUP('Données projet'!$B$9,Paramètres!$A$1:$I$89,5,0)</f>
        <v>269.44943999999998</v>
      </c>
      <c r="P150" s="13">
        <f t="shared" si="141"/>
        <v>64.732412683644569</v>
      </c>
      <c r="Q150" s="20">
        <f t="shared" si="108"/>
        <v>582.03339342401421</v>
      </c>
      <c r="R150" s="59">
        <f t="shared" si="109"/>
        <v>868.36848591666262</v>
      </c>
      <c r="S150" s="59">
        <f ca="1">AVERAGE(OFFSET($R$3,0,0,'Données projet'!$E$9+1,1))-AVERAGE(OFFSET($H$3,0,0,'Données projet'!$E$9+1,1))</f>
        <v>469.5773392354356</v>
      </c>
      <c r="T150" s="59">
        <f t="shared" si="142"/>
        <v>187.25344022835239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52.81640716720046</v>
      </c>
      <c r="AA150" s="21">
        <f>EXP(-LN(2)/25)*AA149+(1-EXP(-LN(2)/25))/(LN(2)/25)*Calculateur!V150*Calculateur!X150*VLOOKUP('Données projet'!$B$9,Paramètres!$A$1:$I$89,3,0)*0.475*44/12</f>
        <v>7.8795320090639773</v>
      </c>
      <c r="AB150" s="21">
        <f>EXP(-LN(2)/2)*AB149+(1-EXP(-LN(2)/2))/(LN(2)/2)*V150*Y150*VLOOKUP('Données projet'!$B$9,Paramètres!$A$1:$I$89,3,0)*0.475*44/12</f>
        <v>1.7624380927931205</v>
      </c>
      <c r="AC150" s="22">
        <f t="shared" si="111"/>
        <v>62.458377269057557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252.99999999999994</v>
      </c>
      <c r="AJ150" s="13">
        <f>AI150*VLOOKUP('Données projet'!$B$10,Paramètres!$A$1:$I$89,3,0)*VLOOKUP('Données projet'!$B$10,Paramètres!$A$1:$I$89,5,0)</f>
        <v>244.70159999999993</v>
      </c>
      <c r="AK150" s="13">
        <f t="shared" si="143"/>
        <v>59.44995761550765</v>
      </c>
      <c r="AL150" s="20">
        <f t="shared" si="112"/>
        <v>529.73062951367569</v>
      </c>
      <c r="AM150" s="59">
        <f t="shared" si="113"/>
        <v>816.06572200632411</v>
      </c>
      <c r="AN150" s="59">
        <f ca="1">AVERAGE(OFFSET($AM$3,0,0,'Données projet'!$E$10+1,1))-AVERAGE(OFFSET($H$3,0,0,'Données projet'!$E$10+1,1))</f>
        <v>370.91255999489181</v>
      </c>
      <c r="AO150" s="59">
        <f t="shared" si="144"/>
        <v>196.07869248605735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33.757834172597441</v>
      </c>
      <c r="AV150" s="21">
        <f>EXP(-LN(2)/25)*AV149+(1-EXP(-LN(2)/25))/(LN(2)/25)*Calculateur!AQ150*Calculateur!AS150*VLOOKUP('Données projet'!$B$10,Paramètres!$A$1:$I$89,3,0)*0.475*44/12</f>
        <v>5.0581350920362054</v>
      </c>
      <c r="AW150" s="21">
        <f>EXP(-LN(2)/2)*AW149+(1-EXP(-LN(2)/2))/(LN(2)/2)*AQ150*AT150*VLOOKUP('Données projet'!$B$10,Paramètres!$A$1:$I$89,3,0)*0.475*44/12</f>
        <v>1.7908817822557778E-3</v>
      </c>
      <c r="AX150" s="21">
        <f t="shared" si="114"/>
        <v>38.8177601464159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252.99999999999994</v>
      </c>
      <c r="BE150" s="13">
        <f>BD150*VLOOKUP('Données projet'!$B$11,Paramètres!$A$1:$I$89,3,0)*VLOOKUP('Données projet'!$B$11,Paramètres!$A$1:$I$89,5,0)</f>
        <v>272.3291999999999</v>
      </c>
      <c r="BF150" s="13">
        <f t="shared" si="145"/>
        <v>65.34333692428207</v>
      </c>
      <c r="BG150" s="20">
        <f t="shared" si="115"/>
        <v>588.11300180979117</v>
      </c>
      <c r="BH150" s="59">
        <f t="shared" si="116"/>
        <v>874.44809430243959</v>
      </c>
      <c r="BI150" s="59">
        <f ca="1">AVERAGE(OFFSET($BH$3,0,0,'Données projet'!$E$11+1,1))-AVERAGE(OFFSET($H$3,0,0,'Données projet'!$E$11+1,1))</f>
        <v>404.24955007425774</v>
      </c>
      <c r="BJ150" s="59">
        <f t="shared" si="146"/>
        <v>211.49137630071019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37.569202546922959</v>
      </c>
      <c r="BQ150" s="21">
        <f>EXP(-LN(2)/25)*BQ149+(1-EXP(-LN(2)/25))/(LN(2)/25)*Calculateur!BL150*Calculateur!BN150*VLOOKUP('Données projet'!$B$11,Paramètres!$A$1:$I$89,3,0)*0.475*44/12</f>
        <v>5.6292148604919054</v>
      </c>
      <c r="BR150" s="21">
        <f>EXP(-LN(2)/2)*BR149+(1-EXP(-LN(2)/2))/(LN(2)/2)*BL150*BO150*VLOOKUP('Données projet'!$B$11,Paramètres!$A$1:$I$89,3,0)*0.475*44/12</f>
        <v>1.9930781125104616E-3</v>
      </c>
      <c r="BS150" s="22">
        <f t="shared" si="117"/>
        <v>43.200410485527378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195.99999999999994</v>
      </c>
      <c r="BZ150" s="13">
        <f>BY150*VLOOKUP('Données projet'!$B$12,Paramètres!$A$1:$I$89,3,0)*VLOOKUP('Données projet'!$B$12,Paramètres!$A$1:$I$89,5,0)</f>
        <v>152.87999999999997</v>
      </c>
      <c r="CA150" s="13">
        <f t="shared" si="147"/>
        <v>39.232349774697852</v>
      </c>
      <c r="CB150" s="20">
        <f t="shared" si="118"/>
        <v>334.59567585759868</v>
      </c>
      <c r="CC150" s="59">
        <f t="shared" si="119"/>
        <v>620.93076835024704</v>
      </c>
      <c r="CD150" s="59">
        <f ca="1">AVERAGE(OFFSET($CC$3,0,0,'Données projet'!$E$12+1,1))-AVERAGE(OFFSET($H$3,0,0,'Données projet'!$E$12+1,1))</f>
        <v>250.01410333089137</v>
      </c>
      <c r="CE150" s="59">
        <f t="shared" si="148"/>
        <v>169.55868564318885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9.5284196955353</v>
      </c>
      <c r="CL150" s="21">
        <f>EXP(-LN(2)/25)*CL149+(1-EXP(-LN(2)/25))/(LN(2)/25)*Calculateur!CG150*Calculateur!CI150*VLOOKUP('Données projet'!$B$12,Paramètres!$A$1:$I$89,3,0)*0.475*44/12</f>
        <v>2.3419366800027621</v>
      </c>
      <c r="CM150" s="21">
        <f>EXP(-LN(2)/2)*CM149+(1-EXP(-LN(2)/2))/(LN(2)/2)*CG150*CJ150*VLOOKUP('Données projet'!$B$12,Paramètres!$A$1:$I$89,3,0)*0.475*44/12</f>
        <v>4.7199512870537882E-8</v>
      </c>
      <c r="CN150" s="22">
        <f t="shared" si="120"/>
        <v>11.870356422737576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5.9</v>
      </c>
      <c r="N151" s="13">
        <f>IF('Données projet'!$A$36&gt;35,N150+M151-V150,IF(A151&lt;'Données projet'!$A$36,$K$205^A151,IF(A151='Données projet'!$A$36,'Données projet'!$B$36,N150+M151-V150)))</f>
        <v>303.7</v>
      </c>
      <c r="O151" s="13">
        <f>N151*VLOOKUP('Données projet'!$B$9,Paramètres!$A$1:$I$89,3,0)*VLOOKUP('Données projet'!$B$9,Paramètres!$A$1:$I$89,5,0)</f>
        <v>274.78775999999999</v>
      </c>
      <c r="P151" s="13">
        <f t="shared" si="141"/>
        <v>65.864311023393199</v>
      </c>
      <c r="Q151" s="20">
        <f t="shared" si="108"/>
        <v>593.30235703240976</v>
      </c>
      <c r="R151" s="59">
        <f t="shared" si="109"/>
        <v>879.75885335792145</v>
      </c>
      <c r="S151" s="59">
        <f ca="1">AVERAGE(OFFSET($R$3,0,0,'Données projet'!$E$9+1,1))-AVERAGE(OFFSET($H$3,0,0,'Données projet'!$E$9+1,1))</f>
        <v>469.5773392354356</v>
      </c>
      <c r="T151" s="59">
        <f t="shared" si="142"/>
        <v>187.25344022835239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51.780709637479077</v>
      </c>
      <c r="AA151" s="21">
        <f>EXP(-LN(2)/25)*AA150+(1-EXP(-LN(2)/25))/(LN(2)/25)*Calculateur!V151*Calculateur!X151*VLOOKUP('Données projet'!$B$9,Paramètres!$A$1:$I$89,3,0)*0.475*44/12</f>
        <v>7.6640657919095432</v>
      </c>
      <c r="AB151" s="21">
        <f>EXP(-LN(2)/2)*AB150+(1-EXP(-LN(2)/2))/(LN(2)/2)*V151*Y151*VLOOKUP('Données projet'!$B$9,Paramètres!$A$1:$I$89,3,0)*0.475*44/12</f>
        <v>1.2462319268355013</v>
      </c>
      <c r="AC151" s="22">
        <f t="shared" si="111"/>
        <v>60.691007356224119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252.99999999999994</v>
      </c>
      <c r="AJ151" s="13">
        <f>AI151*VLOOKUP('Données projet'!$B$10,Paramètres!$A$1:$I$89,3,0)*VLOOKUP('Données projet'!$B$10,Paramètres!$A$1:$I$89,5,0)</f>
        <v>244.70159999999993</v>
      </c>
      <c r="AK151" s="13">
        <f t="shared" si="143"/>
        <v>59.44995761550765</v>
      </c>
      <c r="AL151" s="20">
        <f t="shared" si="112"/>
        <v>529.73062951367569</v>
      </c>
      <c r="AM151" s="59">
        <f t="shared" si="113"/>
        <v>816.18712583918739</v>
      </c>
      <c r="AN151" s="59">
        <f ca="1">AVERAGE(OFFSET($AM$3,0,0,'Données projet'!$E$10+1,1))-AVERAGE(OFFSET($H$3,0,0,'Données projet'!$E$10+1,1))</f>
        <v>370.91255999489181</v>
      </c>
      <c r="AO151" s="59">
        <f t="shared" si="144"/>
        <v>196.07869248605735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33.095863634718533</v>
      </c>
      <c r="AV151" s="21">
        <f>EXP(-LN(2)/25)*AV150+(1-EXP(-LN(2)/25))/(LN(2)/25)*Calculateur!AQ151*Calculateur!AS151*VLOOKUP('Données projet'!$B$10,Paramètres!$A$1:$I$89,3,0)*0.475*44/12</f>
        <v>4.9198201219487112</v>
      </c>
      <c r="AW151" s="21">
        <f>EXP(-LN(2)/2)*AW150+(1-EXP(-LN(2)/2))/(LN(2)/2)*AQ151*AT151*VLOOKUP('Données projet'!$B$10,Paramètres!$A$1:$I$89,3,0)*0.475*44/12</f>
        <v>1.2663446525365105E-3</v>
      </c>
      <c r="AX151" s="21">
        <f t="shared" si="114"/>
        <v>38.016950101319779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252.99999999999994</v>
      </c>
      <c r="BE151" s="13">
        <f>BD151*VLOOKUP('Données projet'!$B$11,Paramètres!$A$1:$I$89,3,0)*VLOOKUP('Données projet'!$B$11,Paramètres!$A$1:$I$89,5,0)</f>
        <v>272.3291999999999</v>
      </c>
      <c r="BF151" s="13">
        <f t="shared" si="145"/>
        <v>65.34333692428207</v>
      </c>
      <c r="BG151" s="20">
        <f t="shared" si="115"/>
        <v>588.11300180979117</v>
      </c>
      <c r="BH151" s="59">
        <f t="shared" si="116"/>
        <v>874.56949813530287</v>
      </c>
      <c r="BI151" s="59">
        <f ca="1">AVERAGE(OFFSET($BH$3,0,0,'Données projet'!$E$11+1,1))-AVERAGE(OFFSET($H$3,0,0,'Données projet'!$E$11+1,1))</f>
        <v>404.24955007425774</v>
      </c>
      <c r="BJ151" s="59">
        <f t="shared" si="146"/>
        <v>211.49137630071019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36.832493399928687</v>
      </c>
      <c r="BQ151" s="21">
        <f>EXP(-LN(2)/25)*BQ150+(1-EXP(-LN(2)/25))/(LN(2)/25)*Calculateur!BL151*Calculateur!BN151*VLOOKUP('Données projet'!$B$11,Paramètres!$A$1:$I$89,3,0)*0.475*44/12</f>
        <v>5.4752836841042107</v>
      </c>
      <c r="BR151" s="21">
        <f>EXP(-LN(2)/2)*BR150+(1-EXP(-LN(2)/2))/(LN(2)/2)*BL151*BO151*VLOOKUP('Données projet'!$B$11,Paramètres!$A$1:$I$89,3,0)*0.475*44/12</f>
        <v>1.4093190487906321E-3</v>
      </c>
      <c r="BS151" s="22">
        <f t="shared" si="117"/>
        <v>42.309186403081689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195.99999999999994</v>
      </c>
      <c r="BZ151" s="13">
        <f>BY151*VLOOKUP('Données projet'!$B$12,Paramètres!$A$1:$I$89,3,0)*VLOOKUP('Données projet'!$B$12,Paramètres!$A$1:$I$89,5,0)</f>
        <v>152.87999999999997</v>
      </c>
      <c r="CA151" s="13">
        <f t="shared" si="147"/>
        <v>39.232349774697852</v>
      </c>
      <c r="CB151" s="20">
        <f t="shared" si="118"/>
        <v>334.59567585759868</v>
      </c>
      <c r="CC151" s="59">
        <f t="shared" si="119"/>
        <v>621.05217218311032</v>
      </c>
      <c r="CD151" s="59">
        <f ca="1">AVERAGE(OFFSET($CC$3,0,0,'Données projet'!$E$12+1,1))-AVERAGE(OFFSET($H$3,0,0,'Données projet'!$E$12+1,1))</f>
        <v>250.01410333089137</v>
      </c>
      <c r="CE151" s="59">
        <f t="shared" si="148"/>
        <v>169.55868564318885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9.3415731970680032</v>
      </c>
      <c r="CL151" s="21">
        <f>EXP(-LN(2)/25)*CL150+(1-EXP(-LN(2)/25))/(LN(2)/25)*Calculateur!CG151*Calculateur!CI151*VLOOKUP('Données projet'!$B$12,Paramètres!$A$1:$I$89,3,0)*0.475*44/12</f>
        <v>2.2778962983309889</v>
      </c>
      <c r="CM151" s="21">
        <f>EXP(-LN(2)/2)*CM150+(1-EXP(-LN(2)/2))/(LN(2)/2)*CG151*CJ151*VLOOKUP('Données projet'!$B$12,Paramètres!$A$1:$I$89,3,0)*0.475*44/12</f>
        <v>3.3375095619459063E-8</v>
      </c>
      <c r="CN151" s="22">
        <f t="shared" si="120"/>
        <v>11.619469528774088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5.9</v>
      </c>
      <c r="N152" s="13">
        <f>IF('Données projet'!$A$36&gt;35,N151+M152-V151,IF(A152&lt;'Données projet'!$A$36,$K$205^A152,IF(A152='Données projet'!$A$36,'Données projet'!$B$36,N151+M152-V151)))</f>
        <v>309.59999999999997</v>
      </c>
      <c r="O152" s="13">
        <f>N152*VLOOKUP('Données projet'!$B$9,Paramètres!$A$1:$I$89,3,0)*VLOOKUP('Données projet'!$B$9,Paramètres!$A$1:$I$89,5,0)</f>
        <v>280.12607999999994</v>
      </c>
      <c r="P152" s="13">
        <f t="shared" si="141"/>
        <v>66.993652511337999</v>
      </c>
      <c r="Q152" s="20">
        <f t="shared" si="108"/>
        <v>604.56686745724687</v>
      </c>
      <c r="R152" s="59">
        <f t="shared" si="109"/>
        <v>891.14266153053995</v>
      </c>
      <c r="S152" s="59">
        <f ca="1">AVERAGE(OFFSET($R$3,0,0,'Données projet'!$E$9+1,1))-AVERAGE(OFFSET($H$3,0,0,'Données projet'!$E$9+1,1))</f>
        <v>469.5773392354356</v>
      </c>
      <c r="T152" s="59">
        <f t="shared" si="142"/>
        <v>187.25344022835239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50.765321504602419</v>
      </c>
      <c r="AA152" s="21">
        <f>EXP(-LN(2)/25)*AA151+(1-EXP(-LN(2)/25))/(LN(2)/25)*Calculateur!V152*Calculateur!X152*VLOOKUP('Données projet'!$B$9,Paramètres!$A$1:$I$89,3,0)*0.475*44/12</f>
        <v>7.4544915097940736</v>
      </c>
      <c r="AB152" s="21">
        <f>EXP(-LN(2)/2)*AB151+(1-EXP(-LN(2)/2))/(LN(2)/2)*V152*Y152*VLOOKUP('Données projet'!$B$9,Paramètres!$A$1:$I$89,3,0)*0.475*44/12</f>
        <v>0.88121904639656035</v>
      </c>
      <c r="AC152" s="22">
        <f t="shared" si="111"/>
        <v>59.101032060793052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252.99999999999994</v>
      </c>
      <c r="AJ152" s="13">
        <f>AI152*VLOOKUP('Données projet'!$B$10,Paramètres!$A$1:$I$89,3,0)*VLOOKUP('Données projet'!$B$10,Paramètres!$A$1:$I$89,5,0)</f>
        <v>244.70159999999993</v>
      </c>
      <c r="AK152" s="13">
        <f t="shared" si="143"/>
        <v>59.44995761550765</v>
      </c>
      <c r="AL152" s="20">
        <f t="shared" si="112"/>
        <v>529.73062951367569</v>
      </c>
      <c r="AM152" s="59">
        <f t="shared" si="113"/>
        <v>816.30642358696878</v>
      </c>
      <c r="AN152" s="59">
        <f ca="1">AVERAGE(OFFSET($AM$3,0,0,'Données projet'!$E$10+1,1))-AVERAGE(OFFSET($H$3,0,0,'Données projet'!$E$10+1,1))</f>
        <v>370.91255999489181</v>
      </c>
      <c r="AO152" s="59">
        <f t="shared" si="144"/>
        <v>196.07869248605735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32.446873935325272</v>
      </c>
      <c r="AV152" s="21">
        <f>EXP(-LN(2)/25)*AV151+(1-EXP(-LN(2)/25))/(LN(2)/25)*Calculateur!AQ152*Calculateur!AS152*VLOOKUP('Données projet'!$B$10,Paramètres!$A$1:$I$89,3,0)*0.475*44/12</f>
        <v>4.7852873819919282</v>
      </c>
      <c r="AW152" s="21">
        <f>EXP(-LN(2)/2)*AW151+(1-EXP(-LN(2)/2))/(LN(2)/2)*AQ152*AT152*VLOOKUP('Données projet'!$B$10,Paramètres!$A$1:$I$89,3,0)*0.475*44/12</f>
        <v>8.9544089112788888E-4</v>
      </c>
      <c r="AX152" s="21">
        <f t="shared" si="114"/>
        <v>37.233056758208328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252.99999999999994</v>
      </c>
      <c r="BE152" s="13">
        <f>BD152*VLOOKUP('Données projet'!$B$11,Paramètres!$A$1:$I$89,3,0)*VLOOKUP('Données projet'!$B$11,Paramètres!$A$1:$I$89,5,0)</f>
        <v>272.3291999999999</v>
      </c>
      <c r="BF152" s="13">
        <f t="shared" si="145"/>
        <v>65.34333692428207</v>
      </c>
      <c r="BG152" s="20">
        <f t="shared" si="115"/>
        <v>588.11300180979117</v>
      </c>
      <c r="BH152" s="59">
        <f t="shared" si="116"/>
        <v>874.68879588308425</v>
      </c>
      <c r="BI152" s="59">
        <f ca="1">AVERAGE(OFFSET($BH$3,0,0,'Données projet'!$E$11+1,1))-AVERAGE(OFFSET($H$3,0,0,'Données projet'!$E$11+1,1))</f>
        <v>404.24955007425774</v>
      </c>
      <c r="BJ152" s="59">
        <f t="shared" si="146"/>
        <v>211.49137630071019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36.110230669958767</v>
      </c>
      <c r="BQ152" s="21">
        <f>EXP(-LN(2)/25)*BQ151+(1-EXP(-LN(2)/25))/(LN(2)/25)*Calculateur!BL152*Calculateur!BN152*VLOOKUP('Données projet'!$B$11,Paramètres!$A$1:$I$89,3,0)*0.475*44/12</f>
        <v>5.3255617638297261</v>
      </c>
      <c r="BR152" s="21">
        <f>EXP(-LN(2)/2)*BR151+(1-EXP(-LN(2)/2))/(LN(2)/2)*BL152*BO152*VLOOKUP('Données projet'!$B$11,Paramètres!$A$1:$I$89,3,0)*0.475*44/12</f>
        <v>9.9653905625523079E-4</v>
      </c>
      <c r="BS152" s="22">
        <f t="shared" si="117"/>
        <v>41.436788972844745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195.99999999999994</v>
      </c>
      <c r="BZ152" s="13">
        <f>BY152*VLOOKUP('Données projet'!$B$12,Paramètres!$A$1:$I$89,3,0)*VLOOKUP('Données projet'!$B$12,Paramètres!$A$1:$I$89,5,0)</f>
        <v>152.87999999999997</v>
      </c>
      <c r="CA152" s="13">
        <f t="shared" si="147"/>
        <v>39.232349774697852</v>
      </c>
      <c r="CB152" s="20">
        <f t="shared" si="118"/>
        <v>334.59567585759868</v>
      </c>
      <c r="CC152" s="59">
        <f t="shared" si="119"/>
        <v>621.17146993089182</v>
      </c>
      <c r="CD152" s="59">
        <f ca="1">AVERAGE(OFFSET($CC$3,0,0,'Données projet'!$E$12+1,1))-AVERAGE(OFFSET($H$3,0,0,'Données projet'!$E$12+1,1))</f>
        <v>250.01410333089137</v>
      </c>
      <c r="CE152" s="59">
        <f t="shared" si="148"/>
        <v>169.55868564318885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9.1583906444705399</v>
      </c>
      <c r="CL152" s="21">
        <f>EXP(-LN(2)/25)*CL151+(1-EXP(-LN(2)/25))/(LN(2)/25)*Calculateur!CG152*Calculateur!CI152*VLOOKUP('Données projet'!$B$12,Paramètres!$A$1:$I$89,3,0)*0.475*44/12</f>
        <v>2.2156071042637677</v>
      </c>
      <c r="CM152" s="21">
        <f>EXP(-LN(2)/2)*CM151+(1-EXP(-LN(2)/2))/(LN(2)/2)*CG152*CJ152*VLOOKUP('Données projet'!$B$12,Paramètres!$A$1:$I$89,3,0)*0.475*44/12</f>
        <v>2.3599756435268941E-8</v>
      </c>
      <c r="CN152" s="22">
        <f t="shared" si="120"/>
        <v>11.373997772334064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5.9</v>
      </c>
      <c r="N153" s="13">
        <f>IF('Données projet'!$A$36&gt;35,N152+M153-V152,IF(A153&lt;'Données projet'!$A$36,$K$205^A153,IF(A153='Données projet'!$A$36,'Données projet'!$B$36,N152+M153-V152)))</f>
        <v>315.49999999999994</v>
      </c>
      <c r="O153" s="13">
        <f>N153*VLOOKUP('Données projet'!$B$9,Paramètres!$A$1:$I$89,3,0)*VLOOKUP('Données projet'!$B$9,Paramètres!$A$1:$I$89,5,0)</f>
        <v>285.46439999999996</v>
      </c>
      <c r="P153" s="13">
        <f t="shared" si="141"/>
        <v>68.120491491014036</v>
      </c>
      <c r="Q153" s="20">
        <f t="shared" si="108"/>
        <v>615.8270193468494</v>
      </c>
      <c r="R153" s="59">
        <f t="shared" si="109"/>
        <v>902.52004161870968</v>
      </c>
      <c r="S153" s="59">
        <f ca="1">AVERAGE(OFFSET($R$3,0,0,'Données projet'!$E$9+1,1))-AVERAGE(OFFSET($H$3,0,0,'Données projet'!$E$9+1,1))</f>
        <v>469.5773392354356</v>
      </c>
      <c r="T153" s="59">
        <f t="shared" si="142"/>
        <v>187.25344022835239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49.769844513685861</v>
      </c>
      <c r="AA153" s="21">
        <f>EXP(-LN(2)/25)*AA152+(1-EXP(-LN(2)/25))/(LN(2)/25)*Calculateur!V153*Calculateur!X153*VLOOKUP('Données projet'!$B$9,Paramètres!$A$1:$I$89,3,0)*0.475*44/12</f>
        <v>7.2506480474440833</v>
      </c>
      <c r="AB153" s="21">
        <f>EXP(-LN(2)/2)*AB152+(1-EXP(-LN(2)/2))/(LN(2)/2)*V153*Y153*VLOOKUP('Données projet'!$B$9,Paramètres!$A$1:$I$89,3,0)*0.475*44/12</f>
        <v>0.62311596341775066</v>
      </c>
      <c r="AC153" s="22">
        <f t="shared" si="111"/>
        <v>57.643608524547695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252.99999999999994</v>
      </c>
      <c r="AJ153" s="13">
        <f>AI153*VLOOKUP('Données projet'!$B$10,Paramètres!$A$1:$I$89,3,0)*VLOOKUP('Données projet'!$B$10,Paramètres!$A$1:$I$89,5,0)</f>
        <v>244.70159999999993</v>
      </c>
      <c r="AK153" s="13">
        <f t="shared" si="143"/>
        <v>59.44995761550765</v>
      </c>
      <c r="AL153" s="20">
        <f t="shared" si="112"/>
        <v>529.73062951367569</v>
      </c>
      <c r="AM153" s="59">
        <f t="shared" si="113"/>
        <v>816.42365178553609</v>
      </c>
      <c r="AN153" s="59">
        <f ca="1">AVERAGE(OFFSET($AM$3,0,0,'Données projet'!$E$10+1,1))-AVERAGE(OFFSET($H$3,0,0,'Données projet'!$E$10+1,1))</f>
        <v>370.91255999489181</v>
      </c>
      <c r="AO153" s="59">
        <f t="shared" si="144"/>
        <v>196.07869248605735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31.810610528092479</v>
      </c>
      <c r="AV153" s="21">
        <f>EXP(-LN(2)/25)*AV152+(1-EXP(-LN(2)/25))/(LN(2)/25)*Calculateur!AQ153*Calculateur!AS153*VLOOKUP('Données projet'!$B$10,Paramètres!$A$1:$I$89,3,0)*0.475*44/12</f>
        <v>4.654433446884032</v>
      </c>
      <c r="AW153" s="21">
        <f>EXP(-LN(2)/2)*AW152+(1-EXP(-LN(2)/2))/(LN(2)/2)*AQ153*AT153*VLOOKUP('Données projet'!$B$10,Paramètres!$A$1:$I$89,3,0)*0.475*44/12</f>
        <v>6.3317232626825524E-4</v>
      </c>
      <c r="AX153" s="21">
        <f t="shared" si="114"/>
        <v>36.465677147302777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252.99999999999994</v>
      </c>
      <c r="BE153" s="13">
        <f>BD153*VLOOKUP('Données projet'!$B$11,Paramètres!$A$1:$I$89,3,0)*VLOOKUP('Données projet'!$B$11,Paramètres!$A$1:$I$89,5,0)</f>
        <v>272.3291999999999</v>
      </c>
      <c r="BF153" s="13">
        <f t="shared" si="145"/>
        <v>65.34333692428207</v>
      </c>
      <c r="BG153" s="20">
        <f t="shared" si="115"/>
        <v>588.11300180979117</v>
      </c>
      <c r="BH153" s="59">
        <f t="shared" si="116"/>
        <v>874.80602408165146</v>
      </c>
      <c r="BI153" s="59">
        <f ca="1">AVERAGE(OFFSET($BH$3,0,0,'Données projet'!$E$11+1,1))-AVERAGE(OFFSET($H$3,0,0,'Données projet'!$E$11+1,1))</f>
        <v>404.24955007425774</v>
      </c>
      <c r="BJ153" s="59">
        <f t="shared" si="146"/>
        <v>211.49137630071019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35.402131071586787</v>
      </c>
      <c r="BQ153" s="21">
        <f>EXP(-LN(2)/25)*BQ152+(1-EXP(-LN(2)/25))/(LN(2)/25)*Calculateur!BL153*Calculateur!BN153*VLOOKUP('Données projet'!$B$11,Paramètres!$A$1:$I$89,3,0)*0.475*44/12</f>
        <v>5.1799339973386811</v>
      </c>
      <c r="BR153" s="21">
        <f>EXP(-LN(2)/2)*BR152+(1-EXP(-LN(2)/2))/(LN(2)/2)*BL153*BO153*VLOOKUP('Données projet'!$B$11,Paramètres!$A$1:$I$89,3,0)*0.475*44/12</f>
        <v>7.0465952439531607E-4</v>
      </c>
      <c r="BS153" s="22">
        <f t="shared" si="117"/>
        <v>40.582769728449861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195.99999999999994</v>
      </c>
      <c r="BZ153" s="13">
        <f>BY153*VLOOKUP('Données projet'!$B$12,Paramètres!$A$1:$I$89,3,0)*VLOOKUP('Données projet'!$B$12,Paramètres!$A$1:$I$89,5,0)</f>
        <v>152.87999999999997</v>
      </c>
      <c r="CA153" s="13">
        <f t="shared" si="147"/>
        <v>39.232349774697852</v>
      </c>
      <c r="CB153" s="20">
        <f t="shared" si="118"/>
        <v>334.59567585759868</v>
      </c>
      <c r="CC153" s="59">
        <f t="shared" si="119"/>
        <v>621.28869812945902</v>
      </c>
      <c r="CD153" s="59">
        <f ca="1">AVERAGE(OFFSET($CC$3,0,0,'Données projet'!$E$12+1,1))-AVERAGE(OFFSET($H$3,0,0,'Données projet'!$E$12+1,1))</f>
        <v>250.01410333089137</v>
      </c>
      <c r="CE153" s="59">
        <f t="shared" si="148"/>
        <v>169.55868564318885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8.9788001899991876</v>
      </c>
      <c r="CL153" s="21">
        <f>EXP(-LN(2)/25)*CL152+(1-EXP(-LN(2)/25))/(LN(2)/25)*Calculateur!CG153*Calculateur!CI153*VLOOKUP('Données projet'!$B$12,Paramètres!$A$1:$I$89,3,0)*0.475*44/12</f>
        <v>2.1550212114839611</v>
      </c>
      <c r="CM153" s="21">
        <f>EXP(-LN(2)/2)*CM152+(1-EXP(-LN(2)/2))/(LN(2)/2)*CG153*CJ153*VLOOKUP('Données projet'!$B$12,Paramètres!$A$1:$I$89,3,0)*0.475*44/12</f>
        <v>1.6687547809729532E-8</v>
      </c>
      <c r="CN153" s="22">
        <f t="shared" si="120"/>
        <v>11.133821418170696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5.9</v>
      </c>
      <c r="N154" s="13">
        <f>IF('Données projet'!$A$36&gt;35,N153+M154-V153,IF(A154&lt;'Données projet'!$A$36,$K$205^A154,IF(A154='Données projet'!$A$36,'Données projet'!$B$36,N153+M154-V153)))</f>
        <v>321.39999999999992</v>
      </c>
      <c r="O154" s="13">
        <f>N154*VLOOKUP('Données projet'!$B$9,Paramètres!$A$1:$I$89,3,0)*VLOOKUP('Données projet'!$B$9,Paramètres!$A$1:$I$89,5,0)</f>
        <v>290.80271999999991</v>
      </c>
      <c r="P154" s="13">
        <f t="shared" si="141"/>
        <v>69.244880157128961</v>
      </c>
      <c r="Q154" s="20">
        <f t="shared" ref="Q154:Q203" si="162">(O154+P154)*0.475*44/12</f>
        <v>627.08290360699937</v>
      </c>
      <c r="R154" s="59">
        <f t="shared" si="109"/>
        <v>913.89112043026466</v>
      </c>
      <c r="S154" s="59">
        <f ca="1">AVERAGE(OFFSET($R$3,0,0,'Données projet'!$E$9+1,1))-AVERAGE(OFFSET($H$3,0,0,'Données projet'!$E$9+1,1))</f>
        <v>469.5773392354356</v>
      </c>
      <c r="T154" s="59">
        <f t="shared" si="142"/>
        <v>187.25344022835239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48.793888219380172</v>
      </c>
      <c r="AA154" s="21">
        <f>EXP(-LN(2)/25)*AA153+(1-EXP(-LN(2)/25))/(LN(2)/25)*Calculateur!V154*Calculateur!X154*VLOOKUP('Données projet'!$B$9,Paramètres!$A$1:$I$89,3,0)*0.475*44/12</f>
        <v>7.0523786952917158</v>
      </c>
      <c r="AB154" s="21">
        <f>EXP(-LN(2)/2)*AB153+(1-EXP(-LN(2)/2))/(LN(2)/2)*V154*Y154*VLOOKUP('Données projet'!$B$9,Paramètres!$A$1:$I$89,3,0)*0.475*44/12</f>
        <v>0.44060952319828017</v>
      </c>
      <c r="AC154" s="22">
        <f t="shared" ref="AC154:AC203" si="163">SUM(Z154:AB154)</f>
        <v>56.28687643787017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252.99999999999994</v>
      </c>
      <c r="AJ154" s="13">
        <f>AI154*VLOOKUP('Données projet'!$B$10,Paramètres!$A$1:$I$89,3,0)*VLOOKUP('Données projet'!$B$10,Paramètres!$A$1:$I$89,5,0)</f>
        <v>244.70159999999993</v>
      </c>
      <c r="AK154" s="13">
        <f t="shared" ref="AK154:AK203" si="164">EXP(-1.0587+0.8836*LN(AJ154)+0.284)</f>
        <v>59.44995761550765</v>
      </c>
      <c r="AL154" s="20">
        <f t="shared" ref="AL154:AL203" si="165">(AJ154+AK154)*0.475*44/12</f>
        <v>529.73062951367569</v>
      </c>
      <c r="AM154" s="59">
        <f t="shared" si="113"/>
        <v>816.53884633694111</v>
      </c>
      <c r="AN154" s="59">
        <f ca="1">AVERAGE(OFFSET($AM$3,0,0,'Données projet'!$E$10+1,1))-AVERAGE(OFFSET($H$3,0,0,'Données projet'!$E$10+1,1))</f>
        <v>370.91255999489181</v>
      </c>
      <c r="AO154" s="59">
        <f t="shared" si="144"/>
        <v>196.07869248605735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31.186823858193165</v>
      </c>
      <c r="AV154" s="21">
        <f>EXP(-LN(2)/25)*AV153+(1-EXP(-LN(2)/25))/(LN(2)/25)*Calculateur!AQ154*Calculateur!AS154*VLOOKUP('Données projet'!$B$10,Paramètres!$A$1:$I$89,3,0)*0.475*44/12</f>
        <v>4.5271577195129709</v>
      </c>
      <c r="AW154" s="21">
        <f>EXP(-LN(2)/2)*AW153+(1-EXP(-LN(2)/2))/(LN(2)/2)*AQ154*AT154*VLOOKUP('Données projet'!$B$10,Paramètres!$A$1:$I$89,3,0)*0.475*44/12</f>
        <v>4.4772044556394444E-4</v>
      </c>
      <c r="AX154" s="21">
        <f t="shared" ref="AX154:AX203" si="166">SUM(AU154:AW154)</f>
        <v>35.7144292981517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252.99999999999994</v>
      </c>
      <c r="BE154" s="13">
        <f>BD154*VLOOKUP('Données projet'!$B$11,Paramètres!$A$1:$I$89,3,0)*VLOOKUP('Données projet'!$B$11,Paramètres!$A$1:$I$89,5,0)</f>
        <v>272.3291999999999</v>
      </c>
      <c r="BF154" s="13">
        <f t="shared" ref="BF154:BF203" si="167">EXP(-1.0587+0.8836*LN(BE154)+0.284)</f>
        <v>65.34333692428207</v>
      </c>
      <c r="BG154" s="20">
        <f t="shared" ref="BG154:BG203" si="168">(BE154+BF154)*0.475*44/12</f>
        <v>588.11300180979117</v>
      </c>
      <c r="BH154" s="59">
        <f t="shared" si="116"/>
        <v>874.92121863305647</v>
      </c>
      <c r="BI154" s="59">
        <f ca="1">AVERAGE(OFFSET($BH$3,0,0,'Données projet'!$E$11+1,1))-AVERAGE(OFFSET($H$3,0,0,'Données projet'!$E$11+1,1))</f>
        <v>404.24955007425774</v>
      </c>
      <c r="BJ154" s="59">
        <f t="shared" si="146"/>
        <v>211.49137630071019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34.707916874440777</v>
      </c>
      <c r="BQ154" s="21">
        <f>EXP(-LN(2)/25)*BQ153+(1-EXP(-LN(2)/25))/(LN(2)/25)*Calculateur!BL154*Calculateur!BN154*VLOOKUP('Données projet'!$B$11,Paramètres!$A$1:$I$89,3,0)*0.475*44/12</f>
        <v>5.0382884297805646</v>
      </c>
      <c r="BR154" s="21">
        <f>EXP(-LN(2)/2)*BR153+(1-EXP(-LN(2)/2))/(LN(2)/2)*BL154*BO154*VLOOKUP('Données projet'!$B$11,Paramètres!$A$1:$I$89,3,0)*0.475*44/12</f>
        <v>4.9826952812761539E-4</v>
      </c>
      <c r="BS154" s="22">
        <f t="shared" ref="BS154:BS203" si="169">SUM(BP154:BR154)</f>
        <v>39.746703573749471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195.99999999999994</v>
      </c>
      <c r="BZ154" s="13">
        <f>BY154*VLOOKUP('Données projet'!$B$12,Paramètres!$A$1:$I$89,3,0)*VLOOKUP('Données projet'!$B$12,Paramètres!$A$1:$I$89,5,0)</f>
        <v>152.87999999999997</v>
      </c>
      <c r="CA154" s="13">
        <f t="shared" ref="CA154:CA203" si="170">EXP(-1.0587+0.8836*LN(BZ154)+0.284)</f>
        <v>39.232349774697852</v>
      </c>
      <c r="CB154" s="20">
        <f t="shared" ref="CB154:CB203" si="171">(BZ154+CA154)*0.475*44/12</f>
        <v>334.59567585759868</v>
      </c>
      <c r="CC154" s="59">
        <f t="shared" si="119"/>
        <v>621.40389268086403</v>
      </c>
      <c r="CD154" s="59">
        <f ca="1">AVERAGE(OFFSET($CC$3,0,0,'Données projet'!$E$12+1,1))-AVERAGE(OFFSET($H$3,0,0,'Données projet'!$E$12+1,1))</f>
        <v>250.01410333089137</v>
      </c>
      <c r="CE154" s="59">
        <f t="shared" si="148"/>
        <v>169.55868564318885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8.8027313948006576</v>
      </c>
      <c r="CL154" s="21">
        <f>EXP(-LN(2)/25)*CL153+(1-EXP(-LN(2)/25))/(LN(2)/25)*Calculateur!CG154*Calculateur!CI154*VLOOKUP('Données projet'!$B$12,Paramètres!$A$1:$I$89,3,0)*0.475*44/12</f>
        <v>2.0960920431282921</v>
      </c>
      <c r="CM154" s="21">
        <f>EXP(-LN(2)/2)*CM153+(1-EXP(-LN(2)/2))/(LN(2)/2)*CG154*CJ154*VLOOKUP('Données projet'!$B$12,Paramètres!$A$1:$I$89,3,0)*0.475*44/12</f>
        <v>1.1799878217634471E-8</v>
      </c>
      <c r="CN154" s="22">
        <f t="shared" ref="CN154:CN203" si="172">SUM(CK154:CM154)</f>
        <v>10.898823449728829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5.9</v>
      </c>
      <c r="N155" s="13">
        <f>IF('Données projet'!$A$36&gt;35,N154+M155-V154,IF(A155&lt;'Données projet'!$A$36,$K$205^A155,IF(A155='Données projet'!$A$36,'Données projet'!$B$36,N154+M155-V154)))</f>
        <v>327.2999999999999</v>
      </c>
      <c r="O155" s="13">
        <f>N155*VLOOKUP('Données projet'!$B$9,Paramètres!$A$1:$I$89,3,0)*VLOOKUP('Données projet'!$B$9,Paramètres!$A$1:$I$89,5,0)</f>
        <v>296.14103999999986</v>
      </c>
      <c r="P155" s="13">
        <f t="shared" si="141"/>
        <v>70.366868678390304</v>
      </c>
      <c r="Q155" s="20">
        <f t="shared" si="162"/>
        <v>638.33460761486276</v>
      </c>
      <c r="R155" s="59">
        <f t="shared" si="109"/>
        <v>925.2560206216026</v>
      </c>
      <c r="S155" s="59">
        <f ca="1">AVERAGE(OFFSET($R$3,0,0,'Données projet'!$E$9+1,1))-AVERAGE(OFFSET($H$3,0,0,'Données projet'!$E$9+1,1))</f>
        <v>469.5773392354356</v>
      </c>
      <c r="T155" s="59">
        <f t="shared" si="142"/>
        <v>187.25344022835239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47.837069832731252</v>
      </c>
      <c r="AA155" s="21">
        <f>EXP(-LN(2)/25)*AA154+(1-EXP(-LN(2)/25))/(LN(2)/25)*Calculateur!V155*Calculateur!X155*VLOOKUP('Données projet'!$B$9,Paramètres!$A$1:$I$89,3,0)*0.475*44/12</f>
        <v>6.8595310290004869</v>
      </c>
      <c r="AB155" s="21">
        <f>EXP(-LN(2)/2)*AB154+(1-EXP(-LN(2)/2))/(LN(2)/2)*V155*Y155*VLOOKUP('Données projet'!$B$9,Paramètres!$A$1:$I$89,3,0)*0.475*44/12</f>
        <v>0.31155798170887533</v>
      </c>
      <c r="AC155" s="22">
        <f t="shared" si="163"/>
        <v>55.008158843440611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252.99999999999994</v>
      </c>
      <c r="AJ155" s="13">
        <f>AI155*VLOOKUP('Données projet'!$B$10,Paramètres!$A$1:$I$89,3,0)*VLOOKUP('Données projet'!$B$10,Paramètres!$A$1:$I$89,5,0)</f>
        <v>244.70159999999993</v>
      </c>
      <c r="AK155" s="13">
        <f t="shared" si="164"/>
        <v>59.44995761550765</v>
      </c>
      <c r="AL155" s="20">
        <f t="shared" si="165"/>
        <v>529.73062951367569</v>
      </c>
      <c r="AM155" s="59">
        <f t="shared" si="113"/>
        <v>816.65204252041553</v>
      </c>
      <c r="AN155" s="59">
        <f ca="1">AVERAGE(OFFSET($AM$3,0,0,'Données projet'!$E$10+1,1))-AVERAGE(OFFSET($H$3,0,0,'Données projet'!$E$10+1,1))</f>
        <v>370.91255999489181</v>
      </c>
      <c r="AO155" s="59">
        <f t="shared" si="144"/>
        <v>196.07869248605735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30.575269264418274</v>
      </c>
      <c r="AV155" s="21">
        <f>EXP(-LN(2)/25)*AV154+(1-EXP(-LN(2)/25))/(LN(2)/25)*Calculateur!AQ155*Calculateur!AS155*VLOOKUP('Données projet'!$B$10,Paramètres!$A$1:$I$89,3,0)*0.475*44/12</f>
        <v>4.403362353600011</v>
      </c>
      <c r="AW155" s="21">
        <f>EXP(-LN(2)/2)*AW154+(1-EXP(-LN(2)/2))/(LN(2)/2)*AQ155*AT155*VLOOKUP('Données projet'!$B$10,Paramètres!$A$1:$I$89,3,0)*0.475*44/12</f>
        <v>3.1658616313412762E-4</v>
      </c>
      <c r="AX155" s="21">
        <f t="shared" si="166"/>
        <v>34.978948204181421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252.99999999999994</v>
      </c>
      <c r="BE155" s="13">
        <f>BD155*VLOOKUP('Données projet'!$B$11,Paramètres!$A$1:$I$89,3,0)*VLOOKUP('Données projet'!$B$11,Paramètres!$A$1:$I$89,5,0)</f>
        <v>272.3291999999999</v>
      </c>
      <c r="BF155" s="13">
        <f t="shared" si="167"/>
        <v>65.34333692428207</v>
      </c>
      <c r="BG155" s="20">
        <f t="shared" si="168"/>
        <v>588.11300180979117</v>
      </c>
      <c r="BH155" s="59">
        <f t="shared" si="116"/>
        <v>875.03441481653113</v>
      </c>
      <c r="BI155" s="59">
        <f ca="1">AVERAGE(OFFSET($BH$3,0,0,'Données projet'!$E$11+1,1))-AVERAGE(OFFSET($H$3,0,0,'Données projet'!$E$11+1,1))</f>
        <v>404.24955007425774</v>
      </c>
      <c r="BJ155" s="59">
        <f t="shared" si="146"/>
        <v>211.49137630071019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34.027315794271949</v>
      </c>
      <c r="BQ155" s="21">
        <f>EXP(-LN(2)/25)*BQ154+(1-EXP(-LN(2)/25))/(LN(2)/25)*Calculateur!BL155*Calculateur!BN155*VLOOKUP('Données projet'!$B$11,Paramètres!$A$1:$I$89,3,0)*0.475*44/12</f>
        <v>4.900516167716142</v>
      </c>
      <c r="BR155" s="21">
        <f>EXP(-LN(2)/2)*BR154+(1-EXP(-LN(2)/2))/(LN(2)/2)*BL155*BO155*VLOOKUP('Données projet'!$B$11,Paramètres!$A$1:$I$89,3,0)*0.475*44/12</f>
        <v>3.5232976219765804E-4</v>
      </c>
      <c r="BS155" s="22">
        <f t="shared" si="169"/>
        <v>38.928184291750291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195.99999999999994</v>
      </c>
      <c r="BZ155" s="13">
        <f>BY155*VLOOKUP('Données projet'!$B$12,Paramètres!$A$1:$I$89,3,0)*VLOOKUP('Données projet'!$B$12,Paramètres!$A$1:$I$89,5,0)</f>
        <v>152.87999999999997</v>
      </c>
      <c r="CA155" s="13">
        <f t="shared" si="170"/>
        <v>39.232349774697852</v>
      </c>
      <c r="CB155" s="20">
        <f t="shared" si="171"/>
        <v>334.59567585759868</v>
      </c>
      <c r="CC155" s="59">
        <f t="shared" si="119"/>
        <v>621.51708886433858</v>
      </c>
      <c r="CD155" s="59">
        <f ca="1">AVERAGE(OFFSET($CC$3,0,0,'Données projet'!$E$12+1,1))-AVERAGE(OFFSET($H$3,0,0,'Données projet'!$E$12+1,1))</f>
        <v>250.01410333089137</v>
      </c>
      <c r="CE155" s="59">
        <f t="shared" si="148"/>
        <v>169.55868564318885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8.6301152012846085</v>
      </c>
      <c r="CL155" s="21">
        <f>EXP(-LN(2)/25)*CL154+(1-EXP(-LN(2)/25))/(LN(2)/25)*Calculateur!CG155*Calculateur!CI155*VLOOKUP('Données projet'!$B$12,Paramètres!$A$1:$I$89,3,0)*0.475*44/12</f>
        <v>2.0387742959802591</v>
      </c>
      <c r="CM155" s="21">
        <f>EXP(-LN(2)/2)*CM154+(1-EXP(-LN(2)/2))/(LN(2)/2)*CG155*CJ155*VLOOKUP('Données projet'!$B$12,Paramètres!$A$1:$I$89,3,0)*0.475*44/12</f>
        <v>8.3437739048647658E-9</v>
      </c>
      <c r="CN155" s="22">
        <f t="shared" si="172"/>
        <v>10.668889505608641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5.9</v>
      </c>
      <c r="N156" s="13">
        <f>IF('Données projet'!$A$36&gt;35,N155+M156-V155,IF(A156&lt;'Données projet'!$A$36,$K$205^A156,IF(A156='Données projet'!$A$36,'Données projet'!$B$36,N155+M156-V155)))</f>
        <v>333.19999999999987</v>
      </c>
      <c r="O156" s="13">
        <f>N156*VLOOKUP('Données projet'!$B$9,Paramètres!$A$1:$I$89,3,0)*VLOOKUP('Données projet'!$B$9,Paramètres!$A$1:$I$89,5,0)</f>
        <v>301.47935999999987</v>
      </c>
      <c r="P156" s="13">
        <f t="shared" si="141"/>
        <v>71.486505311225272</v>
      </c>
      <c r="Q156" s="20">
        <f t="shared" si="162"/>
        <v>649.58221541705041</v>
      </c>
      <c r="R156" s="59">
        <f t="shared" si="109"/>
        <v>936.61486090655035</v>
      </c>
      <c r="S156" s="59">
        <f ca="1">AVERAGE(OFFSET($R$3,0,0,'Données projet'!$E$9+1,1))-AVERAGE(OFFSET($H$3,0,0,'Données projet'!$E$9+1,1))</f>
        <v>469.5773392354356</v>
      </c>
      <c r="T156" s="59">
        <f t="shared" si="142"/>
        <v>187.25344022835239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46.899014071042927</v>
      </c>
      <c r="AA156" s="21">
        <f>EXP(-LN(2)/25)*AA155+(1-EXP(-LN(2)/25))/(LN(2)/25)*Calculateur!V156*Calculateur!X156*VLOOKUP('Données projet'!$B$9,Paramètres!$A$1:$I$89,3,0)*0.475*44/12</f>
        <v>6.6719567922854095</v>
      </c>
      <c r="AB156" s="21">
        <f>EXP(-LN(2)/2)*AB155+(1-EXP(-LN(2)/2))/(LN(2)/2)*V156*Y156*VLOOKUP('Données projet'!$B$9,Paramètres!$A$1:$I$89,3,0)*0.475*44/12</f>
        <v>0.22030476159914009</v>
      </c>
      <c r="AC156" s="22">
        <f t="shared" si="163"/>
        <v>53.791275624927472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252.99999999999994</v>
      </c>
      <c r="AJ156" s="13">
        <f>AI156*VLOOKUP('Données projet'!$B$10,Paramètres!$A$1:$I$89,3,0)*VLOOKUP('Données projet'!$B$10,Paramètres!$A$1:$I$89,5,0)</f>
        <v>244.70159999999993</v>
      </c>
      <c r="AK156" s="13">
        <f t="shared" si="164"/>
        <v>59.44995761550765</v>
      </c>
      <c r="AL156" s="20">
        <f t="shared" si="165"/>
        <v>529.73062951367569</v>
      </c>
      <c r="AM156" s="59">
        <f t="shared" si="113"/>
        <v>816.76327500317575</v>
      </c>
      <c r="AN156" s="59">
        <f ca="1">AVERAGE(OFFSET($AM$3,0,0,'Données projet'!$E$10+1,1))-AVERAGE(OFFSET($H$3,0,0,'Données projet'!$E$10+1,1))</f>
        <v>370.91255999489181</v>
      </c>
      <c r="AO156" s="59">
        <f t="shared" si="144"/>
        <v>196.07869248605735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29.975706883215839</v>
      </c>
      <c r="AV156" s="21">
        <f>EXP(-LN(2)/25)*AV155+(1-EXP(-LN(2)/25))/(LN(2)/25)*Calculateur!AQ156*Calculateur!AS156*VLOOKUP('Données projet'!$B$10,Paramètres!$A$1:$I$89,3,0)*0.475*44/12</f>
        <v>4.2829521784780562</v>
      </c>
      <c r="AW156" s="21">
        <f>EXP(-LN(2)/2)*AW155+(1-EXP(-LN(2)/2))/(LN(2)/2)*AQ156*AT156*VLOOKUP('Données projet'!$B$10,Paramètres!$A$1:$I$89,3,0)*0.475*44/12</f>
        <v>2.2386022278197222E-4</v>
      </c>
      <c r="AX156" s="21">
        <f t="shared" si="166"/>
        <v>34.25888292191668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252.99999999999994</v>
      </c>
      <c r="BE156" s="13">
        <f>BD156*VLOOKUP('Données projet'!$B$11,Paramètres!$A$1:$I$89,3,0)*VLOOKUP('Données projet'!$B$11,Paramètres!$A$1:$I$89,5,0)</f>
        <v>272.3291999999999</v>
      </c>
      <c r="BF156" s="13">
        <f t="shared" si="167"/>
        <v>65.34333692428207</v>
      </c>
      <c r="BG156" s="20">
        <f t="shared" si="168"/>
        <v>588.11300180979117</v>
      </c>
      <c r="BH156" s="59">
        <f t="shared" si="116"/>
        <v>875.14564729929111</v>
      </c>
      <c r="BI156" s="59">
        <f ca="1">AVERAGE(OFFSET($BH$3,0,0,'Données projet'!$E$11+1,1))-AVERAGE(OFFSET($H$3,0,0,'Données projet'!$E$11+1,1))</f>
        <v>404.24955007425774</v>
      </c>
      <c r="BJ156" s="59">
        <f t="shared" si="146"/>
        <v>211.49137630071019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33.360060886159566</v>
      </c>
      <c r="BQ156" s="21">
        <f>EXP(-LN(2)/25)*BQ155+(1-EXP(-LN(2)/25))/(LN(2)/25)*Calculateur!BL156*Calculateur!BN156*VLOOKUP('Données projet'!$B$11,Paramètres!$A$1:$I$89,3,0)*0.475*44/12</f>
        <v>4.7665112954029993</v>
      </c>
      <c r="BR156" s="21">
        <f>EXP(-LN(2)/2)*BR155+(1-EXP(-LN(2)/2))/(LN(2)/2)*BL156*BO156*VLOOKUP('Données projet'!$B$11,Paramètres!$A$1:$I$89,3,0)*0.475*44/12</f>
        <v>2.491347640638077E-4</v>
      </c>
      <c r="BS156" s="22">
        <f t="shared" si="169"/>
        <v>38.126821316326627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195.99999999999994</v>
      </c>
      <c r="BZ156" s="13">
        <f>BY156*VLOOKUP('Données projet'!$B$12,Paramètres!$A$1:$I$89,3,0)*VLOOKUP('Données projet'!$B$12,Paramètres!$A$1:$I$89,5,0)</f>
        <v>152.87999999999997</v>
      </c>
      <c r="CA156" s="13">
        <f t="shared" si="170"/>
        <v>39.232349774697852</v>
      </c>
      <c r="CB156" s="20">
        <f t="shared" si="171"/>
        <v>334.59567585759868</v>
      </c>
      <c r="CC156" s="59">
        <f t="shared" si="119"/>
        <v>621.62832134709868</v>
      </c>
      <c r="CD156" s="59">
        <f ca="1">AVERAGE(OFFSET($CC$3,0,0,'Données projet'!$E$12+1,1))-AVERAGE(OFFSET($H$3,0,0,'Données projet'!$E$12+1,1))</f>
        <v>250.01410333089137</v>
      </c>
      <c r="CE156" s="59">
        <f t="shared" si="148"/>
        <v>169.55868564318885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8.4608839060379282</v>
      </c>
      <c r="CL156" s="21">
        <f>EXP(-LN(2)/25)*CL155+(1-EXP(-LN(2)/25))/(LN(2)/25)*Calculateur!CG156*Calculateur!CI156*VLOOKUP('Données projet'!$B$12,Paramètres!$A$1:$I$89,3,0)*0.475*44/12</f>
        <v>1.9830239056421983</v>
      </c>
      <c r="CM156" s="21">
        <f>EXP(-LN(2)/2)*CM155+(1-EXP(-LN(2)/2))/(LN(2)/2)*CG156*CJ156*VLOOKUP('Données projet'!$B$12,Paramètres!$A$1:$I$89,3,0)*0.475*44/12</f>
        <v>5.8999391088172353E-9</v>
      </c>
      <c r="CN156" s="22">
        <f t="shared" si="172"/>
        <v>10.443907817580065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5.9</v>
      </c>
      <c r="N157" s="13">
        <f>IF('Données projet'!$A$36&gt;35,N156+M157-V156,IF(A157&lt;'Données projet'!$A$36,$K$205^A157,IF(A157='Données projet'!$A$36,'Données projet'!$B$36,N156+M157-V156)))</f>
        <v>339.09999999999985</v>
      </c>
      <c r="O157" s="13">
        <f>N157*VLOOKUP('Données projet'!$B$9,Paramètres!$A$1:$I$89,3,0)*VLOOKUP('Données projet'!$B$9,Paramètres!$A$1:$I$89,5,0)</f>
        <v>306.81767999999988</v>
      </c>
      <c r="P157" s="13">
        <f t="shared" si="141"/>
        <v>72.603836505218297</v>
      </c>
      <c r="Q157" s="20">
        <f t="shared" si="162"/>
        <v>660.82580791325495</v>
      </c>
      <c r="R157" s="59">
        <f t="shared" si="109"/>
        <v>947.96775625061764</v>
      </c>
      <c r="S157" s="59">
        <f ca="1">AVERAGE(OFFSET($R$3,0,0,'Données projet'!$E$9+1,1))-AVERAGE(OFFSET($H$3,0,0,'Données projet'!$E$9+1,1))</f>
        <v>469.5773392354356</v>
      </c>
      <c r="T157" s="59">
        <f t="shared" si="142"/>
        <v>187.25344022835239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45.979353010683795</v>
      </c>
      <c r="AA157" s="21">
        <f>EXP(-LN(2)/25)*AA156+(1-EXP(-LN(2)/25))/(LN(2)/25)*Calculateur!V157*Calculateur!X157*VLOOKUP('Données projet'!$B$9,Paramètres!$A$1:$I$89,3,0)*0.475*44/12</f>
        <v>6.4895117829374058</v>
      </c>
      <c r="AB157" s="21">
        <f>EXP(-LN(2)/2)*AB156+(1-EXP(-LN(2)/2))/(LN(2)/2)*V157*Y157*VLOOKUP('Données projet'!$B$9,Paramètres!$A$1:$I$89,3,0)*0.475*44/12</f>
        <v>0.15577899085443767</v>
      </c>
      <c r="AC157" s="22">
        <f t="shared" si="163"/>
        <v>52.624643784475637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252.99999999999994</v>
      </c>
      <c r="AJ157" s="13">
        <f>AI157*VLOOKUP('Données projet'!$B$10,Paramètres!$A$1:$I$89,3,0)*VLOOKUP('Données projet'!$B$10,Paramètres!$A$1:$I$89,5,0)</f>
        <v>244.70159999999993</v>
      </c>
      <c r="AK157" s="13">
        <f t="shared" si="164"/>
        <v>59.44995761550765</v>
      </c>
      <c r="AL157" s="20">
        <f t="shared" si="165"/>
        <v>529.73062951367569</v>
      </c>
      <c r="AM157" s="59">
        <f t="shared" si="113"/>
        <v>816.87257785103839</v>
      </c>
      <c r="AN157" s="59">
        <f ca="1">AVERAGE(OFFSET($AM$3,0,0,'Données projet'!$E$10+1,1))-AVERAGE(OFFSET($H$3,0,0,'Données projet'!$E$10+1,1))</f>
        <v>370.91255999489181</v>
      </c>
      <c r="AO157" s="59">
        <f t="shared" si="144"/>
        <v>196.07869248605735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29.38790155461184</v>
      </c>
      <c r="AV157" s="21">
        <f>EXP(-LN(2)/25)*AV156+(1-EXP(-LN(2)/25))/(LN(2)/25)*Calculateur!AQ157*Calculateur!AS157*VLOOKUP('Données projet'!$B$10,Paramètres!$A$1:$I$89,3,0)*0.475*44/12</f>
        <v>4.1658346259269079</v>
      </c>
      <c r="AW157" s="21">
        <f>EXP(-LN(2)/2)*AW156+(1-EXP(-LN(2)/2))/(LN(2)/2)*AQ157*AT157*VLOOKUP('Données projet'!$B$10,Paramètres!$A$1:$I$89,3,0)*0.475*44/12</f>
        <v>1.5829308156706381E-4</v>
      </c>
      <c r="AX157" s="21">
        <f t="shared" si="166"/>
        <v>33.553894473620318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252.99999999999994</v>
      </c>
      <c r="BE157" s="13">
        <f>BD157*VLOOKUP('Données projet'!$B$11,Paramètres!$A$1:$I$89,3,0)*VLOOKUP('Données projet'!$B$11,Paramètres!$A$1:$I$89,5,0)</f>
        <v>272.3291999999999</v>
      </c>
      <c r="BF157" s="13">
        <f t="shared" si="167"/>
        <v>65.34333692428207</v>
      </c>
      <c r="BG157" s="20">
        <f t="shared" si="168"/>
        <v>588.11300180979117</v>
      </c>
      <c r="BH157" s="59">
        <f t="shared" si="116"/>
        <v>875.25495014715398</v>
      </c>
      <c r="BI157" s="59">
        <f ca="1">AVERAGE(OFFSET($BH$3,0,0,'Données projet'!$E$11+1,1))-AVERAGE(OFFSET($H$3,0,0,'Données projet'!$E$11+1,1))</f>
        <v>404.24955007425774</v>
      </c>
      <c r="BJ157" s="59">
        <f t="shared" si="146"/>
        <v>211.49137630071019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32.705890439809956</v>
      </c>
      <c r="BQ157" s="21">
        <f>EXP(-LN(2)/25)*BQ156+(1-EXP(-LN(2)/25))/(LN(2)/25)*Calculateur!BL157*Calculateur!BN157*VLOOKUP('Données projet'!$B$11,Paramètres!$A$1:$I$89,3,0)*0.475*44/12</f>
        <v>4.6361707933702689</v>
      </c>
      <c r="BR157" s="21">
        <f>EXP(-LN(2)/2)*BR156+(1-EXP(-LN(2)/2))/(LN(2)/2)*BL157*BO157*VLOOKUP('Données projet'!$B$11,Paramètres!$A$1:$I$89,3,0)*0.475*44/12</f>
        <v>1.7616488109882902E-4</v>
      </c>
      <c r="BS157" s="22">
        <f t="shared" si="169"/>
        <v>37.342237398061322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195.99999999999994</v>
      </c>
      <c r="BZ157" s="13">
        <f>BY157*VLOOKUP('Données projet'!$B$12,Paramètres!$A$1:$I$89,3,0)*VLOOKUP('Données projet'!$B$12,Paramètres!$A$1:$I$89,5,0)</f>
        <v>152.87999999999997</v>
      </c>
      <c r="CA157" s="13">
        <f t="shared" si="170"/>
        <v>39.232349774697852</v>
      </c>
      <c r="CB157" s="20">
        <f t="shared" si="171"/>
        <v>334.59567585759868</v>
      </c>
      <c r="CC157" s="59">
        <f t="shared" si="119"/>
        <v>621.73762419496143</v>
      </c>
      <c r="CD157" s="59">
        <f ca="1">AVERAGE(OFFSET($CC$3,0,0,'Données projet'!$E$12+1,1))-AVERAGE(OFFSET($H$3,0,0,'Données projet'!$E$12+1,1))</f>
        <v>250.01410333089137</v>
      </c>
      <c r="CE157" s="59">
        <f t="shared" si="148"/>
        <v>169.55868564318885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8.2949711332701366</v>
      </c>
      <c r="CL157" s="21">
        <f>EXP(-LN(2)/25)*CL156+(1-EXP(-LN(2)/25))/(LN(2)/25)*Calculateur!CG157*Calculateur!CI157*VLOOKUP('Données projet'!$B$12,Paramètres!$A$1:$I$89,3,0)*0.475*44/12</f>
        <v>1.9287980126597175</v>
      </c>
      <c r="CM157" s="21">
        <f>EXP(-LN(2)/2)*CM156+(1-EXP(-LN(2)/2))/(LN(2)/2)*CG157*CJ157*VLOOKUP('Données projet'!$B$12,Paramètres!$A$1:$I$89,3,0)*0.475*44/12</f>
        <v>4.1718869524323829E-9</v>
      </c>
      <c r="CN157" s="22">
        <f t="shared" si="172"/>
        <v>10.223769150101742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>
        <f>VLOOKUP(A158,'Données projet'!$A$35:$I$55,2,0)</f>
        <v>345</v>
      </c>
      <c r="L158" s="12">
        <f>VLOOKUP(A158,'Données projet'!$A$35:$I$55,9,0)</f>
        <v>5.9</v>
      </c>
      <c r="M158" s="12">
        <f t="array" ref="M158">INDEX(L:L,MIN(IF(ISNUMBER(L158:L354),ROW(L158:L354),"")))</f>
        <v>5.9</v>
      </c>
      <c r="N158" s="13">
        <f>IF('Données projet'!$A$36&gt;35,N157+M158-V157,IF(A158&lt;'Données projet'!$A$36,$K$205^A158,IF(A158='Données projet'!$A$36,'Données projet'!$B$36,N157+M158-V157)))</f>
        <v>344.99999999999983</v>
      </c>
      <c r="O158" s="13">
        <f>N158*VLOOKUP('Données projet'!$B$9,Paramètres!$A$1:$I$89,3,0)*VLOOKUP('Données projet'!$B$9,Paramètres!$A$1:$I$89,5,0)</f>
        <v>312.15599999999984</v>
      </c>
      <c r="P158" s="13">
        <f t="shared" si="141"/>
        <v>73.718907001002492</v>
      </c>
      <c r="Q158" s="20">
        <f t="shared" si="162"/>
        <v>672.06546302674576</v>
      </c>
      <c r="R158" s="59">
        <f t="shared" si="109"/>
        <v>959.31481805192539</v>
      </c>
      <c r="S158" s="59">
        <f ca="1">AVERAGE(OFFSET($R$3,0,0,'Données projet'!$E$9+1,1))-AVERAGE(OFFSET($H$3,0,0,'Données projet'!$E$9+1,1))</f>
        <v>469.5773392354356</v>
      </c>
      <c r="T158" s="59">
        <f t="shared" si="142"/>
        <v>187.25344022835239</v>
      </c>
      <c r="U158" s="15">
        <f>IF(ISNA(VLOOKUP(A158,'Données projet'!$A$35:$I$55,3,0)),0,VLOOKUP(A158,'Données projet'!$A$35:$I$55,3,0))</f>
        <v>16</v>
      </c>
      <c r="V158" s="15">
        <f>IF(ISNA(VLOOKUP(A158,'Données projet'!$A$35:$I$55,4,0)),0,VLOOKUP(A158,'Données projet'!$A$35:$I$55,4,0))</f>
        <v>42</v>
      </c>
      <c r="W158" s="16">
        <f>IF(ISNA(VLOOKUP(A158,'Données projet'!$A$35:$I$55,5,0)),0%,VLOOKUP(A158,'Données projet'!$A$35:$I$55,5,0)*VLOOKUP('Données projet'!$B$9,Paramètres!$A$1:$I$89,7,0))</f>
        <v>0.34400000000000003</v>
      </c>
      <c r="X158" s="16">
        <f>IF(ISNA(VLOOKUP(A158,'Données projet'!$A$35:$I$55,6,0)),0%,VLOOKUP(A158,'Données projet'!$A$35:$I$55,6,0)*VLOOKUP('Données projet'!$B$9,Paramètres!$A$1:$I$89,7,0))</f>
        <v>4.3000000000000003E-2</v>
      </c>
      <c r="Y158" s="16">
        <f>IF(ISNA(VLOOKUP(A158,'Données projet'!$A$35:$I$55,7,0)),0%,VLOOKUP(A158,'Données projet'!$A$35:$I$55,7,0))</f>
        <v>0.1</v>
      </c>
      <c r="Z158" s="21">
        <f>EXP(-LN(2)/35)*Z157+(1-EXP(-LN(2)/35))/(LN(2)/35)*V158*W158*VLOOKUP('Données projet'!$B$9,Paramètres!$A$1:$I$89,3,0)*0.475*44/12</f>
        <v>59.529043194932065</v>
      </c>
      <c r="AA158" s="21">
        <f>EXP(-LN(2)/25)*AA157+(1-EXP(-LN(2)/25))/(LN(2)/25)*Calculateur!V158*Calculateur!X158*VLOOKUP('Données projet'!$B$9,Paramètres!$A$1:$I$89,3,0)*0.475*44/12</f>
        <v>8.1113578556826802</v>
      </c>
      <c r="AB158" s="21">
        <f>EXP(-LN(2)/2)*AB157+(1-EXP(-LN(2)/2))/(LN(2)/2)*V158*Y158*VLOOKUP('Données projet'!$B$9,Paramètres!$A$1:$I$89,3,0)*0.475*44/12</f>
        <v>3.6957056206063816</v>
      </c>
      <c r="AC158" s="22">
        <f t="shared" si="163"/>
        <v>71.336106671221117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252.99999999999994</v>
      </c>
      <c r="AJ158" s="13">
        <f>AI158*VLOOKUP('Données projet'!$B$10,Paramètres!$A$1:$I$89,3,0)*VLOOKUP('Données projet'!$B$10,Paramètres!$A$1:$I$89,5,0)</f>
        <v>244.70159999999993</v>
      </c>
      <c r="AK158" s="13">
        <f t="shared" si="164"/>
        <v>59.44995761550765</v>
      </c>
      <c r="AL158" s="20">
        <f t="shared" si="165"/>
        <v>529.73062951367569</v>
      </c>
      <c r="AM158" s="59">
        <f t="shared" si="113"/>
        <v>816.97998453885543</v>
      </c>
      <c r="AN158" s="59">
        <f ca="1">AVERAGE(OFFSET($AM$3,0,0,'Données projet'!$E$10+1,1))-AVERAGE(OFFSET($H$3,0,0,'Données projet'!$E$10+1,1))</f>
        <v>370.91255999489181</v>
      </c>
      <c r="AO158" s="59">
        <f t="shared" si="144"/>
        <v>196.07869248605735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28.81162272997592</v>
      </c>
      <c r="AV158" s="21">
        <f>EXP(-LN(2)/25)*AV157+(1-EXP(-LN(2)/25))/(LN(2)/25)*Calculateur!AQ158*Calculateur!AS158*VLOOKUP('Données projet'!$B$10,Paramètres!$A$1:$I$89,3,0)*0.475*44/12</f>
        <v>4.051919659009215</v>
      </c>
      <c r="AW158" s="21">
        <f>EXP(-LN(2)/2)*AW157+(1-EXP(-LN(2)/2))/(LN(2)/2)*AQ158*AT158*VLOOKUP('Données projet'!$B$10,Paramètres!$A$1:$I$89,3,0)*0.475*44/12</f>
        <v>1.1193011139098611E-4</v>
      </c>
      <c r="AX158" s="21">
        <f t="shared" si="166"/>
        <v>32.863654319096526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252.99999999999994</v>
      </c>
      <c r="BE158" s="13">
        <f>BD158*VLOOKUP('Données projet'!$B$11,Paramètres!$A$1:$I$89,3,0)*VLOOKUP('Données projet'!$B$11,Paramètres!$A$1:$I$89,5,0)</f>
        <v>272.3291999999999</v>
      </c>
      <c r="BF158" s="13">
        <f t="shared" si="167"/>
        <v>65.34333692428207</v>
      </c>
      <c r="BG158" s="20">
        <f t="shared" si="168"/>
        <v>588.11300180979117</v>
      </c>
      <c r="BH158" s="59">
        <f t="shared" si="116"/>
        <v>875.3623568349708</v>
      </c>
      <c r="BI158" s="59">
        <f ca="1">AVERAGE(OFFSET($BH$3,0,0,'Données projet'!$E$11+1,1))-AVERAGE(OFFSET($H$3,0,0,'Données projet'!$E$11+1,1))</f>
        <v>404.24955007425774</v>
      </c>
      <c r="BJ158" s="59">
        <f t="shared" si="146"/>
        <v>211.49137630071019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32.064547876908691</v>
      </c>
      <c r="BQ158" s="21">
        <f>EXP(-LN(2)/25)*BQ157+(1-EXP(-LN(2)/25))/(LN(2)/25)*Calculateur!BL158*Calculateur!BN158*VLOOKUP('Données projet'!$B$11,Paramètres!$A$1:$I$89,3,0)*0.475*44/12</f>
        <v>4.5093944592199326</v>
      </c>
      <c r="BR158" s="21">
        <f>EXP(-LN(2)/2)*BR157+(1-EXP(-LN(2)/2))/(LN(2)/2)*BL158*BO158*VLOOKUP('Données projet'!$B$11,Paramètres!$A$1:$I$89,3,0)*0.475*44/12</f>
        <v>1.2456738203190385E-4</v>
      </c>
      <c r="BS158" s="22">
        <f t="shared" si="169"/>
        <v>36.574066903510655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195.99999999999994</v>
      </c>
      <c r="BZ158" s="13">
        <f>BY158*VLOOKUP('Données projet'!$B$12,Paramètres!$A$1:$I$89,3,0)*VLOOKUP('Données projet'!$B$12,Paramètres!$A$1:$I$89,5,0)</f>
        <v>152.87999999999997</v>
      </c>
      <c r="CA158" s="13">
        <f t="shared" si="170"/>
        <v>39.232349774697852</v>
      </c>
      <c r="CB158" s="20">
        <f t="shared" si="171"/>
        <v>334.59567585759868</v>
      </c>
      <c r="CC158" s="59">
        <f t="shared" si="119"/>
        <v>621.84503088277836</v>
      </c>
      <c r="CD158" s="59">
        <f ca="1">AVERAGE(OFFSET($CC$3,0,0,'Données projet'!$E$12+1,1))-AVERAGE(OFFSET($H$3,0,0,'Données projet'!$E$12+1,1))</f>
        <v>250.01410333089137</v>
      </c>
      <c r="CE158" s="59">
        <f t="shared" si="148"/>
        <v>169.55868564318885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8.132311808779523</v>
      </c>
      <c r="CL158" s="21">
        <f>EXP(-LN(2)/25)*CL157+(1-EXP(-LN(2)/25))/(LN(2)/25)*Calculateur!CG158*Calculateur!CI158*VLOOKUP('Données projet'!$B$12,Paramètres!$A$1:$I$89,3,0)*0.475*44/12</f>
        <v>1.8760549295724585</v>
      </c>
      <c r="CM158" s="21">
        <f>EXP(-LN(2)/2)*CM157+(1-EXP(-LN(2)/2))/(LN(2)/2)*CG158*CJ158*VLOOKUP('Données projet'!$B$12,Paramètres!$A$1:$I$89,3,0)*0.475*44/12</f>
        <v>2.9499695544086176E-9</v>
      </c>
      <c r="CN158" s="22">
        <f t="shared" si="172"/>
        <v>10.00836674130195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5.8</v>
      </c>
      <c r="N159" s="13">
        <f>IF('Données projet'!$A$36&gt;35,N158+M159-V158,IF(A159&lt;'Données projet'!$A$36,$K$205^A159,IF(A159='Données projet'!$A$36,'Données projet'!$B$36,N158+M159-V158)))</f>
        <v>308.79999999999984</v>
      </c>
      <c r="O159" s="13">
        <f>N159*VLOOKUP('Données projet'!$B$9,Paramètres!$A$1:$I$89,3,0)*VLOOKUP('Données projet'!$B$9,Paramètres!$A$1:$I$89,5,0)</f>
        <v>279.40223999999984</v>
      </c>
      <c r="P159" s="13">
        <f t="shared" si="141"/>
        <v>66.840669301483217</v>
      </c>
      <c r="Q159" s="20">
        <f t="shared" si="162"/>
        <v>603.03973370008293</v>
      </c>
      <c r="R159" s="59">
        <f t="shared" si="109"/>
        <v>890.39463214717125</v>
      </c>
      <c r="S159" s="59">
        <f ca="1">AVERAGE(OFFSET($R$3,0,0,'Données projet'!$E$9+1,1))-AVERAGE(OFFSET($H$3,0,0,'Données projet'!$E$9+1,1))</f>
        <v>469.5773392354356</v>
      </c>
      <c r="T159" s="59">
        <f t="shared" si="142"/>
        <v>187.25344022835239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58.36171496701057</v>
      </c>
      <c r="AA159" s="21">
        <f>EXP(-LN(2)/25)*AA158+(1-EXP(-LN(2)/25))/(LN(2)/25)*Calculateur!V159*Calculateur!X159*VLOOKUP('Données projet'!$B$9,Paramètres!$A$1:$I$89,3,0)*0.475*44/12</f>
        <v>7.8895523485612662</v>
      </c>
      <c r="AB159" s="21">
        <f>EXP(-LN(2)/2)*AB158+(1-EXP(-LN(2)/2))/(LN(2)/2)*V159*Y159*VLOOKUP('Données projet'!$B$9,Paramètres!$A$1:$I$89,3,0)*0.475*44/12</f>
        <v>2.6132585056000108</v>
      </c>
      <c r="AC159" s="22">
        <f t="shared" si="163"/>
        <v>68.864525821171853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252.99999999999994</v>
      </c>
      <c r="AJ159" s="13">
        <f>AI159*VLOOKUP('Données projet'!$B$10,Paramètres!$A$1:$I$89,3,0)*VLOOKUP('Données projet'!$B$10,Paramètres!$A$1:$I$89,5,0)</f>
        <v>244.70159999999993</v>
      </c>
      <c r="AK159" s="13">
        <f t="shared" si="164"/>
        <v>59.44995761550765</v>
      </c>
      <c r="AL159" s="20">
        <f t="shared" si="165"/>
        <v>529.73062951367569</v>
      </c>
      <c r="AM159" s="59">
        <f t="shared" si="113"/>
        <v>817.08552796076401</v>
      </c>
      <c r="AN159" s="59">
        <f ca="1">AVERAGE(OFFSET($AM$3,0,0,'Données projet'!$E$10+1,1))-AVERAGE(OFFSET($H$3,0,0,'Données projet'!$E$10+1,1))</f>
        <v>370.91255999489181</v>
      </c>
      <c r="AO159" s="59">
        <f t="shared" si="144"/>
        <v>196.07869248605735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28.246644381595733</v>
      </c>
      <c r="AV159" s="21">
        <f>EXP(-LN(2)/25)*AV158+(1-EXP(-LN(2)/25))/(LN(2)/25)*Calculateur!AQ159*Calculateur!AS159*VLOOKUP('Données projet'!$B$10,Paramètres!$A$1:$I$89,3,0)*0.475*44/12</f>
        <v>3.9411197028524141</v>
      </c>
      <c r="AW159" s="21">
        <f>EXP(-LN(2)/2)*AW158+(1-EXP(-LN(2)/2))/(LN(2)/2)*AQ159*AT159*VLOOKUP('Données projet'!$B$10,Paramètres!$A$1:$I$89,3,0)*0.475*44/12</f>
        <v>7.9146540783531905E-5</v>
      </c>
      <c r="AX159" s="21">
        <f t="shared" si="166"/>
        <v>32.187843230988932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252.99999999999994</v>
      </c>
      <c r="BE159" s="13">
        <f>BD159*VLOOKUP('Données projet'!$B$11,Paramètres!$A$1:$I$89,3,0)*VLOOKUP('Données projet'!$B$11,Paramètres!$A$1:$I$89,5,0)</f>
        <v>272.3291999999999</v>
      </c>
      <c r="BF159" s="13">
        <f t="shared" si="167"/>
        <v>65.34333692428207</v>
      </c>
      <c r="BG159" s="20">
        <f t="shared" si="168"/>
        <v>588.11300180979117</v>
      </c>
      <c r="BH159" s="59">
        <f t="shared" si="116"/>
        <v>875.46790025687949</v>
      </c>
      <c r="BI159" s="59">
        <f ca="1">AVERAGE(OFFSET($BH$3,0,0,'Données projet'!$E$11+1,1))-AVERAGE(OFFSET($H$3,0,0,'Données projet'!$E$11+1,1))</f>
        <v>404.24955007425774</v>
      </c>
      <c r="BJ159" s="59">
        <f t="shared" si="146"/>
        <v>211.49137630071019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31.43578165048558</v>
      </c>
      <c r="BQ159" s="21">
        <f>EXP(-LN(2)/25)*BQ158+(1-EXP(-LN(2)/25))/(LN(2)/25)*Calculateur!BL159*Calculateur!BN159*VLOOKUP('Données projet'!$B$11,Paramètres!$A$1:$I$89,3,0)*0.475*44/12</f>
        <v>4.3860848305938154</v>
      </c>
      <c r="BR159" s="21">
        <f>EXP(-LN(2)/2)*BR158+(1-EXP(-LN(2)/2))/(LN(2)/2)*BL159*BO159*VLOOKUP('Données projet'!$B$11,Paramètres!$A$1:$I$89,3,0)*0.475*44/12</f>
        <v>8.8082440549414509E-5</v>
      </c>
      <c r="BS159" s="22">
        <f t="shared" si="169"/>
        <v>35.821954563519945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195.99999999999994</v>
      </c>
      <c r="BZ159" s="13">
        <f>BY159*VLOOKUP('Données projet'!$B$12,Paramètres!$A$1:$I$89,3,0)*VLOOKUP('Données projet'!$B$12,Paramètres!$A$1:$I$89,5,0)</f>
        <v>152.87999999999997</v>
      </c>
      <c r="CA159" s="13">
        <f t="shared" si="170"/>
        <v>39.232349774697852</v>
      </c>
      <c r="CB159" s="20">
        <f t="shared" si="171"/>
        <v>334.59567585759868</v>
      </c>
      <c r="CC159" s="59">
        <f t="shared" si="119"/>
        <v>621.95057430468705</v>
      </c>
      <c r="CD159" s="59">
        <f ca="1">AVERAGE(OFFSET($CC$3,0,0,'Données projet'!$E$12+1,1))-AVERAGE(OFFSET($H$3,0,0,'Données projet'!$E$12+1,1))</f>
        <v>250.01410333089137</v>
      </c>
      <c r="CE159" s="59">
        <f t="shared" si="148"/>
        <v>169.55868564318885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7.9728421344297784</v>
      </c>
      <c r="CL159" s="21">
        <f>EXP(-LN(2)/25)*CL158+(1-EXP(-LN(2)/25))/(LN(2)/25)*Calculateur!CG159*Calculateur!CI159*VLOOKUP('Données projet'!$B$12,Paramètres!$A$1:$I$89,3,0)*0.475*44/12</f>
        <v>1.8247541088658585</v>
      </c>
      <c r="CM159" s="21">
        <f>EXP(-LN(2)/2)*CM158+(1-EXP(-LN(2)/2))/(LN(2)/2)*CG159*CJ159*VLOOKUP('Données projet'!$B$12,Paramètres!$A$1:$I$89,3,0)*0.475*44/12</f>
        <v>2.0859434762161915E-9</v>
      </c>
      <c r="CN159" s="22">
        <f t="shared" si="172"/>
        <v>9.7975962453815804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5.8</v>
      </c>
      <c r="N160" s="13">
        <f>IF('Données projet'!$A$36&gt;35,N159+M160-V159,IF(A160&lt;'Données projet'!$A$36,$K$205^A160,IF(A160='Données projet'!$A$36,'Données projet'!$B$36,N159+M160-V159)))</f>
        <v>314.59999999999985</v>
      </c>
      <c r="O160" s="13">
        <f>N160*VLOOKUP('Données projet'!$B$9,Paramètres!$A$1:$I$89,3,0)*VLOOKUP('Données projet'!$B$9,Paramètres!$A$1:$I$89,5,0)</f>
        <v>284.65007999999983</v>
      </c>
      <c r="P160" s="13">
        <f t="shared" si="141"/>
        <v>67.948760451418991</v>
      </c>
      <c r="Q160" s="20">
        <f t="shared" si="162"/>
        <v>614.10964711955444</v>
      </c>
      <c r="R160" s="59">
        <f t="shared" si="109"/>
        <v>901.56825804614095</v>
      </c>
      <c r="S160" s="59">
        <f ca="1">AVERAGE(OFFSET($R$3,0,0,'Données projet'!$E$9+1,1))-AVERAGE(OFFSET($H$3,0,0,'Données projet'!$E$9+1,1))</f>
        <v>469.5773392354356</v>
      </c>
      <c r="T160" s="59">
        <f t="shared" si="142"/>
        <v>187.25344022835239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57.217277333638698</v>
      </c>
      <c r="AA160" s="21">
        <f>EXP(-LN(2)/25)*AA159+(1-EXP(-LN(2)/25))/(LN(2)/25)*Calculateur!V160*Calculateur!X160*VLOOKUP('Données projet'!$B$9,Paramètres!$A$1:$I$89,3,0)*0.475*44/12</f>
        <v>7.6738121246963322</v>
      </c>
      <c r="AB160" s="21">
        <f>EXP(-LN(2)/2)*AB159+(1-EXP(-LN(2)/2))/(LN(2)/2)*V160*Y160*VLOOKUP('Données projet'!$B$9,Paramètres!$A$1:$I$89,3,0)*0.475*44/12</f>
        <v>1.8478528103031913</v>
      </c>
      <c r="AC160" s="22">
        <f t="shared" si="163"/>
        <v>66.738942268638226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252.99999999999994</v>
      </c>
      <c r="AJ160" s="13">
        <f>AI160*VLOOKUP('Données projet'!$B$10,Paramètres!$A$1:$I$89,3,0)*VLOOKUP('Données projet'!$B$10,Paramètres!$A$1:$I$89,5,0)</f>
        <v>244.70159999999993</v>
      </c>
      <c r="AK160" s="13">
        <f t="shared" si="164"/>
        <v>59.44995761550765</v>
      </c>
      <c r="AL160" s="20">
        <f t="shared" si="165"/>
        <v>529.73062951367569</v>
      </c>
      <c r="AM160" s="59">
        <f t="shared" si="113"/>
        <v>817.18924044026221</v>
      </c>
      <c r="AN160" s="59">
        <f ca="1">AVERAGE(OFFSET($AM$3,0,0,'Données projet'!$E$10+1,1))-AVERAGE(OFFSET($H$3,0,0,'Données projet'!$E$10+1,1))</f>
        <v>370.91255999489181</v>
      </c>
      <c r="AO160" s="59">
        <f t="shared" si="144"/>
        <v>196.07869248605735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27.692744914024516</v>
      </c>
      <c r="AV160" s="21">
        <f>EXP(-LN(2)/25)*AV159+(1-EXP(-LN(2)/25))/(LN(2)/25)*Calculateur!AQ160*Calculateur!AS160*VLOOKUP('Données projet'!$B$10,Paramètres!$A$1:$I$89,3,0)*0.475*44/12</f>
        <v>3.8333495773234372</v>
      </c>
      <c r="AW160" s="21">
        <f>EXP(-LN(2)/2)*AW159+(1-EXP(-LN(2)/2))/(LN(2)/2)*AQ160*AT160*VLOOKUP('Données projet'!$B$10,Paramètres!$A$1:$I$89,3,0)*0.475*44/12</f>
        <v>5.5965055695493055E-5</v>
      </c>
      <c r="AX160" s="21">
        <f t="shared" si="166"/>
        <v>31.526150456403649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252.99999999999994</v>
      </c>
      <c r="BE160" s="13">
        <f>BD160*VLOOKUP('Données projet'!$B$11,Paramètres!$A$1:$I$89,3,0)*VLOOKUP('Données projet'!$B$11,Paramètres!$A$1:$I$89,5,0)</f>
        <v>272.3291999999999</v>
      </c>
      <c r="BF160" s="13">
        <f t="shared" si="167"/>
        <v>65.34333692428207</v>
      </c>
      <c r="BG160" s="20">
        <f t="shared" si="168"/>
        <v>588.11300180979117</v>
      </c>
      <c r="BH160" s="59">
        <f t="shared" si="116"/>
        <v>875.5716127363778</v>
      </c>
      <c r="BI160" s="59">
        <f ca="1">AVERAGE(OFFSET($BH$3,0,0,'Données projet'!$E$11+1,1))-AVERAGE(OFFSET($H$3,0,0,'Données projet'!$E$11+1,1))</f>
        <v>404.24955007425774</v>
      </c>
      <c r="BJ160" s="59">
        <f t="shared" si="146"/>
        <v>211.49137630071019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30.819345146253095</v>
      </c>
      <c r="BQ160" s="21">
        <f>EXP(-LN(2)/25)*BQ159+(1-EXP(-LN(2)/25))/(LN(2)/25)*Calculateur!BL160*Calculateur!BN160*VLOOKUP('Données projet'!$B$11,Paramètres!$A$1:$I$89,3,0)*0.475*44/12</f>
        <v>4.2661471102470507</v>
      </c>
      <c r="BR160" s="21">
        <f>EXP(-LN(2)/2)*BR159+(1-EXP(-LN(2)/2))/(LN(2)/2)*BL160*BO160*VLOOKUP('Données projet'!$B$11,Paramètres!$A$1:$I$89,3,0)*0.475*44/12</f>
        <v>6.2283691015951924E-5</v>
      </c>
      <c r="BS160" s="22">
        <f t="shared" si="169"/>
        <v>35.085554540191161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195.99999999999994</v>
      </c>
      <c r="BZ160" s="13">
        <f>BY160*VLOOKUP('Données projet'!$B$12,Paramètres!$A$1:$I$89,3,0)*VLOOKUP('Données projet'!$B$12,Paramètres!$A$1:$I$89,5,0)</f>
        <v>152.87999999999997</v>
      </c>
      <c r="CA160" s="13">
        <f t="shared" si="170"/>
        <v>39.232349774697852</v>
      </c>
      <c r="CB160" s="20">
        <f t="shared" si="171"/>
        <v>334.59567585759868</v>
      </c>
      <c r="CC160" s="59">
        <f t="shared" si="119"/>
        <v>622.05428678418525</v>
      </c>
      <c r="CD160" s="59">
        <f ca="1">AVERAGE(OFFSET($CC$3,0,0,'Données projet'!$E$12+1,1))-AVERAGE(OFFSET($H$3,0,0,'Données projet'!$E$12+1,1))</f>
        <v>250.01410333089137</v>
      </c>
      <c r="CE160" s="59">
        <f t="shared" si="148"/>
        <v>169.55868564318885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7.8164995631271355</v>
      </c>
      <c r="CL160" s="21">
        <f>EXP(-LN(2)/25)*CL159+(1-EXP(-LN(2)/25))/(LN(2)/25)*Calculateur!CG160*Calculateur!CI160*VLOOKUP('Données projet'!$B$12,Paramètres!$A$1:$I$89,3,0)*0.475*44/12</f>
        <v>1.7748561117992736</v>
      </c>
      <c r="CM160" s="21">
        <f>EXP(-LN(2)/2)*CM159+(1-EXP(-LN(2)/2))/(LN(2)/2)*CG160*CJ160*VLOOKUP('Données projet'!$B$12,Paramètres!$A$1:$I$89,3,0)*0.475*44/12</f>
        <v>1.4749847772043088E-9</v>
      </c>
      <c r="CN160" s="22">
        <f t="shared" si="172"/>
        <v>9.5913556764013936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5.8</v>
      </c>
      <c r="N161" s="13">
        <f>IF('Données projet'!$A$36&gt;35,N160+M161-V160,IF(A161&lt;'Données projet'!$A$36,$K$205^A161,IF(A161='Données projet'!$A$36,'Données projet'!$B$36,N160+M161-V160)))</f>
        <v>320.39999999999986</v>
      </c>
      <c r="O161" s="13">
        <f>N161*VLOOKUP('Données projet'!$B$9,Paramètres!$A$1:$I$89,3,0)*VLOOKUP('Données projet'!$B$9,Paramètres!$A$1:$I$89,5,0)</f>
        <v>289.89791999999989</v>
      </c>
      <c r="P161" s="13">
        <f t="shared" si="141"/>
        <v>69.054476085987915</v>
      </c>
      <c r="Q161" s="20">
        <f t="shared" si="162"/>
        <v>625.1754231830954</v>
      </c>
      <c r="R161" s="59">
        <f t="shared" si="109"/>
        <v>912.7359474095274</v>
      </c>
      <c r="S161" s="59">
        <f ca="1">AVERAGE(OFFSET($R$3,0,0,'Données projet'!$E$9+1,1))-AVERAGE(OFFSET($H$3,0,0,'Données projet'!$E$9+1,1))</f>
        <v>469.5773392354356</v>
      </c>
      <c r="T161" s="59">
        <f t="shared" si="142"/>
        <v>187.25344022835239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56.095281424219216</v>
      </c>
      <c r="AA161" s="21">
        <f>EXP(-LN(2)/25)*AA160+(1-EXP(-LN(2)/25))/(LN(2)/25)*Calculateur!V161*Calculateur!X161*VLOOKUP('Données projet'!$B$9,Paramètres!$A$1:$I$89,3,0)*0.475*44/12</f>
        <v>7.4639713285982703</v>
      </c>
      <c r="AB161" s="21">
        <f>EXP(-LN(2)/2)*AB160+(1-EXP(-LN(2)/2))/(LN(2)/2)*V161*Y161*VLOOKUP('Données projet'!$B$9,Paramètres!$A$1:$I$89,3,0)*0.475*44/12</f>
        <v>1.3066292528000056</v>
      </c>
      <c r="AC161" s="22">
        <f t="shared" si="163"/>
        <v>64.865882005617493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252.99999999999994</v>
      </c>
      <c r="AJ161" s="13">
        <f>AI161*VLOOKUP('Données projet'!$B$10,Paramètres!$A$1:$I$89,3,0)*VLOOKUP('Données projet'!$B$10,Paramètres!$A$1:$I$89,5,0)</f>
        <v>244.70159999999993</v>
      </c>
      <c r="AK161" s="13">
        <f t="shared" si="164"/>
        <v>59.44995761550765</v>
      </c>
      <c r="AL161" s="20">
        <f t="shared" si="165"/>
        <v>529.73062951367569</v>
      </c>
      <c r="AM161" s="59">
        <f t="shared" si="113"/>
        <v>817.29115374010769</v>
      </c>
      <c r="AN161" s="59">
        <f ca="1">AVERAGE(OFFSET($AM$3,0,0,'Données projet'!$E$10+1,1))-AVERAGE(OFFSET($H$3,0,0,'Données projet'!$E$10+1,1))</f>
        <v>370.91255999489181</v>
      </c>
      <c r="AO161" s="59">
        <f t="shared" si="144"/>
        <v>196.07869248605735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27.149707077167054</v>
      </c>
      <c r="AV161" s="21">
        <f>EXP(-LN(2)/25)*AV160+(1-EXP(-LN(2)/25))/(LN(2)/25)*Calculateur!AQ161*Calculateur!AS161*VLOOKUP('Données projet'!$B$10,Paramètres!$A$1:$I$89,3,0)*0.475*44/12</f>
        <v>3.7285264315444349</v>
      </c>
      <c r="AW161" s="21">
        <f>EXP(-LN(2)/2)*AW160+(1-EXP(-LN(2)/2))/(LN(2)/2)*AQ161*AT161*VLOOKUP('Données projet'!$B$10,Paramètres!$A$1:$I$89,3,0)*0.475*44/12</f>
        <v>3.9573270391765952E-5</v>
      </c>
      <c r="AX161" s="21">
        <f t="shared" si="166"/>
        <v>30.878273081981881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252.99999999999994</v>
      </c>
      <c r="BE161" s="13">
        <f>BD161*VLOOKUP('Données projet'!$B$11,Paramètres!$A$1:$I$89,3,0)*VLOOKUP('Données projet'!$B$11,Paramètres!$A$1:$I$89,5,0)</f>
        <v>272.3291999999999</v>
      </c>
      <c r="BF161" s="13">
        <f t="shared" si="167"/>
        <v>65.34333692428207</v>
      </c>
      <c r="BG161" s="20">
        <f t="shared" si="168"/>
        <v>588.11300180979117</v>
      </c>
      <c r="BH161" s="59">
        <f t="shared" si="116"/>
        <v>875.67352603622317</v>
      </c>
      <c r="BI161" s="59">
        <f ca="1">AVERAGE(OFFSET($BH$3,0,0,'Données projet'!$E$11+1,1))-AVERAGE(OFFSET($H$3,0,0,'Données projet'!$E$11+1,1))</f>
        <v>404.24955007425774</v>
      </c>
      <c r="BJ161" s="59">
        <f t="shared" si="146"/>
        <v>211.49137630071019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30.214996585879469</v>
      </c>
      <c r="BQ161" s="21">
        <f>EXP(-LN(2)/25)*BQ160+(1-EXP(-LN(2)/25))/(LN(2)/25)*Calculateur!BL161*Calculateur!BN161*VLOOKUP('Données projet'!$B$11,Paramètres!$A$1:$I$89,3,0)*0.475*44/12</f>
        <v>4.1494890931704189</v>
      </c>
      <c r="BR161" s="21">
        <f>EXP(-LN(2)/2)*BR160+(1-EXP(-LN(2)/2))/(LN(2)/2)*BL161*BO161*VLOOKUP('Données projet'!$B$11,Paramètres!$A$1:$I$89,3,0)*0.475*44/12</f>
        <v>4.4041220274707255E-5</v>
      </c>
      <c r="BS161" s="22">
        <f t="shared" si="169"/>
        <v>34.364529720270163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195.99999999999994</v>
      </c>
      <c r="BZ161" s="13">
        <f>BY161*VLOOKUP('Données projet'!$B$12,Paramètres!$A$1:$I$89,3,0)*VLOOKUP('Données projet'!$B$12,Paramètres!$A$1:$I$89,5,0)</f>
        <v>152.87999999999997</v>
      </c>
      <c r="CA161" s="13">
        <f t="shared" si="170"/>
        <v>39.232349774697852</v>
      </c>
      <c r="CB161" s="20">
        <f t="shared" si="171"/>
        <v>334.59567585759868</v>
      </c>
      <c r="CC161" s="59">
        <f t="shared" si="119"/>
        <v>622.15620008403062</v>
      </c>
      <c r="CD161" s="59">
        <f ca="1">AVERAGE(OFFSET($CC$3,0,0,'Données projet'!$E$12+1,1))-AVERAGE(OFFSET($H$3,0,0,'Données projet'!$E$12+1,1))</f>
        <v>250.01410333089137</v>
      </c>
      <c r="CE161" s="59">
        <f t="shared" si="148"/>
        <v>169.55868564318885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7.6632227742881849</v>
      </c>
      <c r="CL161" s="21">
        <f>EXP(-LN(2)/25)*CL160+(1-EXP(-LN(2)/25))/(LN(2)/25)*Calculateur!CG161*Calculateur!CI161*VLOOKUP('Données projet'!$B$12,Paramètres!$A$1:$I$89,3,0)*0.475*44/12</f>
        <v>1.7263225780864961</v>
      </c>
      <c r="CM161" s="21">
        <f>EXP(-LN(2)/2)*CM160+(1-EXP(-LN(2)/2))/(LN(2)/2)*CG161*CJ161*VLOOKUP('Données projet'!$B$12,Paramètres!$A$1:$I$89,3,0)*0.475*44/12</f>
        <v>1.0429717381080957E-9</v>
      </c>
      <c r="CN161" s="22">
        <f t="shared" si="172"/>
        <v>9.3895453534176525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5.8</v>
      </c>
      <c r="N162" s="13">
        <f>IF('Données projet'!$A$36&gt;35,N161+M162-V161,IF(A162&lt;'Données projet'!$A$36,$K$205^A162,IF(A162='Données projet'!$A$36,'Données projet'!$B$36,N161+M162-V161)))</f>
        <v>326.19999999999987</v>
      </c>
      <c r="O162" s="13">
        <f>N162*VLOOKUP('Données projet'!$B$9,Paramètres!$A$1:$I$89,3,0)*VLOOKUP('Données projet'!$B$9,Paramètres!$A$1:$I$89,5,0)</f>
        <v>295.14575999999988</v>
      </c>
      <c r="P162" s="13">
        <f t="shared" si="141"/>
        <v>70.157864167878188</v>
      </c>
      <c r="Q162" s="20">
        <f t="shared" si="162"/>
        <v>636.237145425721</v>
      </c>
      <c r="R162" s="59">
        <f t="shared" si="109"/>
        <v>923.89781498409002</v>
      </c>
      <c r="S162" s="59">
        <f ca="1">AVERAGE(OFFSET($R$3,0,0,'Données projet'!$E$9+1,1))-AVERAGE(OFFSET($H$3,0,0,'Données projet'!$E$9+1,1))</f>
        <v>469.5773392354356</v>
      </c>
      <c r="T162" s="59">
        <f t="shared" si="142"/>
        <v>187.25344022835239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54.995287170233517</v>
      </c>
      <c r="AA162" s="21">
        <f>EXP(-LN(2)/25)*AA161+(1-EXP(-LN(2)/25))/(LN(2)/25)*Calculateur!V162*Calculateur!X162*VLOOKUP('Données projet'!$B$9,Paramètres!$A$1:$I$89,3,0)*0.475*44/12</f>
        <v>7.2598686401045578</v>
      </c>
      <c r="AB162" s="21">
        <f>EXP(-LN(2)/2)*AB161+(1-EXP(-LN(2)/2))/(LN(2)/2)*V162*Y162*VLOOKUP('Données projet'!$B$9,Paramètres!$A$1:$I$89,3,0)*0.475*44/12</f>
        <v>0.92392640515159574</v>
      </c>
      <c r="AC162" s="22">
        <f t="shared" si="163"/>
        <v>63.179082215489672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252.99999999999994</v>
      </c>
      <c r="AJ162" s="13">
        <f>AI162*VLOOKUP('Données projet'!$B$10,Paramètres!$A$1:$I$89,3,0)*VLOOKUP('Données projet'!$B$10,Paramètres!$A$1:$I$89,5,0)</f>
        <v>244.70159999999993</v>
      </c>
      <c r="AK162" s="13">
        <f t="shared" si="164"/>
        <v>59.44995761550765</v>
      </c>
      <c r="AL162" s="20">
        <f t="shared" si="165"/>
        <v>529.73062951367569</v>
      </c>
      <c r="AM162" s="59">
        <f t="shared" si="113"/>
        <v>817.3912990720446</v>
      </c>
      <c r="AN162" s="59">
        <f ca="1">AVERAGE(OFFSET($AM$3,0,0,'Données projet'!$E$10+1,1))-AVERAGE(OFFSET($H$3,0,0,'Données projet'!$E$10+1,1))</f>
        <v>370.91255999489181</v>
      </c>
      <c r="AO162" s="59">
        <f t="shared" si="144"/>
        <v>196.07869248605735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26.617317881069994</v>
      </c>
      <c r="AV162" s="21">
        <f>EXP(-LN(2)/25)*AV161+(1-EXP(-LN(2)/25))/(LN(2)/25)*Calculateur!AQ162*Calculateur!AS162*VLOOKUP('Données projet'!$B$10,Paramètres!$A$1:$I$89,3,0)*0.475*44/12</f>
        <v>3.6265696801991689</v>
      </c>
      <c r="AW162" s="21">
        <f>EXP(-LN(2)/2)*AW161+(1-EXP(-LN(2)/2))/(LN(2)/2)*AQ162*AT162*VLOOKUP('Données projet'!$B$10,Paramètres!$A$1:$I$89,3,0)*0.475*44/12</f>
        <v>2.7982527847746527E-5</v>
      </c>
      <c r="AX162" s="21">
        <f t="shared" si="166"/>
        <v>30.243915543797009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252.99999999999994</v>
      </c>
      <c r="BE162" s="13">
        <f>BD162*VLOOKUP('Données projet'!$B$11,Paramètres!$A$1:$I$89,3,0)*VLOOKUP('Données projet'!$B$11,Paramètres!$A$1:$I$89,5,0)</f>
        <v>272.3291999999999</v>
      </c>
      <c r="BF162" s="13">
        <f t="shared" si="167"/>
        <v>65.34333692428207</v>
      </c>
      <c r="BG162" s="20">
        <f t="shared" si="168"/>
        <v>588.11300180979117</v>
      </c>
      <c r="BH162" s="59">
        <f t="shared" si="116"/>
        <v>875.77367136816019</v>
      </c>
      <c r="BI162" s="59">
        <f ca="1">AVERAGE(OFFSET($BH$3,0,0,'Données projet'!$E$11+1,1))-AVERAGE(OFFSET($H$3,0,0,'Données projet'!$E$11+1,1))</f>
        <v>404.24955007425774</v>
      </c>
      <c r="BJ162" s="59">
        <f t="shared" si="146"/>
        <v>211.49137630071019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29.622498932158546</v>
      </c>
      <c r="BQ162" s="21">
        <f>EXP(-LN(2)/25)*BQ161+(1-EXP(-LN(2)/25))/(LN(2)/25)*Calculateur!BL162*Calculateur!BN162*VLOOKUP('Données projet'!$B$11,Paramètres!$A$1:$I$89,3,0)*0.475*44/12</f>
        <v>4.036021095705526</v>
      </c>
      <c r="BR162" s="21">
        <f>EXP(-LN(2)/2)*BR161+(1-EXP(-LN(2)/2))/(LN(2)/2)*BL162*BO162*VLOOKUP('Données projet'!$B$11,Paramètres!$A$1:$I$89,3,0)*0.475*44/12</f>
        <v>3.1141845507975962E-5</v>
      </c>
      <c r="BS162" s="22">
        <f t="shared" si="169"/>
        <v>33.658551169709582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195.99999999999994</v>
      </c>
      <c r="BZ162" s="13">
        <f>BY162*VLOOKUP('Données projet'!$B$12,Paramètres!$A$1:$I$89,3,0)*VLOOKUP('Données projet'!$B$12,Paramètres!$A$1:$I$89,5,0)</f>
        <v>152.87999999999997</v>
      </c>
      <c r="CA162" s="13">
        <f t="shared" si="170"/>
        <v>39.232349774697852</v>
      </c>
      <c r="CB162" s="20">
        <f t="shared" si="171"/>
        <v>334.59567585759868</v>
      </c>
      <c r="CC162" s="59">
        <f t="shared" si="119"/>
        <v>622.25634541596764</v>
      </c>
      <c r="CD162" s="59">
        <f ca="1">AVERAGE(OFFSET($CC$3,0,0,'Données projet'!$E$12+1,1))-AVERAGE(OFFSET($H$3,0,0,'Données projet'!$E$12+1,1))</f>
        <v>250.01410333089137</v>
      </c>
      <c r="CE162" s="59">
        <f t="shared" si="148"/>
        <v>169.55868564318885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7.5129516497887563</v>
      </c>
      <c r="CL162" s="21">
        <f>EXP(-LN(2)/25)*CL161+(1-EXP(-LN(2)/25))/(LN(2)/25)*Calculateur!CG162*Calculateur!CI162*VLOOKUP('Données projet'!$B$12,Paramètres!$A$1:$I$89,3,0)*0.475*44/12</f>
        <v>1.679116196405362</v>
      </c>
      <c r="CM162" s="21">
        <f>EXP(-LN(2)/2)*CM161+(1-EXP(-LN(2)/2))/(LN(2)/2)*CG162*CJ162*VLOOKUP('Données projet'!$B$12,Paramètres!$A$1:$I$89,3,0)*0.475*44/12</f>
        <v>7.3749238860215441E-10</v>
      </c>
      <c r="CN162" s="22">
        <f t="shared" si="172"/>
        <v>9.1920678469316108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5.8</v>
      </c>
      <c r="N163" s="13">
        <f>IF('Données projet'!$A$36&gt;35,N162+M163-V162,IF(A163&lt;'Données projet'!$A$36,$K$205^A163,IF(A163='Données projet'!$A$36,'Données projet'!$B$36,N162+M163-V162)))</f>
        <v>331.99999999999989</v>
      </c>
      <c r="O163" s="13">
        <f>N163*VLOOKUP('Données projet'!$B$9,Paramètres!$A$1:$I$89,3,0)*VLOOKUP('Données projet'!$B$9,Paramètres!$A$1:$I$89,5,0)</f>
        <v>300.39359999999988</v>
      </c>
      <c r="P163" s="13">
        <f t="shared" si="141"/>
        <v>71.258970856492667</v>
      </c>
      <c r="Q163" s="20">
        <f t="shared" si="162"/>
        <v>647.29489424172459</v>
      </c>
      <c r="R163" s="59">
        <f t="shared" si="109"/>
        <v>935.05397183441301</v>
      </c>
      <c r="S163" s="59">
        <f ca="1">AVERAGE(OFFSET($R$3,0,0,'Données projet'!$E$9+1,1))-AVERAGE(OFFSET($H$3,0,0,'Données projet'!$E$9+1,1))</f>
        <v>469.5773392354356</v>
      </c>
      <c r="T163" s="59">
        <f t="shared" si="142"/>
        <v>187.25344022835239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53.916863132638234</v>
      </c>
      <c r="AA163" s="21">
        <f>EXP(-LN(2)/25)*AA162+(1-EXP(-LN(2)/25))/(LN(2)/25)*Calculateur!V163*Calculateur!X163*VLOOKUP('Données projet'!$B$9,Paramètres!$A$1:$I$89,3,0)*0.475*44/12</f>
        <v>7.0613471503609997</v>
      </c>
      <c r="AB163" s="21">
        <f>EXP(-LN(2)/2)*AB162+(1-EXP(-LN(2)/2))/(LN(2)/2)*V163*Y163*VLOOKUP('Données projet'!$B$9,Paramètres!$A$1:$I$89,3,0)*0.475*44/12</f>
        <v>0.65331462640000293</v>
      </c>
      <c r="AC163" s="22">
        <f t="shared" si="163"/>
        <v>61.631524909399239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252.99999999999994</v>
      </c>
      <c r="AJ163" s="13">
        <f>AI163*VLOOKUP('Données projet'!$B$10,Paramètres!$A$1:$I$89,3,0)*VLOOKUP('Données projet'!$B$10,Paramètres!$A$1:$I$89,5,0)</f>
        <v>244.70159999999993</v>
      </c>
      <c r="AK163" s="13">
        <f t="shared" si="164"/>
        <v>59.44995761550765</v>
      </c>
      <c r="AL163" s="20">
        <f t="shared" si="165"/>
        <v>529.73062951367569</v>
      </c>
      <c r="AM163" s="59">
        <f t="shared" si="113"/>
        <v>817.48970710636399</v>
      </c>
      <c r="AN163" s="59">
        <f ca="1">AVERAGE(OFFSET($AM$3,0,0,'Données projet'!$E$10+1,1))-AVERAGE(OFFSET($H$3,0,0,'Données projet'!$E$10+1,1))</f>
        <v>370.91255999489181</v>
      </c>
      <c r="AO163" s="59">
        <f t="shared" si="144"/>
        <v>196.07869248605735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26.09536851238305</v>
      </c>
      <c r="AV163" s="21">
        <f>EXP(-LN(2)/25)*AV162+(1-EXP(-LN(2)/25))/(LN(2)/25)*Calculateur!AQ163*Calculateur!AS163*VLOOKUP('Données projet'!$B$10,Paramètres!$A$1:$I$89,3,0)*0.475*44/12</f>
        <v>3.5274009415811118</v>
      </c>
      <c r="AW163" s="21">
        <f>EXP(-LN(2)/2)*AW162+(1-EXP(-LN(2)/2))/(LN(2)/2)*AQ163*AT163*VLOOKUP('Données projet'!$B$10,Paramètres!$A$1:$I$89,3,0)*0.475*44/12</f>
        <v>1.9786635195882976E-5</v>
      </c>
      <c r="AX163" s="21">
        <f t="shared" si="166"/>
        <v>29.622789240599356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252.99999999999994</v>
      </c>
      <c r="BE163" s="13">
        <f>BD163*VLOOKUP('Données projet'!$B$11,Paramètres!$A$1:$I$89,3,0)*VLOOKUP('Données projet'!$B$11,Paramètres!$A$1:$I$89,5,0)</f>
        <v>272.3291999999999</v>
      </c>
      <c r="BF163" s="13">
        <f t="shared" si="167"/>
        <v>65.34333692428207</v>
      </c>
      <c r="BG163" s="20">
        <f t="shared" si="168"/>
        <v>588.11300180979117</v>
      </c>
      <c r="BH163" s="59">
        <f t="shared" si="116"/>
        <v>875.87207940247959</v>
      </c>
      <c r="BI163" s="59">
        <f ca="1">AVERAGE(OFFSET($BH$3,0,0,'Données projet'!$E$11+1,1))-AVERAGE(OFFSET($H$3,0,0,'Données projet'!$E$11+1,1))</f>
        <v>404.24955007425774</v>
      </c>
      <c r="BJ163" s="59">
        <f t="shared" si="146"/>
        <v>211.49137630071019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29.041619796039203</v>
      </c>
      <c r="BQ163" s="21">
        <f>EXP(-LN(2)/25)*BQ162+(1-EXP(-LN(2)/25))/(LN(2)/25)*Calculateur!BL163*Calculateur!BN163*VLOOKUP('Données projet'!$B$11,Paramètres!$A$1:$I$89,3,0)*0.475*44/12</f>
        <v>3.9256558865983333</v>
      </c>
      <c r="BR163" s="21">
        <f>EXP(-LN(2)/2)*BR162+(1-EXP(-LN(2)/2))/(LN(2)/2)*BL163*BO163*VLOOKUP('Données projet'!$B$11,Paramètres!$A$1:$I$89,3,0)*0.475*44/12</f>
        <v>2.2020610137353627E-5</v>
      </c>
      <c r="BS163" s="22">
        <f t="shared" si="169"/>
        <v>32.967297703247674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195.99999999999994</v>
      </c>
      <c r="BZ163" s="13">
        <f>BY163*VLOOKUP('Données projet'!$B$12,Paramètres!$A$1:$I$89,3,0)*VLOOKUP('Données projet'!$B$12,Paramètres!$A$1:$I$89,5,0)</f>
        <v>152.87999999999997</v>
      </c>
      <c r="CA163" s="13">
        <f t="shared" si="170"/>
        <v>39.232349774697852</v>
      </c>
      <c r="CB163" s="20">
        <f t="shared" si="171"/>
        <v>334.59567585759868</v>
      </c>
      <c r="CC163" s="59">
        <f t="shared" si="119"/>
        <v>622.35475345028703</v>
      </c>
      <c r="CD163" s="59">
        <f ca="1">AVERAGE(OFFSET($CC$3,0,0,'Données projet'!$E$12+1,1))-AVERAGE(OFFSET($H$3,0,0,'Données projet'!$E$12+1,1))</f>
        <v>250.01410333089137</v>
      </c>
      <c r="CE163" s="59">
        <f t="shared" si="148"/>
        <v>169.55868564318885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7.365627250384426</v>
      </c>
      <c r="CL163" s="21">
        <f>EXP(-LN(2)/25)*CL162+(1-EXP(-LN(2)/25))/(LN(2)/25)*Calculateur!CG163*Calculateur!CI163*VLOOKUP('Données projet'!$B$12,Paramètres!$A$1:$I$89,3,0)*0.475*44/12</f>
        <v>1.6332006757137743</v>
      </c>
      <c r="CM163" s="21">
        <f>EXP(-LN(2)/2)*CM162+(1-EXP(-LN(2)/2))/(LN(2)/2)*CG163*CJ163*VLOOKUP('Données projet'!$B$12,Paramètres!$A$1:$I$89,3,0)*0.475*44/12</f>
        <v>5.2148586905404787E-10</v>
      </c>
      <c r="CN163" s="22">
        <f t="shared" si="172"/>
        <v>8.9988279266196862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5.8</v>
      </c>
      <c r="N164" s="13">
        <f>IF('Données projet'!$A$36&gt;35,N163+M164-V163,IF(A164&lt;'Données projet'!$A$36,$K$205^A164,IF(A164='Données projet'!$A$36,'Données projet'!$B$36,N163+M164-V163)))</f>
        <v>337.7999999999999</v>
      </c>
      <c r="O164" s="13">
        <f>N164*VLOOKUP('Données projet'!$B$9,Paramètres!$A$1:$I$89,3,0)*VLOOKUP('Données projet'!$B$9,Paramètres!$A$1:$I$89,5,0)</f>
        <v>305.64143999999987</v>
      </c>
      <c r="P164" s="13">
        <f t="shared" si="141"/>
        <v>72.357840606045357</v>
      </c>
      <c r="Q164" s="20">
        <f t="shared" si="162"/>
        <v>658.34874705552875</v>
      </c>
      <c r="R164" s="59">
        <f t="shared" si="109"/>
        <v>946.2045255231485</v>
      </c>
      <c r="S164" s="59">
        <f ca="1">AVERAGE(OFFSET($R$3,0,0,'Données projet'!$E$9+1,1))-AVERAGE(OFFSET($H$3,0,0,'Données projet'!$E$9+1,1))</f>
        <v>469.5773392354356</v>
      </c>
      <c r="T164" s="59">
        <f t="shared" si="142"/>
        <v>187.25344022835239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52.859586332646479</v>
      </c>
      <c r="AA164" s="21">
        <f>EXP(-LN(2)/25)*AA163+(1-EXP(-LN(2)/25))/(LN(2)/25)*Calculateur!V164*Calculateur!X164*VLOOKUP('Données projet'!$B$9,Paramètres!$A$1:$I$89,3,0)*0.475*44/12</f>
        <v>6.8682542411942702</v>
      </c>
      <c r="AB164" s="21">
        <f>EXP(-LN(2)/2)*AB163+(1-EXP(-LN(2)/2))/(LN(2)/2)*V164*Y164*VLOOKUP('Données projet'!$B$9,Paramètres!$A$1:$I$89,3,0)*0.475*44/12</f>
        <v>0.46196320257579793</v>
      </c>
      <c r="AC164" s="22">
        <f t="shared" si="163"/>
        <v>60.189803776416547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252.99999999999994</v>
      </c>
      <c r="AJ164" s="13">
        <f>AI164*VLOOKUP('Données projet'!$B$10,Paramètres!$A$1:$I$89,3,0)*VLOOKUP('Données projet'!$B$10,Paramètres!$A$1:$I$89,5,0)</f>
        <v>244.70159999999993</v>
      </c>
      <c r="AK164" s="13">
        <f t="shared" si="164"/>
        <v>59.44995761550765</v>
      </c>
      <c r="AL164" s="20">
        <f t="shared" si="165"/>
        <v>529.73062951367569</v>
      </c>
      <c r="AM164" s="59">
        <f t="shared" si="113"/>
        <v>817.58640798129545</v>
      </c>
      <c r="AN164" s="59">
        <f ca="1">AVERAGE(OFFSET($AM$3,0,0,'Données projet'!$E$10+1,1))-AVERAGE(OFFSET($H$3,0,0,'Données projet'!$E$10+1,1))</f>
        <v>370.91255999489181</v>
      </c>
      <c r="AO164" s="59">
        <f t="shared" si="144"/>
        <v>196.07869248605735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25.583654252458377</v>
      </c>
      <c r="AV164" s="21">
        <f>EXP(-LN(2)/25)*AV163+(1-EXP(-LN(2)/25))/(LN(2)/25)*Calculateur!AQ164*Calculateur!AS164*VLOOKUP('Données projet'!$B$10,Paramètres!$A$1:$I$89,3,0)*0.475*44/12</f>
        <v>3.4309439773356227</v>
      </c>
      <c r="AW164" s="21">
        <f>EXP(-LN(2)/2)*AW163+(1-EXP(-LN(2)/2))/(LN(2)/2)*AQ164*AT164*VLOOKUP('Données projet'!$B$10,Paramètres!$A$1:$I$89,3,0)*0.475*44/12</f>
        <v>1.3991263923873264E-5</v>
      </c>
      <c r="AX164" s="21">
        <f t="shared" si="166"/>
        <v>29.014612221057924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252.99999999999994</v>
      </c>
      <c r="BE164" s="13">
        <f>BD164*VLOOKUP('Données projet'!$B$11,Paramètres!$A$1:$I$89,3,0)*VLOOKUP('Données projet'!$B$11,Paramètres!$A$1:$I$89,5,0)</f>
        <v>272.3291999999999</v>
      </c>
      <c r="BF164" s="13">
        <f t="shared" si="167"/>
        <v>65.34333692428207</v>
      </c>
      <c r="BG164" s="20">
        <f t="shared" si="168"/>
        <v>588.11300180979117</v>
      </c>
      <c r="BH164" s="59">
        <f t="shared" si="116"/>
        <v>875.96878027741081</v>
      </c>
      <c r="BI164" s="59">
        <f ca="1">AVERAGE(OFFSET($BH$3,0,0,'Données projet'!$E$11+1,1))-AVERAGE(OFFSET($H$3,0,0,'Données projet'!$E$11+1,1))</f>
        <v>404.24955007425774</v>
      </c>
      <c r="BJ164" s="59">
        <f t="shared" si="146"/>
        <v>211.49137630071019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28.472131345477873</v>
      </c>
      <c r="BQ164" s="21">
        <f>EXP(-LN(2)/25)*BQ163+(1-EXP(-LN(2)/25))/(LN(2)/25)*Calculateur!BL164*Calculateur!BN164*VLOOKUP('Données projet'!$B$11,Paramètres!$A$1:$I$89,3,0)*0.475*44/12</f>
        <v>3.8183086199380312</v>
      </c>
      <c r="BR164" s="21">
        <f>EXP(-LN(2)/2)*BR163+(1-EXP(-LN(2)/2))/(LN(2)/2)*BL164*BO164*VLOOKUP('Données projet'!$B$11,Paramètres!$A$1:$I$89,3,0)*0.475*44/12</f>
        <v>1.5570922753987981E-5</v>
      </c>
      <c r="BS164" s="22">
        <f t="shared" si="169"/>
        <v>32.290455536338662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195.99999999999994</v>
      </c>
      <c r="BZ164" s="13">
        <f>BY164*VLOOKUP('Données projet'!$B$12,Paramètres!$A$1:$I$89,3,0)*VLOOKUP('Données projet'!$B$12,Paramètres!$A$1:$I$89,5,0)</f>
        <v>152.87999999999997</v>
      </c>
      <c r="CA164" s="13">
        <f t="shared" si="170"/>
        <v>39.232349774697852</v>
      </c>
      <c r="CB164" s="20">
        <f t="shared" si="171"/>
        <v>334.59567585759868</v>
      </c>
      <c r="CC164" s="59">
        <f t="shared" si="119"/>
        <v>622.45145432521838</v>
      </c>
      <c r="CD164" s="59">
        <f ca="1">AVERAGE(OFFSET($CC$3,0,0,'Données projet'!$E$12+1,1))-AVERAGE(OFFSET($H$3,0,0,'Données projet'!$E$12+1,1))</f>
        <v>250.01410333089137</v>
      </c>
      <c r="CE164" s="59">
        <f t="shared" si="148"/>
        <v>169.55868564318885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7.2211917925934035</v>
      </c>
      <c r="CL164" s="21">
        <f>EXP(-LN(2)/25)*CL163+(1-EXP(-LN(2)/25))/(LN(2)/25)*Calculateur!CG164*Calculateur!CI164*VLOOKUP('Données projet'!$B$12,Paramètres!$A$1:$I$89,3,0)*0.475*44/12</f>
        <v>1.5885407173500903</v>
      </c>
      <c r="CM164" s="21">
        <f>EXP(-LN(2)/2)*CM163+(1-EXP(-LN(2)/2))/(LN(2)/2)*CG164*CJ164*VLOOKUP('Données projet'!$B$12,Paramètres!$A$1:$I$89,3,0)*0.475*44/12</f>
        <v>3.6874619430107721E-10</v>
      </c>
      <c r="CN164" s="22">
        <f t="shared" si="172"/>
        <v>8.8097325103122408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5.8</v>
      </c>
      <c r="N165" s="13">
        <f>IF('Données projet'!$A$36&gt;35,N164+M165-V164,IF(A165&lt;'Données projet'!$A$36,$K$205^A165,IF(A165='Données projet'!$A$36,'Données projet'!$B$36,N164+M165-V164)))</f>
        <v>343.59999999999991</v>
      </c>
      <c r="O165" s="13">
        <f>N165*VLOOKUP('Données projet'!$B$9,Paramètres!$A$1:$I$89,3,0)*VLOOKUP('Données projet'!$B$9,Paramètres!$A$1:$I$89,5,0)</f>
        <v>310.88927999999987</v>
      </c>
      <c r="P165" s="13">
        <f t="shared" si="141"/>
        <v>73.454516256730187</v>
      </c>
      <c r="Q165" s="20">
        <f t="shared" si="162"/>
        <v>669.39877848047149</v>
      </c>
      <c r="R165" s="59">
        <f t="shared" si="109"/>
        <v>957.34958027903326</v>
      </c>
      <c r="S165" s="59">
        <f ca="1">AVERAGE(OFFSET($R$3,0,0,'Données projet'!$E$9+1,1))-AVERAGE(OFFSET($H$3,0,0,'Données projet'!$E$9+1,1))</f>
        <v>469.5773392354356</v>
      </c>
      <c r="T165" s="59">
        <f t="shared" si="142"/>
        <v>187.25344022835239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51.823042085827396</v>
      </c>
      <c r="AA165" s="21">
        <f>EXP(-LN(2)/25)*AA164+(1-EXP(-LN(2)/25))/(LN(2)/25)*Calculateur!V165*Calculateur!X165*VLOOKUP('Données projet'!$B$9,Paramètres!$A$1:$I$89,3,0)*0.475*44/12</f>
        <v>6.6804414677830195</v>
      </c>
      <c r="AB165" s="21">
        <f>EXP(-LN(2)/2)*AB164+(1-EXP(-LN(2)/2))/(LN(2)/2)*V165*Y165*VLOOKUP('Données projet'!$B$9,Paramètres!$A$1:$I$89,3,0)*0.475*44/12</f>
        <v>0.32665731320000152</v>
      </c>
      <c r="AC165" s="22">
        <f t="shared" si="163"/>
        <v>58.830140866810417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252.99999999999994</v>
      </c>
      <c r="AJ165" s="13">
        <f>AI165*VLOOKUP('Données projet'!$B$10,Paramètres!$A$1:$I$89,3,0)*VLOOKUP('Données projet'!$B$10,Paramètres!$A$1:$I$89,5,0)</f>
        <v>244.70159999999993</v>
      </c>
      <c r="AK165" s="13">
        <f t="shared" si="164"/>
        <v>59.44995761550765</v>
      </c>
      <c r="AL165" s="20">
        <f t="shared" si="165"/>
        <v>529.73062951367569</v>
      </c>
      <c r="AM165" s="59">
        <f t="shared" si="113"/>
        <v>817.68143131223746</v>
      </c>
      <c r="AN165" s="59">
        <f ca="1">AVERAGE(OFFSET($AM$3,0,0,'Données projet'!$E$10+1,1))-AVERAGE(OFFSET($H$3,0,0,'Données projet'!$E$10+1,1))</f>
        <v>370.91255999489181</v>
      </c>
      <c r="AO165" s="59">
        <f t="shared" si="144"/>
        <v>196.07869248605735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25.081974397055948</v>
      </c>
      <c r="AV165" s="21">
        <f>EXP(-LN(2)/25)*AV164+(1-EXP(-LN(2)/25))/(LN(2)/25)*Calculateur!AQ165*Calculateur!AS165*VLOOKUP('Données projet'!$B$10,Paramètres!$A$1:$I$89,3,0)*0.475*44/12</f>
        <v>3.3371246338498777</v>
      </c>
      <c r="AW165" s="21">
        <f>EXP(-LN(2)/2)*AW164+(1-EXP(-LN(2)/2))/(LN(2)/2)*AQ165*AT165*VLOOKUP('Données projet'!$B$10,Paramètres!$A$1:$I$89,3,0)*0.475*44/12</f>
        <v>9.8933175979414881E-6</v>
      </c>
      <c r="AX165" s="21">
        <f t="shared" si="166"/>
        <v>28.419108924223423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252.99999999999994</v>
      </c>
      <c r="BE165" s="13">
        <f>BD165*VLOOKUP('Données projet'!$B$11,Paramètres!$A$1:$I$89,3,0)*VLOOKUP('Données projet'!$B$11,Paramètres!$A$1:$I$89,5,0)</f>
        <v>272.3291999999999</v>
      </c>
      <c r="BF165" s="13">
        <f t="shared" si="167"/>
        <v>65.34333692428207</v>
      </c>
      <c r="BG165" s="20">
        <f t="shared" si="168"/>
        <v>588.11300180979117</v>
      </c>
      <c r="BH165" s="59">
        <f t="shared" si="116"/>
        <v>876.06380360835283</v>
      </c>
      <c r="BI165" s="59">
        <f ca="1">AVERAGE(OFFSET($BH$3,0,0,'Données projet'!$E$11+1,1))-AVERAGE(OFFSET($H$3,0,0,'Données projet'!$E$11+1,1))</f>
        <v>404.24955007425774</v>
      </c>
      <c r="BJ165" s="59">
        <f t="shared" si="146"/>
        <v>211.49137630071019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27.913810216078396</v>
      </c>
      <c r="BQ165" s="21">
        <f>EXP(-LN(2)/25)*BQ164+(1-EXP(-LN(2)/25))/(LN(2)/25)*Calculateur!BL165*Calculateur!BN165*VLOOKUP('Données projet'!$B$11,Paramètres!$A$1:$I$89,3,0)*0.475*44/12</f>
        <v>3.7138967699297023</v>
      </c>
      <c r="BR165" s="21">
        <f>EXP(-LN(2)/2)*BR164+(1-EXP(-LN(2)/2))/(LN(2)/2)*BL165*BO165*VLOOKUP('Données projet'!$B$11,Paramètres!$A$1:$I$89,3,0)*0.475*44/12</f>
        <v>1.1010305068676814E-5</v>
      </c>
      <c r="BS165" s="22">
        <f t="shared" si="169"/>
        <v>31.627717996313169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195.99999999999994</v>
      </c>
      <c r="BZ165" s="13">
        <f>BY165*VLOOKUP('Données projet'!$B$12,Paramètres!$A$1:$I$89,3,0)*VLOOKUP('Données projet'!$B$12,Paramètres!$A$1:$I$89,5,0)</f>
        <v>152.87999999999997</v>
      </c>
      <c r="CA165" s="13">
        <f t="shared" si="170"/>
        <v>39.232349774697852</v>
      </c>
      <c r="CB165" s="20">
        <f t="shared" si="171"/>
        <v>334.59567585759868</v>
      </c>
      <c r="CC165" s="59">
        <f t="shared" si="119"/>
        <v>622.54647765616039</v>
      </c>
      <c r="CD165" s="59">
        <f ca="1">AVERAGE(OFFSET($CC$3,0,0,'Données projet'!$E$12+1,1))-AVERAGE(OFFSET($H$3,0,0,'Données projet'!$E$12+1,1))</f>
        <v>250.01410333089137</v>
      </c>
      <c r="CE165" s="59">
        <f t="shared" si="148"/>
        <v>169.55868564318885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7.0795886260327325</v>
      </c>
      <c r="CL165" s="21">
        <f>EXP(-LN(2)/25)*CL164+(1-EXP(-LN(2)/25))/(LN(2)/25)*Calculateur!CG165*Calculateur!CI165*VLOOKUP('Données projet'!$B$12,Paramètres!$A$1:$I$89,3,0)*0.475*44/12</f>
        <v>1.5451019878964265</v>
      </c>
      <c r="CM165" s="21">
        <f>EXP(-LN(2)/2)*CM164+(1-EXP(-LN(2)/2))/(LN(2)/2)*CG165*CJ165*VLOOKUP('Données projet'!$B$12,Paramètres!$A$1:$I$89,3,0)*0.475*44/12</f>
        <v>2.6074293452702393E-10</v>
      </c>
      <c r="CN165" s="22">
        <f t="shared" si="172"/>
        <v>8.6246906141899018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5.8</v>
      </c>
      <c r="N166" s="13">
        <f>IF('Données projet'!$A$36&gt;35,N165+M166-V165,IF(A166&lt;'Données projet'!$A$36,$K$205^A166,IF(A166='Données projet'!$A$36,'Données projet'!$B$36,N165+M166-V165)))</f>
        <v>349.39999999999992</v>
      </c>
      <c r="O166" s="13">
        <f>N166*VLOOKUP('Données projet'!$B$9,Paramètres!$A$1:$I$89,3,0)*VLOOKUP('Données projet'!$B$9,Paramètres!$A$1:$I$89,5,0)</f>
        <v>316.13711999999992</v>
      </c>
      <c r="P166" s="13">
        <f t="shared" si="141"/>
        <v>74.549039119559438</v>
      </c>
      <c r="Q166" s="20">
        <f t="shared" si="162"/>
        <v>680.44506046656591</v>
      </c>
      <c r="R166" s="59">
        <f t="shared" si="109"/>
        <v>968.48923715371814</v>
      </c>
      <c r="S166" s="59">
        <f ca="1">AVERAGE(OFFSET($R$3,0,0,'Données projet'!$E$9+1,1))-AVERAGE(OFFSET($H$3,0,0,'Données projet'!$E$9+1,1))</f>
        <v>469.5773392354356</v>
      </c>
      <c r="T166" s="59">
        <f t="shared" si="142"/>
        <v>187.25344022835239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50.806823839458872</v>
      </c>
      <c r="AA166" s="21">
        <f>EXP(-LN(2)/25)*AA165+(1-EXP(-LN(2)/25))/(LN(2)/25)*Calculateur!V166*Calculateur!X166*VLOOKUP('Données projet'!$B$9,Paramètres!$A$1:$I$89,3,0)*0.475*44/12</f>
        <v>6.4977644445373448</v>
      </c>
      <c r="AB166" s="21">
        <f>EXP(-LN(2)/2)*AB165+(1-EXP(-LN(2)/2))/(LN(2)/2)*V166*Y166*VLOOKUP('Données projet'!$B$9,Paramètres!$A$1:$I$89,3,0)*0.475*44/12</f>
        <v>0.23098160128789902</v>
      </c>
      <c r="AC166" s="22">
        <f t="shared" si="163"/>
        <v>57.535569885284119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252.99999999999994</v>
      </c>
      <c r="AJ166" s="13">
        <f>AI166*VLOOKUP('Données projet'!$B$10,Paramètres!$A$1:$I$89,3,0)*VLOOKUP('Données projet'!$B$10,Paramètres!$A$1:$I$89,5,0)</f>
        <v>244.70159999999993</v>
      </c>
      <c r="AK166" s="13">
        <f t="shared" si="164"/>
        <v>59.44995761550765</v>
      </c>
      <c r="AL166" s="20">
        <f t="shared" si="165"/>
        <v>529.73062951367569</v>
      </c>
      <c r="AM166" s="59">
        <f t="shared" si="113"/>
        <v>817.77480620082792</v>
      </c>
      <c r="AN166" s="59">
        <f ca="1">AVERAGE(OFFSET($AM$3,0,0,'Données projet'!$E$10+1,1))-AVERAGE(OFFSET($H$3,0,0,'Données projet'!$E$10+1,1))</f>
        <v>370.91255999489181</v>
      </c>
      <c r="AO166" s="59">
        <f t="shared" si="144"/>
        <v>196.07869248605735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24.590132177623463</v>
      </c>
      <c r="AV166" s="21">
        <f>EXP(-LN(2)/25)*AV165+(1-EXP(-LN(2)/25))/(LN(2)/25)*Calculateur!AQ166*Calculateur!AS166*VLOOKUP('Données projet'!$B$10,Paramètres!$A$1:$I$89,3,0)*0.475*44/12</f>
        <v>3.2458707852454953</v>
      </c>
      <c r="AW166" s="21">
        <f>EXP(-LN(2)/2)*AW165+(1-EXP(-LN(2)/2))/(LN(2)/2)*AQ166*AT166*VLOOKUP('Données projet'!$B$10,Paramètres!$A$1:$I$89,3,0)*0.475*44/12</f>
        <v>6.9956319619366319E-6</v>
      </c>
      <c r="AX166" s="21">
        <f t="shared" si="166"/>
        <v>27.836009958500924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252.99999999999994</v>
      </c>
      <c r="BE166" s="13">
        <f>BD166*VLOOKUP('Données projet'!$B$11,Paramètres!$A$1:$I$89,3,0)*VLOOKUP('Données projet'!$B$11,Paramètres!$A$1:$I$89,5,0)</f>
        <v>272.3291999999999</v>
      </c>
      <c r="BF166" s="13">
        <f t="shared" si="167"/>
        <v>65.34333692428207</v>
      </c>
      <c r="BG166" s="20">
        <f t="shared" si="168"/>
        <v>588.11300180979117</v>
      </c>
      <c r="BH166" s="59">
        <f t="shared" si="116"/>
        <v>876.1571784969434</v>
      </c>
      <c r="BI166" s="59">
        <f ca="1">AVERAGE(OFFSET($BH$3,0,0,'Données projet'!$E$11+1,1))-AVERAGE(OFFSET($H$3,0,0,'Données projet'!$E$11+1,1))</f>
        <v>404.24955007425774</v>
      </c>
      <c r="BJ166" s="59">
        <f t="shared" si="146"/>
        <v>211.49137630071019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27.366437423484179</v>
      </c>
      <c r="BQ166" s="21">
        <f>EXP(-LN(2)/25)*BQ165+(1-EXP(-LN(2)/25))/(LN(2)/25)*Calculateur!BL166*Calculateur!BN166*VLOOKUP('Données projet'!$B$11,Paramètres!$A$1:$I$89,3,0)*0.475*44/12</f>
        <v>3.6123400674506319</v>
      </c>
      <c r="BR166" s="21">
        <f>EXP(-LN(2)/2)*BR165+(1-EXP(-LN(2)/2))/(LN(2)/2)*BL166*BO166*VLOOKUP('Données projet'!$B$11,Paramètres!$A$1:$I$89,3,0)*0.475*44/12</f>
        <v>7.7854613769939905E-6</v>
      </c>
      <c r="BS166" s="22">
        <f t="shared" si="169"/>
        <v>30.978785276396188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195.99999999999994</v>
      </c>
      <c r="BZ166" s="13">
        <f>BY166*VLOOKUP('Données projet'!$B$12,Paramètres!$A$1:$I$89,3,0)*VLOOKUP('Données projet'!$B$12,Paramètres!$A$1:$I$89,5,0)</f>
        <v>152.87999999999997</v>
      </c>
      <c r="CA166" s="13">
        <f t="shared" si="170"/>
        <v>39.232349774697852</v>
      </c>
      <c r="CB166" s="20">
        <f t="shared" si="171"/>
        <v>334.59567585759868</v>
      </c>
      <c r="CC166" s="59">
        <f t="shared" si="119"/>
        <v>622.63985254475097</v>
      </c>
      <c r="CD166" s="59">
        <f ca="1">AVERAGE(OFFSET($CC$3,0,0,'Données projet'!$E$12+1,1))-AVERAGE(OFFSET($H$3,0,0,'Données projet'!$E$12+1,1))</f>
        <v>250.01410333089137</v>
      </c>
      <c r="CE166" s="59">
        <f t="shared" si="148"/>
        <v>169.55868564318885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6.9407622111989129</v>
      </c>
      <c r="CL166" s="21">
        <f>EXP(-LN(2)/25)*CL165+(1-EXP(-LN(2)/25))/(LN(2)/25)*Calculateur!CG166*Calculateur!CI166*VLOOKUP('Données projet'!$B$12,Paramètres!$A$1:$I$89,3,0)*0.475*44/12</f>
        <v>1.5028510927840166</v>
      </c>
      <c r="CM166" s="21">
        <f>EXP(-LN(2)/2)*CM165+(1-EXP(-LN(2)/2))/(LN(2)/2)*CG166*CJ166*VLOOKUP('Données projet'!$B$12,Paramètres!$A$1:$I$89,3,0)*0.475*44/12</f>
        <v>1.843730971505386E-10</v>
      </c>
      <c r="CN166" s="22">
        <f t="shared" si="172"/>
        <v>8.443613304167302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5.8</v>
      </c>
      <c r="N167" s="13">
        <f>IF('Données projet'!$A$36&gt;35,N166+M167-V166,IF(A167&lt;'Données projet'!$A$36,$K$205^A167,IF(A167='Données projet'!$A$36,'Données projet'!$B$36,N166+M167-V166)))</f>
        <v>355.19999999999993</v>
      </c>
      <c r="O167" s="13">
        <f>N167*VLOOKUP('Données projet'!$B$9,Paramètres!$A$1:$I$89,3,0)*VLOOKUP('Données projet'!$B$9,Paramètres!$A$1:$I$89,5,0)</f>
        <v>321.38495999999992</v>
      </c>
      <c r="P167" s="13">
        <f t="shared" si="141"/>
        <v>75.641449055408941</v>
      </c>
      <c r="Q167" s="20">
        <f t="shared" si="162"/>
        <v>691.48766243817045</v>
      </c>
      <c r="R167" s="59">
        <f t="shared" si="109"/>
        <v>979.62359416835113</v>
      </c>
      <c r="S167" s="59">
        <f ca="1">AVERAGE(OFFSET($R$3,0,0,'Données projet'!$E$9+1,1))-AVERAGE(OFFSET($H$3,0,0,'Données projet'!$E$9+1,1))</f>
        <v>469.5773392354356</v>
      </c>
      <c r="T167" s="59">
        <f t="shared" si="142"/>
        <v>187.25344022835239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49.810533013069708</v>
      </c>
      <c r="AA167" s="21">
        <f>EXP(-LN(2)/25)*AA166+(1-EXP(-LN(2)/25))/(LN(2)/25)*Calculateur!V167*Calculateur!X167*VLOOKUP('Données projet'!$B$9,Paramètres!$A$1:$I$89,3,0)*0.475*44/12</f>
        <v>6.3200827340988894</v>
      </c>
      <c r="AB167" s="21">
        <f>EXP(-LN(2)/2)*AB166+(1-EXP(-LN(2)/2))/(LN(2)/2)*V167*Y167*VLOOKUP('Données projet'!$B$9,Paramètres!$A$1:$I$89,3,0)*0.475*44/12</f>
        <v>0.16332865660000079</v>
      </c>
      <c r="AC167" s="22">
        <f t="shared" si="163"/>
        <v>56.293944403768599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252.99999999999994</v>
      </c>
      <c r="AJ167" s="13">
        <f>AI167*VLOOKUP('Données projet'!$B$10,Paramètres!$A$1:$I$89,3,0)*VLOOKUP('Données projet'!$B$10,Paramètres!$A$1:$I$89,5,0)</f>
        <v>244.70159999999993</v>
      </c>
      <c r="AK167" s="13">
        <f t="shared" si="164"/>
        <v>59.44995761550765</v>
      </c>
      <c r="AL167" s="20">
        <f t="shared" si="165"/>
        <v>529.73062951367569</v>
      </c>
      <c r="AM167" s="59">
        <f t="shared" si="113"/>
        <v>817.86656124385638</v>
      </c>
      <c r="AN167" s="59">
        <f ca="1">AVERAGE(OFFSET($AM$3,0,0,'Données projet'!$E$10+1,1))-AVERAGE(OFFSET($H$3,0,0,'Données projet'!$E$10+1,1))</f>
        <v>370.91255999489181</v>
      </c>
      <c r="AO167" s="59">
        <f t="shared" si="144"/>
        <v>196.07869248605735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24.107934684119918</v>
      </c>
      <c r="AV167" s="21">
        <f>EXP(-LN(2)/25)*AV166+(1-EXP(-LN(2)/25))/(LN(2)/25)*Calculateur!AQ167*Calculateur!AS167*VLOOKUP('Données projet'!$B$10,Paramètres!$A$1:$I$89,3,0)*0.475*44/12</f>
        <v>3.1571122779300311</v>
      </c>
      <c r="AW167" s="21">
        <f>EXP(-LN(2)/2)*AW166+(1-EXP(-LN(2)/2))/(LN(2)/2)*AQ167*AT167*VLOOKUP('Données projet'!$B$10,Paramètres!$A$1:$I$89,3,0)*0.475*44/12</f>
        <v>4.9466587989707441E-6</v>
      </c>
      <c r="AX167" s="21">
        <f t="shared" si="166"/>
        <v>27.265051908708749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252.99999999999994</v>
      </c>
      <c r="BE167" s="13">
        <f>BD167*VLOOKUP('Données projet'!$B$11,Paramètres!$A$1:$I$89,3,0)*VLOOKUP('Données projet'!$B$11,Paramètres!$A$1:$I$89,5,0)</f>
        <v>272.3291999999999</v>
      </c>
      <c r="BF167" s="13">
        <f t="shared" si="167"/>
        <v>65.34333692428207</v>
      </c>
      <c r="BG167" s="20">
        <f t="shared" si="168"/>
        <v>588.11300180979117</v>
      </c>
      <c r="BH167" s="59">
        <f t="shared" si="116"/>
        <v>876.24893353997186</v>
      </c>
      <c r="BI167" s="59">
        <f ca="1">AVERAGE(OFFSET($BH$3,0,0,'Données projet'!$E$11+1,1))-AVERAGE(OFFSET($H$3,0,0,'Données projet'!$E$11+1,1))</f>
        <v>404.24955007425774</v>
      </c>
      <c r="BJ167" s="59">
        <f t="shared" si="146"/>
        <v>211.49137630071019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26.829798277488297</v>
      </c>
      <c r="BQ167" s="21">
        <f>EXP(-LN(2)/25)*BQ166+(1-EXP(-LN(2)/25))/(LN(2)/25)*Calculateur!BL167*Calculateur!BN167*VLOOKUP('Données projet'!$B$11,Paramètres!$A$1:$I$89,3,0)*0.475*44/12</f>
        <v>3.5135604383414862</v>
      </c>
      <c r="BR167" s="21">
        <f>EXP(-LN(2)/2)*BR166+(1-EXP(-LN(2)/2))/(LN(2)/2)*BL167*BO167*VLOOKUP('Données projet'!$B$11,Paramètres!$A$1:$I$89,3,0)*0.475*44/12</f>
        <v>5.5051525343384068E-6</v>
      </c>
      <c r="BS167" s="22">
        <f t="shared" si="169"/>
        <v>30.343364220982316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195.99999999999994</v>
      </c>
      <c r="BZ167" s="13">
        <f>BY167*VLOOKUP('Données projet'!$B$12,Paramètres!$A$1:$I$89,3,0)*VLOOKUP('Données projet'!$B$12,Paramètres!$A$1:$I$89,5,0)</f>
        <v>152.87999999999997</v>
      </c>
      <c r="CA167" s="13">
        <f t="shared" si="170"/>
        <v>39.232349774697852</v>
      </c>
      <c r="CB167" s="20">
        <f t="shared" si="171"/>
        <v>334.59567585759868</v>
      </c>
      <c r="CC167" s="59">
        <f t="shared" si="119"/>
        <v>622.73160758777931</v>
      </c>
      <c r="CD167" s="59">
        <f ca="1">AVERAGE(OFFSET($CC$3,0,0,'Données projet'!$E$12+1,1))-AVERAGE(OFFSET($H$3,0,0,'Données projet'!$E$12+1,1))</f>
        <v>250.01410333089137</v>
      </c>
      <c r="CE167" s="59">
        <f t="shared" si="148"/>
        <v>169.55868564318885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6.804658097684233</v>
      </c>
      <c r="CL167" s="21">
        <f>EXP(-LN(2)/25)*CL166+(1-EXP(-LN(2)/25))/(LN(2)/25)*Calculateur!CG167*Calculateur!CI167*VLOOKUP('Données projet'!$B$12,Paramètres!$A$1:$I$89,3,0)*0.475*44/12</f>
        <v>1.4617555506203335</v>
      </c>
      <c r="CM167" s="21">
        <f>EXP(-LN(2)/2)*CM166+(1-EXP(-LN(2)/2))/(LN(2)/2)*CG167*CJ167*VLOOKUP('Données projet'!$B$12,Paramètres!$A$1:$I$89,3,0)*0.475*44/12</f>
        <v>1.3037146726351197E-10</v>
      </c>
      <c r="CN167" s="22">
        <f t="shared" si="172"/>
        <v>8.2664136484349395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>
        <f>VLOOKUP(A168,'Données projet'!$A$35:$I$55,2,0)</f>
        <v>361</v>
      </c>
      <c r="L168" s="12">
        <f>VLOOKUP(A168,'Données projet'!$A$35:$I$55,9,0)</f>
        <v>5.8</v>
      </c>
      <c r="M168" s="12">
        <f t="array" ref="M168">INDEX(L:L,MIN(IF(ISNUMBER(L168:L364),ROW(L168:L364),"")))</f>
        <v>5.8</v>
      </c>
      <c r="N168" s="13">
        <f>IF('Données projet'!$A$36&gt;35,N167+M168-V167,IF(A168&lt;'Données projet'!$A$36,$K$205^A168,IF(A168='Données projet'!$A$36,'Données projet'!$B$36,N167+M168-V167)))</f>
        <v>360.99999999999994</v>
      </c>
      <c r="O168" s="13">
        <f>N168*VLOOKUP('Données projet'!$B$9,Paramètres!$A$1:$I$89,3,0)*VLOOKUP('Données projet'!$B$9,Paramètres!$A$1:$I$89,5,0)</f>
        <v>326.63279999999992</v>
      </c>
      <c r="P168" s="13">
        <f t="shared" si="141"/>
        <v>76.731784548754774</v>
      </c>
      <c r="Q168" s="20">
        <f t="shared" si="162"/>
        <v>702.52665142241449</v>
      </c>
      <c r="R168" s="59">
        <f t="shared" si="109"/>
        <v>990.7527464507607</v>
      </c>
      <c r="S168" s="59">
        <f ca="1">AVERAGE(OFFSET($R$3,0,0,'Données projet'!$E$9+1,1))-AVERAGE(OFFSET($H$3,0,0,'Données projet'!$E$9+1,1))</f>
        <v>469.5773392354356</v>
      </c>
      <c r="T168" s="59">
        <f t="shared" si="142"/>
        <v>187.25344022835239</v>
      </c>
      <c r="U168" s="15">
        <f>IF(ISNA(VLOOKUP(A168,'Données projet'!$A$35:$I$55,3,0)),0,VLOOKUP(A168,'Données projet'!$A$35:$I$55,3,0))</f>
        <v>17</v>
      </c>
      <c r="V168" s="15">
        <f>IF(ISNA(VLOOKUP(A168,'Données projet'!$A$35:$I$55,4,0)),0,VLOOKUP(A168,'Données projet'!$A$35:$I$55,4,0))</f>
        <v>39</v>
      </c>
      <c r="W168" s="16">
        <f>IF(ISNA(VLOOKUP(A168,'Données projet'!$A$35:$I$55,5,0)),0%,VLOOKUP(A168,'Données projet'!$A$35:$I$55,5,0)*VLOOKUP('Données projet'!$B$9,Paramètres!$A$1:$I$89,7,0))</f>
        <v>0.34400000000000003</v>
      </c>
      <c r="X168" s="16">
        <f>IF(ISNA(VLOOKUP(A168,'Données projet'!$A$35:$I$55,6,0)),0%,VLOOKUP(A168,'Données projet'!$A$35:$I$55,6,0)*VLOOKUP('Données projet'!$B$9,Paramètres!$A$1:$I$89,7,0))</f>
        <v>4.3000000000000003E-2</v>
      </c>
      <c r="Y168" s="16">
        <f>IF(ISNA(VLOOKUP(A168,'Données projet'!$A$35:$I$55,7,0)),0%,VLOOKUP(A168,'Données projet'!$A$35:$I$55,7,0))</f>
        <v>0.1</v>
      </c>
      <c r="Z168" s="21">
        <f>EXP(-LN(2)/35)*Z167+(1-EXP(-LN(2)/35))/(LN(2)/35)*V168*W168*VLOOKUP('Données projet'!$B$9,Paramètres!$A$1:$I$89,3,0)*0.475*44/12</f>
        <v>62.252859147677995</v>
      </c>
      <c r="AA168" s="21">
        <f>EXP(-LN(2)/25)*AA167+(1-EXP(-LN(2)/25))/(LN(2)/25)*Calculateur!V168*Calculateur!X168*VLOOKUP('Données projet'!$B$9,Paramètres!$A$1:$I$89,3,0)*0.475*44/12</f>
        <v>7.8180402735432342</v>
      </c>
      <c r="AB168" s="21">
        <f>EXP(-LN(2)/2)*AB167+(1-EXP(-LN(2)/2))/(LN(2)/2)*V168*Y168*VLOOKUP('Données projet'!$B$9,Paramètres!$A$1:$I$89,3,0)*0.475*44/12</f>
        <v>3.444933094750275</v>
      </c>
      <c r="AC168" s="22">
        <f t="shared" si="163"/>
        <v>73.515832515971496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252.99999999999994</v>
      </c>
      <c r="AJ168" s="13">
        <f>AI168*VLOOKUP('Données projet'!$B$10,Paramètres!$A$1:$I$89,3,0)*VLOOKUP('Données projet'!$B$10,Paramètres!$A$1:$I$89,5,0)</f>
        <v>244.70159999999993</v>
      </c>
      <c r="AK168" s="13">
        <f t="shared" si="164"/>
        <v>59.44995761550765</v>
      </c>
      <c r="AL168" s="20">
        <f t="shared" si="165"/>
        <v>529.73062951367569</v>
      </c>
      <c r="AM168" s="59">
        <f t="shared" si="113"/>
        <v>817.9567245420219</v>
      </c>
      <c r="AN168" s="59">
        <f ca="1">AVERAGE(OFFSET($AM$3,0,0,'Données projet'!$E$10+1,1))-AVERAGE(OFFSET($H$3,0,0,'Données projet'!$E$10+1,1))</f>
        <v>370.91255999489181</v>
      </c>
      <c r="AO168" s="59">
        <f t="shared" si="144"/>
        <v>196.07869248605735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23.635192789352548</v>
      </c>
      <c r="AV168" s="21">
        <f>EXP(-LN(2)/25)*AV167+(1-EXP(-LN(2)/25))/(LN(2)/25)*Calculateur!AQ168*Calculateur!AS168*VLOOKUP('Données projet'!$B$10,Paramètres!$A$1:$I$89,3,0)*0.475*44/12</f>
        <v>3.0707808766647156</v>
      </c>
      <c r="AW168" s="21">
        <f>EXP(-LN(2)/2)*AW167+(1-EXP(-LN(2)/2))/(LN(2)/2)*AQ168*AT168*VLOOKUP('Données projet'!$B$10,Paramètres!$A$1:$I$89,3,0)*0.475*44/12</f>
        <v>3.4978159809683159E-6</v>
      </c>
      <c r="AX168" s="21">
        <f t="shared" si="166"/>
        <v>26.705977163833246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252.99999999999994</v>
      </c>
      <c r="BE168" s="13">
        <f>BD168*VLOOKUP('Données projet'!$B$11,Paramètres!$A$1:$I$89,3,0)*VLOOKUP('Données projet'!$B$11,Paramètres!$A$1:$I$89,5,0)</f>
        <v>272.3291999999999</v>
      </c>
      <c r="BF168" s="13">
        <f t="shared" si="167"/>
        <v>65.34333692428207</v>
      </c>
      <c r="BG168" s="20">
        <f t="shared" si="168"/>
        <v>588.11300180979117</v>
      </c>
      <c r="BH168" s="59">
        <f t="shared" si="116"/>
        <v>876.33909683813727</v>
      </c>
      <c r="BI168" s="59">
        <f ca="1">AVERAGE(OFFSET($BH$3,0,0,'Données projet'!$E$11+1,1))-AVERAGE(OFFSET($H$3,0,0,'Données projet'!$E$11+1,1))</f>
        <v>404.24955007425774</v>
      </c>
      <c r="BJ168" s="59">
        <f t="shared" si="146"/>
        <v>211.49137630071019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26.303682297827834</v>
      </c>
      <c r="BQ168" s="21">
        <f>EXP(-LN(2)/25)*BQ167+(1-EXP(-LN(2)/25))/(LN(2)/25)*Calculateur!BL168*Calculateur!BN168*VLOOKUP('Données projet'!$B$11,Paramètres!$A$1:$I$89,3,0)*0.475*44/12</f>
        <v>3.4174819433849253</v>
      </c>
      <c r="BR168" s="21">
        <f>EXP(-LN(2)/2)*BR167+(1-EXP(-LN(2)/2))/(LN(2)/2)*BL168*BO168*VLOOKUP('Données projet'!$B$11,Paramètres!$A$1:$I$89,3,0)*0.475*44/12</f>
        <v>3.8927306884969953E-6</v>
      </c>
      <c r="BS168" s="22">
        <f t="shared" si="169"/>
        <v>29.721168133943447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195.99999999999994</v>
      </c>
      <c r="BZ168" s="13">
        <f>BY168*VLOOKUP('Données projet'!$B$12,Paramètres!$A$1:$I$89,3,0)*VLOOKUP('Données projet'!$B$12,Paramètres!$A$1:$I$89,5,0)</f>
        <v>152.87999999999997</v>
      </c>
      <c r="CA168" s="13">
        <f t="shared" si="170"/>
        <v>39.232349774697852</v>
      </c>
      <c r="CB168" s="20">
        <f t="shared" si="171"/>
        <v>334.59567585759868</v>
      </c>
      <c r="CC168" s="59">
        <f t="shared" si="119"/>
        <v>622.82177088594483</v>
      </c>
      <c r="CD168" s="59">
        <f ca="1">AVERAGE(OFFSET($CC$3,0,0,'Données projet'!$E$12+1,1))-AVERAGE(OFFSET($H$3,0,0,'Données projet'!$E$12+1,1))</f>
        <v>250.01410333089137</v>
      </c>
      <c r="CE168" s="59">
        <f t="shared" si="148"/>
        <v>169.55868564318885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6.6712229028202641</v>
      </c>
      <c r="CL168" s="21">
        <f>EXP(-LN(2)/25)*CL167+(1-EXP(-LN(2)/25))/(LN(2)/25)*Calculateur!CG168*Calculateur!CI168*VLOOKUP('Données projet'!$B$12,Paramètres!$A$1:$I$89,3,0)*0.475*44/12</f>
        <v>1.4217837682182368</v>
      </c>
      <c r="CM168" s="21">
        <f>EXP(-LN(2)/2)*CM167+(1-EXP(-LN(2)/2))/(LN(2)/2)*CG168*CJ168*VLOOKUP('Données projet'!$B$12,Paramètres!$A$1:$I$89,3,0)*0.475*44/12</f>
        <v>9.2186548575269301E-11</v>
      </c>
      <c r="CN168" s="22">
        <f t="shared" si="172"/>
        <v>8.0930066711306861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6.0666666666666664</v>
      </c>
      <c r="N169" s="13">
        <f>IF('Données projet'!$A$36&gt;35,N168+M169-V168,IF(A169&lt;'Données projet'!$A$36,$K$205^A169,IF(A169='Données projet'!$A$36,'Données projet'!$B$36,N168+M169-V168)))</f>
        <v>328.06666666666661</v>
      </c>
      <c r="O169" s="13">
        <f>N169*VLOOKUP('Données projet'!$B$9,Paramètres!$A$1:$I$89,3,0)*VLOOKUP('Données projet'!$B$9,Paramètres!$A$1:$I$89,5,0)</f>
        <v>296.83471999999995</v>
      </c>
      <c r="P169" s="13">
        <f t="shared" si="141"/>
        <v>70.51249012793501</v>
      </c>
      <c r="Q169" s="20">
        <f t="shared" si="162"/>
        <v>639.79639097281995</v>
      </c>
      <c r="R169" s="59">
        <f t="shared" si="109"/>
        <v>928.11108516768331</v>
      </c>
      <c r="S169" s="59">
        <f ca="1">AVERAGE(OFFSET($R$3,0,0,'Données projet'!$E$9+1,1))-AVERAGE(OFFSET($H$3,0,0,'Données projet'!$E$9+1,1))</f>
        <v>469.5773392354356</v>
      </c>
      <c r="T169" s="59">
        <f t="shared" si="142"/>
        <v>187.25344022835239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61.032118550286832</v>
      </c>
      <c r="AA169" s="21">
        <f>EXP(-LN(2)/25)*AA168+(1-EXP(-LN(2)/25))/(LN(2)/25)*Calculateur!V169*Calculateur!X169*VLOOKUP('Données projet'!$B$9,Paramètres!$A$1:$I$89,3,0)*0.475*44/12</f>
        <v>7.6042555511303247</v>
      </c>
      <c r="AB169" s="21">
        <f>EXP(-LN(2)/2)*AB168+(1-EXP(-LN(2)/2))/(LN(2)/2)*V169*Y169*VLOOKUP('Données projet'!$B$9,Paramètres!$A$1:$I$89,3,0)*0.475*44/12</f>
        <v>2.4359355520318791</v>
      </c>
      <c r="AC169" s="22">
        <f t="shared" si="163"/>
        <v>71.07230965344904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252.99999999999994</v>
      </c>
      <c r="AJ169" s="13">
        <f>AI169*VLOOKUP('Données projet'!$B$10,Paramètres!$A$1:$I$89,3,0)*VLOOKUP('Données projet'!$B$10,Paramètres!$A$1:$I$89,5,0)</f>
        <v>244.70159999999993</v>
      </c>
      <c r="AK169" s="13">
        <f t="shared" si="164"/>
        <v>59.44995761550765</v>
      </c>
      <c r="AL169" s="20">
        <f t="shared" si="165"/>
        <v>529.73062951367569</v>
      </c>
      <c r="AM169" s="59">
        <f t="shared" si="113"/>
        <v>818.04532370853917</v>
      </c>
      <c r="AN169" s="59">
        <f ca="1">AVERAGE(OFFSET($AM$3,0,0,'Données projet'!$E$10+1,1))-AVERAGE(OFFSET($H$3,0,0,'Données projet'!$E$10+1,1))</f>
        <v>370.91255999489181</v>
      </c>
      <c r="AO169" s="59">
        <f t="shared" si="144"/>
        <v>196.07869248605735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23.171721074797478</v>
      </c>
      <c r="AV169" s="21">
        <f>EXP(-LN(2)/25)*AV168+(1-EXP(-LN(2)/25))/(LN(2)/25)*Calculateur!AQ169*Calculateur!AS169*VLOOKUP('Données projet'!$B$10,Paramètres!$A$1:$I$89,3,0)*0.475*44/12</f>
        <v>2.9868102121069708</v>
      </c>
      <c r="AW169" s="21">
        <f>EXP(-LN(2)/2)*AW168+(1-EXP(-LN(2)/2))/(LN(2)/2)*AQ169*AT169*VLOOKUP('Données projet'!$B$10,Paramètres!$A$1:$I$89,3,0)*0.475*44/12</f>
        <v>2.473329399485372E-6</v>
      </c>
      <c r="AX169" s="21">
        <f t="shared" si="166"/>
        <v>26.158533760233848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252.99999999999994</v>
      </c>
      <c r="BE169" s="13">
        <f>BD169*VLOOKUP('Données projet'!$B$11,Paramètres!$A$1:$I$89,3,0)*VLOOKUP('Données projet'!$B$11,Paramètres!$A$1:$I$89,5,0)</f>
        <v>272.3291999999999</v>
      </c>
      <c r="BF169" s="13">
        <f t="shared" si="167"/>
        <v>65.34333692428207</v>
      </c>
      <c r="BG169" s="20">
        <f t="shared" si="168"/>
        <v>588.11300180979117</v>
      </c>
      <c r="BH169" s="59">
        <f t="shared" si="116"/>
        <v>876.42769600465454</v>
      </c>
      <c r="BI169" s="59">
        <f ca="1">AVERAGE(OFFSET($BH$3,0,0,'Données projet'!$E$11+1,1))-AVERAGE(OFFSET($H$3,0,0,'Données projet'!$E$11+1,1))</f>
        <v>404.24955007425774</v>
      </c>
      <c r="BJ169" s="59">
        <f t="shared" si="146"/>
        <v>211.49137630071019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25.787883131629453</v>
      </c>
      <c r="BQ169" s="21">
        <f>EXP(-LN(2)/25)*BQ168+(1-EXP(-LN(2)/25))/(LN(2)/25)*Calculateur!BL169*Calculateur!BN169*VLOOKUP('Données projet'!$B$11,Paramètres!$A$1:$I$89,3,0)*0.475*44/12</f>
        <v>3.3240307199254997</v>
      </c>
      <c r="BR169" s="21">
        <f>EXP(-LN(2)/2)*BR168+(1-EXP(-LN(2)/2))/(LN(2)/2)*BL169*BO169*VLOOKUP('Données projet'!$B$11,Paramètres!$A$1:$I$89,3,0)*0.475*44/12</f>
        <v>2.7525762671692034E-6</v>
      </c>
      <c r="BS169" s="22">
        <f t="shared" si="169"/>
        <v>29.111916604131221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195.99999999999994</v>
      </c>
      <c r="BZ169" s="13">
        <f>BY169*VLOOKUP('Données projet'!$B$12,Paramètres!$A$1:$I$89,3,0)*VLOOKUP('Données projet'!$B$12,Paramètres!$A$1:$I$89,5,0)</f>
        <v>152.87999999999997</v>
      </c>
      <c r="CA169" s="13">
        <f t="shared" si="170"/>
        <v>39.232349774697852</v>
      </c>
      <c r="CB169" s="20">
        <f t="shared" si="171"/>
        <v>334.59567585759868</v>
      </c>
      <c r="CC169" s="59">
        <f t="shared" si="119"/>
        <v>622.9103700524621</v>
      </c>
      <c r="CD169" s="59">
        <f ca="1">AVERAGE(OFFSET($CC$3,0,0,'Données projet'!$E$12+1,1))-AVERAGE(OFFSET($H$3,0,0,'Données projet'!$E$12+1,1))</f>
        <v>250.01410333089137</v>
      </c>
      <c r="CE169" s="59">
        <f t="shared" si="148"/>
        <v>169.55868564318885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6.5404042907401445</v>
      </c>
      <c r="CL169" s="21">
        <f>EXP(-LN(2)/25)*CL168+(1-EXP(-LN(2)/25))/(LN(2)/25)*Calculateur!CG169*Calculateur!CI169*VLOOKUP('Données projet'!$B$12,Paramètres!$A$1:$I$89,3,0)*0.475*44/12</f>
        <v>1.3829050163079504</v>
      </c>
      <c r="CM169" s="21">
        <f>EXP(-LN(2)/2)*CM168+(1-EXP(-LN(2)/2))/(LN(2)/2)*CG169*CJ169*VLOOKUP('Données projet'!$B$12,Paramètres!$A$1:$I$89,3,0)*0.475*44/12</f>
        <v>6.5185733631755983E-11</v>
      </c>
      <c r="CN169" s="22">
        <f t="shared" si="172"/>
        <v>7.9233093071132812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6.0666666666666664</v>
      </c>
      <c r="N170" s="13">
        <f>IF('Données projet'!$A$36&gt;35,N169+M170-V169,IF(A170&lt;'Données projet'!$A$36,$K$205^A170,IF(A170='Données projet'!$A$36,'Données projet'!$B$36,N169+M170-V169)))</f>
        <v>334.13333333333327</v>
      </c>
      <c r="O170" s="13">
        <f>N170*VLOOKUP('Données projet'!$B$9,Paramètres!$A$1:$I$89,3,0)*VLOOKUP('Données projet'!$B$9,Paramètres!$A$1:$I$89,5,0)</f>
        <v>302.32383999999996</v>
      </c>
      <c r="P170" s="13">
        <f t="shared" si="141"/>
        <v>71.663410603231412</v>
      </c>
      <c r="Q170" s="20">
        <f t="shared" si="162"/>
        <v>651.3611281339613</v>
      </c>
      <c r="R170" s="59">
        <f t="shared" si="109"/>
        <v>939.76288449788092</v>
      </c>
      <c r="S170" s="59">
        <f ca="1">AVERAGE(OFFSET($R$3,0,0,'Données projet'!$E$9+1,1))-AVERAGE(OFFSET($H$3,0,0,'Données projet'!$E$9+1,1))</f>
        <v>469.5773392354356</v>
      </c>
      <c r="T170" s="59">
        <f t="shared" si="142"/>
        <v>187.25344022835239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59.83531593143227</v>
      </c>
      <c r="AA170" s="21">
        <f>EXP(-LN(2)/25)*AA169+(1-EXP(-LN(2)/25))/(LN(2)/25)*Calculateur!V170*Calculateur!X170*VLOOKUP('Données projet'!$B$9,Paramètres!$A$1:$I$89,3,0)*0.475*44/12</f>
        <v>7.396316783194246</v>
      </c>
      <c r="AB170" s="21">
        <f>EXP(-LN(2)/2)*AB169+(1-EXP(-LN(2)/2))/(LN(2)/2)*V170*Y170*VLOOKUP('Données projet'!$B$9,Paramètres!$A$1:$I$89,3,0)*0.475*44/12</f>
        <v>1.7224665473751379</v>
      </c>
      <c r="AC170" s="22">
        <f t="shared" si="163"/>
        <v>68.954099262001648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252.99999999999994</v>
      </c>
      <c r="AJ170" s="13">
        <f>AI170*VLOOKUP('Données projet'!$B$10,Paramètres!$A$1:$I$89,3,0)*VLOOKUP('Données projet'!$B$10,Paramètres!$A$1:$I$89,5,0)</f>
        <v>244.70159999999993</v>
      </c>
      <c r="AK170" s="13">
        <f t="shared" si="164"/>
        <v>59.44995761550765</v>
      </c>
      <c r="AL170" s="20">
        <f t="shared" si="165"/>
        <v>529.73062951367569</v>
      </c>
      <c r="AM170" s="59">
        <f t="shared" si="113"/>
        <v>818.13238587759531</v>
      </c>
      <c r="AN170" s="59">
        <f ca="1">AVERAGE(OFFSET($AM$3,0,0,'Données projet'!$E$10+1,1))-AVERAGE(OFFSET($H$3,0,0,'Données projet'!$E$10+1,1))</f>
        <v>370.91255999489181</v>
      </c>
      <c r="AO170" s="59">
        <f t="shared" si="144"/>
        <v>196.07869248605735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22.717337757875004</v>
      </c>
      <c r="AV170" s="21">
        <f>EXP(-LN(2)/25)*AV169+(1-EXP(-LN(2)/25))/(LN(2)/25)*Calculateur!AQ170*Calculateur!AS170*VLOOKUP('Données projet'!$B$10,Paramètres!$A$1:$I$89,3,0)*0.475*44/12</f>
        <v>2.905135729787383</v>
      </c>
      <c r="AW170" s="21">
        <f>EXP(-LN(2)/2)*AW169+(1-EXP(-LN(2)/2))/(LN(2)/2)*AQ170*AT170*VLOOKUP('Données projet'!$B$10,Paramètres!$A$1:$I$89,3,0)*0.475*44/12</f>
        <v>1.748907990484158E-6</v>
      </c>
      <c r="AX170" s="21">
        <f t="shared" si="166"/>
        <v>25.622475236570377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252.99999999999994</v>
      </c>
      <c r="BE170" s="13">
        <f>BD170*VLOOKUP('Données projet'!$B$11,Paramètres!$A$1:$I$89,3,0)*VLOOKUP('Données projet'!$B$11,Paramètres!$A$1:$I$89,5,0)</f>
        <v>272.3291999999999</v>
      </c>
      <c r="BF170" s="13">
        <f t="shared" si="167"/>
        <v>65.34333692428207</v>
      </c>
      <c r="BG170" s="20">
        <f t="shared" si="168"/>
        <v>588.11300180979117</v>
      </c>
      <c r="BH170" s="59">
        <f t="shared" si="116"/>
        <v>876.51475817371079</v>
      </c>
      <c r="BI170" s="59">
        <f ca="1">AVERAGE(OFFSET($BH$3,0,0,'Données projet'!$E$11+1,1))-AVERAGE(OFFSET($H$3,0,0,'Données projet'!$E$11+1,1))</f>
        <v>404.24955007425774</v>
      </c>
      <c r="BJ170" s="59">
        <f t="shared" si="146"/>
        <v>211.49137630071019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25.282198472473794</v>
      </c>
      <c r="BQ170" s="21">
        <f>EXP(-LN(2)/25)*BQ169+(1-EXP(-LN(2)/25))/(LN(2)/25)*Calculateur!BL170*Calculateur!BN170*VLOOKUP('Données projet'!$B$11,Paramètres!$A$1:$I$89,3,0)*0.475*44/12</f>
        <v>3.2331349250859587</v>
      </c>
      <c r="BR170" s="21">
        <f>EXP(-LN(2)/2)*BR169+(1-EXP(-LN(2)/2))/(LN(2)/2)*BL170*BO170*VLOOKUP('Données projet'!$B$11,Paramètres!$A$1:$I$89,3,0)*0.475*44/12</f>
        <v>1.9463653442484976E-6</v>
      </c>
      <c r="BS170" s="22">
        <f t="shared" si="169"/>
        <v>28.515335343925098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195.99999999999994</v>
      </c>
      <c r="BZ170" s="13">
        <f>BY170*VLOOKUP('Données projet'!$B$12,Paramètres!$A$1:$I$89,3,0)*VLOOKUP('Données projet'!$B$12,Paramètres!$A$1:$I$89,5,0)</f>
        <v>152.87999999999997</v>
      </c>
      <c r="CA170" s="13">
        <f t="shared" si="170"/>
        <v>39.232349774697852</v>
      </c>
      <c r="CB170" s="20">
        <f t="shared" si="171"/>
        <v>334.59567585759868</v>
      </c>
      <c r="CC170" s="59">
        <f t="shared" si="119"/>
        <v>622.99743222151824</v>
      </c>
      <c r="CD170" s="59">
        <f ca="1">AVERAGE(OFFSET($CC$3,0,0,'Données projet'!$E$12+1,1))-AVERAGE(OFFSET($H$3,0,0,'Données projet'!$E$12+1,1))</f>
        <v>250.01410333089137</v>
      </c>
      <c r="CE170" s="59">
        <f t="shared" si="148"/>
        <v>169.55868564318885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6.4121509518514417</v>
      </c>
      <c r="CL170" s="21">
        <f>EXP(-LN(2)/25)*CL169+(1-EXP(-LN(2)/25))/(LN(2)/25)*Calculateur!CG170*Calculateur!CI170*VLOOKUP('Données projet'!$B$12,Paramètres!$A$1:$I$89,3,0)*0.475*44/12</f>
        <v>1.3450894059131953</v>
      </c>
      <c r="CM170" s="21">
        <f>EXP(-LN(2)/2)*CM169+(1-EXP(-LN(2)/2))/(LN(2)/2)*CG170*CJ170*VLOOKUP('Données projet'!$B$12,Paramètres!$A$1:$I$89,3,0)*0.475*44/12</f>
        <v>4.6093274287634651E-11</v>
      </c>
      <c r="CN170" s="22">
        <f t="shared" si="172"/>
        <v>7.7572403578107298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6.0666666666666664</v>
      </c>
      <c r="N171" s="13">
        <f>IF('Données projet'!$A$36&gt;35,N170+M171-V170,IF(A171&lt;'Données projet'!$A$36,$K$205^A171,IF(A171='Données projet'!$A$36,'Données projet'!$B$36,N170+M171-V170)))</f>
        <v>340.19999999999993</v>
      </c>
      <c r="O171" s="13">
        <f>N171*VLOOKUP('Données projet'!$B$9,Paramètres!$A$1:$I$89,3,0)*VLOOKUP('Données projet'!$B$9,Paramètres!$A$1:$I$89,5,0)</f>
        <v>307.81295999999992</v>
      </c>
      <c r="P171" s="13">
        <f t="shared" si="141"/>
        <v>72.811901141533625</v>
      </c>
      <c r="Q171" s="20">
        <f t="shared" si="162"/>
        <v>662.92163315483765</v>
      </c>
      <c r="R171" s="59">
        <f t="shared" si="109"/>
        <v>951.40894135382223</v>
      </c>
      <c r="S171" s="59">
        <f ca="1">AVERAGE(OFFSET($R$3,0,0,'Données projet'!$E$9+1,1))-AVERAGE(OFFSET($H$3,0,0,'Données projet'!$E$9+1,1))</f>
        <v>469.5773392354356</v>
      </c>
      <c r="T171" s="59">
        <f t="shared" si="142"/>
        <v>187.25344022835239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58.661981881955924</v>
      </c>
      <c r="AA171" s="21">
        <f>EXP(-LN(2)/25)*AA170+(1-EXP(-LN(2)/25))/(LN(2)/25)*Calculateur!V171*Calculateur!X171*VLOOKUP('Données projet'!$B$9,Paramètres!$A$1:$I$89,3,0)*0.475*44/12</f>
        <v>7.1940641118024047</v>
      </c>
      <c r="AB171" s="21">
        <f>EXP(-LN(2)/2)*AB170+(1-EXP(-LN(2)/2))/(LN(2)/2)*V171*Y171*VLOOKUP('Données projet'!$B$9,Paramètres!$A$1:$I$89,3,0)*0.475*44/12</f>
        <v>1.2179677760159398</v>
      </c>
      <c r="AC171" s="22">
        <f t="shared" si="163"/>
        <v>67.074013769774268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252.99999999999994</v>
      </c>
      <c r="AJ171" s="13">
        <f>AI171*VLOOKUP('Données projet'!$B$10,Paramètres!$A$1:$I$89,3,0)*VLOOKUP('Données projet'!$B$10,Paramètres!$A$1:$I$89,5,0)</f>
        <v>244.70159999999993</v>
      </c>
      <c r="AK171" s="13">
        <f t="shared" si="164"/>
        <v>59.44995761550765</v>
      </c>
      <c r="AL171" s="20">
        <f t="shared" si="165"/>
        <v>529.73062951367569</v>
      </c>
      <c r="AM171" s="59">
        <f t="shared" si="113"/>
        <v>818.21793771266016</v>
      </c>
      <c r="AN171" s="59">
        <f ca="1">AVERAGE(OFFSET($AM$3,0,0,'Données projet'!$E$10+1,1))-AVERAGE(OFFSET($H$3,0,0,'Données projet'!$E$10+1,1))</f>
        <v>370.91255999489181</v>
      </c>
      <c r="AO171" s="59">
        <f t="shared" si="144"/>
        <v>196.07869248605735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22.27186462065092</v>
      </c>
      <c r="AV171" s="21">
        <f>EXP(-LN(2)/25)*AV170+(1-EXP(-LN(2)/25))/(LN(2)/25)*Calculateur!AQ171*Calculateur!AS171*VLOOKUP('Données projet'!$B$10,Paramètres!$A$1:$I$89,3,0)*0.475*44/12</f>
        <v>2.8256946404818986</v>
      </c>
      <c r="AW171" s="21">
        <f>EXP(-LN(2)/2)*AW170+(1-EXP(-LN(2)/2))/(LN(2)/2)*AQ171*AT171*VLOOKUP('Données projet'!$B$10,Paramètres!$A$1:$I$89,3,0)*0.475*44/12</f>
        <v>1.236664699742686E-6</v>
      </c>
      <c r="AX171" s="21">
        <f t="shared" si="166"/>
        <v>25.09756049779752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252.99999999999994</v>
      </c>
      <c r="BE171" s="13">
        <f>BD171*VLOOKUP('Données projet'!$B$11,Paramètres!$A$1:$I$89,3,0)*VLOOKUP('Données projet'!$B$11,Paramètres!$A$1:$I$89,5,0)</f>
        <v>272.3291999999999</v>
      </c>
      <c r="BF171" s="13">
        <f t="shared" si="167"/>
        <v>65.34333692428207</v>
      </c>
      <c r="BG171" s="20">
        <f t="shared" si="168"/>
        <v>588.11300180979117</v>
      </c>
      <c r="BH171" s="59">
        <f t="shared" si="116"/>
        <v>876.60031000877575</v>
      </c>
      <c r="BI171" s="59">
        <f ca="1">AVERAGE(OFFSET($BH$3,0,0,'Données projet'!$E$11+1,1))-AVERAGE(OFFSET($H$3,0,0,'Données projet'!$E$11+1,1))</f>
        <v>404.24955007425774</v>
      </c>
      <c r="BJ171" s="59">
        <f t="shared" si="146"/>
        <v>211.49137630071019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24.786429981046993</v>
      </c>
      <c r="BQ171" s="21">
        <f>EXP(-LN(2)/25)*BQ170+(1-EXP(-LN(2)/25))/(LN(2)/25)*Calculateur!BL171*Calculateur!BN171*VLOOKUP('Données projet'!$B$11,Paramètres!$A$1:$I$89,3,0)*0.475*44/12</f>
        <v>3.1447246805363069</v>
      </c>
      <c r="BR171" s="21">
        <f>EXP(-LN(2)/2)*BR170+(1-EXP(-LN(2)/2))/(LN(2)/2)*BL171*BO171*VLOOKUP('Données projet'!$B$11,Paramètres!$A$1:$I$89,3,0)*0.475*44/12</f>
        <v>1.3762881335846017E-6</v>
      </c>
      <c r="BS171" s="22">
        <f t="shared" si="169"/>
        <v>27.931156037871432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195.99999999999994</v>
      </c>
      <c r="BZ171" s="13">
        <f>BY171*VLOOKUP('Données projet'!$B$12,Paramètres!$A$1:$I$89,3,0)*VLOOKUP('Données projet'!$B$12,Paramètres!$A$1:$I$89,5,0)</f>
        <v>152.87999999999997</v>
      </c>
      <c r="CA171" s="13">
        <f t="shared" si="170"/>
        <v>39.232349774697852</v>
      </c>
      <c r="CB171" s="20">
        <f t="shared" si="171"/>
        <v>334.59567585759868</v>
      </c>
      <c r="CC171" s="59">
        <f t="shared" si="119"/>
        <v>623.0829840565832</v>
      </c>
      <c r="CD171" s="59">
        <f ca="1">AVERAGE(OFFSET($CC$3,0,0,'Données projet'!$E$12+1,1))-AVERAGE(OFFSET($H$3,0,0,'Données projet'!$E$12+1,1))</f>
        <v>250.01410333089137</v>
      </c>
      <c r="CE171" s="59">
        <f t="shared" si="148"/>
        <v>169.55868564318885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6.2864125827115336</v>
      </c>
      <c r="CL171" s="21">
        <f>EXP(-LN(2)/25)*CL170+(1-EXP(-LN(2)/25))/(LN(2)/25)*Calculateur!CG171*Calculateur!CI171*VLOOKUP('Données projet'!$B$12,Paramètres!$A$1:$I$89,3,0)*0.475*44/12</f>
        <v>1.3083078653733213</v>
      </c>
      <c r="CM171" s="21">
        <f>EXP(-LN(2)/2)*CM170+(1-EXP(-LN(2)/2))/(LN(2)/2)*CG171*CJ171*VLOOKUP('Données projet'!$B$12,Paramètres!$A$1:$I$89,3,0)*0.475*44/12</f>
        <v>3.2592866815877992E-11</v>
      </c>
      <c r="CN171" s="22">
        <f t="shared" si="172"/>
        <v>7.5947204481174477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6.0666666666666664</v>
      </c>
      <c r="N172" s="13">
        <f>IF('Données projet'!$A$36&gt;35,N171+M172-V171,IF(A172&lt;'Données projet'!$A$36,$K$205^A172,IF(A172='Données projet'!$A$36,'Données projet'!$B$36,N171+M172-V171)))</f>
        <v>346.26666666666659</v>
      </c>
      <c r="O172" s="13">
        <f>N172*VLOOKUP('Données projet'!$B$9,Paramètres!$A$1:$I$89,3,0)*VLOOKUP('Données projet'!$B$9,Paramètres!$A$1:$I$89,5,0)</f>
        <v>313.30207999999993</v>
      </c>
      <c r="P172" s="13">
        <f t="shared" si="141"/>
        <v>73.958010073912376</v>
      </c>
      <c r="Q172" s="20">
        <f t="shared" si="162"/>
        <v>674.4779902120639</v>
      </c>
      <c r="R172" s="59">
        <f t="shared" si="109"/>
        <v>963.04936611304038</v>
      </c>
      <c r="S172" s="59">
        <f ca="1">AVERAGE(OFFSET($R$3,0,0,'Données projet'!$E$9+1,1))-AVERAGE(OFFSET($H$3,0,0,'Données projet'!$E$9+1,1))</f>
        <v>469.5773392354356</v>
      </c>
      <c r="T172" s="59">
        <f t="shared" si="142"/>
        <v>187.25344022835239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57.511656197526705</v>
      </c>
      <c r="AA172" s="21">
        <f>EXP(-LN(2)/25)*AA171+(1-EXP(-LN(2)/25))/(LN(2)/25)*Calculateur!V172*Calculateur!X172*VLOOKUP('Données projet'!$B$9,Paramètres!$A$1:$I$89,3,0)*0.475*44/12</f>
        <v>6.9973420503457788</v>
      </c>
      <c r="AB172" s="21">
        <f>EXP(-LN(2)/2)*AB171+(1-EXP(-LN(2)/2))/(LN(2)/2)*V172*Y172*VLOOKUP('Données projet'!$B$9,Paramètres!$A$1:$I$89,3,0)*0.475*44/12</f>
        <v>0.86123327368756908</v>
      </c>
      <c r="AC172" s="22">
        <f t="shared" si="163"/>
        <v>65.370231521560058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252.99999999999994</v>
      </c>
      <c r="AJ172" s="13">
        <f>AI172*VLOOKUP('Données projet'!$B$10,Paramètres!$A$1:$I$89,3,0)*VLOOKUP('Données projet'!$B$10,Paramètres!$A$1:$I$89,5,0)</f>
        <v>244.70159999999993</v>
      </c>
      <c r="AK172" s="13">
        <f t="shared" si="164"/>
        <v>59.44995761550765</v>
      </c>
      <c r="AL172" s="20">
        <f t="shared" si="165"/>
        <v>529.73062951367569</v>
      </c>
      <c r="AM172" s="59">
        <f t="shared" si="113"/>
        <v>818.30200541465206</v>
      </c>
      <c r="AN172" s="59">
        <f ca="1">AVERAGE(OFFSET($AM$3,0,0,'Données projet'!$E$10+1,1))-AVERAGE(OFFSET($H$3,0,0,'Données projet'!$E$10+1,1))</f>
        <v>370.91255999489181</v>
      </c>
      <c r="AO172" s="59">
        <f t="shared" si="144"/>
        <v>196.07869248605735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21.835126939936018</v>
      </c>
      <c r="AV172" s="21">
        <f>EXP(-LN(2)/25)*AV171+(1-EXP(-LN(2)/25))/(LN(2)/25)*Calculateur!AQ172*Calculateur!AS172*VLOOKUP('Données projet'!$B$10,Paramètres!$A$1:$I$89,3,0)*0.475*44/12</f>
        <v>2.7484258719410981</v>
      </c>
      <c r="AW172" s="21">
        <f>EXP(-LN(2)/2)*AW171+(1-EXP(-LN(2)/2))/(LN(2)/2)*AQ172*AT172*VLOOKUP('Données projet'!$B$10,Paramètres!$A$1:$I$89,3,0)*0.475*44/12</f>
        <v>8.7445399524207898E-7</v>
      </c>
      <c r="AX172" s="21">
        <f t="shared" si="166"/>
        <v>24.583553686331111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252.99999999999994</v>
      </c>
      <c r="BE172" s="13">
        <f>BD172*VLOOKUP('Données projet'!$B$11,Paramètres!$A$1:$I$89,3,0)*VLOOKUP('Données projet'!$B$11,Paramètres!$A$1:$I$89,5,0)</f>
        <v>272.3291999999999</v>
      </c>
      <c r="BF172" s="13">
        <f t="shared" si="167"/>
        <v>65.34333692428207</v>
      </c>
      <c r="BG172" s="20">
        <f t="shared" si="168"/>
        <v>588.11300180979117</v>
      </c>
      <c r="BH172" s="59">
        <f t="shared" si="116"/>
        <v>876.68437771076765</v>
      </c>
      <c r="BI172" s="59">
        <f ca="1">AVERAGE(OFFSET($BH$3,0,0,'Données projet'!$E$11+1,1))-AVERAGE(OFFSET($H$3,0,0,'Données projet'!$E$11+1,1))</f>
        <v>404.24955007425774</v>
      </c>
      <c r="BJ172" s="59">
        <f t="shared" si="146"/>
        <v>211.49137630071019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24.300383207348148</v>
      </c>
      <c r="BQ172" s="21">
        <f>EXP(-LN(2)/25)*BQ171+(1-EXP(-LN(2)/25))/(LN(2)/25)*Calculateur!BL172*Calculateur!BN172*VLOOKUP('Données projet'!$B$11,Paramètres!$A$1:$I$89,3,0)*0.475*44/12</f>
        <v>3.0587320187731581</v>
      </c>
      <c r="BR172" s="21">
        <f>EXP(-LN(2)/2)*BR171+(1-EXP(-LN(2)/2))/(LN(2)/2)*BL172*BO172*VLOOKUP('Données projet'!$B$11,Paramètres!$A$1:$I$89,3,0)*0.475*44/12</f>
        <v>9.7318267212424882E-7</v>
      </c>
      <c r="BS172" s="22">
        <f t="shared" si="169"/>
        <v>27.359116199303976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195.99999999999994</v>
      </c>
      <c r="BZ172" s="13">
        <f>BY172*VLOOKUP('Données projet'!$B$12,Paramètres!$A$1:$I$89,3,0)*VLOOKUP('Données projet'!$B$12,Paramètres!$A$1:$I$89,5,0)</f>
        <v>152.87999999999997</v>
      </c>
      <c r="CA172" s="13">
        <f t="shared" si="170"/>
        <v>39.232349774697852</v>
      </c>
      <c r="CB172" s="20">
        <f t="shared" si="171"/>
        <v>334.59567585759868</v>
      </c>
      <c r="CC172" s="59">
        <f t="shared" si="119"/>
        <v>623.1670517585751</v>
      </c>
      <c r="CD172" s="59">
        <f ca="1">AVERAGE(OFFSET($CC$3,0,0,'Données projet'!$E$12+1,1))-AVERAGE(OFFSET($H$3,0,0,'Données projet'!$E$12+1,1))</f>
        <v>250.01410333089137</v>
      </c>
      <c r="CE172" s="59">
        <f t="shared" si="148"/>
        <v>169.55868564318885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6.1631398662976267</v>
      </c>
      <c r="CL172" s="21">
        <f>EXP(-LN(2)/25)*CL171+(1-EXP(-LN(2)/25))/(LN(2)/25)*Calculateur!CG172*Calculateur!CI172*VLOOKUP('Données projet'!$B$12,Paramètres!$A$1:$I$89,3,0)*0.475*44/12</f>
        <v>1.2725321179937674</v>
      </c>
      <c r="CM172" s="21">
        <f>EXP(-LN(2)/2)*CM171+(1-EXP(-LN(2)/2))/(LN(2)/2)*CG172*CJ172*VLOOKUP('Données projet'!$B$12,Paramètres!$A$1:$I$89,3,0)*0.475*44/12</f>
        <v>2.3046637143817325E-11</v>
      </c>
      <c r="CN172" s="22">
        <f t="shared" si="172"/>
        <v>7.4356719843144408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6.0666666666666664</v>
      </c>
      <c r="N173" s="13">
        <f>IF('Données projet'!$A$36&gt;35,N172+M173-V172,IF(A173&lt;'Données projet'!$A$36,$K$205^A173,IF(A173='Données projet'!$A$36,'Données projet'!$B$36,N172+M173-V172)))</f>
        <v>352.33333333333326</v>
      </c>
      <c r="O173" s="13">
        <f>N173*VLOOKUP('Données projet'!$B$9,Paramètres!$A$1:$I$89,3,0)*VLOOKUP('Données projet'!$B$9,Paramètres!$A$1:$I$89,5,0)</f>
        <v>318.79119999999989</v>
      </c>
      <c r="P173" s="13">
        <f t="shared" si="141"/>
        <v>75.101783940884829</v>
      </c>
      <c r="Q173" s="20">
        <f t="shared" si="162"/>
        <v>686.03028036370745</v>
      </c>
      <c r="R173" s="59">
        <f t="shared" si="109"/>
        <v>974.68426557999328</v>
      </c>
      <c r="S173" s="59">
        <f ca="1">AVERAGE(OFFSET($R$3,0,0,'Données projet'!$E$9+1,1))-AVERAGE(OFFSET($H$3,0,0,'Données projet'!$E$9+1,1))</f>
        <v>469.5773392354356</v>
      </c>
      <c r="T173" s="59">
        <f t="shared" si="142"/>
        <v>187.25344022835239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56.383887698139759</v>
      </c>
      <c r="AA173" s="21">
        <f>EXP(-LN(2)/25)*AA172+(1-EXP(-LN(2)/25))/(LN(2)/25)*Calculateur!V173*Calculateur!X173*VLOOKUP('Données projet'!$B$9,Paramètres!$A$1:$I$89,3,0)*0.475*44/12</f>
        <v>6.8059993640048475</v>
      </c>
      <c r="AB173" s="21">
        <f>EXP(-LN(2)/2)*AB172+(1-EXP(-LN(2)/2))/(LN(2)/2)*V173*Y173*VLOOKUP('Données projet'!$B$9,Paramètres!$A$1:$I$89,3,0)*0.475*44/12</f>
        <v>0.60898388800796999</v>
      </c>
      <c r="AC173" s="22">
        <f t="shared" si="163"/>
        <v>63.798870950152576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252.99999999999994</v>
      </c>
      <c r="AJ173" s="13">
        <f>AI173*VLOOKUP('Données projet'!$B$10,Paramètres!$A$1:$I$89,3,0)*VLOOKUP('Données projet'!$B$10,Paramètres!$A$1:$I$89,5,0)</f>
        <v>244.70159999999993</v>
      </c>
      <c r="AK173" s="13">
        <f t="shared" si="164"/>
        <v>59.44995761550765</v>
      </c>
      <c r="AL173" s="20">
        <f t="shared" si="165"/>
        <v>529.73062951367569</v>
      </c>
      <c r="AM173" s="59">
        <f t="shared" si="113"/>
        <v>818.38461472996164</v>
      </c>
      <c r="AN173" s="59">
        <f ca="1">AVERAGE(OFFSET($AM$3,0,0,'Données projet'!$E$10+1,1))-AVERAGE(OFFSET($H$3,0,0,'Données projet'!$E$10+1,1))</f>
        <v>370.91255999489181</v>
      </c>
      <c r="AO173" s="59">
        <f t="shared" si="144"/>
        <v>196.07869248605735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21.406953418756252</v>
      </c>
      <c r="AV173" s="21">
        <f>EXP(-LN(2)/25)*AV172+(1-EXP(-LN(2)/25))/(LN(2)/25)*Calculateur!AQ173*Calculateur!AS173*VLOOKUP('Données projet'!$B$10,Paramètres!$A$1:$I$89,3,0)*0.475*44/12</f>
        <v>2.6732700219394339</v>
      </c>
      <c r="AW173" s="21">
        <f>EXP(-LN(2)/2)*AW172+(1-EXP(-LN(2)/2))/(LN(2)/2)*AQ173*AT173*VLOOKUP('Données projet'!$B$10,Paramètres!$A$1:$I$89,3,0)*0.475*44/12</f>
        <v>6.1833234987134301E-7</v>
      </c>
      <c r="AX173" s="21">
        <f t="shared" si="166"/>
        <v>24.080224059028037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252.99999999999994</v>
      </c>
      <c r="BE173" s="13">
        <f>BD173*VLOOKUP('Données projet'!$B$11,Paramètres!$A$1:$I$89,3,0)*VLOOKUP('Données projet'!$B$11,Paramètres!$A$1:$I$89,5,0)</f>
        <v>272.3291999999999</v>
      </c>
      <c r="BF173" s="13">
        <f t="shared" si="167"/>
        <v>65.34333692428207</v>
      </c>
      <c r="BG173" s="20">
        <f t="shared" si="168"/>
        <v>588.11300180979117</v>
      </c>
      <c r="BH173" s="59">
        <f t="shared" si="116"/>
        <v>876.766987026077</v>
      </c>
      <c r="BI173" s="59">
        <f ca="1">AVERAGE(OFFSET($BH$3,0,0,'Données projet'!$E$11+1,1))-AVERAGE(OFFSET($H$3,0,0,'Données projet'!$E$11+1,1))</f>
        <v>404.24955007425774</v>
      </c>
      <c r="BJ173" s="59">
        <f t="shared" si="146"/>
        <v>211.49137630071019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23.823867514422279</v>
      </c>
      <c r="BQ173" s="21">
        <f>EXP(-LN(2)/25)*BQ172+(1-EXP(-LN(2)/25))/(LN(2)/25)*Calculateur!BL173*Calculateur!BN173*VLOOKUP('Données projet'!$B$11,Paramètres!$A$1:$I$89,3,0)*0.475*44/12</f>
        <v>2.9750908308680799</v>
      </c>
      <c r="BR173" s="21">
        <f>EXP(-LN(2)/2)*BR172+(1-EXP(-LN(2)/2))/(LN(2)/2)*BL173*BO173*VLOOKUP('Données projet'!$B$11,Paramètres!$A$1:$I$89,3,0)*0.475*44/12</f>
        <v>6.8814406679230085E-7</v>
      </c>
      <c r="BS173" s="22">
        <f t="shared" si="169"/>
        <v>26.798959033434425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195.99999999999994</v>
      </c>
      <c r="BZ173" s="13">
        <f>BY173*VLOOKUP('Données projet'!$B$12,Paramètres!$A$1:$I$89,3,0)*VLOOKUP('Données projet'!$B$12,Paramètres!$A$1:$I$89,5,0)</f>
        <v>152.87999999999997</v>
      </c>
      <c r="CA173" s="13">
        <f t="shared" si="170"/>
        <v>39.232349774697852</v>
      </c>
      <c r="CB173" s="20">
        <f t="shared" si="171"/>
        <v>334.59567585759868</v>
      </c>
      <c r="CC173" s="59">
        <f t="shared" si="119"/>
        <v>623.24966107388457</v>
      </c>
      <c r="CD173" s="59">
        <f ca="1">AVERAGE(OFFSET($CC$3,0,0,'Données projet'!$E$12+1,1))-AVERAGE(OFFSET($H$3,0,0,'Données projet'!$E$12+1,1))</f>
        <v>250.01410333089137</v>
      </c>
      <c r="CE173" s="59">
        <f t="shared" si="148"/>
        <v>169.55868564318885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6.0422844526636643</v>
      </c>
      <c r="CL173" s="21">
        <f>EXP(-LN(2)/25)*CL172+(1-EXP(-LN(2)/25))/(LN(2)/25)*Calculateur!CG173*Calculateur!CI173*VLOOKUP('Données projet'!$B$12,Paramètres!$A$1:$I$89,3,0)*0.475*44/12</f>
        <v>1.2377346603076722</v>
      </c>
      <c r="CM173" s="21">
        <f>EXP(-LN(2)/2)*CM172+(1-EXP(-LN(2)/2))/(LN(2)/2)*CG173*CJ173*VLOOKUP('Données projet'!$B$12,Paramètres!$A$1:$I$89,3,0)*0.475*44/12</f>
        <v>1.6296433407938996E-11</v>
      </c>
      <c r="CN173" s="22">
        <f t="shared" si="172"/>
        <v>7.2800191129876328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6.0666666666666664</v>
      </c>
      <c r="N174" s="13">
        <f>IF('Données projet'!$A$36&gt;35,N173+M174-V173,IF(A174&lt;'Données projet'!$A$36,$K$205^A174,IF(A174='Données projet'!$A$36,'Données projet'!$B$36,N173+M174-V173)))</f>
        <v>358.39999999999992</v>
      </c>
      <c r="O174" s="13">
        <f>N174*VLOOKUP('Données projet'!$B$9,Paramètres!$A$1:$I$89,3,0)*VLOOKUP('Données projet'!$B$9,Paramètres!$A$1:$I$89,5,0)</f>
        <v>324.2803199999999</v>
      </c>
      <c r="P174" s="13">
        <f t="shared" si="141"/>
        <v>76.243267588418078</v>
      </c>
      <c r="Q174" s="20">
        <f t="shared" si="162"/>
        <v>697.57858171649457</v>
      </c>
      <c r="R174" s="59">
        <f t="shared" si="109"/>
        <v>986.31374316115603</v>
      </c>
      <c r="S174" s="59">
        <f ca="1">AVERAGE(OFFSET($R$3,0,0,'Données projet'!$E$9+1,1))-AVERAGE(OFFSET($H$3,0,0,'Données projet'!$E$9+1,1))</f>
        <v>469.5773392354356</v>
      </c>
      <c r="T174" s="59">
        <f t="shared" si="142"/>
        <v>187.25344022835239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55.278234051154925</v>
      </c>
      <c r="AA174" s="21">
        <f>EXP(-LN(2)/25)*AA173+(1-EXP(-LN(2)/25))/(LN(2)/25)*Calculateur!V174*Calculateur!X174*VLOOKUP('Données projet'!$B$9,Paramètres!$A$1:$I$89,3,0)*0.475*44/12</f>
        <v>6.6198889534841836</v>
      </c>
      <c r="AB174" s="21">
        <f>EXP(-LN(2)/2)*AB173+(1-EXP(-LN(2)/2))/(LN(2)/2)*V174*Y174*VLOOKUP('Données projet'!$B$9,Paramètres!$A$1:$I$89,3,0)*0.475*44/12</f>
        <v>0.43061663684378465</v>
      </c>
      <c r="AC174" s="22">
        <f t="shared" si="163"/>
        <v>62.328739641482898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252.99999999999994</v>
      </c>
      <c r="AJ174" s="13">
        <f>AI174*VLOOKUP('Données projet'!$B$10,Paramètres!$A$1:$I$89,3,0)*VLOOKUP('Données projet'!$B$10,Paramètres!$A$1:$I$89,5,0)</f>
        <v>244.70159999999993</v>
      </c>
      <c r="AK174" s="13">
        <f t="shared" si="164"/>
        <v>59.44995761550765</v>
      </c>
      <c r="AL174" s="20">
        <f t="shared" si="165"/>
        <v>529.73062951367569</v>
      </c>
      <c r="AM174" s="59">
        <f t="shared" si="113"/>
        <v>818.46579095833727</v>
      </c>
      <c r="AN174" s="59">
        <f ca="1">AVERAGE(OFFSET($AM$3,0,0,'Données projet'!$E$10+1,1))-AVERAGE(OFFSET($H$3,0,0,'Données projet'!$E$10+1,1))</f>
        <v>370.91255999489181</v>
      </c>
      <c r="AO174" s="59">
        <f t="shared" si="144"/>
        <v>196.07869248605735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20.987176119166762</v>
      </c>
      <c r="AV174" s="21">
        <f>EXP(-LN(2)/25)*AV173+(1-EXP(-LN(2)/25))/(LN(2)/25)*Calculateur!AQ174*Calculateur!AS174*VLOOKUP('Données projet'!$B$10,Paramètres!$A$1:$I$89,3,0)*0.475*44/12</f>
        <v>2.6001693126083394</v>
      </c>
      <c r="AW174" s="21">
        <f>EXP(-LN(2)/2)*AW173+(1-EXP(-LN(2)/2))/(LN(2)/2)*AQ174*AT174*VLOOKUP('Données projet'!$B$10,Paramètres!$A$1:$I$89,3,0)*0.475*44/12</f>
        <v>4.3722699762103949E-7</v>
      </c>
      <c r="AX174" s="21">
        <f t="shared" si="166"/>
        <v>23.5873458690021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252.99999999999994</v>
      </c>
      <c r="BE174" s="13">
        <f>BD174*VLOOKUP('Données projet'!$B$11,Paramètres!$A$1:$I$89,3,0)*VLOOKUP('Données projet'!$B$11,Paramètres!$A$1:$I$89,5,0)</f>
        <v>272.3291999999999</v>
      </c>
      <c r="BF174" s="13">
        <f t="shared" si="167"/>
        <v>65.34333692428207</v>
      </c>
      <c r="BG174" s="20">
        <f t="shared" si="168"/>
        <v>588.11300180979117</v>
      </c>
      <c r="BH174" s="59">
        <f t="shared" si="116"/>
        <v>876.84816325445263</v>
      </c>
      <c r="BI174" s="59">
        <f ca="1">AVERAGE(OFFSET($BH$3,0,0,'Données projet'!$E$11+1,1))-AVERAGE(OFFSET($H$3,0,0,'Données projet'!$E$11+1,1))</f>
        <v>404.24955007425774</v>
      </c>
      <c r="BJ174" s="59">
        <f t="shared" si="146"/>
        <v>211.49137630071019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23.356696003588812</v>
      </c>
      <c r="BQ174" s="21">
        <f>EXP(-LN(2)/25)*BQ173+(1-EXP(-LN(2)/25))/(LN(2)/25)*Calculateur!BL174*Calculateur!BN174*VLOOKUP('Données projet'!$B$11,Paramètres!$A$1:$I$89,3,0)*0.475*44/12</f>
        <v>2.8937368156447651</v>
      </c>
      <c r="BR174" s="21">
        <f>EXP(-LN(2)/2)*BR173+(1-EXP(-LN(2)/2))/(LN(2)/2)*BL174*BO174*VLOOKUP('Données projet'!$B$11,Paramètres!$A$1:$I$89,3,0)*0.475*44/12</f>
        <v>4.8659133606212441E-7</v>
      </c>
      <c r="BS174" s="22">
        <f t="shared" si="169"/>
        <v>26.250433305824913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195.99999999999994</v>
      </c>
      <c r="BZ174" s="13">
        <f>BY174*VLOOKUP('Données projet'!$B$12,Paramètres!$A$1:$I$89,3,0)*VLOOKUP('Données projet'!$B$12,Paramètres!$A$1:$I$89,5,0)</f>
        <v>152.87999999999997</v>
      </c>
      <c r="CA174" s="13">
        <f t="shared" si="170"/>
        <v>39.232349774697852</v>
      </c>
      <c r="CB174" s="20">
        <f t="shared" si="171"/>
        <v>334.59567585759868</v>
      </c>
      <c r="CC174" s="59">
        <f t="shared" si="119"/>
        <v>623.33083730226019</v>
      </c>
      <c r="CD174" s="59">
        <f ca="1">AVERAGE(OFFSET($CC$3,0,0,'Données projet'!$E$12+1,1))-AVERAGE(OFFSET($H$3,0,0,'Données projet'!$E$12+1,1))</f>
        <v>250.01410333089137</v>
      </c>
      <c r="CE174" s="59">
        <f t="shared" si="148"/>
        <v>169.55868564318885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5.9237989399765398</v>
      </c>
      <c r="CL174" s="21">
        <f>EXP(-LN(2)/25)*CL173+(1-EXP(-LN(2)/25))/(LN(2)/25)*Calculateur!CG174*Calculateur!CI174*VLOOKUP('Données projet'!$B$12,Paramètres!$A$1:$I$89,3,0)*0.475*44/12</f>
        <v>1.2038887409319221</v>
      </c>
      <c r="CM174" s="21">
        <f>EXP(-LN(2)/2)*CM173+(1-EXP(-LN(2)/2))/(LN(2)/2)*CG174*CJ174*VLOOKUP('Données projet'!$B$12,Paramètres!$A$1:$I$89,3,0)*0.475*44/12</f>
        <v>1.1523318571908663E-11</v>
      </c>
      <c r="CN174" s="22">
        <f t="shared" si="172"/>
        <v>7.1276876809199852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6.0666666666666664</v>
      </c>
      <c r="N175" s="13">
        <f>IF('Données projet'!$A$36&gt;35,N174+M175-V174,IF(A175&lt;'Données projet'!$A$36,$K$205^A175,IF(A175='Données projet'!$A$36,'Données projet'!$B$36,N174+M175-V174)))</f>
        <v>364.46666666666658</v>
      </c>
      <c r="O175" s="13">
        <f>N175*VLOOKUP('Données projet'!$B$9,Paramètres!$A$1:$I$89,3,0)*VLOOKUP('Données projet'!$B$9,Paramètres!$A$1:$I$89,5,0)</f>
        <v>329.76943999999992</v>
      </c>
      <c r="P175" s="13">
        <f t="shared" si="141"/>
        <v>77.382504257248129</v>
      </c>
      <c r="Q175" s="20">
        <f t="shared" si="162"/>
        <v>709.12296958137358</v>
      </c>
      <c r="R175" s="59">
        <f t="shared" si="109"/>
        <v>997.93789902833123</v>
      </c>
      <c r="S175" s="59">
        <f ca="1">AVERAGE(OFFSET($R$3,0,0,'Données projet'!$E$9+1,1))-AVERAGE(OFFSET($H$3,0,0,'Données projet'!$E$9+1,1))</f>
        <v>469.5773392354356</v>
      </c>
      <c r="T175" s="59">
        <f t="shared" si="142"/>
        <v>187.25344022835239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54.19426159780533</v>
      </c>
      <c r="AA175" s="21">
        <f>EXP(-LN(2)/25)*AA174+(1-EXP(-LN(2)/25))/(LN(2)/25)*Calculateur!V175*Calculateur!X175*VLOOKUP('Données projet'!$B$9,Paramètres!$A$1:$I$89,3,0)*0.475*44/12</f>
        <v>6.4388677419263285</v>
      </c>
      <c r="AB175" s="21">
        <f>EXP(-LN(2)/2)*AB174+(1-EXP(-LN(2)/2))/(LN(2)/2)*V175*Y175*VLOOKUP('Données projet'!$B$9,Paramètres!$A$1:$I$89,3,0)*0.475*44/12</f>
        <v>0.30449194400398505</v>
      </c>
      <c r="AC175" s="22">
        <f t="shared" si="163"/>
        <v>60.937621283735645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252.99999999999994</v>
      </c>
      <c r="AJ175" s="13">
        <f>AI175*VLOOKUP('Données projet'!$B$10,Paramètres!$A$1:$I$89,3,0)*VLOOKUP('Données projet'!$B$10,Paramètres!$A$1:$I$89,5,0)</f>
        <v>244.70159999999993</v>
      </c>
      <c r="AK175" s="13">
        <f t="shared" si="164"/>
        <v>59.44995761550765</v>
      </c>
      <c r="AL175" s="20">
        <f t="shared" si="165"/>
        <v>529.73062951367569</v>
      </c>
      <c r="AM175" s="59">
        <f t="shared" si="113"/>
        <v>818.54555896063334</v>
      </c>
      <c r="AN175" s="59">
        <f ca="1">AVERAGE(OFFSET($AM$3,0,0,'Données projet'!$E$10+1,1))-AVERAGE(OFFSET($H$3,0,0,'Données projet'!$E$10+1,1))</f>
        <v>370.91255999489181</v>
      </c>
      <c r="AO175" s="59">
        <f t="shared" si="144"/>
        <v>196.07869248605735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20.57563039638335</v>
      </c>
      <c r="AV175" s="21">
        <f>EXP(-LN(2)/25)*AV174+(1-EXP(-LN(2)/25))/(LN(2)/25)*Calculateur!AQ175*Calculateur!AS175*VLOOKUP('Données projet'!$B$10,Paramètres!$A$1:$I$89,3,0)*0.475*44/12</f>
        <v>2.5290675460181031</v>
      </c>
      <c r="AW175" s="21">
        <f>EXP(-LN(2)/2)*AW174+(1-EXP(-LN(2)/2))/(LN(2)/2)*AQ175*AT175*VLOOKUP('Données projet'!$B$10,Paramètres!$A$1:$I$89,3,0)*0.475*44/12</f>
        <v>3.091661749356715E-7</v>
      </c>
      <c r="AX175" s="21">
        <f t="shared" si="166"/>
        <v>23.104698251567626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252.99999999999994</v>
      </c>
      <c r="BE175" s="13">
        <f>BD175*VLOOKUP('Données projet'!$B$11,Paramètres!$A$1:$I$89,3,0)*VLOOKUP('Données projet'!$B$11,Paramètres!$A$1:$I$89,5,0)</f>
        <v>272.3291999999999</v>
      </c>
      <c r="BF175" s="13">
        <f t="shared" si="167"/>
        <v>65.34333692428207</v>
      </c>
      <c r="BG175" s="20">
        <f t="shared" si="168"/>
        <v>588.11300180979117</v>
      </c>
      <c r="BH175" s="59">
        <f t="shared" si="116"/>
        <v>876.92793125674882</v>
      </c>
      <c r="BI175" s="59">
        <f ca="1">AVERAGE(OFFSET($BH$3,0,0,'Données projet'!$E$11+1,1))-AVERAGE(OFFSET($H$3,0,0,'Données projet'!$E$11+1,1))</f>
        <v>404.24955007425774</v>
      </c>
      <c r="BJ175" s="59">
        <f t="shared" si="146"/>
        <v>211.49137630071019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22.898685441136305</v>
      </c>
      <c r="BQ175" s="21">
        <f>EXP(-LN(2)/25)*BQ174+(1-EXP(-LN(2)/25))/(LN(2)/25)*Calculateur!BL175*Calculateur!BN175*VLOOKUP('Données projet'!$B$11,Paramètres!$A$1:$I$89,3,0)*0.475*44/12</f>
        <v>2.8146074302459536</v>
      </c>
      <c r="BR175" s="21">
        <f>EXP(-LN(2)/2)*BR174+(1-EXP(-LN(2)/2))/(LN(2)/2)*BL175*BO175*VLOOKUP('Données projet'!$B$11,Paramètres!$A$1:$I$89,3,0)*0.475*44/12</f>
        <v>3.4407203339615043E-7</v>
      </c>
      <c r="BS175" s="22">
        <f t="shared" si="169"/>
        <v>25.713293215454293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195.99999999999994</v>
      </c>
      <c r="BZ175" s="13">
        <f>BY175*VLOOKUP('Données projet'!$B$12,Paramètres!$A$1:$I$89,3,0)*VLOOKUP('Données projet'!$B$12,Paramètres!$A$1:$I$89,5,0)</f>
        <v>152.87999999999997</v>
      </c>
      <c r="CA175" s="13">
        <f t="shared" si="170"/>
        <v>39.232349774697852</v>
      </c>
      <c r="CB175" s="20">
        <f t="shared" si="171"/>
        <v>334.59567585759868</v>
      </c>
      <c r="CC175" s="59">
        <f t="shared" si="119"/>
        <v>623.41060530455638</v>
      </c>
      <c r="CD175" s="59">
        <f ca="1">AVERAGE(OFFSET($CC$3,0,0,'Données projet'!$E$12+1,1))-AVERAGE(OFFSET($H$3,0,0,'Données projet'!$E$12+1,1))</f>
        <v>250.01410333089137</v>
      </c>
      <c r="CE175" s="59">
        <f t="shared" si="148"/>
        <v>169.55868564318885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5.8076368559241835</v>
      </c>
      <c r="CL175" s="21">
        <f>EXP(-LN(2)/25)*CL174+(1-EXP(-LN(2)/25))/(LN(2)/25)*Calculateur!CG175*Calculateur!CI175*VLOOKUP('Données projet'!$B$12,Paramètres!$A$1:$I$89,3,0)*0.475*44/12</f>
        <v>1.1709683400013813</v>
      </c>
      <c r="CM175" s="21">
        <f>EXP(-LN(2)/2)*CM174+(1-EXP(-LN(2)/2))/(LN(2)/2)*CG175*CJ175*VLOOKUP('Données projet'!$B$12,Paramètres!$A$1:$I$89,3,0)*0.475*44/12</f>
        <v>8.1482167039694979E-12</v>
      </c>
      <c r="CN175" s="22">
        <f t="shared" si="172"/>
        <v>6.9786051959337128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6.0666666666666664</v>
      </c>
      <c r="N176" s="13">
        <f>IF('Données projet'!$A$36&gt;35,N175+M176-V175,IF(A176&lt;'Données projet'!$A$36,$K$205^A176,IF(A176='Données projet'!$A$36,'Données projet'!$B$36,N175+M176-V175)))</f>
        <v>370.53333333333325</v>
      </c>
      <c r="O176" s="13">
        <f>N176*VLOOKUP('Données projet'!$B$9,Paramètres!$A$1:$I$89,3,0)*VLOOKUP('Données projet'!$B$9,Paramètres!$A$1:$I$89,5,0)</f>
        <v>335.25855999999993</v>
      </c>
      <c r="P176" s="13">
        <f t="shared" si="141"/>
        <v>78.519535666083783</v>
      </c>
      <c r="Q176" s="20">
        <f t="shared" si="162"/>
        <v>720.66351661842907</v>
      </c>
      <c r="R176" s="59">
        <f t="shared" si="109"/>
        <v>1009.5568302711775</v>
      </c>
      <c r="S176" s="59">
        <f ca="1">AVERAGE(OFFSET($R$3,0,0,'Données projet'!$E$9+1,1))-AVERAGE(OFFSET($H$3,0,0,'Données projet'!$E$9+1,1))</f>
        <v>469.5773392354356</v>
      </c>
      <c r="T176" s="59">
        <f t="shared" si="142"/>
        <v>187.25344022835239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53.13154518310801</v>
      </c>
      <c r="AA176" s="21">
        <f>EXP(-LN(2)/25)*AA175+(1-EXP(-LN(2)/25))/(LN(2)/25)*Calculateur!V176*Calculateur!X176*VLOOKUP('Données projet'!$B$9,Paramètres!$A$1:$I$89,3,0)*0.475*44/12</f>
        <v>6.2627965649180144</v>
      </c>
      <c r="AB176" s="21">
        <f>EXP(-LN(2)/2)*AB175+(1-EXP(-LN(2)/2))/(LN(2)/2)*V176*Y176*VLOOKUP('Données projet'!$B$9,Paramètres!$A$1:$I$89,3,0)*0.475*44/12</f>
        <v>0.21530831842189235</v>
      </c>
      <c r="AC176" s="22">
        <f t="shared" si="163"/>
        <v>59.609650066447912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252.99999999999994</v>
      </c>
      <c r="AJ176" s="13">
        <f>AI176*VLOOKUP('Données projet'!$B$10,Paramètres!$A$1:$I$89,3,0)*VLOOKUP('Données projet'!$B$10,Paramètres!$A$1:$I$89,5,0)</f>
        <v>244.70159999999993</v>
      </c>
      <c r="AK176" s="13">
        <f t="shared" si="164"/>
        <v>59.44995761550765</v>
      </c>
      <c r="AL176" s="20">
        <f t="shared" si="165"/>
        <v>529.73062951367569</v>
      </c>
      <c r="AM176" s="59">
        <f t="shared" si="113"/>
        <v>818.62394316642417</v>
      </c>
      <c r="AN176" s="59">
        <f ca="1">AVERAGE(OFFSET($AM$3,0,0,'Données projet'!$E$10+1,1))-AVERAGE(OFFSET($H$3,0,0,'Données projet'!$E$10+1,1))</f>
        <v>370.91255999489181</v>
      </c>
      <c r="AO176" s="59">
        <f t="shared" si="144"/>
        <v>196.07869248605735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20.172154834205614</v>
      </c>
      <c r="AV176" s="21">
        <f>EXP(-LN(2)/25)*AV175+(1-EXP(-LN(2)/25))/(LN(2)/25)*Calculateur!AQ176*Calculateur!AS176*VLOOKUP('Données projet'!$B$10,Paramètres!$A$1:$I$89,3,0)*0.475*44/12</f>
        <v>2.459910060974356</v>
      </c>
      <c r="AW176" s="21">
        <f>EXP(-LN(2)/2)*AW175+(1-EXP(-LN(2)/2))/(LN(2)/2)*AQ176*AT176*VLOOKUP('Données projet'!$B$10,Paramètres!$A$1:$I$89,3,0)*0.475*44/12</f>
        <v>2.1861349881051975E-7</v>
      </c>
      <c r="AX176" s="21">
        <f t="shared" si="166"/>
        <v>22.632065113793466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252.99999999999994</v>
      </c>
      <c r="BE176" s="13">
        <f>BD176*VLOOKUP('Données projet'!$B$11,Paramètres!$A$1:$I$89,3,0)*VLOOKUP('Données projet'!$B$11,Paramètres!$A$1:$I$89,5,0)</f>
        <v>272.3291999999999</v>
      </c>
      <c r="BF176" s="13">
        <f t="shared" si="167"/>
        <v>65.34333692428207</v>
      </c>
      <c r="BG176" s="20">
        <f t="shared" si="168"/>
        <v>588.11300180979117</v>
      </c>
      <c r="BH176" s="59">
        <f t="shared" si="116"/>
        <v>877.00631546253965</v>
      </c>
      <c r="BI176" s="59">
        <f ca="1">AVERAGE(OFFSET($BH$3,0,0,'Données projet'!$E$11+1,1))-AVERAGE(OFFSET($H$3,0,0,'Données projet'!$E$11+1,1))</f>
        <v>404.24955007425774</v>
      </c>
      <c r="BJ176" s="59">
        <f t="shared" si="146"/>
        <v>211.49137630071019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22.449656186454632</v>
      </c>
      <c r="BQ176" s="21">
        <f>EXP(-LN(2)/25)*BQ175+(1-EXP(-LN(2)/25))/(LN(2)/25)*Calculateur!BL176*Calculateur!BN176*VLOOKUP('Données projet'!$B$11,Paramètres!$A$1:$I$89,3,0)*0.475*44/12</f>
        <v>2.7376418420521063</v>
      </c>
      <c r="BR176" s="21">
        <f>EXP(-LN(2)/2)*BR175+(1-EXP(-LN(2)/2))/(LN(2)/2)*BL176*BO176*VLOOKUP('Données projet'!$B$11,Paramètres!$A$1:$I$89,3,0)*0.475*44/12</f>
        <v>2.432956680310622E-7</v>
      </c>
      <c r="BS176" s="22">
        <f t="shared" si="169"/>
        <v>25.187298271802405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195.99999999999994</v>
      </c>
      <c r="BZ176" s="13">
        <f>BY176*VLOOKUP('Données projet'!$B$12,Paramètres!$A$1:$I$89,3,0)*VLOOKUP('Données projet'!$B$12,Paramètres!$A$1:$I$89,5,0)</f>
        <v>152.87999999999997</v>
      </c>
      <c r="CA176" s="13">
        <f t="shared" si="170"/>
        <v>39.232349774697852</v>
      </c>
      <c r="CB176" s="20">
        <f t="shared" si="171"/>
        <v>334.59567585759868</v>
      </c>
      <c r="CC176" s="59">
        <f t="shared" si="119"/>
        <v>623.48898951034721</v>
      </c>
      <c r="CD176" s="59">
        <f ca="1">AVERAGE(OFFSET($CC$3,0,0,'Données projet'!$E$12+1,1))-AVERAGE(OFFSET($H$3,0,0,'Données projet'!$E$12+1,1))</f>
        <v>250.01410333089137</v>
      </c>
      <c r="CE176" s="59">
        <f t="shared" si="148"/>
        <v>169.55868564318885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5.6937526394882187</v>
      </c>
      <c r="CL176" s="21">
        <f>EXP(-LN(2)/25)*CL175+(1-EXP(-LN(2)/25))/(LN(2)/25)*Calculateur!CG176*Calculateur!CI176*VLOOKUP('Données projet'!$B$12,Paramètres!$A$1:$I$89,3,0)*0.475*44/12</f>
        <v>1.1389481491654947</v>
      </c>
      <c r="CM176" s="21">
        <f>EXP(-LN(2)/2)*CM175+(1-EXP(-LN(2)/2))/(LN(2)/2)*CG176*CJ176*VLOOKUP('Données projet'!$B$12,Paramètres!$A$1:$I$89,3,0)*0.475*44/12</f>
        <v>5.7616592859543313E-12</v>
      </c>
      <c r="CN176" s="22">
        <f t="shared" si="172"/>
        <v>6.8327007886594755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6.0666666666666664</v>
      </c>
      <c r="N177" s="13">
        <f>IF('Données projet'!$A$36&gt;35,N176+M177-V176,IF(A177&lt;'Données projet'!$A$36,$K$205^A177,IF(A177='Données projet'!$A$36,'Données projet'!$B$36,N176+M177-V176)))</f>
        <v>376.59999999999991</v>
      </c>
      <c r="O177" s="13">
        <f>N177*VLOOKUP('Données projet'!$B$9,Paramètres!$A$1:$I$89,3,0)*VLOOKUP('Données projet'!$B$9,Paramètres!$A$1:$I$89,5,0)</f>
        <v>340.74767999999995</v>
      </c>
      <c r="P177" s="13">
        <f t="shared" si="141"/>
        <v>79.654402089206556</v>
      </c>
      <c r="Q177" s="20">
        <f t="shared" si="162"/>
        <v>732.20029297203462</v>
      </c>
      <c r="R177" s="59">
        <f t="shared" si="109"/>
        <v>1021.1706310398444</v>
      </c>
      <c r="S177" s="59">
        <f ca="1">AVERAGE(OFFSET($R$3,0,0,'Données projet'!$E$9+1,1))-AVERAGE(OFFSET($H$3,0,0,'Données projet'!$E$9+1,1))</f>
        <v>469.5773392354356</v>
      </c>
      <c r="T177" s="59">
        <f t="shared" si="142"/>
        <v>187.25344022835239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52.089667989109891</v>
      </c>
      <c r="AA177" s="21">
        <f>EXP(-LN(2)/25)*AA176+(1-EXP(-LN(2)/25))/(LN(2)/25)*Calculateur!V177*Calculateur!X177*VLOOKUP('Données projet'!$B$9,Paramètres!$A$1:$I$89,3,0)*0.475*44/12</f>
        <v>6.0915400635041737</v>
      </c>
      <c r="AB177" s="21">
        <f>EXP(-LN(2)/2)*AB176+(1-EXP(-LN(2)/2))/(LN(2)/2)*V177*Y177*VLOOKUP('Données projet'!$B$9,Paramètres!$A$1:$I$89,3,0)*0.475*44/12</f>
        <v>0.15224597200199255</v>
      </c>
      <c r="AC177" s="22">
        <f t="shared" si="163"/>
        <v>58.33345402461606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252.99999999999994</v>
      </c>
      <c r="AJ177" s="13">
        <f>AI177*VLOOKUP('Données projet'!$B$10,Paramètres!$A$1:$I$89,3,0)*VLOOKUP('Données projet'!$B$10,Paramètres!$A$1:$I$89,5,0)</f>
        <v>244.70159999999993</v>
      </c>
      <c r="AK177" s="13">
        <f t="shared" si="164"/>
        <v>59.44995761550765</v>
      </c>
      <c r="AL177" s="20">
        <f t="shared" si="165"/>
        <v>529.73062951367569</v>
      </c>
      <c r="AM177" s="59">
        <f t="shared" si="113"/>
        <v>818.70096758148543</v>
      </c>
      <c r="AN177" s="59">
        <f ca="1">AVERAGE(OFFSET($AM$3,0,0,'Données projet'!$E$10+1,1))-AVERAGE(OFFSET($H$3,0,0,'Données projet'!$E$10+1,1))</f>
        <v>370.91255999489181</v>
      </c>
      <c r="AO177" s="59">
        <f t="shared" si="144"/>
        <v>196.07869248605735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19.77659118170639</v>
      </c>
      <c r="AV177" s="21">
        <f>EXP(-LN(2)/25)*AV176+(1-EXP(-LN(2)/25))/(LN(2)/25)*Calculateur!AQ177*Calculateur!AS177*VLOOKUP('Données projet'!$B$10,Paramètres!$A$1:$I$89,3,0)*0.475*44/12</f>
        <v>2.3926436909959645</v>
      </c>
      <c r="AW177" s="21">
        <f>EXP(-LN(2)/2)*AW176+(1-EXP(-LN(2)/2))/(LN(2)/2)*AQ177*AT177*VLOOKUP('Données projet'!$B$10,Paramètres!$A$1:$I$89,3,0)*0.475*44/12</f>
        <v>1.5458308746783575E-7</v>
      </c>
      <c r="AX177" s="21">
        <f t="shared" si="166"/>
        <v>22.169235027285442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252.99999999999994</v>
      </c>
      <c r="BE177" s="13">
        <f>BD177*VLOOKUP('Données projet'!$B$11,Paramètres!$A$1:$I$89,3,0)*VLOOKUP('Données projet'!$B$11,Paramètres!$A$1:$I$89,5,0)</f>
        <v>272.3291999999999</v>
      </c>
      <c r="BF177" s="13">
        <f t="shared" si="167"/>
        <v>65.34333692428207</v>
      </c>
      <c r="BG177" s="20">
        <f t="shared" si="168"/>
        <v>588.11300180979117</v>
      </c>
      <c r="BH177" s="59">
        <f t="shared" si="116"/>
        <v>877.08333987760091</v>
      </c>
      <c r="BI177" s="59">
        <f ca="1">AVERAGE(OFFSET($BH$3,0,0,'Données projet'!$E$11+1,1))-AVERAGE(OFFSET($H$3,0,0,'Données projet'!$E$11+1,1))</f>
        <v>404.24955007425774</v>
      </c>
      <c r="BJ177" s="59">
        <f t="shared" si="146"/>
        <v>211.49137630071019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22.009432121576467</v>
      </c>
      <c r="BQ177" s="21">
        <f>EXP(-LN(2)/25)*BQ176+(1-EXP(-LN(2)/25))/(LN(2)/25)*Calculateur!BL177*Calculateur!BN177*VLOOKUP('Données projet'!$B$11,Paramètres!$A$1:$I$89,3,0)*0.475*44/12</f>
        <v>2.662780881914864</v>
      </c>
      <c r="BR177" s="21">
        <f>EXP(-LN(2)/2)*BR176+(1-EXP(-LN(2)/2))/(LN(2)/2)*BL177*BO177*VLOOKUP('Données projet'!$B$11,Paramètres!$A$1:$I$89,3,0)*0.475*44/12</f>
        <v>1.7203601669807521E-7</v>
      </c>
      <c r="BS177" s="22">
        <f t="shared" si="169"/>
        <v>24.672213175527347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195.99999999999994</v>
      </c>
      <c r="BZ177" s="13">
        <f>BY177*VLOOKUP('Données projet'!$B$12,Paramètres!$A$1:$I$89,3,0)*VLOOKUP('Données projet'!$B$12,Paramètres!$A$1:$I$89,5,0)</f>
        <v>152.87999999999997</v>
      </c>
      <c r="CA177" s="13">
        <f t="shared" si="170"/>
        <v>39.232349774697852</v>
      </c>
      <c r="CB177" s="20">
        <f t="shared" si="171"/>
        <v>334.59567585759868</v>
      </c>
      <c r="CC177" s="59">
        <f t="shared" si="119"/>
        <v>623.56601392540847</v>
      </c>
      <c r="CD177" s="59">
        <f ca="1">AVERAGE(OFFSET($CC$3,0,0,'Données projet'!$E$12+1,1))-AVERAGE(OFFSET($H$3,0,0,'Données projet'!$E$12+1,1))</f>
        <v>250.01410333089137</v>
      </c>
      <c r="CE177" s="59">
        <f t="shared" si="148"/>
        <v>169.55868564318885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5.5821016230740499</v>
      </c>
      <c r="CL177" s="21">
        <f>EXP(-LN(2)/25)*CL176+(1-EXP(-LN(2)/25))/(LN(2)/25)*Calculateur!CG177*Calculateur!CI177*VLOOKUP('Données projet'!$B$12,Paramètres!$A$1:$I$89,3,0)*0.475*44/12</f>
        <v>1.1078035521318841</v>
      </c>
      <c r="CM177" s="21">
        <f>EXP(-LN(2)/2)*CM176+(1-EXP(-LN(2)/2))/(LN(2)/2)*CG177*CJ177*VLOOKUP('Données projet'!$B$12,Paramètres!$A$1:$I$89,3,0)*0.475*44/12</f>
        <v>4.0741083519847489E-12</v>
      </c>
      <c r="CN177" s="22">
        <f t="shared" si="172"/>
        <v>6.6899051752100078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6.0666666666666664</v>
      </c>
      <c r="N178" s="13">
        <f>IF('Données projet'!$A$36&gt;35,N177+M178-V177,IF(A178&lt;'Données projet'!$A$36,$K$205^A178,IF(A178='Données projet'!$A$36,'Données projet'!$B$36,N177+M178-V177)))</f>
        <v>382.66666666666657</v>
      </c>
      <c r="O178" s="13">
        <f>N178*VLOOKUP('Données projet'!$B$9,Paramètres!$A$1:$I$89,3,0)*VLOOKUP('Données projet'!$B$9,Paramètres!$A$1:$I$89,5,0)</f>
        <v>346.2367999999999</v>
      </c>
      <c r="P178" s="13">
        <f t="shared" si="141"/>
        <v>80.787142428928718</v>
      </c>
      <c r="Q178" s="20">
        <f t="shared" si="162"/>
        <v>743.73336639705076</v>
      </c>
      <c r="R178" s="59">
        <f t="shared" si="109"/>
        <v>1032.7793926785212</v>
      </c>
      <c r="S178" s="59">
        <f ca="1">AVERAGE(OFFSET($R$3,0,0,'Données projet'!$E$9+1,1))-AVERAGE(OFFSET($H$3,0,0,'Données projet'!$E$9+1,1))</f>
        <v>469.5773392354356</v>
      </c>
      <c r="T178" s="59">
        <f t="shared" si="142"/>
        <v>187.25344022835239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51.068221371403737</v>
      </c>
      <c r="AA178" s="21">
        <f>EXP(-LN(2)/25)*AA177+(1-EXP(-LN(2)/25))/(LN(2)/25)*Calculateur!V178*Calculateur!X178*VLOOKUP('Données projet'!$B$9,Paramètres!$A$1:$I$89,3,0)*0.475*44/12</f>
        <v>5.9249665801274825</v>
      </c>
      <c r="AB178" s="21">
        <f>EXP(-LN(2)/2)*AB177+(1-EXP(-LN(2)/2))/(LN(2)/2)*V178*Y178*VLOOKUP('Données projet'!$B$9,Paramètres!$A$1:$I$89,3,0)*0.475*44/12</f>
        <v>0.10765415921094619</v>
      </c>
      <c r="AC178" s="22">
        <f t="shared" si="163"/>
        <v>57.100842110742164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252.99999999999994</v>
      </c>
      <c r="AJ178" s="13">
        <f>AI178*VLOOKUP('Données projet'!$B$10,Paramètres!$A$1:$I$89,3,0)*VLOOKUP('Données projet'!$B$10,Paramètres!$A$1:$I$89,5,0)</f>
        <v>244.70159999999993</v>
      </c>
      <c r="AK178" s="13">
        <f t="shared" si="164"/>
        <v>59.44995761550765</v>
      </c>
      <c r="AL178" s="20">
        <f t="shared" si="165"/>
        <v>529.73062951367569</v>
      </c>
      <c r="AM178" s="59">
        <f t="shared" si="113"/>
        <v>818.7766557951461</v>
      </c>
      <c r="AN178" s="59">
        <f ca="1">AVERAGE(OFFSET($AM$3,0,0,'Données projet'!$E$10+1,1))-AVERAGE(OFFSET($H$3,0,0,'Données projet'!$E$10+1,1))</f>
        <v>370.91255999489181</v>
      </c>
      <c r="AO178" s="59">
        <f t="shared" si="144"/>
        <v>196.07869248605735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19.388784291162672</v>
      </c>
      <c r="AV178" s="21">
        <f>EXP(-LN(2)/25)*AV177+(1-EXP(-LN(2)/25))/(LN(2)/25)*Calculateur!AQ178*Calculateur!AS178*VLOOKUP('Données projet'!$B$10,Paramètres!$A$1:$I$89,3,0)*0.475*44/12</f>
        <v>2.3272167234420165</v>
      </c>
      <c r="AW178" s="21">
        <f>EXP(-LN(2)/2)*AW177+(1-EXP(-LN(2)/2))/(LN(2)/2)*AQ178*AT178*VLOOKUP('Données projet'!$B$10,Paramètres!$A$1:$I$89,3,0)*0.475*44/12</f>
        <v>1.0930674940525987E-7</v>
      </c>
      <c r="AX178" s="21">
        <f t="shared" si="166"/>
        <v>21.71600112391144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252.99999999999994</v>
      </c>
      <c r="BE178" s="13">
        <f>BD178*VLOOKUP('Données projet'!$B$11,Paramètres!$A$1:$I$89,3,0)*VLOOKUP('Données projet'!$B$11,Paramètres!$A$1:$I$89,5,0)</f>
        <v>272.3291999999999</v>
      </c>
      <c r="BF178" s="13">
        <f t="shared" si="167"/>
        <v>65.34333692428207</v>
      </c>
      <c r="BG178" s="20">
        <f t="shared" si="168"/>
        <v>588.11300180979117</v>
      </c>
      <c r="BH178" s="59">
        <f t="shared" si="116"/>
        <v>877.15902809126158</v>
      </c>
      <c r="BI178" s="59">
        <f ca="1">AVERAGE(OFFSET($BH$3,0,0,'Données projet'!$E$11+1,1))-AVERAGE(OFFSET($H$3,0,0,'Données projet'!$E$11+1,1))</f>
        <v>404.24955007425774</v>
      </c>
      <c r="BJ178" s="59">
        <f t="shared" si="146"/>
        <v>211.49137630071019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21.577840582100393</v>
      </c>
      <c r="BQ178" s="21">
        <f>EXP(-LN(2)/25)*BQ177+(1-EXP(-LN(2)/25))/(LN(2)/25)*Calculateur!BL178*Calculateur!BN178*VLOOKUP('Données projet'!$B$11,Paramètres!$A$1:$I$89,3,0)*0.475*44/12</f>
        <v>2.5899669986693414</v>
      </c>
      <c r="BR178" s="21">
        <f>EXP(-LN(2)/2)*BR177+(1-EXP(-LN(2)/2))/(LN(2)/2)*BL178*BO178*VLOOKUP('Données projet'!$B$11,Paramètres!$A$1:$I$89,3,0)*0.475*44/12</f>
        <v>1.216478340155311E-7</v>
      </c>
      <c r="BS178" s="22">
        <f t="shared" si="169"/>
        <v>24.167807702417566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195.99999999999994</v>
      </c>
      <c r="BZ178" s="13">
        <f>BY178*VLOOKUP('Données projet'!$B$12,Paramètres!$A$1:$I$89,3,0)*VLOOKUP('Données projet'!$B$12,Paramètres!$A$1:$I$89,5,0)</f>
        <v>152.87999999999997</v>
      </c>
      <c r="CA178" s="13">
        <f t="shared" si="170"/>
        <v>39.232349774697852</v>
      </c>
      <c r="CB178" s="20">
        <f t="shared" si="171"/>
        <v>334.59567585759868</v>
      </c>
      <c r="CC178" s="59">
        <f t="shared" si="119"/>
        <v>623.64170213906914</v>
      </c>
      <c r="CD178" s="59">
        <f ca="1">AVERAGE(OFFSET($CC$3,0,0,'Données projet'!$E$12+1,1))-AVERAGE(OFFSET($H$3,0,0,'Données projet'!$E$12+1,1))</f>
        <v>250.01410333089137</v>
      </c>
      <c r="CE178" s="59">
        <f t="shared" si="148"/>
        <v>169.55868564318885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5.4726400149913674</v>
      </c>
      <c r="CL178" s="21">
        <f>EXP(-LN(2)/25)*CL177+(1-EXP(-LN(2)/25))/(LN(2)/25)*Calculateur!CG178*Calculateur!CI178*VLOOKUP('Données projet'!$B$12,Paramètres!$A$1:$I$89,3,0)*0.475*44/12</f>
        <v>1.0775106057419808</v>
      </c>
      <c r="CM178" s="21">
        <f>EXP(-LN(2)/2)*CM177+(1-EXP(-LN(2)/2))/(LN(2)/2)*CG178*CJ178*VLOOKUP('Données projet'!$B$12,Paramètres!$A$1:$I$89,3,0)*0.475*44/12</f>
        <v>2.8808296429771657E-12</v>
      </c>
      <c r="CN178" s="22">
        <f t="shared" si="172"/>
        <v>6.550150620736229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6.0666666666666664</v>
      </c>
      <c r="N179" s="13">
        <f>IF('Données projet'!$A$36&gt;35,N178+M179-V178,IF(A179&lt;'Données projet'!$A$36,$K$205^A179,IF(A179='Données projet'!$A$36,'Données projet'!$B$36,N178+M179-V178)))</f>
        <v>388.73333333333323</v>
      </c>
      <c r="O179" s="13">
        <f>N179*VLOOKUP('Données projet'!$B$9,Paramètres!$A$1:$I$89,3,0)*VLOOKUP('Données projet'!$B$9,Paramètres!$A$1:$I$89,5,0)</f>
        <v>351.72591999999992</v>
      </c>
      <c r="P179" s="13">
        <f t="shared" si="141"/>
        <v>81.917794283325819</v>
      </c>
      <c r="Q179" s="20">
        <f t="shared" si="162"/>
        <v>755.26280237679237</v>
      </c>
      <c r="R179" s="59">
        <f t="shared" si="109"/>
        <v>1044.38320385063</v>
      </c>
      <c r="S179" s="59">
        <f ca="1">AVERAGE(OFFSET($R$3,0,0,'Données projet'!$E$9+1,1))-AVERAGE(OFFSET($H$3,0,0,'Données projet'!$E$9+1,1))</f>
        <v>469.5773392354356</v>
      </c>
      <c r="T179" s="59">
        <f t="shared" si="142"/>
        <v>187.25344022835239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50.066804698849886</v>
      </c>
      <c r="AA179" s="21">
        <f>EXP(-LN(2)/25)*AA178+(1-EXP(-LN(2)/25))/(LN(2)/25)*Calculateur!V179*Calculateur!X179*VLOOKUP('Données projet'!$B$9,Paramètres!$A$1:$I$89,3,0)*0.475*44/12</f>
        <v>5.7629480574134453</v>
      </c>
      <c r="AB179" s="21">
        <f>EXP(-LN(2)/2)*AB178+(1-EXP(-LN(2)/2))/(LN(2)/2)*V179*Y179*VLOOKUP('Données projet'!$B$9,Paramètres!$A$1:$I$89,3,0)*0.475*44/12</f>
        <v>7.6122986000996276E-2</v>
      </c>
      <c r="AC179" s="22">
        <f t="shared" si="163"/>
        <v>55.905875742264328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252.99999999999994</v>
      </c>
      <c r="AJ179" s="13">
        <f>AI179*VLOOKUP('Données projet'!$B$10,Paramètres!$A$1:$I$89,3,0)*VLOOKUP('Données projet'!$B$10,Paramètres!$A$1:$I$89,5,0)</f>
        <v>244.70159999999993</v>
      </c>
      <c r="AK179" s="13">
        <f t="shared" si="164"/>
        <v>59.44995761550765</v>
      </c>
      <c r="AL179" s="20">
        <f t="shared" si="165"/>
        <v>529.73062951367569</v>
      </c>
      <c r="AM179" s="59">
        <f t="shared" si="113"/>
        <v>818.85103098751324</v>
      </c>
      <c r="AN179" s="59">
        <f ca="1">AVERAGE(OFFSET($AM$3,0,0,'Données projet'!$E$10+1,1))-AVERAGE(OFFSET($H$3,0,0,'Données projet'!$E$10+1,1))</f>
        <v>370.91255999489181</v>
      </c>
      <c r="AO179" s="59">
        <f t="shared" si="144"/>
        <v>196.07869248605735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19.008582057203672</v>
      </c>
      <c r="AV179" s="21">
        <f>EXP(-LN(2)/25)*AV178+(1-EXP(-LN(2)/25))/(LN(2)/25)*Calculateur!AQ179*Calculateur!AS179*VLOOKUP('Données projet'!$B$10,Paramètres!$A$1:$I$89,3,0)*0.475*44/12</f>
        <v>2.2635788597564859</v>
      </c>
      <c r="AW179" s="21">
        <f>EXP(-LN(2)/2)*AW178+(1-EXP(-LN(2)/2))/(LN(2)/2)*AQ179*AT179*VLOOKUP('Données projet'!$B$10,Paramètres!$A$1:$I$89,3,0)*0.475*44/12</f>
        <v>7.7291543733917876E-8</v>
      </c>
      <c r="AX179" s="21">
        <f t="shared" si="166"/>
        <v>21.272160994251699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252.99999999999994</v>
      </c>
      <c r="BE179" s="13">
        <f>BD179*VLOOKUP('Données projet'!$B$11,Paramètres!$A$1:$I$89,3,0)*VLOOKUP('Données projet'!$B$11,Paramètres!$A$1:$I$89,5,0)</f>
        <v>272.3291999999999</v>
      </c>
      <c r="BF179" s="13">
        <f t="shared" si="167"/>
        <v>65.34333692428207</v>
      </c>
      <c r="BG179" s="20">
        <f t="shared" si="168"/>
        <v>588.11300180979117</v>
      </c>
      <c r="BH179" s="59">
        <f t="shared" si="116"/>
        <v>877.23340328362883</v>
      </c>
      <c r="BI179" s="59">
        <f ca="1">AVERAGE(OFFSET($BH$3,0,0,'Données projet'!$E$11+1,1))-AVERAGE(OFFSET($H$3,0,0,'Données projet'!$E$11+1,1))</f>
        <v>404.24955007425774</v>
      </c>
      <c r="BJ179" s="59">
        <f t="shared" si="146"/>
        <v>211.49137630071019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21.154712289468602</v>
      </c>
      <c r="BQ179" s="21">
        <f>EXP(-LN(2)/25)*BQ178+(1-EXP(-LN(2)/25))/(LN(2)/25)*Calculateur!BL179*Calculateur!BN179*VLOOKUP('Données projet'!$B$11,Paramètres!$A$1:$I$89,3,0)*0.475*44/12</f>
        <v>2.5191442148902832</v>
      </c>
      <c r="BR179" s="21">
        <f>EXP(-LN(2)/2)*BR178+(1-EXP(-LN(2)/2))/(LN(2)/2)*BL179*BO179*VLOOKUP('Données projet'!$B$11,Paramètres!$A$1:$I$89,3,0)*0.475*44/12</f>
        <v>8.6018008349037607E-8</v>
      </c>
      <c r="BS179" s="22">
        <f t="shared" si="169"/>
        <v>23.673856590376893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195.99999999999994</v>
      </c>
      <c r="BZ179" s="13">
        <f>BY179*VLOOKUP('Données projet'!$B$12,Paramètres!$A$1:$I$89,3,0)*VLOOKUP('Données projet'!$B$12,Paramètres!$A$1:$I$89,5,0)</f>
        <v>152.87999999999997</v>
      </c>
      <c r="CA179" s="13">
        <f t="shared" si="170"/>
        <v>39.232349774697852</v>
      </c>
      <c r="CB179" s="20">
        <f t="shared" si="171"/>
        <v>334.59567585759868</v>
      </c>
      <c r="CC179" s="59">
        <f t="shared" si="119"/>
        <v>623.71607733143628</v>
      </c>
      <c r="CD179" s="59">
        <f ca="1">AVERAGE(OFFSET($CC$3,0,0,'Données projet'!$E$12+1,1))-AVERAGE(OFFSET($H$3,0,0,'Données projet'!$E$12+1,1))</f>
        <v>250.01410333089137</v>
      </c>
      <c r="CE179" s="59">
        <f t="shared" si="148"/>
        <v>169.55868564318885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5.3653248822781974</v>
      </c>
      <c r="CL179" s="21">
        <f>EXP(-LN(2)/25)*CL178+(1-EXP(-LN(2)/25))/(LN(2)/25)*Calculateur!CG179*Calculateur!CI179*VLOOKUP('Données projet'!$B$12,Paramètres!$A$1:$I$89,3,0)*0.475*44/12</f>
        <v>1.0480460215641463</v>
      </c>
      <c r="CM179" s="21">
        <f>EXP(-LN(2)/2)*CM178+(1-EXP(-LN(2)/2))/(LN(2)/2)*CG179*CJ179*VLOOKUP('Données projet'!$B$12,Paramètres!$A$1:$I$89,3,0)*0.475*44/12</f>
        <v>2.0370541759923745E-12</v>
      </c>
      <c r="CN179" s="22">
        <f t="shared" si="172"/>
        <v>6.4133709038443811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6.0666666666666664</v>
      </c>
      <c r="N180" s="13">
        <f>IF('Données projet'!$A$36&gt;35,N179+M180-V179,IF(A180&lt;'Données projet'!$A$36,$K$205^A180,IF(A180='Données projet'!$A$36,'Données projet'!$B$36,N179+M180-V179)))</f>
        <v>394.7999999999999</v>
      </c>
      <c r="O180" s="13">
        <f>N180*VLOOKUP('Données projet'!$B$9,Paramètres!$A$1:$I$89,3,0)*VLOOKUP('Données projet'!$B$9,Paramètres!$A$1:$I$89,5,0)</f>
        <v>357.21503999999987</v>
      </c>
      <c r="P180" s="13">
        <f t="shared" si="141"/>
        <v>83.046394009621707</v>
      </c>
      <c r="Q180" s="20">
        <f t="shared" si="162"/>
        <v>766.78866423342424</v>
      </c>
      <c r="R180" s="59">
        <f t="shared" si="109"/>
        <v>1055.9821506563194</v>
      </c>
      <c r="S180" s="59">
        <f ca="1">AVERAGE(OFFSET($R$3,0,0,'Données projet'!$E$9+1,1))-AVERAGE(OFFSET($H$3,0,0,'Données projet'!$E$9+1,1))</f>
        <v>469.5773392354356</v>
      </c>
      <c r="T180" s="59">
        <f t="shared" si="142"/>
        <v>187.25344022835239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49.085025196440952</v>
      </c>
      <c r="AA180" s="21">
        <f>EXP(-LN(2)/25)*AA179+(1-EXP(-LN(2)/25))/(LN(2)/25)*Calculateur!V180*Calculateur!X180*VLOOKUP('Données projet'!$B$9,Paramètres!$A$1:$I$89,3,0)*0.475*44/12</f>
        <v>5.6053599397232077</v>
      </c>
      <c r="AB180" s="21">
        <f>EXP(-LN(2)/2)*AB179+(1-EXP(-LN(2)/2))/(LN(2)/2)*V180*Y180*VLOOKUP('Données projet'!$B$9,Paramètres!$A$1:$I$89,3,0)*0.475*44/12</f>
        <v>5.3827079605473095E-2</v>
      </c>
      <c r="AC180" s="22">
        <f t="shared" si="163"/>
        <v>54.744212215769636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252.99999999999994</v>
      </c>
      <c r="AJ180" s="13">
        <f>AI180*VLOOKUP('Données projet'!$B$10,Paramètres!$A$1:$I$89,3,0)*VLOOKUP('Données projet'!$B$10,Paramètres!$A$1:$I$89,5,0)</f>
        <v>244.70159999999993</v>
      </c>
      <c r="AK180" s="13">
        <f t="shared" si="164"/>
        <v>59.44995761550765</v>
      </c>
      <c r="AL180" s="20">
        <f t="shared" si="165"/>
        <v>529.73062951367569</v>
      </c>
      <c r="AM180" s="59">
        <f t="shared" si="113"/>
        <v>818.92411593657096</v>
      </c>
      <c r="AN180" s="59">
        <f ca="1">AVERAGE(OFFSET($AM$3,0,0,'Données projet'!$E$10+1,1))-AVERAGE(OFFSET($H$3,0,0,'Données projet'!$E$10+1,1))</f>
        <v>370.91255999489181</v>
      </c>
      <c r="AO180" s="59">
        <f t="shared" si="144"/>
        <v>196.07869248605735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18.635835357152143</v>
      </c>
      <c r="AV180" s="21">
        <f>EXP(-LN(2)/25)*AV179+(1-EXP(-LN(2)/25))/(LN(2)/25)*Calculateur!AQ180*Calculateur!AS180*VLOOKUP('Données projet'!$B$10,Paramètres!$A$1:$I$89,3,0)*0.475*44/12</f>
        <v>2.201681176800006</v>
      </c>
      <c r="AW180" s="21">
        <f>EXP(-LN(2)/2)*AW179+(1-EXP(-LN(2)/2))/(LN(2)/2)*AQ180*AT180*VLOOKUP('Données projet'!$B$10,Paramètres!$A$1:$I$89,3,0)*0.475*44/12</f>
        <v>5.4653374702629936E-8</v>
      </c>
      <c r="AX180" s="21">
        <f t="shared" si="166"/>
        <v>20.837516588605521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252.99999999999994</v>
      </c>
      <c r="BE180" s="13">
        <f>BD180*VLOOKUP('Données projet'!$B$11,Paramètres!$A$1:$I$89,3,0)*VLOOKUP('Données projet'!$B$11,Paramètres!$A$1:$I$89,5,0)</f>
        <v>272.3291999999999</v>
      </c>
      <c r="BF180" s="13">
        <f t="shared" si="167"/>
        <v>65.34333692428207</v>
      </c>
      <c r="BG180" s="20">
        <f t="shared" si="168"/>
        <v>588.11300180979117</v>
      </c>
      <c r="BH180" s="59">
        <f t="shared" si="116"/>
        <v>877.30648823268643</v>
      </c>
      <c r="BI180" s="59">
        <f ca="1">AVERAGE(OFFSET($BH$3,0,0,'Données projet'!$E$11+1,1))-AVERAGE(OFFSET($H$3,0,0,'Données projet'!$E$11+1,1))</f>
        <v>404.24955007425774</v>
      </c>
      <c r="BJ180" s="59">
        <f t="shared" si="146"/>
        <v>211.49137630071019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20.739881284572544</v>
      </c>
      <c r="BQ180" s="21">
        <f>EXP(-LN(2)/25)*BQ179+(1-EXP(-LN(2)/25))/(LN(2)/25)*Calculateur!BL180*Calculateur!BN180*VLOOKUP('Données projet'!$B$11,Paramètres!$A$1:$I$89,3,0)*0.475*44/12</f>
        <v>2.4502580838580719</v>
      </c>
      <c r="BR180" s="21">
        <f>EXP(-LN(2)/2)*BR179+(1-EXP(-LN(2)/2))/(LN(2)/2)*BL180*BO180*VLOOKUP('Données projet'!$B$11,Paramètres!$A$1:$I$89,3,0)*0.475*44/12</f>
        <v>6.0823917007765551E-8</v>
      </c>
      <c r="BS180" s="22">
        <f t="shared" si="169"/>
        <v>23.190139429254533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195.99999999999994</v>
      </c>
      <c r="BZ180" s="13">
        <f>BY180*VLOOKUP('Données projet'!$B$12,Paramètres!$A$1:$I$89,3,0)*VLOOKUP('Données projet'!$B$12,Paramètres!$A$1:$I$89,5,0)</f>
        <v>152.87999999999997</v>
      </c>
      <c r="CA180" s="13">
        <f t="shared" si="170"/>
        <v>39.232349774697852</v>
      </c>
      <c r="CB180" s="20">
        <f t="shared" si="171"/>
        <v>334.59567585759868</v>
      </c>
      <c r="CC180" s="59">
        <f t="shared" si="119"/>
        <v>623.78916228049388</v>
      </c>
      <c r="CD180" s="59">
        <f ca="1">AVERAGE(OFFSET($CC$3,0,0,'Données projet'!$E$12+1,1))-AVERAGE(OFFSET($H$3,0,0,'Données projet'!$E$12+1,1))</f>
        <v>250.01410333089137</v>
      </c>
      <c r="CE180" s="59">
        <f t="shared" si="148"/>
        <v>169.55868564318885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5.260114133861765</v>
      </c>
      <c r="CL180" s="21">
        <f>EXP(-LN(2)/25)*CL179+(1-EXP(-LN(2)/25))/(LN(2)/25)*Calculateur!CG180*Calculateur!CI180*VLOOKUP('Données projet'!$B$12,Paramètres!$A$1:$I$89,3,0)*0.475*44/12</f>
        <v>1.0193871479901297</v>
      </c>
      <c r="CM180" s="21">
        <f>EXP(-LN(2)/2)*CM179+(1-EXP(-LN(2)/2))/(LN(2)/2)*CG180*CJ180*VLOOKUP('Données projet'!$B$12,Paramètres!$A$1:$I$89,3,0)*0.475*44/12</f>
        <v>1.4404148214885828E-12</v>
      </c>
      <c r="CN180" s="22">
        <f t="shared" si="172"/>
        <v>6.2795012818533351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6.0666666666666664</v>
      </c>
      <c r="N181" s="13">
        <f>IF('Données projet'!$A$36&gt;35,N180+M181-V180,IF(A181&lt;'Données projet'!$A$36,$K$205^A181,IF(A181='Données projet'!$A$36,'Données projet'!$B$36,N180+M181-V180)))</f>
        <v>400.86666666666656</v>
      </c>
      <c r="O181" s="13">
        <f>N181*VLOOKUP('Données projet'!$B$9,Paramètres!$A$1:$I$89,3,0)*VLOOKUP('Données projet'!$B$9,Paramètres!$A$1:$I$89,5,0)</f>
        <v>362.70415999999989</v>
      </c>
      <c r="P181" s="13">
        <f t="shared" si="141"/>
        <v>84.172976783566099</v>
      </c>
      <c r="Q181" s="20">
        <f t="shared" si="162"/>
        <v>778.31101323137739</v>
      </c>
      <c r="R181" s="59">
        <f t="shared" si="109"/>
        <v>1067.5763167428577</v>
      </c>
      <c r="S181" s="59">
        <f ca="1">AVERAGE(OFFSET($R$3,0,0,'Données projet'!$E$9+1,1))-AVERAGE(OFFSET($H$3,0,0,'Données projet'!$E$9+1,1))</f>
        <v>469.5773392354356</v>
      </c>
      <c r="T181" s="59">
        <f t="shared" si="142"/>
        <v>187.25344022835239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48.122497791247895</v>
      </c>
      <c r="AA181" s="21">
        <f>EXP(-LN(2)/25)*AA180+(1-EXP(-LN(2)/25))/(LN(2)/25)*Calculateur!V181*Calculateur!X181*VLOOKUP('Données projet'!$B$9,Paramètres!$A$1:$I$89,3,0)*0.475*44/12</f>
        <v>5.4520810773984083</v>
      </c>
      <c r="AB181" s="21">
        <f>EXP(-LN(2)/2)*AB180+(1-EXP(-LN(2)/2))/(LN(2)/2)*V181*Y181*VLOOKUP('Données projet'!$B$9,Paramètres!$A$1:$I$89,3,0)*0.475*44/12</f>
        <v>3.8061493000498138E-2</v>
      </c>
      <c r="AC181" s="22">
        <f t="shared" si="163"/>
        <v>53.612640361646804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252.99999999999994</v>
      </c>
      <c r="AJ181" s="13">
        <f>AI181*VLOOKUP('Données projet'!$B$10,Paramètres!$A$1:$I$89,3,0)*VLOOKUP('Données projet'!$B$10,Paramètres!$A$1:$I$89,5,0)</f>
        <v>244.70159999999993</v>
      </c>
      <c r="AK181" s="13">
        <f t="shared" si="164"/>
        <v>59.44995761550765</v>
      </c>
      <c r="AL181" s="20">
        <f t="shared" si="165"/>
        <v>529.73062951367569</v>
      </c>
      <c r="AM181" s="59">
        <f t="shared" si="113"/>
        <v>818.99593302515586</v>
      </c>
      <c r="AN181" s="59">
        <f ca="1">AVERAGE(OFFSET($AM$3,0,0,'Données projet'!$E$10+1,1))-AVERAGE(OFFSET($H$3,0,0,'Données projet'!$E$10+1,1))</f>
        <v>370.91255999489181</v>
      </c>
      <c r="AO181" s="59">
        <f t="shared" si="144"/>
        <v>196.07869248605735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18.270397992535585</v>
      </c>
      <c r="AV181" s="21">
        <f>EXP(-LN(2)/25)*AV180+(1-EXP(-LN(2)/25))/(LN(2)/25)*Calculateur!AQ181*Calculateur!AS181*VLOOKUP('Données projet'!$B$10,Paramètres!$A$1:$I$89,3,0)*0.475*44/12</f>
        <v>2.1414760892390285</v>
      </c>
      <c r="AW181" s="21">
        <f>EXP(-LN(2)/2)*AW180+(1-EXP(-LN(2)/2))/(LN(2)/2)*AQ181*AT181*VLOOKUP('Données projet'!$B$10,Paramètres!$A$1:$I$89,3,0)*0.475*44/12</f>
        <v>3.8645771866958938E-8</v>
      </c>
      <c r="AX181" s="21">
        <f t="shared" si="166"/>
        <v>20.411874120420386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252.99999999999994</v>
      </c>
      <c r="BE181" s="13">
        <f>BD181*VLOOKUP('Données projet'!$B$11,Paramètres!$A$1:$I$89,3,0)*VLOOKUP('Données projet'!$B$11,Paramètres!$A$1:$I$89,5,0)</f>
        <v>272.3291999999999</v>
      </c>
      <c r="BF181" s="13">
        <f t="shared" si="167"/>
        <v>65.34333692428207</v>
      </c>
      <c r="BG181" s="20">
        <f t="shared" si="168"/>
        <v>588.11300180979117</v>
      </c>
      <c r="BH181" s="59">
        <f t="shared" si="116"/>
        <v>877.37830532127134</v>
      </c>
      <c r="BI181" s="59">
        <f ca="1">AVERAGE(OFFSET($BH$3,0,0,'Données projet'!$E$11+1,1))-AVERAGE(OFFSET($H$3,0,0,'Données projet'!$E$11+1,1))</f>
        <v>404.24955007425774</v>
      </c>
      <c r="BJ181" s="59">
        <f t="shared" si="146"/>
        <v>211.49137630071019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20.33318486266057</v>
      </c>
      <c r="BQ181" s="21">
        <f>EXP(-LN(2)/25)*BQ180+(1-EXP(-LN(2)/25))/(LN(2)/25)*Calculateur!BL181*Calculateur!BN181*VLOOKUP('Données projet'!$B$11,Paramètres!$A$1:$I$89,3,0)*0.475*44/12</f>
        <v>2.3832556477015006</v>
      </c>
      <c r="BR181" s="21">
        <f>EXP(-LN(2)/2)*BR180+(1-EXP(-LN(2)/2))/(LN(2)/2)*BL181*BO181*VLOOKUP('Données projet'!$B$11,Paramètres!$A$1:$I$89,3,0)*0.475*44/12</f>
        <v>4.3009004174518803E-8</v>
      </c>
      <c r="BS181" s="22">
        <f t="shared" si="169"/>
        <v>22.716440553371072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195.99999999999994</v>
      </c>
      <c r="BZ181" s="13">
        <f>BY181*VLOOKUP('Données projet'!$B$12,Paramètres!$A$1:$I$89,3,0)*VLOOKUP('Données projet'!$B$12,Paramètres!$A$1:$I$89,5,0)</f>
        <v>152.87999999999997</v>
      </c>
      <c r="CA181" s="13">
        <f t="shared" si="170"/>
        <v>39.232349774697852</v>
      </c>
      <c r="CB181" s="20">
        <f t="shared" si="171"/>
        <v>334.59567585759868</v>
      </c>
      <c r="CC181" s="59">
        <f t="shared" si="119"/>
        <v>623.8609793690789</v>
      </c>
      <c r="CD181" s="59">
        <f ca="1">AVERAGE(OFFSET($CC$3,0,0,'Données projet'!$E$12+1,1))-AVERAGE(OFFSET($H$3,0,0,'Données projet'!$E$12+1,1))</f>
        <v>250.01410333089137</v>
      </c>
      <c r="CE181" s="59">
        <f t="shared" si="148"/>
        <v>169.55868564318885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5.1569665040495591</v>
      </c>
      <c r="CL181" s="21">
        <f>EXP(-LN(2)/25)*CL180+(1-EXP(-LN(2)/25))/(LN(2)/25)*Calculateur!CG181*Calculateur!CI181*VLOOKUP('Données projet'!$B$12,Paramètres!$A$1:$I$89,3,0)*0.475*44/12</f>
        <v>0.99151195282109938</v>
      </c>
      <c r="CM181" s="21">
        <f>EXP(-LN(2)/2)*CM180+(1-EXP(-LN(2)/2))/(LN(2)/2)*CG181*CJ181*VLOOKUP('Données projet'!$B$12,Paramètres!$A$1:$I$89,3,0)*0.475*44/12</f>
        <v>1.0185270879961872E-12</v>
      </c>
      <c r="CN181" s="22">
        <f t="shared" si="172"/>
        <v>6.1484784568716773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6.0666666666666664</v>
      </c>
      <c r="N182" s="13">
        <f>IF('Données projet'!$A$36&gt;35,N181+M182-V181,IF(A182&lt;'Données projet'!$A$36,$K$205^A182,IF(A182='Données projet'!$A$36,'Données projet'!$B$36,N181+M182-V181)))</f>
        <v>406.93333333333322</v>
      </c>
      <c r="O182" s="13">
        <f>N182*VLOOKUP('Données projet'!$B$9,Paramètres!$A$1:$I$89,3,0)*VLOOKUP('Données projet'!$B$9,Paramètres!$A$1:$I$89,5,0)</f>
        <v>368.1932799999999</v>
      </c>
      <c r="P182" s="13">
        <f t="shared" si="141"/>
        <v>85.297576655116359</v>
      </c>
      <c r="Q182" s="20">
        <f t="shared" si="162"/>
        <v>789.82990867432738</v>
      </c>
      <c r="R182" s="59">
        <f t="shared" si="109"/>
        <v>1079.1657834084644</v>
      </c>
      <c r="S182" s="59">
        <f ca="1">AVERAGE(OFFSET($R$3,0,0,'Données projet'!$E$9+1,1))-AVERAGE(OFFSET($H$3,0,0,'Données projet'!$E$9+1,1))</f>
        <v>469.5773392354356</v>
      </c>
      <c r="T182" s="59">
        <f t="shared" si="142"/>
        <v>187.25344022835239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47.178844961386922</v>
      </c>
      <c r="AA182" s="21">
        <f>EXP(-LN(2)/25)*AA181+(1-EXP(-LN(2)/25))/(LN(2)/25)*Calculateur!V182*Calculateur!X182*VLOOKUP('Données projet'!$B$9,Paramètres!$A$1:$I$89,3,0)*0.475*44/12</f>
        <v>5.3029936336244656</v>
      </c>
      <c r="AB182" s="21">
        <f>EXP(-LN(2)/2)*AB181+(1-EXP(-LN(2)/2))/(LN(2)/2)*V182*Y182*VLOOKUP('Données projet'!$B$9,Paramètres!$A$1:$I$89,3,0)*0.475*44/12</f>
        <v>2.6913539802736548E-2</v>
      </c>
      <c r="AC182" s="22">
        <f t="shared" si="163"/>
        <v>52.508752134814124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252.99999999999994</v>
      </c>
      <c r="AJ182" s="13">
        <f>AI182*VLOOKUP('Données projet'!$B$10,Paramètres!$A$1:$I$89,3,0)*VLOOKUP('Données projet'!$B$10,Paramètres!$A$1:$I$89,5,0)</f>
        <v>244.70159999999993</v>
      </c>
      <c r="AK182" s="13">
        <f t="shared" si="164"/>
        <v>59.44995761550765</v>
      </c>
      <c r="AL182" s="20">
        <f t="shared" si="165"/>
        <v>529.73062951367569</v>
      </c>
      <c r="AM182" s="59">
        <f t="shared" si="113"/>
        <v>819.06650424781287</v>
      </c>
      <c r="AN182" s="59">
        <f ca="1">AVERAGE(OFFSET($AM$3,0,0,'Données projet'!$E$10+1,1))-AVERAGE(OFFSET($H$3,0,0,'Données projet'!$E$10+1,1))</f>
        <v>370.91255999489181</v>
      </c>
      <c r="AO182" s="59">
        <f t="shared" si="144"/>
        <v>196.07869248605735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17.912126631744375</v>
      </c>
      <c r="AV182" s="21">
        <f>EXP(-LN(2)/25)*AV181+(1-EXP(-LN(2)/25))/(LN(2)/25)*Calculateur!AQ182*Calculateur!AS182*VLOOKUP('Données projet'!$B$10,Paramètres!$A$1:$I$89,3,0)*0.475*44/12</f>
        <v>2.0829173129634544</v>
      </c>
      <c r="AW182" s="21">
        <f>EXP(-LN(2)/2)*AW181+(1-EXP(-LN(2)/2))/(LN(2)/2)*AQ182*AT182*VLOOKUP('Données projet'!$B$10,Paramètres!$A$1:$I$89,3,0)*0.475*44/12</f>
        <v>2.7326687351314968E-8</v>
      </c>
      <c r="AX182" s="21">
        <f t="shared" si="166"/>
        <v>19.995043972034519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252.99999999999994</v>
      </c>
      <c r="BE182" s="13">
        <f>BD182*VLOOKUP('Données projet'!$B$11,Paramètres!$A$1:$I$89,3,0)*VLOOKUP('Données projet'!$B$11,Paramètres!$A$1:$I$89,5,0)</f>
        <v>272.3291999999999</v>
      </c>
      <c r="BF182" s="13">
        <f t="shared" si="167"/>
        <v>65.34333692428207</v>
      </c>
      <c r="BG182" s="20">
        <f t="shared" si="168"/>
        <v>588.11300180979117</v>
      </c>
      <c r="BH182" s="59">
        <f t="shared" si="116"/>
        <v>877.44887654392824</v>
      </c>
      <c r="BI182" s="59">
        <f ca="1">AVERAGE(OFFSET($BH$3,0,0,'Données projet'!$E$11+1,1))-AVERAGE(OFFSET($H$3,0,0,'Données projet'!$E$11+1,1))</f>
        <v>404.24955007425774</v>
      </c>
      <c r="BJ182" s="59">
        <f t="shared" si="146"/>
        <v>211.49137630071019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19.934463509521965</v>
      </c>
      <c r="BQ182" s="21">
        <f>EXP(-LN(2)/25)*BQ181+(1-EXP(-LN(2)/25))/(LN(2)/25)*Calculateur!BL182*Calculateur!BN182*VLOOKUP('Données projet'!$B$11,Paramètres!$A$1:$I$89,3,0)*0.475*44/12</f>
        <v>2.3180853966851354</v>
      </c>
      <c r="BR182" s="21">
        <f>EXP(-LN(2)/2)*BR181+(1-EXP(-LN(2)/2))/(LN(2)/2)*BL182*BO182*VLOOKUP('Données projet'!$B$11,Paramètres!$A$1:$I$89,3,0)*0.475*44/12</f>
        <v>3.0411958503882775E-8</v>
      </c>
      <c r="BS182" s="22">
        <f t="shared" si="169"/>
        <v>22.252548936619057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195.99999999999994</v>
      </c>
      <c r="BZ182" s="13">
        <f>BY182*VLOOKUP('Données projet'!$B$12,Paramètres!$A$1:$I$89,3,0)*VLOOKUP('Données projet'!$B$12,Paramètres!$A$1:$I$89,5,0)</f>
        <v>152.87999999999997</v>
      </c>
      <c r="CA182" s="13">
        <f t="shared" si="170"/>
        <v>39.232349774697852</v>
      </c>
      <c r="CB182" s="20">
        <f t="shared" si="171"/>
        <v>334.59567585759868</v>
      </c>
      <c r="CC182" s="59">
        <f t="shared" si="119"/>
        <v>623.9315505917358</v>
      </c>
      <c r="CD182" s="59">
        <f ca="1">AVERAGE(OFFSET($CC$3,0,0,'Données projet'!$E$12+1,1))-AVERAGE(OFFSET($H$3,0,0,'Données projet'!$E$12+1,1))</f>
        <v>250.01410333089137</v>
      </c>
      <c r="CE182" s="59">
        <f t="shared" si="148"/>
        <v>169.55868564318885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5.0558415363441283</v>
      </c>
      <c r="CL182" s="21">
        <f>EXP(-LN(2)/25)*CL181+(1-EXP(-LN(2)/25))/(LN(2)/25)*Calculateur!CG182*Calculateur!CI182*VLOOKUP('Données projet'!$B$12,Paramètres!$A$1:$I$89,3,0)*0.475*44/12</f>
        <v>0.96439900632985898</v>
      </c>
      <c r="CM182" s="21">
        <f>EXP(-LN(2)/2)*CM181+(1-EXP(-LN(2)/2))/(LN(2)/2)*CG182*CJ182*VLOOKUP('Données projet'!$B$12,Paramètres!$A$1:$I$89,3,0)*0.475*44/12</f>
        <v>7.2020741074429142E-13</v>
      </c>
      <c r="CN182" s="22">
        <f t="shared" si="172"/>
        <v>6.0202405426747072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413</v>
      </c>
      <c r="L183" s="12">
        <f>VLOOKUP(A183,'Données projet'!$A$35:$I$55,9,0)</f>
        <v>6.0666666666666664</v>
      </c>
      <c r="M183" s="12">
        <f t="array" ref="M183">INDEX(L:L,MIN(IF(ISNUMBER(L183:L379),ROW(L183:L379),"")))</f>
        <v>6.0666666666666664</v>
      </c>
      <c r="N183" s="13">
        <f>IF('Données projet'!$A$36&gt;35,N182+M183-V182,IF(A183&lt;'Données projet'!$A$36,$K$205^A183,IF(A183='Données projet'!$A$36,'Données projet'!$B$36,N182+M183-V182)))</f>
        <v>412.99999999999989</v>
      </c>
      <c r="O183" s="13">
        <f>N183*VLOOKUP('Données projet'!$B$9,Paramètres!$A$1:$I$89,3,0)*VLOOKUP('Données projet'!$B$9,Paramètres!$A$1:$I$89,5,0)</f>
        <v>373.68239999999986</v>
      </c>
      <c r="P183" s="13">
        <f t="shared" si="141"/>
        <v>86.420226600704183</v>
      </c>
      <c r="Q183" s="20">
        <f t="shared" si="162"/>
        <v>801.34540799622619</v>
      </c>
      <c r="R183" s="59">
        <f t="shared" si="109"/>
        <v>1090.7506297000809</v>
      </c>
      <c r="S183" s="59">
        <f ca="1">AVERAGE(OFFSET($R$3,0,0,'Données projet'!$E$9+1,1))-AVERAGE(OFFSET($H$3,0,0,'Données projet'!$E$9+1,1))</f>
        <v>469.5773392354356</v>
      </c>
      <c r="T183" s="59">
        <f t="shared" si="142"/>
        <v>187.25344022835239</v>
      </c>
      <c r="U183" s="15">
        <f>IF(ISNA(VLOOKUP(A183,'Données projet'!$A$35:$I$55,3,0)),0,VLOOKUP(A183,'Données projet'!$A$35:$I$55,3,0))</f>
        <v>18</v>
      </c>
      <c r="V183" s="15">
        <f>IF(ISNA(VLOOKUP(A183,'Données projet'!$A$35:$I$55,4,0)),0,VLOOKUP(A183,'Données projet'!$A$35:$I$55,4,0))</f>
        <v>413</v>
      </c>
      <c r="W183" s="16">
        <f>IF(ISNA(VLOOKUP(A183,'Données projet'!$A$35:$I$55,5,0)),0%,VLOOKUP(A183,'Données projet'!$A$35:$I$55,5,0)*VLOOKUP('Données projet'!$B$9,Paramètres!$A$1:$I$89,7,0))</f>
        <v>0.34400000000000003</v>
      </c>
      <c r="X183" s="16">
        <f>IF(ISNA(VLOOKUP(A183,'Données projet'!$A$35:$I$55,6,0)),0%,VLOOKUP(A183,'Données projet'!$A$35:$I$55,6,0)*VLOOKUP('Données projet'!$B$9,Paramètres!$A$1:$I$89,7,0))</f>
        <v>4.3000000000000003E-2</v>
      </c>
      <c r="Y183" s="16">
        <f>IF(ISNA(VLOOKUP(A183,'Données projet'!$A$35:$I$55,7,0)),0%,VLOOKUP(A183,'Données projet'!$A$35:$I$55,7,0))</f>
        <v>0.1</v>
      </c>
      <c r="Z183" s="21">
        <f>EXP(-LN(2)/35)*Z182+(1-EXP(-LN(2)/35))/(LN(2)/35)*V183*W183*VLOOKUP('Données projet'!$B$9,Paramètres!$A$1:$I$89,3,0)*0.475*44/12</f>
        <v>188.35831623410573</v>
      </c>
      <c r="AA183" s="21">
        <f>EXP(-LN(2)/25)*AA182+(1-EXP(-LN(2)/25))/(LN(2)/25)*Calculateur!V183*Calculateur!X183*VLOOKUP('Données projet'!$B$9,Paramètres!$A$1:$I$89,3,0)*0.475*44/12</f>
        <v>22.85112044540389</v>
      </c>
      <c r="AB183" s="21">
        <f>EXP(-LN(2)/2)*AB182+(1-EXP(-LN(2)/2))/(LN(2)/2)*V183*Y183*VLOOKUP('Données projet'!$B$9,Paramètres!$A$1:$I$89,3,0)*0.475*44/12</f>
        <v>35.276970937933903</v>
      </c>
      <c r="AC183" s="22">
        <f t="shared" si="163"/>
        <v>246.48640761744352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252.99999999999994</v>
      </c>
      <c r="AJ183" s="13">
        <f>AI183*VLOOKUP('Données projet'!$B$10,Paramètres!$A$1:$I$89,3,0)*VLOOKUP('Données projet'!$B$10,Paramètres!$A$1:$I$89,5,0)</f>
        <v>244.70159999999993</v>
      </c>
      <c r="AK183" s="13">
        <f t="shared" si="164"/>
        <v>59.44995761550765</v>
      </c>
      <c r="AL183" s="20">
        <f t="shared" si="165"/>
        <v>529.73062951367569</v>
      </c>
      <c r="AM183" s="59">
        <f t="shared" si="113"/>
        <v>819.13585121753033</v>
      </c>
      <c r="AN183" s="59">
        <f ca="1">AVERAGE(OFFSET($AM$3,0,0,'Données projet'!$E$10+1,1))-AVERAGE(OFFSET($H$3,0,0,'Données projet'!$E$10+1,1))</f>
        <v>370.91255999489181</v>
      </c>
      <c r="AO183" s="59">
        <f t="shared" si="144"/>
        <v>196.07869248605735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17.560880753814327</v>
      </c>
      <c r="AV183" s="21">
        <f>EXP(-LN(2)/25)*AV182+(1-EXP(-LN(2)/25))/(LN(2)/25)*Calculateur!AQ183*Calculateur!AS183*VLOOKUP('Données projet'!$B$10,Paramètres!$A$1:$I$89,3,0)*0.475*44/12</f>
        <v>2.025959829504608</v>
      </c>
      <c r="AW183" s="21">
        <f>EXP(-LN(2)/2)*AW182+(1-EXP(-LN(2)/2))/(LN(2)/2)*AQ183*AT183*VLOOKUP('Données projet'!$B$10,Paramètres!$A$1:$I$89,3,0)*0.475*44/12</f>
        <v>1.9322885933479469E-8</v>
      </c>
      <c r="AX183" s="21">
        <f t="shared" si="166"/>
        <v>19.586840602641821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252.99999999999994</v>
      </c>
      <c r="BE183" s="13">
        <f>BD183*VLOOKUP('Données projet'!$B$11,Paramètres!$A$1:$I$89,3,0)*VLOOKUP('Données projet'!$B$11,Paramètres!$A$1:$I$89,5,0)</f>
        <v>272.3291999999999</v>
      </c>
      <c r="BF183" s="13">
        <f t="shared" si="167"/>
        <v>65.34333692428207</v>
      </c>
      <c r="BG183" s="20">
        <f t="shared" si="168"/>
        <v>588.11300180979117</v>
      </c>
      <c r="BH183" s="59">
        <f t="shared" si="116"/>
        <v>877.51822351364581</v>
      </c>
      <c r="BI183" s="59">
        <f ca="1">AVERAGE(OFFSET($BH$3,0,0,'Données projet'!$E$11+1,1))-AVERAGE(OFFSET($H$3,0,0,'Données projet'!$E$11+1,1))</f>
        <v>404.24955007425774</v>
      </c>
      <c r="BJ183" s="59">
        <f t="shared" si="146"/>
        <v>211.49137630071019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19.543560838922396</v>
      </c>
      <c r="BQ183" s="21">
        <f>EXP(-LN(2)/25)*BQ182+(1-EXP(-LN(2)/25))/(LN(2)/25)*Calculateur!BL183*Calculateur!BN183*VLOOKUP('Données projet'!$B$11,Paramètres!$A$1:$I$89,3,0)*0.475*44/12</f>
        <v>2.2546972296099672</v>
      </c>
      <c r="BR183" s="21">
        <f>EXP(-LN(2)/2)*BR182+(1-EXP(-LN(2)/2))/(LN(2)/2)*BL183*BO183*VLOOKUP('Données projet'!$B$11,Paramètres!$A$1:$I$89,3,0)*0.475*44/12</f>
        <v>2.1504502087259402E-8</v>
      </c>
      <c r="BS183" s="22">
        <f t="shared" si="169"/>
        <v>21.798258090036864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195.99999999999994</v>
      </c>
      <c r="BZ183" s="13">
        <f>BY183*VLOOKUP('Données projet'!$B$12,Paramètres!$A$1:$I$89,3,0)*VLOOKUP('Données projet'!$B$12,Paramètres!$A$1:$I$89,5,0)</f>
        <v>152.87999999999997</v>
      </c>
      <c r="CA183" s="13">
        <f t="shared" si="170"/>
        <v>39.232349774697852</v>
      </c>
      <c r="CB183" s="20">
        <f t="shared" si="171"/>
        <v>334.59567585759868</v>
      </c>
      <c r="CC183" s="59">
        <f t="shared" si="119"/>
        <v>624.00089756145326</v>
      </c>
      <c r="CD183" s="59">
        <f ca="1">AVERAGE(OFFSET($CC$3,0,0,'Données projet'!$E$12+1,1))-AVERAGE(OFFSET($H$3,0,0,'Données projet'!$E$12+1,1))</f>
        <v>250.01410333089137</v>
      </c>
      <c r="CE183" s="59">
        <f t="shared" si="148"/>
        <v>169.55868564318885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4.956699567575261</v>
      </c>
      <c r="CL183" s="21">
        <f>EXP(-LN(2)/25)*CL182+(1-EXP(-LN(2)/25))/(LN(2)/25)*Calculateur!CG183*Calculateur!CI183*VLOOKUP('Données projet'!$B$12,Paramètres!$A$1:$I$89,3,0)*0.475*44/12</f>
        <v>0.93802746478622945</v>
      </c>
      <c r="CM183" s="21">
        <f>EXP(-LN(2)/2)*CM182+(1-EXP(-LN(2)/2))/(LN(2)/2)*CG183*CJ183*VLOOKUP('Données projet'!$B$12,Paramètres!$A$1:$I$89,3,0)*0.475*44/12</f>
        <v>5.0926354399809362E-13</v>
      </c>
      <c r="CN183" s="22">
        <f t="shared" si="172"/>
        <v>5.8947270323619998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469.5773392354356</v>
      </c>
      <c r="T184" s="59">
        <f t="shared" si="142"/>
        <v>187.25344022835239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184.66472453998364</v>
      </c>
      <c r="AA184" s="21">
        <f>EXP(-LN(2)/25)*AA183+(1-EXP(-LN(2)/25))/(LN(2)/25)*Calculateur!V184*Calculateur!X184*VLOOKUP('Données projet'!$B$9,Paramètres!$A$1:$I$89,3,0)*0.475*44/12</f>
        <v>22.226255355136121</v>
      </c>
      <c r="AB184" s="21">
        <f>EXP(-LN(2)/2)*AB183+(1-EXP(-LN(2)/2))/(LN(2)/2)*V184*Y184*VLOOKUP('Données projet'!$B$9,Paramètres!$A$1:$I$89,3,0)*0.475*44/12</f>
        <v>24.944585369933826</v>
      </c>
      <c r="AC184" s="22">
        <f t="shared" si="163"/>
        <v>231.83556526505359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252.99999999999994</v>
      </c>
      <c r="AJ184" s="13">
        <f>AI184*VLOOKUP('Données projet'!$B$10,Paramètres!$A$1:$I$89,3,0)*VLOOKUP('Données projet'!$B$10,Paramètres!$A$1:$I$89,5,0)</f>
        <v>244.70159999999993</v>
      </c>
      <c r="AK184" s="13">
        <f t="shared" si="164"/>
        <v>59.44995761550765</v>
      </c>
      <c r="AL184" s="20">
        <f t="shared" si="165"/>
        <v>529.73062951367569</v>
      </c>
      <c r="AM184" s="59">
        <f t="shared" si="113"/>
        <v>819.20399517235978</v>
      </c>
      <c r="AN184" s="59">
        <f ca="1">AVERAGE(OFFSET($AM$3,0,0,'Données projet'!$E$10+1,1))-AVERAGE(OFFSET($H$3,0,0,'Données projet'!$E$10+1,1))</f>
        <v>370.91255999489181</v>
      </c>
      <c r="AO184" s="59">
        <f t="shared" si="144"/>
        <v>196.07869248605735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17.216522593311659</v>
      </c>
      <c r="AV184" s="21">
        <f>EXP(-LN(2)/25)*AV183+(1-EXP(-LN(2)/25))/(LN(2)/25)*Calculateur!AQ184*Calculateur!AS184*VLOOKUP('Données projet'!$B$10,Paramètres!$A$1:$I$89,3,0)*0.475*44/12</f>
        <v>1.9705598514262075</v>
      </c>
      <c r="AW184" s="21">
        <f>EXP(-LN(2)/2)*AW183+(1-EXP(-LN(2)/2))/(LN(2)/2)*AQ184*AT184*VLOOKUP('Données projet'!$B$10,Paramètres!$A$1:$I$89,3,0)*0.475*44/12</f>
        <v>1.3663343675657484E-8</v>
      </c>
      <c r="AX184" s="21">
        <f t="shared" si="166"/>
        <v>19.187082458401211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252.99999999999994</v>
      </c>
      <c r="BE184" s="13">
        <f>BD184*VLOOKUP('Données projet'!$B$11,Paramètres!$A$1:$I$89,3,0)*VLOOKUP('Données projet'!$B$11,Paramètres!$A$1:$I$89,5,0)</f>
        <v>272.3291999999999</v>
      </c>
      <c r="BF184" s="13">
        <f t="shared" si="167"/>
        <v>65.34333692428207</v>
      </c>
      <c r="BG184" s="20">
        <f t="shared" si="168"/>
        <v>588.11300180979117</v>
      </c>
      <c r="BH184" s="59">
        <f t="shared" si="116"/>
        <v>877.58636746847526</v>
      </c>
      <c r="BI184" s="59">
        <f ca="1">AVERAGE(OFFSET($BH$3,0,0,'Données projet'!$E$11+1,1))-AVERAGE(OFFSET($H$3,0,0,'Données projet'!$E$11+1,1))</f>
        <v>404.24955007425774</v>
      </c>
      <c r="BJ184" s="59">
        <f t="shared" si="146"/>
        <v>211.49137630071019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19.160323531266197</v>
      </c>
      <c r="BQ184" s="21">
        <f>EXP(-LN(2)/25)*BQ183+(1-EXP(-LN(2)/25))/(LN(2)/25)*Calculateur!BL184*Calculateur!BN184*VLOOKUP('Données projet'!$B$11,Paramètres!$A$1:$I$89,3,0)*0.475*44/12</f>
        <v>2.1930424152969086</v>
      </c>
      <c r="BR184" s="21">
        <f>EXP(-LN(2)/2)*BR183+(1-EXP(-LN(2)/2))/(LN(2)/2)*BL184*BO184*VLOOKUP('Données projet'!$B$11,Paramètres!$A$1:$I$89,3,0)*0.475*44/12</f>
        <v>1.5205979251941388E-8</v>
      </c>
      <c r="BS184" s="22">
        <f t="shared" si="169"/>
        <v>21.353365961769086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195.99999999999994</v>
      </c>
      <c r="BZ184" s="13">
        <f>BY184*VLOOKUP('Données projet'!$B$12,Paramètres!$A$1:$I$89,3,0)*VLOOKUP('Données projet'!$B$12,Paramètres!$A$1:$I$89,5,0)</f>
        <v>152.87999999999997</v>
      </c>
      <c r="CA184" s="13">
        <f t="shared" si="170"/>
        <v>39.232349774697852</v>
      </c>
      <c r="CB184" s="20">
        <f t="shared" si="171"/>
        <v>334.59567585759868</v>
      </c>
      <c r="CC184" s="59">
        <f t="shared" si="119"/>
        <v>624.06904151628282</v>
      </c>
      <c r="CD184" s="59">
        <f ca="1">AVERAGE(OFFSET($CC$3,0,0,'Données projet'!$E$12+1,1))-AVERAGE(OFFSET($H$3,0,0,'Données projet'!$E$12+1,1))</f>
        <v>250.01410333089137</v>
      </c>
      <c r="CE184" s="59">
        <f t="shared" si="148"/>
        <v>169.55868564318885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4.8595017123433211</v>
      </c>
      <c r="CL184" s="21">
        <f>EXP(-LN(2)/25)*CL183+(1-EXP(-LN(2)/25))/(LN(2)/25)*Calculateur!CG184*Calculateur!CI184*VLOOKUP('Données projet'!$B$12,Paramètres!$A$1:$I$89,3,0)*0.475*44/12</f>
        <v>0.91237705443292949</v>
      </c>
      <c r="CM184" s="21">
        <f>EXP(-LN(2)/2)*CM183+(1-EXP(-LN(2)/2))/(LN(2)/2)*CG184*CJ184*VLOOKUP('Données projet'!$B$12,Paramètres!$A$1:$I$89,3,0)*0.475*44/12</f>
        <v>3.6010370537214571E-13</v>
      </c>
      <c r="CN184" s="22">
        <f t="shared" si="172"/>
        <v>5.7718787667766103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469.5773392354356</v>
      </c>
      <c r="T185" s="59">
        <f t="shared" si="142"/>
        <v>187.25344022835239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181.04356192611482</v>
      </c>
      <c r="AA185" s="21">
        <f>EXP(-LN(2)/25)*AA184+(1-EXP(-LN(2)/25))/(LN(2)/25)*Calculateur!V185*Calculateur!X185*VLOOKUP('Données projet'!$B$9,Paramètres!$A$1:$I$89,3,0)*0.475*44/12</f>
        <v>21.618477233621952</v>
      </c>
      <c r="AB185" s="21">
        <f>EXP(-LN(2)/2)*AB184+(1-EXP(-LN(2)/2))/(LN(2)/2)*V185*Y185*VLOOKUP('Données projet'!$B$9,Paramètres!$A$1:$I$89,3,0)*0.475*44/12</f>
        <v>17.638485468966955</v>
      </c>
      <c r="AC185" s="22">
        <f t="shared" si="163"/>
        <v>220.30052462870373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252.99999999999994</v>
      </c>
      <c r="AJ185" s="13">
        <f>AI185*VLOOKUP('Données projet'!$B$10,Paramètres!$A$1:$I$89,3,0)*VLOOKUP('Données projet'!$B$10,Paramètres!$A$1:$I$89,5,0)</f>
        <v>244.70159999999993</v>
      </c>
      <c r="AK185" s="13">
        <f t="shared" si="164"/>
        <v>59.44995761550765</v>
      </c>
      <c r="AL185" s="20">
        <f t="shared" si="165"/>
        <v>529.73062951367569</v>
      </c>
      <c r="AM185" s="59">
        <f t="shared" si="113"/>
        <v>819.27095698192011</v>
      </c>
      <c r="AN185" s="59">
        <f ca="1">AVERAGE(OFFSET($AM$3,0,0,'Données projet'!$E$10+1,1))-AVERAGE(OFFSET($H$3,0,0,'Données projet'!$E$10+1,1))</f>
        <v>370.91255999489181</v>
      </c>
      <c r="AO185" s="59">
        <f t="shared" si="144"/>
        <v>196.07869248605735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16.878917086298706</v>
      </c>
      <c r="AV185" s="21">
        <f>EXP(-LN(2)/25)*AV184+(1-EXP(-LN(2)/25))/(LN(2)/25)*Calculateur!AQ185*Calculateur!AS185*VLOOKUP('Données projet'!$B$10,Paramètres!$A$1:$I$89,3,0)*0.475*44/12</f>
        <v>1.916674788661719</v>
      </c>
      <c r="AW185" s="21">
        <f>EXP(-LN(2)/2)*AW184+(1-EXP(-LN(2)/2))/(LN(2)/2)*AQ185*AT185*VLOOKUP('Données projet'!$B$10,Paramètres!$A$1:$I$89,3,0)*0.475*44/12</f>
        <v>9.6614429667397345E-9</v>
      </c>
      <c r="AX185" s="21">
        <f t="shared" si="166"/>
        <v>18.795591884621867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252.99999999999994</v>
      </c>
      <c r="BE185" s="13">
        <f>BD185*VLOOKUP('Données projet'!$B$11,Paramètres!$A$1:$I$89,3,0)*VLOOKUP('Données projet'!$B$11,Paramètres!$A$1:$I$89,5,0)</f>
        <v>272.3291999999999</v>
      </c>
      <c r="BF185" s="13">
        <f t="shared" si="167"/>
        <v>65.34333692428207</v>
      </c>
      <c r="BG185" s="20">
        <f t="shared" si="168"/>
        <v>588.11300180979117</v>
      </c>
      <c r="BH185" s="59">
        <f t="shared" si="116"/>
        <v>877.65332927803559</v>
      </c>
      <c r="BI185" s="59">
        <f ca="1">AVERAGE(OFFSET($BH$3,0,0,'Données projet'!$E$11+1,1))-AVERAGE(OFFSET($H$3,0,0,'Données projet'!$E$11+1,1))</f>
        <v>404.24955007425774</v>
      </c>
      <c r="BJ185" s="59">
        <f t="shared" si="146"/>
        <v>211.49137630071019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18.784601273461462</v>
      </c>
      <c r="BQ185" s="21">
        <f>EXP(-LN(2)/25)*BQ184+(1-EXP(-LN(2)/25))/(LN(2)/25)*Calculateur!BL185*Calculateur!BN185*VLOOKUP('Données projet'!$B$11,Paramètres!$A$1:$I$89,3,0)*0.475*44/12</f>
        <v>2.1330735551235263</v>
      </c>
      <c r="BR185" s="21">
        <f>EXP(-LN(2)/2)*BR184+(1-EXP(-LN(2)/2))/(LN(2)/2)*BL185*BO185*VLOOKUP('Données projet'!$B$11,Paramètres!$A$1:$I$89,3,0)*0.475*44/12</f>
        <v>1.0752251043629701E-8</v>
      </c>
      <c r="BS185" s="22">
        <f t="shared" si="169"/>
        <v>20.917674839337241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195.99999999999994</v>
      </c>
      <c r="BZ185" s="13">
        <f>BY185*VLOOKUP('Données projet'!$B$12,Paramètres!$A$1:$I$89,3,0)*VLOOKUP('Données projet'!$B$12,Paramètres!$A$1:$I$89,5,0)</f>
        <v>152.87999999999997</v>
      </c>
      <c r="CA185" s="13">
        <f t="shared" si="170"/>
        <v>39.232349774697852</v>
      </c>
      <c r="CB185" s="20">
        <f t="shared" si="171"/>
        <v>334.59567585759868</v>
      </c>
      <c r="CC185" s="59">
        <f t="shared" si="119"/>
        <v>624.13600332584315</v>
      </c>
      <c r="CD185" s="59">
        <f ca="1">AVERAGE(OFFSET($CC$3,0,0,'Données projet'!$E$12+1,1))-AVERAGE(OFFSET($H$3,0,0,'Données projet'!$E$12+1,1))</f>
        <v>250.01410333089137</v>
      </c>
      <c r="CE185" s="59">
        <f t="shared" si="148"/>
        <v>169.55868564318885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4.764209847767642</v>
      </c>
      <c r="CL185" s="21">
        <f>EXP(-LN(2)/25)*CL184+(1-EXP(-LN(2)/25))/(LN(2)/25)*Calculateur!CG185*Calculateur!CI185*VLOOKUP('Données projet'!$B$12,Paramètres!$A$1:$I$89,3,0)*0.475*44/12</f>
        <v>0.88742805589963702</v>
      </c>
      <c r="CM185" s="21">
        <f>EXP(-LN(2)/2)*CM184+(1-EXP(-LN(2)/2))/(LN(2)/2)*CG185*CJ185*VLOOKUP('Données projet'!$B$12,Paramètres!$A$1:$I$89,3,0)*0.475*44/12</f>
        <v>2.5463177199904681E-13</v>
      </c>
      <c r="CN185" s="22">
        <f t="shared" si="172"/>
        <v>5.6516379036675337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469.5773392354356</v>
      </c>
      <c r="T186" s="59">
        <f t="shared" si="142"/>
        <v>187.25344022835239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177.49340810241284</v>
      </c>
      <c r="AA186" s="21">
        <f>EXP(-LN(2)/25)*AA185+(1-EXP(-LN(2)/25))/(LN(2)/25)*Calculateur!V186*Calculateur!X186*VLOOKUP('Données projet'!$B$9,Paramètres!$A$1:$I$89,3,0)*0.475*44/12</f>
        <v>21.027318836802252</v>
      </c>
      <c r="AB186" s="21">
        <f>EXP(-LN(2)/2)*AB185+(1-EXP(-LN(2)/2))/(LN(2)/2)*V186*Y186*VLOOKUP('Données projet'!$B$9,Paramètres!$A$1:$I$89,3,0)*0.475*44/12</f>
        <v>12.472292684966916</v>
      </c>
      <c r="AC186" s="22">
        <f t="shared" si="163"/>
        <v>210.99301962418201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252.99999999999994</v>
      </c>
      <c r="AJ186" s="13">
        <f>AI186*VLOOKUP('Données projet'!$B$10,Paramètres!$A$1:$I$89,3,0)*VLOOKUP('Données projet'!$B$10,Paramètres!$A$1:$I$89,5,0)</f>
        <v>244.70159999999993</v>
      </c>
      <c r="AK186" s="13">
        <f t="shared" si="164"/>
        <v>59.44995761550765</v>
      </c>
      <c r="AL186" s="20">
        <f t="shared" si="165"/>
        <v>529.73062951367569</v>
      </c>
      <c r="AM186" s="59">
        <f t="shared" si="113"/>
        <v>819.33675715378865</v>
      </c>
      <c r="AN186" s="59">
        <f ca="1">AVERAGE(OFFSET($AM$3,0,0,'Données projet'!$E$10+1,1))-AVERAGE(OFFSET($H$3,0,0,'Données projet'!$E$10+1,1))</f>
        <v>370.91255999489181</v>
      </c>
      <c r="AO186" s="59">
        <f t="shared" si="144"/>
        <v>196.07869248605735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16.547931817359252</v>
      </c>
      <c r="AV186" s="21">
        <f>EXP(-LN(2)/25)*AV185+(1-EXP(-LN(2)/25))/(LN(2)/25)*Calculateur!AQ186*Calculateur!AS186*VLOOKUP('Données projet'!$B$10,Paramètres!$A$1:$I$89,3,0)*0.475*44/12</f>
        <v>1.8642632157722179</v>
      </c>
      <c r="AW186" s="21">
        <f>EXP(-LN(2)/2)*AW185+(1-EXP(-LN(2)/2))/(LN(2)/2)*AQ186*AT186*VLOOKUP('Données projet'!$B$10,Paramètres!$A$1:$I$89,3,0)*0.475*44/12</f>
        <v>6.8316718378287421E-9</v>
      </c>
      <c r="AX186" s="21">
        <f t="shared" si="166"/>
        <v>18.412195039963144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252.99999999999994</v>
      </c>
      <c r="BE186" s="13">
        <f>BD186*VLOOKUP('Données projet'!$B$11,Paramètres!$A$1:$I$89,3,0)*VLOOKUP('Données projet'!$B$11,Paramètres!$A$1:$I$89,5,0)</f>
        <v>272.3291999999999</v>
      </c>
      <c r="BF186" s="13">
        <f t="shared" si="167"/>
        <v>65.34333692428207</v>
      </c>
      <c r="BG186" s="20">
        <f t="shared" si="168"/>
        <v>588.11300180979117</v>
      </c>
      <c r="BH186" s="59">
        <f t="shared" si="116"/>
        <v>877.71912944990413</v>
      </c>
      <c r="BI186" s="59">
        <f ca="1">AVERAGE(OFFSET($BH$3,0,0,'Données projet'!$E$11+1,1))-AVERAGE(OFFSET($H$3,0,0,'Données projet'!$E$11+1,1))</f>
        <v>404.24955007425774</v>
      </c>
      <c r="BJ186" s="59">
        <f t="shared" si="146"/>
        <v>211.49137630071019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18.416246699964329</v>
      </c>
      <c r="BQ186" s="21">
        <f>EXP(-LN(2)/25)*BQ185+(1-EXP(-LN(2)/25))/(LN(2)/25)*Calculateur!BL186*Calculateur!BN186*VLOOKUP('Données projet'!$B$11,Paramètres!$A$1:$I$89,3,0)*0.475*44/12</f>
        <v>2.0747445465852103</v>
      </c>
      <c r="BR186" s="21">
        <f>EXP(-LN(2)/2)*BR185+(1-EXP(-LN(2)/2))/(LN(2)/2)*BL186*BO186*VLOOKUP('Données projet'!$B$11,Paramètres!$A$1:$I$89,3,0)*0.475*44/12</f>
        <v>7.6029896259706939E-9</v>
      </c>
      <c r="BS186" s="22">
        <f t="shared" si="169"/>
        <v>20.490991254152529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195.99999999999994</v>
      </c>
      <c r="BZ186" s="13">
        <f>BY186*VLOOKUP('Données projet'!$B$12,Paramètres!$A$1:$I$89,3,0)*VLOOKUP('Données projet'!$B$12,Paramètres!$A$1:$I$89,5,0)</f>
        <v>152.87999999999997</v>
      </c>
      <c r="CA186" s="13">
        <f t="shared" si="170"/>
        <v>39.232349774697852</v>
      </c>
      <c r="CB186" s="20">
        <f t="shared" si="171"/>
        <v>334.59567585759868</v>
      </c>
      <c r="CC186" s="59">
        <f t="shared" si="119"/>
        <v>624.20180349771158</v>
      </c>
      <c r="CD186" s="59">
        <f ca="1">AVERAGE(OFFSET($CC$3,0,0,'Données projet'!$E$12+1,1))-AVERAGE(OFFSET($H$3,0,0,'Données projet'!$E$12+1,1))</f>
        <v>250.01410333089137</v>
      </c>
      <c r="CE186" s="59">
        <f t="shared" si="148"/>
        <v>169.55868564318885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4.6707865985339936</v>
      </c>
      <c r="CL186" s="21">
        <f>EXP(-LN(2)/25)*CL185+(1-EXP(-LN(2)/25))/(LN(2)/25)*Calculateur!CG186*Calculateur!CI186*VLOOKUP('Données projet'!$B$12,Paramètres!$A$1:$I$89,3,0)*0.475*44/12</f>
        <v>0.86316128904324818</v>
      </c>
      <c r="CM186" s="21">
        <f>EXP(-LN(2)/2)*CM185+(1-EXP(-LN(2)/2))/(LN(2)/2)*CG186*CJ186*VLOOKUP('Données projet'!$B$12,Paramètres!$A$1:$I$89,3,0)*0.475*44/12</f>
        <v>1.8005185268607285E-13</v>
      </c>
      <c r="CN186" s="22">
        <f t="shared" si="172"/>
        <v>5.5339478875774217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469.5773392354356</v>
      </c>
      <c r="T187" s="59">
        <f t="shared" si="142"/>
        <v>187.25344022835239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174.01287062981365</v>
      </c>
      <c r="AA187" s="21">
        <f>EXP(-LN(2)/25)*AA186+(1-EXP(-LN(2)/25))/(LN(2)/25)*Calculateur!V187*Calculateur!X187*VLOOKUP('Données projet'!$B$9,Paramètres!$A$1:$I$89,3,0)*0.475*44/12</f>
        <v>20.452325697431256</v>
      </c>
      <c r="AB187" s="21">
        <f>EXP(-LN(2)/2)*AB186+(1-EXP(-LN(2)/2))/(LN(2)/2)*V187*Y187*VLOOKUP('Données projet'!$B$9,Paramètres!$A$1:$I$89,3,0)*0.475*44/12</f>
        <v>8.8192427344834794</v>
      </c>
      <c r="AC187" s="22">
        <f t="shared" si="163"/>
        <v>203.28443906172839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252.99999999999994</v>
      </c>
      <c r="AJ187" s="13">
        <f>AI187*VLOOKUP('Données projet'!$B$10,Paramètres!$A$1:$I$89,3,0)*VLOOKUP('Données projet'!$B$10,Paramètres!$A$1:$I$89,5,0)</f>
        <v>244.70159999999993</v>
      </c>
      <c r="AK187" s="13">
        <f t="shared" si="164"/>
        <v>59.44995761550765</v>
      </c>
      <c r="AL187" s="20">
        <f t="shared" si="165"/>
        <v>529.73062951367569</v>
      </c>
      <c r="AM187" s="59">
        <f t="shared" si="113"/>
        <v>819.40141583978243</v>
      </c>
      <c r="AN187" s="59">
        <f ca="1">AVERAGE(OFFSET($AM$3,0,0,'Données projet'!$E$10+1,1))-AVERAGE(OFFSET($H$3,0,0,'Données projet'!$E$10+1,1))</f>
        <v>370.91255999489181</v>
      </c>
      <c r="AO187" s="59">
        <f t="shared" si="144"/>
        <v>196.07869248605735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16.223436967662622</v>
      </c>
      <c r="AV187" s="21">
        <f>EXP(-LN(2)/25)*AV186+(1-EXP(-LN(2)/25))/(LN(2)/25)*Calculateur!AQ187*Calculateur!AS187*VLOOKUP('Données projet'!$B$10,Paramètres!$A$1:$I$89,3,0)*0.475*44/12</f>
        <v>1.8132848400995849</v>
      </c>
      <c r="AW187" s="21">
        <f>EXP(-LN(2)/2)*AW186+(1-EXP(-LN(2)/2))/(LN(2)/2)*AQ187*AT187*VLOOKUP('Données projet'!$B$10,Paramètres!$A$1:$I$89,3,0)*0.475*44/12</f>
        <v>4.8307214833698672E-9</v>
      </c>
      <c r="AX187" s="21">
        <f t="shared" si="166"/>
        <v>18.036721812592926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252.99999999999994</v>
      </c>
      <c r="BE187" s="13">
        <f>BD187*VLOOKUP('Données projet'!$B$11,Paramètres!$A$1:$I$89,3,0)*VLOOKUP('Données projet'!$B$11,Paramètres!$A$1:$I$89,5,0)</f>
        <v>272.3291999999999</v>
      </c>
      <c r="BF187" s="13">
        <f t="shared" si="167"/>
        <v>65.34333692428207</v>
      </c>
      <c r="BG187" s="20">
        <f t="shared" si="168"/>
        <v>588.11300180979117</v>
      </c>
      <c r="BH187" s="59">
        <f t="shared" si="116"/>
        <v>877.78378813589791</v>
      </c>
      <c r="BI187" s="59">
        <f ca="1">AVERAGE(OFFSET($BH$3,0,0,'Données projet'!$E$11+1,1))-AVERAGE(OFFSET($H$3,0,0,'Données projet'!$E$11+1,1))</f>
        <v>404.24955007425774</v>
      </c>
      <c r="BJ187" s="59">
        <f t="shared" si="146"/>
        <v>211.49137630071019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18.055115334979369</v>
      </c>
      <c r="BQ187" s="21">
        <f>EXP(-LN(2)/25)*BQ186+(1-EXP(-LN(2)/25))/(LN(2)/25)*Calculateur!BL187*Calculateur!BN187*VLOOKUP('Données projet'!$B$11,Paramètres!$A$1:$I$89,3,0)*0.475*44/12</f>
        <v>2.0180105478527639</v>
      </c>
      <c r="BR187" s="21">
        <f>EXP(-LN(2)/2)*BR186+(1-EXP(-LN(2)/2))/(LN(2)/2)*BL187*BO187*VLOOKUP('Données projet'!$B$11,Paramètres!$A$1:$I$89,3,0)*0.475*44/12</f>
        <v>5.3761255218148504E-9</v>
      </c>
      <c r="BS187" s="22">
        <f t="shared" si="169"/>
        <v>20.07312588820826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195.99999999999994</v>
      </c>
      <c r="BZ187" s="13">
        <f>BY187*VLOOKUP('Données projet'!$B$12,Paramètres!$A$1:$I$89,3,0)*VLOOKUP('Données projet'!$B$12,Paramètres!$A$1:$I$89,5,0)</f>
        <v>152.87999999999997</v>
      </c>
      <c r="CA187" s="13">
        <f t="shared" si="170"/>
        <v>39.232349774697852</v>
      </c>
      <c r="CB187" s="20">
        <f t="shared" si="171"/>
        <v>334.59567585759868</v>
      </c>
      <c r="CC187" s="59">
        <f t="shared" si="119"/>
        <v>624.26646218370547</v>
      </c>
      <c r="CD187" s="59">
        <f ca="1">AVERAGE(OFFSET($CC$3,0,0,'Données projet'!$E$12+1,1))-AVERAGE(OFFSET($H$3,0,0,'Données projet'!$E$12+1,1))</f>
        <v>250.01410333089137</v>
      </c>
      <c r="CE187" s="59">
        <f t="shared" si="148"/>
        <v>169.55868564318885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4.5791953222352619</v>
      </c>
      <c r="CL187" s="21">
        <f>EXP(-LN(2)/25)*CL186+(1-EXP(-LN(2)/25))/(LN(2)/25)*Calculateur!CG187*Calculateur!CI187*VLOOKUP('Données projet'!$B$12,Paramètres!$A$1:$I$89,3,0)*0.475*44/12</f>
        <v>0.83955809820268112</v>
      </c>
      <c r="CM187" s="21">
        <f>EXP(-LN(2)/2)*CM186+(1-EXP(-LN(2)/2))/(LN(2)/2)*CG187*CJ187*VLOOKUP('Données projet'!$B$12,Paramètres!$A$1:$I$89,3,0)*0.475*44/12</f>
        <v>1.273158859995234E-13</v>
      </c>
      <c r="CN187" s="22">
        <f t="shared" si="172"/>
        <v>5.4187534204380698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469.5773392354356</v>
      </c>
      <c r="T188" s="59">
        <f t="shared" si="142"/>
        <v>187.25344022835239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170.60058437413389</v>
      </c>
      <c r="AA188" s="21">
        <f>EXP(-LN(2)/25)*AA187+(1-EXP(-LN(2)/25))/(LN(2)/25)*Calculateur!V188*Calculateur!X188*VLOOKUP('Données projet'!$B$9,Paramètres!$A$1:$I$89,3,0)*0.475*44/12</f>
        <v>19.893055775693934</v>
      </c>
      <c r="AB188" s="21">
        <f>EXP(-LN(2)/2)*AB187+(1-EXP(-LN(2)/2))/(LN(2)/2)*V188*Y188*VLOOKUP('Données projet'!$B$9,Paramètres!$A$1:$I$89,3,0)*0.475*44/12</f>
        <v>6.2361463424834591</v>
      </c>
      <c r="AC188" s="22">
        <f t="shared" si="163"/>
        <v>196.72978649231129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252.99999999999994</v>
      </c>
      <c r="AJ188" s="13">
        <f>AI188*VLOOKUP('Données projet'!$B$10,Paramètres!$A$1:$I$89,3,0)*VLOOKUP('Données projet'!$B$10,Paramètres!$A$1:$I$89,5,0)</f>
        <v>244.70159999999993</v>
      </c>
      <c r="AK188" s="13">
        <f t="shared" si="164"/>
        <v>59.44995761550765</v>
      </c>
      <c r="AL188" s="20">
        <f t="shared" si="165"/>
        <v>529.73062951367569</v>
      </c>
      <c r="AM188" s="59">
        <f t="shared" si="113"/>
        <v>819.46495284212938</v>
      </c>
      <c r="AN188" s="59">
        <f ca="1">AVERAGE(OFFSET($AM$3,0,0,'Données projet'!$E$10+1,1))-AVERAGE(OFFSET($H$3,0,0,'Données projet'!$E$10+1,1))</f>
        <v>370.91255999489181</v>
      </c>
      <c r="AO188" s="59">
        <f t="shared" si="144"/>
        <v>196.07869248605735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15.905305264046227</v>
      </c>
      <c r="AV188" s="21">
        <f>EXP(-LN(2)/25)*AV187+(1-EXP(-LN(2)/25))/(LN(2)/25)*Calculateur!AQ188*Calculateur!AS188*VLOOKUP('Données projet'!$B$10,Paramètres!$A$1:$I$89,3,0)*0.475*44/12</f>
        <v>1.7637004707905564</v>
      </c>
      <c r="AW188" s="21">
        <f>EXP(-LN(2)/2)*AW187+(1-EXP(-LN(2)/2))/(LN(2)/2)*AQ188*AT188*VLOOKUP('Données projet'!$B$10,Paramètres!$A$1:$I$89,3,0)*0.475*44/12</f>
        <v>3.415835918914371E-9</v>
      </c>
      <c r="AX188" s="21">
        <f t="shared" si="166"/>
        <v>17.669005738252618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252.99999999999994</v>
      </c>
      <c r="BE188" s="13">
        <f>BD188*VLOOKUP('Données projet'!$B$11,Paramètres!$A$1:$I$89,3,0)*VLOOKUP('Données projet'!$B$11,Paramètres!$A$1:$I$89,5,0)</f>
        <v>272.3291999999999</v>
      </c>
      <c r="BF188" s="13">
        <f t="shared" si="167"/>
        <v>65.34333692428207</v>
      </c>
      <c r="BG188" s="20">
        <f t="shared" si="168"/>
        <v>588.11300180979117</v>
      </c>
      <c r="BH188" s="59">
        <f t="shared" si="116"/>
        <v>877.84732513824497</v>
      </c>
      <c r="BI188" s="59">
        <f ca="1">AVERAGE(OFFSET($BH$3,0,0,'Données projet'!$E$11+1,1))-AVERAGE(OFFSET($H$3,0,0,'Données projet'!$E$11+1,1))</f>
        <v>404.24955007425774</v>
      </c>
      <c r="BJ188" s="59">
        <f t="shared" si="146"/>
        <v>211.49137630071019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17.701065535793379</v>
      </c>
      <c r="BQ188" s="21">
        <f>EXP(-LN(2)/25)*BQ187+(1-EXP(-LN(2)/25))/(LN(2)/25)*Calculateur!BL188*Calculateur!BN188*VLOOKUP('Données projet'!$B$11,Paramètres!$A$1:$I$89,3,0)*0.475*44/12</f>
        <v>1.9628279432991675</v>
      </c>
      <c r="BR188" s="21">
        <f>EXP(-LN(2)/2)*BR187+(1-EXP(-LN(2)/2))/(LN(2)/2)*BL188*BO188*VLOOKUP('Données projet'!$B$11,Paramètres!$A$1:$I$89,3,0)*0.475*44/12</f>
        <v>3.8014948129853469E-9</v>
      </c>
      <c r="BS188" s="22">
        <f t="shared" si="169"/>
        <v>19.663893482894043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195.99999999999994</v>
      </c>
      <c r="BZ188" s="13">
        <f>BY188*VLOOKUP('Données projet'!$B$12,Paramètres!$A$1:$I$89,3,0)*VLOOKUP('Données projet'!$B$12,Paramètres!$A$1:$I$89,5,0)</f>
        <v>152.87999999999997</v>
      </c>
      <c r="CA188" s="13">
        <f t="shared" si="170"/>
        <v>39.232349774697852</v>
      </c>
      <c r="CB188" s="20">
        <f t="shared" si="171"/>
        <v>334.59567585759868</v>
      </c>
      <c r="CC188" s="59">
        <f t="shared" si="119"/>
        <v>624.32999918605242</v>
      </c>
      <c r="CD188" s="59">
        <f ca="1">AVERAGE(OFFSET($CC$3,0,0,'Données projet'!$E$12+1,1))-AVERAGE(OFFSET($H$3,0,0,'Données projet'!$E$12+1,1))</f>
        <v>250.01410333089137</v>
      </c>
      <c r="CE188" s="59">
        <f t="shared" si="148"/>
        <v>169.55868564318885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4.4894000949995858</v>
      </c>
      <c r="CL188" s="21">
        <f>EXP(-LN(2)/25)*CL187+(1-EXP(-LN(2)/25))/(LN(2)/25)*Calculateur!CG188*Calculateur!CI188*VLOOKUP('Données projet'!$B$12,Paramètres!$A$1:$I$89,3,0)*0.475*44/12</f>
        <v>0.81660033785688724</v>
      </c>
      <c r="CM188" s="21">
        <f>EXP(-LN(2)/2)*CM187+(1-EXP(-LN(2)/2))/(LN(2)/2)*CG188*CJ188*VLOOKUP('Données projet'!$B$12,Paramètres!$A$1:$I$89,3,0)*0.475*44/12</f>
        <v>9.0025926343036427E-14</v>
      </c>
      <c r="CN188" s="22">
        <f t="shared" si="172"/>
        <v>5.3060004328565631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469.5773392354356</v>
      </c>
      <c r="T189" s="59">
        <f t="shared" si="142"/>
        <v>187.25344022835239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167.2552109706389</v>
      </c>
      <c r="AA189" s="21">
        <f>EXP(-LN(2)/25)*AA188+(1-EXP(-LN(2)/25))/(LN(2)/25)*Calculateur!V189*Calculateur!X189*VLOOKUP('Données projet'!$B$9,Paramètres!$A$1:$I$89,3,0)*0.475*44/12</f>
        <v>19.349079119377247</v>
      </c>
      <c r="AB189" s="21">
        <f>EXP(-LN(2)/2)*AB188+(1-EXP(-LN(2)/2))/(LN(2)/2)*V189*Y189*VLOOKUP('Données projet'!$B$9,Paramètres!$A$1:$I$89,3,0)*0.475*44/12</f>
        <v>4.4096213672417406</v>
      </c>
      <c r="AC189" s="22">
        <f t="shared" si="163"/>
        <v>191.0139114572579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252.99999999999994</v>
      </c>
      <c r="AJ189" s="13">
        <f>AI189*VLOOKUP('Données projet'!$B$10,Paramètres!$A$1:$I$89,3,0)*VLOOKUP('Données projet'!$B$10,Paramètres!$A$1:$I$89,5,0)</f>
        <v>244.70159999999993</v>
      </c>
      <c r="AK189" s="13">
        <f t="shared" si="164"/>
        <v>59.44995761550765</v>
      </c>
      <c r="AL189" s="20">
        <f t="shared" si="165"/>
        <v>529.73062951367569</v>
      </c>
      <c r="AM189" s="59">
        <f t="shared" si="113"/>
        <v>819.5273876195331</v>
      </c>
      <c r="AN189" s="59">
        <f ca="1">AVERAGE(OFFSET($AM$3,0,0,'Données projet'!$E$10+1,1))-AVERAGE(OFFSET($H$3,0,0,'Données projet'!$E$10+1,1))</f>
        <v>370.91255999489181</v>
      </c>
      <c r="AO189" s="59">
        <f t="shared" si="144"/>
        <v>196.07869248605735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15.59341192909657</v>
      </c>
      <c r="AV189" s="21">
        <f>EXP(-LN(2)/25)*AV188+(1-EXP(-LN(2)/25))/(LN(2)/25)*Calculateur!AQ189*Calculateur!AS189*VLOOKUP('Données projet'!$B$10,Paramètres!$A$1:$I$89,3,0)*0.475*44/12</f>
        <v>1.7154719886678118</v>
      </c>
      <c r="AW189" s="21">
        <f>EXP(-LN(2)/2)*AW188+(1-EXP(-LN(2)/2))/(LN(2)/2)*AQ189*AT189*VLOOKUP('Données projet'!$B$10,Paramètres!$A$1:$I$89,3,0)*0.475*44/12</f>
        <v>2.4153607416849336E-9</v>
      </c>
      <c r="AX189" s="21">
        <f t="shared" si="166"/>
        <v>17.308883920179746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252.99999999999994</v>
      </c>
      <c r="BE189" s="13">
        <f>BD189*VLOOKUP('Données projet'!$B$11,Paramètres!$A$1:$I$89,3,0)*VLOOKUP('Données projet'!$B$11,Paramètres!$A$1:$I$89,5,0)</f>
        <v>272.3291999999999</v>
      </c>
      <c r="BF189" s="13">
        <f t="shared" si="167"/>
        <v>65.34333692428207</v>
      </c>
      <c r="BG189" s="20">
        <f t="shared" si="168"/>
        <v>588.11300180979117</v>
      </c>
      <c r="BH189" s="59">
        <f t="shared" si="116"/>
        <v>877.90975991564858</v>
      </c>
      <c r="BI189" s="59">
        <f ca="1">AVERAGE(OFFSET($BH$3,0,0,'Données projet'!$E$11+1,1))-AVERAGE(OFFSET($H$3,0,0,'Données projet'!$E$11+1,1))</f>
        <v>404.24955007425774</v>
      </c>
      <c r="BJ189" s="59">
        <f t="shared" si="146"/>
        <v>211.49137630071019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17.353958437220374</v>
      </c>
      <c r="BQ189" s="21">
        <f>EXP(-LN(2)/25)*BQ188+(1-EXP(-LN(2)/25))/(LN(2)/25)*Calculateur!BL189*Calculateur!BN189*VLOOKUP('Données projet'!$B$11,Paramètres!$A$1:$I$89,3,0)*0.475*44/12</f>
        <v>1.9091543099690165</v>
      </c>
      <c r="BR189" s="21">
        <f>EXP(-LN(2)/2)*BR188+(1-EXP(-LN(2)/2))/(LN(2)/2)*BL189*BO189*VLOOKUP('Données projet'!$B$11,Paramètres!$A$1:$I$89,3,0)*0.475*44/12</f>
        <v>2.6880627609074252E-9</v>
      </c>
      <c r="BS189" s="22">
        <f t="shared" si="169"/>
        <v>19.26311274987745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195.99999999999994</v>
      </c>
      <c r="BZ189" s="13">
        <f>BY189*VLOOKUP('Données projet'!$B$12,Paramètres!$A$1:$I$89,3,0)*VLOOKUP('Données projet'!$B$12,Paramètres!$A$1:$I$89,5,0)</f>
        <v>152.87999999999997</v>
      </c>
      <c r="CA189" s="13">
        <f t="shared" si="170"/>
        <v>39.232349774697852</v>
      </c>
      <c r="CB189" s="20">
        <f t="shared" si="171"/>
        <v>334.59567585759868</v>
      </c>
      <c r="CC189" s="59">
        <f t="shared" si="119"/>
        <v>624.39243396345614</v>
      </c>
      <c r="CD189" s="59">
        <f ca="1">AVERAGE(OFFSET($CC$3,0,0,'Données projet'!$E$12+1,1))-AVERAGE(OFFSET($H$3,0,0,'Données projet'!$E$12+1,1))</f>
        <v>250.01410333089137</v>
      </c>
      <c r="CE189" s="59">
        <f t="shared" si="148"/>
        <v>169.55868564318885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4.4013656974003208</v>
      </c>
      <c r="CL189" s="21">
        <f>EXP(-LN(2)/25)*CL188+(1-EXP(-LN(2)/25))/(LN(2)/25)*Calculateur!CG189*Calculateur!CI189*VLOOKUP('Données projet'!$B$12,Paramètres!$A$1:$I$89,3,0)*0.475*44/12</f>
        <v>0.79427035867504525</v>
      </c>
      <c r="CM189" s="21">
        <f>EXP(-LN(2)/2)*CM188+(1-EXP(-LN(2)/2))/(LN(2)/2)*CG189*CJ189*VLOOKUP('Données projet'!$B$12,Paramètres!$A$1:$I$89,3,0)*0.475*44/12</f>
        <v>6.3657942999761702E-14</v>
      </c>
      <c r="CN189" s="22">
        <f t="shared" si="172"/>
        <v>5.19563605607543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469.5773392354356</v>
      </c>
      <c r="T190" s="59">
        <f t="shared" si="142"/>
        <v>187.25344022835239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163.97543829911015</v>
      </c>
      <c r="AA190" s="21">
        <f>EXP(-LN(2)/25)*AA189+(1-EXP(-LN(2)/25))/(LN(2)/25)*Calculateur!V190*Calculateur!X190*VLOOKUP('Données projet'!$B$9,Paramètres!$A$1:$I$89,3,0)*0.475*44/12</f>
        <v>18.819977533334029</v>
      </c>
      <c r="AB190" s="21">
        <f>EXP(-LN(2)/2)*AB189+(1-EXP(-LN(2)/2))/(LN(2)/2)*V190*Y190*VLOOKUP('Données projet'!$B$9,Paramètres!$A$1:$I$89,3,0)*0.475*44/12</f>
        <v>3.11807317124173</v>
      </c>
      <c r="AC190" s="22">
        <f t="shared" si="163"/>
        <v>185.9134890036859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252.99999999999994</v>
      </c>
      <c r="AJ190" s="13">
        <f>AI190*VLOOKUP('Données projet'!$B$10,Paramètres!$A$1:$I$89,3,0)*VLOOKUP('Données projet'!$B$10,Paramètres!$A$1:$I$89,5,0)</f>
        <v>244.70159999999993</v>
      </c>
      <c r="AK190" s="13">
        <f t="shared" si="164"/>
        <v>59.44995761550765</v>
      </c>
      <c r="AL190" s="20">
        <f t="shared" si="165"/>
        <v>529.73062951367569</v>
      </c>
      <c r="AM190" s="59">
        <f t="shared" si="113"/>
        <v>819.58873929313211</v>
      </c>
      <c r="AN190" s="59">
        <f ca="1">AVERAGE(OFFSET($AM$3,0,0,'Données projet'!$E$10+1,1))-AVERAGE(OFFSET($H$3,0,0,'Données projet'!$E$10+1,1))</f>
        <v>370.91255999489181</v>
      </c>
      <c r="AO190" s="59">
        <f t="shared" si="144"/>
        <v>196.07869248605735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15.287634632209125</v>
      </c>
      <c r="AV190" s="21">
        <f>EXP(-LN(2)/25)*AV189+(1-EXP(-LN(2)/25))/(LN(2)/25)*Calculateur!AQ190*Calculateur!AS190*VLOOKUP('Données projet'!$B$10,Paramètres!$A$1:$I$89,3,0)*0.475*44/12</f>
        <v>1.6685623169249393</v>
      </c>
      <c r="AW190" s="21">
        <f>EXP(-LN(2)/2)*AW189+(1-EXP(-LN(2)/2))/(LN(2)/2)*AQ190*AT190*VLOOKUP('Données projet'!$B$10,Paramètres!$A$1:$I$89,3,0)*0.475*44/12</f>
        <v>1.7079179594571855E-9</v>
      </c>
      <c r="AX190" s="21">
        <f t="shared" si="166"/>
        <v>16.956196950841981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252.99999999999994</v>
      </c>
      <c r="BE190" s="13">
        <f>BD190*VLOOKUP('Données projet'!$B$11,Paramètres!$A$1:$I$89,3,0)*VLOOKUP('Données projet'!$B$11,Paramètres!$A$1:$I$89,5,0)</f>
        <v>272.3291999999999</v>
      </c>
      <c r="BF190" s="13">
        <f t="shared" si="167"/>
        <v>65.34333692428207</v>
      </c>
      <c r="BG190" s="20">
        <f t="shared" si="168"/>
        <v>588.11300180979117</v>
      </c>
      <c r="BH190" s="59">
        <f t="shared" si="116"/>
        <v>877.97111158924758</v>
      </c>
      <c r="BI190" s="59">
        <f ca="1">AVERAGE(OFFSET($BH$3,0,0,'Données projet'!$E$11+1,1))-AVERAGE(OFFSET($H$3,0,0,'Données projet'!$E$11+1,1))</f>
        <v>404.24955007425774</v>
      </c>
      <c r="BJ190" s="59">
        <f t="shared" si="146"/>
        <v>211.49137630071019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17.01365789713596</v>
      </c>
      <c r="BQ190" s="21">
        <f>EXP(-LN(2)/25)*BQ189+(1-EXP(-LN(2)/25))/(LN(2)/25)*Calculateur!BL190*Calculateur!BN190*VLOOKUP('Données projet'!$B$11,Paramètres!$A$1:$I$89,3,0)*0.475*44/12</f>
        <v>1.856948384964852</v>
      </c>
      <c r="BR190" s="21">
        <f>EXP(-LN(2)/2)*BR189+(1-EXP(-LN(2)/2))/(LN(2)/2)*BL190*BO190*VLOOKUP('Données projet'!$B$11,Paramètres!$A$1:$I$89,3,0)*0.475*44/12</f>
        <v>1.9007474064926735E-9</v>
      </c>
      <c r="BS190" s="22">
        <f t="shared" si="169"/>
        <v>18.87060628400156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195.99999999999994</v>
      </c>
      <c r="BZ190" s="13">
        <f>BY190*VLOOKUP('Données projet'!$B$12,Paramètres!$A$1:$I$89,3,0)*VLOOKUP('Données projet'!$B$12,Paramètres!$A$1:$I$89,5,0)</f>
        <v>152.87999999999997</v>
      </c>
      <c r="CA190" s="13">
        <f t="shared" si="170"/>
        <v>39.232349774697852</v>
      </c>
      <c r="CB190" s="20">
        <f t="shared" si="171"/>
        <v>334.59567585759868</v>
      </c>
      <c r="CC190" s="59">
        <f t="shared" si="119"/>
        <v>624.45378563705503</v>
      </c>
      <c r="CD190" s="59">
        <f ca="1">AVERAGE(OFFSET($CC$3,0,0,'Données projet'!$E$12+1,1))-AVERAGE(OFFSET($H$3,0,0,'Données projet'!$E$12+1,1))</f>
        <v>250.01410333089137</v>
      </c>
      <c r="CE190" s="59">
        <f t="shared" si="148"/>
        <v>169.55868564318885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4.3150576006422972</v>
      </c>
      <c r="CL190" s="21">
        <f>EXP(-LN(2)/25)*CL189+(1-EXP(-LN(2)/25))/(LN(2)/25)*Calculateur!CG190*Calculateur!CI190*VLOOKUP('Données projet'!$B$12,Paramètres!$A$1:$I$89,3,0)*0.475*44/12</f>
        <v>0.77255099394821336</v>
      </c>
      <c r="CM190" s="21">
        <f>EXP(-LN(2)/2)*CM189+(1-EXP(-LN(2)/2))/(LN(2)/2)*CG190*CJ190*VLOOKUP('Données projet'!$B$12,Paramètres!$A$1:$I$89,3,0)*0.475*44/12</f>
        <v>4.5012963171518214E-14</v>
      </c>
      <c r="CN190" s="22">
        <f t="shared" si="172"/>
        <v>5.0876085945905558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469.5773392354356</v>
      </c>
      <c r="T191" s="59">
        <f t="shared" si="142"/>
        <v>187.25344022835239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160.75997996920628</v>
      </c>
      <c r="AA191" s="21">
        <f>EXP(-LN(2)/25)*AA190+(1-EXP(-LN(2)/25))/(LN(2)/25)*Calculateur!V191*Calculateur!X191*VLOOKUP('Données projet'!$B$9,Paramètres!$A$1:$I$89,3,0)*0.475*44/12</f>
        <v>18.305344257985404</v>
      </c>
      <c r="AB191" s="21">
        <f>EXP(-LN(2)/2)*AB190+(1-EXP(-LN(2)/2))/(LN(2)/2)*V191*Y191*VLOOKUP('Données projet'!$B$9,Paramètres!$A$1:$I$89,3,0)*0.475*44/12</f>
        <v>2.2048106836208703</v>
      </c>
      <c r="AC191" s="22">
        <f t="shared" si="163"/>
        <v>181.27013491081257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252.99999999999994</v>
      </c>
      <c r="AJ191" s="13">
        <f>AI191*VLOOKUP('Données projet'!$B$10,Paramètres!$A$1:$I$89,3,0)*VLOOKUP('Données projet'!$B$10,Paramètres!$A$1:$I$89,5,0)</f>
        <v>244.70159999999993</v>
      </c>
      <c r="AK191" s="13">
        <f t="shared" si="164"/>
        <v>59.44995761550765</v>
      </c>
      <c r="AL191" s="20">
        <f t="shared" si="165"/>
        <v>529.73062951367569</v>
      </c>
      <c r="AM191" s="59">
        <f t="shared" si="113"/>
        <v>819.64902665235593</v>
      </c>
      <c r="AN191" s="59">
        <f ca="1">AVERAGE(OFFSET($AM$3,0,0,'Données projet'!$E$10+1,1))-AVERAGE(OFFSET($H$3,0,0,'Données projet'!$E$10+1,1))</f>
        <v>370.91255999489181</v>
      </c>
      <c r="AO191" s="59">
        <f t="shared" si="144"/>
        <v>196.07869248605735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14.987853441607909</v>
      </c>
      <c r="AV191" s="21">
        <f>EXP(-LN(2)/25)*AV190+(1-EXP(-LN(2)/25))/(LN(2)/25)*Calculateur!AQ191*Calculateur!AS191*VLOOKUP('Données projet'!$B$10,Paramètres!$A$1:$I$89,3,0)*0.475*44/12</f>
        <v>1.6229353926227481</v>
      </c>
      <c r="AW191" s="21">
        <f>EXP(-LN(2)/2)*AW190+(1-EXP(-LN(2)/2))/(LN(2)/2)*AQ191*AT191*VLOOKUP('Données projet'!$B$10,Paramètres!$A$1:$I$89,3,0)*0.475*44/12</f>
        <v>1.2076803708424668E-9</v>
      </c>
      <c r="AX191" s="21">
        <f t="shared" si="166"/>
        <v>16.610788835438338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252.99999999999994</v>
      </c>
      <c r="BE191" s="13">
        <f>BD191*VLOOKUP('Données projet'!$B$11,Paramètres!$A$1:$I$89,3,0)*VLOOKUP('Données projet'!$B$11,Paramètres!$A$1:$I$89,5,0)</f>
        <v>272.3291999999999</v>
      </c>
      <c r="BF191" s="13">
        <f t="shared" si="167"/>
        <v>65.34333692428207</v>
      </c>
      <c r="BG191" s="20">
        <f t="shared" si="168"/>
        <v>588.11300180979117</v>
      </c>
      <c r="BH191" s="59">
        <f t="shared" si="116"/>
        <v>878.03139894847141</v>
      </c>
      <c r="BI191" s="59">
        <f ca="1">AVERAGE(OFFSET($BH$3,0,0,'Données projet'!$E$11+1,1))-AVERAGE(OFFSET($H$3,0,0,'Données projet'!$E$11+1,1))</f>
        <v>404.24955007425774</v>
      </c>
      <c r="BJ191" s="59">
        <f t="shared" si="146"/>
        <v>211.49137630071019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16.680030443079769</v>
      </c>
      <c r="BQ191" s="21">
        <f>EXP(-LN(2)/25)*BQ190+(1-EXP(-LN(2)/25))/(LN(2)/25)*Calculateur!BL191*Calculateur!BN191*VLOOKUP('Données projet'!$B$11,Paramètres!$A$1:$I$89,3,0)*0.475*44/12</f>
        <v>1.8061700337253168</v>
      </c>
      <c r="BR191" s="21">
        <f>EXP(-LN(2)/2)*BR190+(1-EXP(-LN(2)/2))/(LN(2)/2)*BL191*BO191*VLOOKUP('Données projet'!$B$11,Paramètres!$A$1:$I$89,3,0)*0.475*44/12</f>
        <v>1.3440313804537126E-9</v>
      </c>
      <c r="BS191" s="22">
        <f t="shared" si="169"/>
        <v>18.486200478149115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195.99999999999994</v>
      </c>
      <c r="BZ191" s="13">
        <f>BY191*VLOOKUP('Données projet'!$B$12,Paramètres!$A$1:$I$89,3,0)*VLOOKUP('Données projet'!$B$12,Paramètres!$A$1:$I$89,5,0)</f>
        <v>152.87999999999997</v>
      </c>
      <c r="CA191" s="13">
        <f t="shared" si="170"/>
        <v>39.232349774697852</v>
      </c>
      <c r="CB191" s="20">
        <f t="shared" si="171"/>
        <v>334.59567585759868</v>
      </c>
      <c r="CC191" s="59">
        <f t="shared" si="119"/>
        <v>624.51407299627886</v>
      </c>
      <c r="CD191" s="59">
        <f ca="1">AVERAGE(OFFSET($CC$3,0,0,'Données projet'!$E$12+1,1))-AVERAGE(OFFSET($H$3,0,0,'Données projet'!$E$12+1,1))</f>
        <v>250.01410333089137</v>
      </c>
      <c r="CE191" s="59">
        <f t="shared" si="148"/>
        <v>169.55868564318885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4.230441953018957</v>
      </c>
      <c r="CL191" s="21">
        <f>EXP(-LN(2)/25)*CL190+(1-EXP(-LN(2)/25))/(LN(2)/25)*Calculateur!CG191*Calculateur!CI191*VLOOKUP('Données projet'!$B$12,Paramètres!$A$1:$I$89,3,0)*0.475*44/12</f>
        <v>0.75142554639200843</v>
      </c>
      <c r="CM191" s="21">
        <f>EXP(-LN(2)/2)*CM190+(1-EXP(-LN(2)/2))/(LN(2)/2)*CG191*CJ191*VLOOKUP('Données projet'!$B$12,Paramètres!$A$1:$I$89,3,0)*0.475*44/12</f>
        <v>3.1828971499880851E-14</v>
      </c>
      <c r="CN191" s="22">
        <f t="shared" si="172"/>
        <v>4.9818674994109973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469.5773392354356</v>
      </c>
      <c r="T192" s="59">
        <f t="shared" si="142"/>
        <v>187.25344022835239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157.60757481591591</v>
      </c>
      <c r="AA192" s="21">
        <f>EXP(-LN(2)/25)*AA191+(1-EXP(-LN(2)/25))/(LN(2)/25)*Calculateur!V192*Calculateur!X192*VLOOKUP('Données projet'!$B$9,Paramètres!$A$1:$I$89,3,0)*0.475*44/12</f>
        <v>17.804783656614575</v>
      </c>
      <c r="AB192" s="21">
        <f>EXP(-LN(2)/2)*AB191+(1-EXP(-LN(2)/2))/(LN(2)/2)*V192*Y192*VLOOKUP('Données projet'!$B$9,Paramètres!$A$1:$I$89,3,0)*0.475*44/12</f>
        <v>1.559036585620865</v>
      </c>
      <c r="AC192" s="22">
        <f t="shared" si="163"/>
        <v>176.97139505815136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252.99999999999994</v>
      </c>
      <c r="AJ192" s="13">
        <f>AI192*VLOOKUP('Données projet'!$B$10,Paramètres!$A$1:$I$89,3,0)*VLOOKUP('Données projet'!$B$10,Paramètres!$A$1:$I$89,5,0)</f>
        <v>244.70159999999993</v>
      </c>
      <c r="AK192" s="13">
        <f t="shared" si="164"/>
        <v>59.44995761550765</v>
      </c>
      <c r="AL192" s="20">
        <f t="shared" si="165"/>
        <v>529.73062951367569</v>
      </c>
      <c r="AM192" s="59">
        <f t="shared" si="113"/>
        <v>819.70826816067961</v>
      </c>
      <c r="AN192" s="59">
        <f ca="1">AVERAGE(OFFSET($AM$3,0,0,'Données projet'!$E$10+1,1))-AVERAGE(OFFSET($H$3,0,0,'Données projet'!$E$10+1,1))</f>
        <v>370.91255999489181</v>
      </c>
      <c r="AO192" s="59">
        <f t="shared" si="144"/>
        <v>196.07869248605735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14.693950777305909</v>
      </c>
      <c r="AV192" s="21">
        <f>EXP(-LN(2)/25)*AV191+(1-EXP(-LN(2)/25))/(LN(2)/25)*Calculateur!AQ192*Calculateur!AS192*VLOOKUP('Données projet'!$B$10,Paramètres!$A$1:$I$89,3,0)*0.475*44/12</f>
        <v>1.578556138965016</v>
      </c>
      <c r="AW192" s="21">
        <f>EXP(-LN(2)/2)*AW191+(1-EXP(-LN(2)/2))/(LN(2)/2)*AQ192*AT192*VLOOKUP('Données projet'!$B$10,Paramètres!$A$1:$I$89,3,0)*0.475*44/12</f>
        <v>8.5395897972859276E-10</v>
      </c>
      <c r="AX192" s="21">
        <f t="shared" si="166"/>
        <v>16.272506917124883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252.99999999999994</v>
      </c>
      <c r="BE192" s="13">
        <f>BD192*VLOOKUP('Données projet'!$B$11,Paramètres!$A$1:$I$89,3,0)*VLOOKUP('Données projet'!$B$11,Paramètres!$A$1:$I$89,5,0)</f>
        <v>272.3291999999999</v>
      </c>
      <c r="BF192" s="13">
        <f t="shared" si="167"/>
        <v>65.34333692428207</v>
      </c>
      <c r="BG192" s="20">
        <f t="shared" si="168"/>
        <v>588.11300180979117</v>
      </c>
      <c r="BH192" s="59">
        <f t="shared" si="116"/>
        <v>878.09064045679497</v>
      </c>
      <c r="BI192" s="59">
        <f ca="1">AVERAGE(OFFSET($BH$3,0,0,'Données projet'!$E$11+1,1))-AVERAGE(OFFSET($H$3,0,0,'Données projet'!$E$11+1,1))</f>
        <v>404.24955007425774</v>
      </c>
      <c r="BJ192" s="59">
        <f t="shared" si="146"/>
        <v>211.49137630071019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16.352945219904964</v>
      </c>
      <c r="BQ192" s="21">
        <f>EXP(-LN(2)/25)*BQ191+(1-EXP(-LN(2)/25))/(LN(2)/25)*Calculateur!BL192*Calculateur!BN192*VLOOKUP('Données projet'!$B$11,Paramètres!$A$1:$I$89,3,0)*0.475*44/12</f>
        <v>1.756780219170744</v>
      </c>
      <c r="BR192" s="21">
        <f>EXP(-LN(2)/2)*BR191+(1-EXP(-LN(2)/2))/(LN(2)/2)*BL192*BO192*VLOOKUP('Données projet'!$B$11,Paramètres!$A$1:$I$89,3,0)*0.475*44/12</f>
        <v>9.5037370324633673E-10</v>
      </c>
      <c r="BS192" s="22">
        <f t="shared" si="169"/>
        <v>18.109725440026079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195.99999999999994</v>
      </c>
      <c r="BZ192" s="13">
        <f>BY192*VLOOKUP('Données projet'!$B$12,Paramètres!$A$1:$I$89,3,0)*VLOOKUP('Données projet'!$B$12,Paramètres!$A$1:$I$89,5,0)</f>
        <v>152.87999999999997</v>
      </c>
      <c r="CA192" s="13">
        <f t="shared" si="170"/>
        <v>39.232349774697852</v>
      </c>
      <c r="CB192" s="20">
        <f t="shared" si="171"/>
        <v>334.59567585759868</v>
      </c>
      <c r="CC192" s="59">
        <f t="shared" si="119"/>
        <v>624.57331450460254</v>
      </c>
      <c r="CD192" s="59">
        <f ca="1">AVERAGE(OFFSET($CC$3,0,0,'Données projet'!$E$12+1,1))-AVERAGE(OFFSET($H$3,0,0,'Données projet'!$E$12+1,1))</f>
        <v>250.01410333089137</v>
      </c>
      <c r="CE192" s="59">
        <f t="shared" si="148"/>
        <v>169.55868564318885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4.1474855666350621</v>
      </c>
      <c r="CL192" s="21">
        <f>EXP(-LN(2)/25)*CL191+(1-EXP(-LN(2)/25))/(LN(2)/25)*Calculateur!CG192*Calculateur!CI192*VLOOKUP('Données projet'!$B$12,Paramètres!$A$1:$I$89,3,0)*0.475*44/12</f>
        <v>0.73087777531016684</v>
      </c>
      <c r="CM192" s="21">
        <f>EXP(-LN(2)/2)*CM191+(1-EXP(-LN(2)/2))/(LN(2)/2)*CG192*CJ192*VLOOKUP('Données projet'!$B$12,Paramètres!$A$1:$I$89,3,0)*0.475*44/12</f>
        <v>2.2506481585759107E-14</v>
      </c>
      <c r="CN192" s="22">
        <f t="shared" si="172"/>
        <v>4.878363341945251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469.5773392354356</v>
      </c>
      <c r="T193" s="59">
        <f t="shared" si="142"/>
        <v>187.25344022835239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154.51698640490429</v>
      </c>
      <c r="AA193" s="21">
        <f>EXP(-LN(2)/25)*AA192+(1-EXP(-LN(2)/25))/(LN(2)/25)*Calculateur!V193*Calculateur!X193*VLOOKUP('Données projet'!$B$9,Paramètres!$A$1:$I$89,3,0)*0.475*44/12</f>
        <v>17.31791091121157</v>
      </c>
      <c r="AB193" s="21">
        <f>EXP(-LN(2)/2)*AB192+(1-EXP(-LN(2)/2))/(LN(2)/2)*V193*Y193*VLOOKUP('Données projet'!$B$9,Paramètres!$A$1:$I$89,3,0)*0.475*44/12</f>
        <v>1.1024053418104351</v>
      </c>
      <c r="AC193" s="22">
        <f t="shared" si="163"/>
        <v>172.9373026579263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252.99999999999994</v>
      </c>
      <c r="AJ193" s="13">
        <f>AI193*VLOOKUP('Données projet'!$B$10,Paramètres!$A$1:$I$89,3,0)*VLOOKUP('Données projet'!$B$10,Paramètres!$A$1:$I$89,5,0)</f>
        <v>244.70159999999993</v>
      </c>
      <c r="AK193" s="13">
        <f t="shared" si="164"/>
        <v>59.44995761550765</v>
      </c>
      <c r="AL193" s="20">
        <f t="shared" si="165"/>
        <v>529.73062951367569</v>
      </c>
      <c r="AM193" s="59">
        <f t="shared" si="113"/>
        <v>819.76648196127803</v>
      </c>
      <c r="AN193" s="59">
        <f ca="1">AVERAGE(OFFSET($AM$3,0,0,'Données projet'!$E$10+1,1))-AVERAGE(OFFSET($H$3,0,0,'Données projet'!$E$10+1,1))</f>
        <v>370.91255999489181</v>
      </c>
      <c r="AO193" s="59">
        <f t="shared" si="144"/>
        <v>196.07869248605735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14.405811364987949</v>
      </c>
      <c r="AV193" s="21">
        <f>EXP(-LN(2)/25)*AV192+(1-EXP(-LN(2)/25))/(LN(2)/25)*Calculateur!AQ193*Calculateur!AS193*VLOOKUP('Données projet'!$B$10,Paramètres!$A$1:$I$89,3,0)*0.475*44/12</f>
        <v>1.5353904383323582</v>
      </c>
      <c r="AW193" s="21">
        <f>EXP(-LN(2)/2)*AW192+(1-EXP(-LN(2)/2))/(LN(2)/2)*AQ193*AT193*VLOOKUP('Données projet'!$B$10,Paramètres!$A$1:$I$89,3,0)*0.475*44/12</f>
        <v>6.0384018542123341E-10</v>
      </c>
      <c r="AX193" s="21">
        <f t="shared" si="166"/>
        <v>15.941201803924148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252.99999999999994</v>
      </c>
      <c r="BE193" s="13">
        <f>BD193*VLOOKUP('Données projet'!$B$11,Paramètres!$A$1:$I$89,3,0)*VLOOKUP('Données projet'!$B$11,Paramètres!$A$1:$I$89,5,0)</f>
        <v>272.3291999999999</v>
      </c>
      <c r="BF193" s="13">
        <f t="shared" si="167"/>
        <v>65.34333692428207</v>
      </c>
      <c r="BG193" s="20">
        <f t="shared" si="168"/>
        <v>588.11300180979117</v>
      </c>
      <c r="BH193" s="59">
        <f t="shared" si="116"/>
        <v>878.1488542573934</v>
      </c>
      <c r="BI193" s="59">
        <f ca="1">AVERAGE(OFFSET($BH$3,0,0,'Données projet'!$E$11+1,1))-AVERAGE(OFFSET($H$3,0,0,'Données projet'!$E$11+1,1))</f>
        <v>404.24955007425774</v>
      </c>
      <c r="BJ193" s="59">
        <f t="shared" si="146"/>
        <v>211.49137630071019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16.032273938454331</v>
      </c>
      <c r="BQ193" s="21">
        <f>EXP(-LN(2)/25)*BQ192+(1-EXP(-LN(2)/25))/(LN(2)/25)*Calculateur!BL193*Calculateur!BN193*VLOOKUP('Données projet'!$B$11,Paramètres!$A$1:$I$89,3,0)*0.475*44/12</f>
        <v>1.7087409716924635</v>
      </c>
      <c r="BR193" s="21">
        <f>EXP(-LN(2)/2)*BR192+(1-EXP(-LN(2)/2))/(LN(2)/2)*BL193*BO193*VLOOKUP('Données projet'!$B$11,Paramètres!$A$1:$I$89,3,0)*0.475*44/12</f>
        <v>6.720156902268563E-10</v>
      </c>
      <c r="BS193" s="22">
        <f t="shared" si="169"/>
        <v>17.741014910818812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195.99999999999994</v>
      </c>
      <c r="BZ193" s="13">
        <f>BY193*VLOOKUP('Données projet'!$B$12,Paramètres!$A$1:$I$89,3,0)*VLOOKUP('Données projet'!$B$12,Paramètres!$A$1:$I$89,5,0)</f>
        <v>152.87999999999997</v>
      </c>
      <c r="CA193" s="13">
        <f t="shared" si="170"/>
        <v>39.232349774697852</v>
      </c>
      <c r="CB193" s="20">
        <f t="shared" si="171"/>
        <v>334.59567585759868</v>
      </c>
      <c r="CC193" s="59">
        <f t="shared" si="119"/>
        <v>624.63152830520096</v>
      </c>
      <c r="CD193" s="59">
        <f ca="1">AVERAGE(OFFSET($CC$3,0,0,'Données projet'!$E$12+1,1))-AVERAGE(OFFSET($H$3,0,0,'Données projet'!$E$12+1,1))</f>
        <v>250.01410333089137</v>
      </c>
      <c r="CE193" s="59">
        <f t="shared" si="148"/>
        <v>169.55868564318885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4.0661559043897553</v>
      </c>
      <c r="CL193" s="21">
        <f>EXP(-LN(2)/25)*CL192+(1-EXP(-LN(2)/25))/(LN(2)/25)*Calculateur!CG193*Calculateur!CI193*VLOOKUP('Données projet'!$B$12,Paramètres!$A$1:$I$89,3,0)*0.475*44/12</f>
        <v>0.71089188410911852</v>
      </c>
      <c r="CM193" s="21">
        <f>EXP(-LN(2)/2)*CM192+(1-EXP(-LN(2)/2))/(LN(2)/2)*CG193*CJ193*VLOOKUP('Données projet'!$B$12,Paramètres!$A$1:$I$89,3,0)*0.475*44/12</f>
        <v>1.5914485749940426E-14</v>
      </c>
      <c r="CN193" s="22">
        <f t="shared" si="172"/>
        <v>4.7770477884988898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469.5773392354356</v>
      </c>
      <c r="T194" s="59">
        <f t="shared" si="142"/>
        <v>187.25344022835239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151.4870025475598</v>
      </c>
      <c r="AA194" s="21">
        <f>EXP(-LN(2)/25)*AA193+(1-EXP(-LN(2)/25))/(LN(2)/25)*Calculateur!V194*Calculateur!X194*VLOOKUP('Données projet'!$B$9,Paramètres!$A$1:$I$89,3,0)*0.475*44/12</f>
        <v>16.844351726635136</v>
      </c>
      <c r="AB194" s="21">
        <f>EXP(-LN(2)/2)*AB193+(1-EXP(-LN(2)/2))/(LN(2)/2)*V194*Y194*VLOOKUP('Données projet'!$B$9,Paramètres!$A$1:$I$89,3,0)*0.475*44/12</f>
        <v>0.7795182928104325</v>
      </c>
      <c r="AC194" s="22">
        <f t="shared" si="163"/>
        <v>169.11087256700534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252.99999999999994</v>
      </c>
      <c r="AJ194" s="13">
        <f>AI194*VLOOKUP('Données projet'!$B$10,Paramètres!$A$1:$I$89,3,0)*VLOOKUP('Données projet'!$B$10,Paramètres!$A$1:$I$89,5,0)</f>
        <v>244.70159999999993</v>
      </c>
      <c r="AK194" s="13">
        <f t="shared" si="164"/>
        <v>59.44995761550765</v>
      </c>
      <c r="AL194" s="20">
        <f t="shared" si="165"/>
        <v>529.73062951367569</v>
      </c>
      <c r="AM194" s="59">
        <f t="shared" si="113"/>
        <v>819.82368588258259</v>
      </c>
      <c r="AN194" s="59">
        <f ca="1">AVERAGE(OFFSET($AM$3,0,0,'Données projet'!$E$10+1,1))-AVERAGE(OFFSET($H$3,0,0,'Données projet'!$E$10+1,1))</f>
        <v>370.91255999489181</v>
      </c>
      <c r="AO194" s="59">
        <f t="shared" si="144"/>
        <v>196.07869248605735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14.123322190797856</v>
      </c>
      <c r="AV194" s="21">
        <f>EXP(-LN(2)/25)*AV193+(1-EXP(-LN(2)/25))/(LN(2)/25)*Calculateur!AQ194*Calculateur!AS194*VLOOKUP('Données projet'!$B$10,Paramètres!$A$1:$I$89,3,0)*0.475*44/12</f>
        <v>1.4934051060534859</v>
      </c>
      <c r="AW194" s="21">
        <f>EXP(-LN(2)/2)*AW193+(1-EXP(-LN(2)/2))/(LN(2)/2)*AQ194*AT194*VLOOKUP('Données projet'!$B$10,Paramètres!$A$1:$I$89,3,0)*0.475*44/12</f>
        <v>4.2697948986429638E-10</v>
      </c>
      <c r="AX194" s="21">
        <f t="shared" si="166"/>
        <v>15.61672729727832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252.99999999999994</v>
      </c>
      <c r="BE194" s="13">
        <f>BD194*VLOOKUP('Données projet'!$B$11,Paramètres!$A$1:$I$89,3,0)*VLOOKUP('Données projet'!$B$11,Paramètres!$A$1:$I$89,5,0)</f>
        <v>272.3291999999999</v>
      </c>
      <c r="BF194" s="13">
        <f t="shared" si="167"/>
        <v>65.34333692428207</v>
      </c>
      <c r="BG194" s="20">
        <f t="shared" si="168"/>
        <v>588.11300180979117</v>
      </c>
      <c r="BH194" s="59">
        <f t="shared" si="116"/>
        <v>878.20605817869796</v>
      </c>
      <c r="BI194" s="59">
        <f ca="1">AVERAGE(OFFSET($BH$3,0,0,'Données projet'!$E$11+1,1))-AVERAGE(OFFSET($H$3,0,0,'Données projet'!$E$11+1,1))</f>
        <v>404.24955007425774</v>
      </c>
      <c r="BJ194" s="59">
        <f t="shared" si="146"/>
        <v>211.49137630071019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15.717890825242776</v>
      </c>
      <c r="BQ194" s="21">
        <f>EXP(-LN(2)/25)*BQ193+(1-EXP(-LN(2)/25))/(LN(2)/25)*Calculateur!BL194*Calculateur!BN194*VLOOKUP('Données projet'!$B$11,Paramètres!$A$1:$I$89,3,0)*0.475*44/12</f>
        <v>1.6620153599627507</v>
      </c>
      <c r="BR194" s="21">
        <f>EXP(-LN(2)/2)*BR193+(1-EXP(-LN(2)/2))/(LN(2)/2)*BL194*BO194*VLOOKUP('Données projet'!$B$11,Paramètres!$A$1:$I$89,3,0)*0.475*44/12</f>
        <v>4.7518685162316837E-10</v>
      </c>
      <c r="BS194" s="22">
        <f t="shared" si="169"/>
        <v>17.379906185680714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195.99999999999994</v>
      </c>
      <c r="BZ194" s="13">
        <f>BY194*VLOOKUP('Données projet'!$B$12,Paramètres!$A$1:$I$89,3,0)*VLOOKUP('Données projet'!$B$12,Paramètres!$A$1:$I$89,5,0)</f>
        <v>152.87999999999997</v>
      </c>
      <c r="CA194" s="13">
        <f t="shared" si="170"/>
        <v>39.232349774697852</v>
      </c>
      <c r="CB194" s="20">
        <f t="shared" si="171"/>
        <v>334.59567585759868</v>
      </c>
      <c r="CC194" s="59">
        <f t="shared" si="119"/>
        <v>624.68873222650552</v>
      </c>
      <c r="CD194" s="59">
        <f ca="1">AVERAGE(OFFSET($CC$3,0,0,'Données projet'!$E$12+1,1))-AVERAGE(OFFSET($H$3,0,0,'Données projet'!$E$12+1,1))</f>
        <v>250.01410333089137</v>
      </c>
      <c r="CE194" s="59">
        <f t="shared" si="148"/>
        <v>169.55868564318885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3.9864210672148834</v>
      </c>
      <c r="CL194" s="21">
        <f>EXP(-LN(2)/25)*CL193+(1-EXP(-LN(2)/25))/(LN(2)/25)*Calculateur!CG194*Calculateur!CI194*VLOOKUP('Données projet'!$B$12,Paramètres!$A$1:$I$89,3,0)*0.475*44/12</f>
        <v>0.6914525081539753</v>
      </c>
      <c r="CM194" s="21">
        <f>EXP(-LN(2)/2)*CM193+(1-EXP(-LN(2)/2))/(LN(2)/2)*CG194*CJ194*VLOOKUP('Données projet'!$B$12,Paramètres!$A$1:$I$89,3,0)*0.475*44/12</f>
        <v>1.1253240792879553E-14</v>
      </c>
      <c r="CN194" s="22">
        <f t="shared" si="172"/>
        <v>4.6778735753688698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469.5773392354356</v>
      </c>
      <c r="T195" s="59">
        <f t="shared" si="142"/>
        <v>187.25344022835239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148.51643482555016</v>
      </c>
      <c r="AA195" s="21">
        <f>EXP(-LN(2)/25)*AA194+(1-EXP(-LN(2)/25))/(LN(2)/25)*Calculateur!V195*Calculateur!X195*VLOOKUP('Données projet'!$B$9,Paramètres!$A$1:$I$89,3,0)*0.475*44/12</f>
        <v>16.383742042864338</v>
      </c>
      <c r="AB195" s="21">
        <f>EXP(-LN(2)/2)*AB194+(1-EXP(-LN(2)/2))/(LN(2)/2)*V195*Y195*VLOOKUP('Données projet'!$B$9,Paramètres!$A$1:$I$89,3,0)*0.475*44/12</f>
        <v>0.55120267090521757</v>
      </c>
      <c r="AC195" s="22">
        <f t="shared" si="163"/>
        <v>165.4513795393197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252.99999999999994</v>
      </c>
      <c r="AJ195" s="13">
        <f>AI195*VLOOKUP('Données projet'!$B$10,Paramètres!$A$1:$I$89,3,0)*VLOOKUP('Données projet'!$B$10,Paramètres!$A$1:$I$89,5,0)</f>
        <v>244.70159999999993</v>
      </c>
      <c r="AK195" s="13">
        <f t="shared" si="164"/>
        <v>59.44995761550765</v>
      </c>
      <c r="AL195" s="20">
        <f t="shared" si="165"/>
        <v>529.73062951367569</v>
      </c>
      <c r="AM195" s="59">
        <f t="shared" si="113"/>
        <v>819.87989744374136</v>
      </c>
      <c r="AN195" s="59">
        <f ca="1">AVERAGE(OFFSET($AM$3,0,0,'Données projet'!$E$10+1,1))-AVERAGE(OFFSET($H$3,0,0,'Données projet'!$E$10+1,1))</f>
        <v>370.91255999489181</v>
      </c>
      <c r="AO195" s="59">
        <f t="shared" si="144"/>
        <v>196.07869248605735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13.846372457012247</v>
      </c>
      <c r="AV195" s="21">
        <f>EXP(-LN(2)/25)*AV194+(1-EXP(-LN(2)/25))/(LN(2)/25)*Calculateur!AQ195*Calculateur!AS195*VLOOKUP('Données projet'!$B$10,Paramètres!$A$1:$I$89,3,0)*0.475*44/12</f>
        <v>1.4525678648936919</v>
      </c>
      <c r="AW195" s="21">
        <f>EXP(-LN(2)/2)*AW194+(1-EXP(-LN(2)/2))/(LN(2)/2)*AQ195*AT195*VLOOKUP('Données projet'!$B$10,Paramètres!$A$1:$I$89,3,0)*0.475*44/12</f>
        <v>3.019200927106167E-10</v>
      </c>
      <c r="AX195" s="21">
        <f t="shared" si="166"/>
        <v>15.298940322207859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252.99999999999994</v>
      </c>
      <c r="BE195" s="13">
        <f>BD195*VLOOKUP('Données projet'!$B$11,Paramètres!$A$1:$I$89,3,0)*VLOOKUP('Données projet'!$B$11,Paramètres!$A$1:$I$89,5,0)</f>
        <v>272.3291999999999</v>
      </c>
      <c r="BF195" s="13">
        <f t="shared" si="167"/>
        <v>65.34333692428207</v>
      </c>
      <c r="BG195" s="20">
        <f t="shared" si="168"/>
        <v>588.11300180979117</v>
      </c>
      <c r="BH195" s="59">
        <f t="shared" si="116"/>
        <v>878.26226973985683</v>
      </c>
      <c r="BI195" s="59">
        <f ca="1">AVERAGE(OFFSET($BH$3,0,0,'Données projet'!$E$11+1,1))-AVERAGE(OFFSET($H$3,0,0,'Données projet'!$E$11+1,1))</f>
        <v>404.24955007425774</v>
      </c>
      <c r="BJ195" s="59">
        <f t="shared" si="146"/>
        <v>211.49137630071019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15.409672573126533</v>
      </c>
      <c r="BQ195" s="21">
        <f>EXP(-LN(2)/25)*BQ194+(1-EXP(-LN(2)/25))/(LN(2)/25)*Calculateur!BL195*Calculateur!BN195*VLOOKUP('Données projet'!$B$11,Paramètres!$A$1:$I$89,3,0)*0.475*44/12</f>
        <v>1.6165674625429802</v>
      </c>
      <c r="BR195" s="21">
        <f>EXP(-LN(2)/2)*BR194+(1-EXP(-LN(2)/2))/(LN(2)/2)*BL195*BO195*VLOOKUP('Données projet'!$B$11,Paramètres!$A$1:$I$89,3,0)*0.475*44/12</f>
        <v>3.3600784511342815E-10</v>
      </c>
      <c r="BS195" s="22">
        <f t="shared" si="169"/>
        <v>17.026240036005522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195.99999999999994</v>
      </c>
      <c r="BZ195" s="13">
        <f>BY195*VLOOKUP('Données projet'!$B$12,Paramètres!$A$1:$I$89,3,0)*VLOOKUP('Données projet'!$B$12,Paramètres!$A$1:$I$89,5,0)</f>
        <v>152.87999999999997</v>
      </c>
      <c r="CA195" s="13">
        <f t="shared" si="170"/>
        <v>39.232349774697852</v>
      </c>
      <c r="CB195" s="20">
        <f t="shared" si="171"/>
        <v>334.59567585759868</v>
      </c>
      <c r="CC195" s="59">
        <f t="shared" si="119"/>
        <v>624.7449437876644</v>
      </c>
      <c r="CD195" s="59">
        <f ca="1">AVERAGE(OFFSET($CC$3,0,0,'Données projet'!$E$12+1,1))-AVERAGE(OFFSET($H$3,0,0,'Données projet'!$E$12+1,1))</f>
        <v>250.01410333089137</v>
      </c>
      <c r="CE195" s="59">
        <f t="shared" si="148"/>
        <v>169.55868564318885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3.9082497815635624</v>
      </c>
      <c r="CL195" s="21">
        <f>EXP(-LN(2)/25)*CL194+(1-EXP(-LN(2)/25))/(LN(2)/25)*Calculateur!CG195*Calculateur!CI195*VLOOKUP('Données projet'!$B$12,Paramètres!$A$1:$I$89,3,0)*0.475*44/12</f>
        <v>0.67254470295659774</v>
      </c>
      <c r="CM195" s="21">
        <f>EXP(-LN(2)/2)*CM194+(1-EXP(-LN(2)/2))/(LN(2)/2)*CG195*CJ195*VLOOKUP('Données projet'!$B$12,Paramètres!$A$1:$I$89,3,0)*0.475*44/12</f>
        <v>7.9572428749702128E-15</v>
      </c>
      <c r="CN195" s="22">
        <f t="shared" si="172"/>
        <v>4.580794484520168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469.5773392354356</v>
      </c>
      <c r="T196" s="59">
        <f t="shared" si="142"/>
        <v>187.25344022835239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145.60411812470173</v>
      </c>
      <c r="AA196" s="21">
        <f>EXP(-LN(2)/25)*AA195+(1-EXP(-LN(2)/25))/(LN(2)/25)*Calculateur!V196*Calculateur!X196*VLOOKUP('Données projet'!$B$9,Paramètres!$A$1:$I$89,3,0)*0.475*44/12</f>
        <v>15.935727755118664</v>
      </c>
      <c r="AB196" s="21">
        <f>EXP(-LN(2)/2)*AB195+(1-EXP(-LN(2)/2))/(LN(2)/2)*V196*Y196*VLOOKUP('Données projet'!$B$9,Paramètres!$A$1:$I$89,3,0)*0.475*44/12</f>
        <v>0.38975914640521625</v>
      </c>
      <c r="AC196" s="22">
        <f t="shared" si="163"/>
        <v>161.92960502622563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252.99999999999994</v>
      </c>
      <c r="AJ196" s="13">
        <f>AI196*VLOOKUP('Données projet'!$B$10,Paramètres!$A$1:$I$89,3,0)*VLOOKUP('Données projet'!$B$10,Paramètres!$A$1:$I$89,5,0)</f>
        <v>244.70159999999993</v>
      </c>
      <c r="AK196" s="13">
        <f t="shared" si="164"/>
        <v>59.44995761550765</v>
      </c>
      <c r="AL196" s="20">
        <f t="shared" si="165"/>
        <v>529.73062951367569</v>
      </c>
      <c r="AM196" s="59">
        <f t="shared" ref="AM196:AM203" si="193">AL196+(AD196+AE196)*44/12</f>
        <v>819.93513385998426</v>
      </c>
      <c r="AN196" s="59">
        <f ca="1">AVERAGE(OFFSET($AM$3,0,0,'Données projet'!$E$10+1,1))-AVERAGE(OFFSET($H$3,0,0,'Données projet'!$E$10+1,1))</f>
        <v>370.91255999489181</v>
      </c>
      <c r="AO196" s="59">
        <f t="shared" si="144"/>
        <v>196.07869248605735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13.574853538583517</v>
      </c>
      <c r="AV196" s="21">
        <f>EXP(-LN(2)/25)*AV195+(1-EXP(-LN(2)/25))/(LN(2)/25)*Calculateur!AQ196*Calculateur!AS196*VLOOKUP('Données projet'!$B$10,Paramètres!$A$1:$I$89,3,0)*0.475*44/12</f>
        <v>1.4128473202409497</v>
      </c>
      <c r="AW196" s="21">
        <f>EXP(-LN(2)/2)*AW195+(1-EXP(-LN(2)/2))/(LN(2)/2)*AQ196*AT196*VLOOKUP('Données projet'!$B$10,Paramètres!$A$1:$I$89,3,0)*0.475*44/12</f>
        <v>2.1348974493214819E-10</v>
      </c>
      <c r="AX196" s="21">
        <f t="shared" si="166"/>
        <v>14.987700859037956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252.99999999999994</v>
      </c>
      <c r="BE196" s="13">
        <f>BD196*VLOOKUP('Données projet'!$B$11,Paramètres!$A$1:$I$89,3,0)*VLOOKUP('Données projet'!$B$11,Paramètres!$A$1:$I$89,5,0)</f>
        <v>272.3291999999999</v>
      </c>
      <c r="BF196" s="13">
        <f t="shared" si="167"/>
        <v>65.34333692428207</v>
      </c>
      <c r="BG196" s="20">
        <f t="shared" si="168"/>
        <v>588.11300180979117</v>
      </c>
      <c r="BH196" s="59">
        <f t="shared" ref="BH196:BH203" si="194">BG196+(AY196+AZ196)*44/12</f>
        <v>878.31750615609963</v>
      </c>
      <c r="BI196" s="59">
        <f ca="1">AVERAGE(OFFSET($BH$3,0,0,'Données projet'!$E$11+1,1))-AVERAGE(OFFSET($H$3,0,0,'Données projet'!$E$11+1,1))</f>
        <v>404.24955007425774</v>
      </c>
      <c r="BJ196" s="59">
        <f t="shared" si="146"/>
        <v>211.49137630071019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15.10749829293972</v>
      </c>
      <c r="BQ196" s="21">
        <f>EXP(-LN(2)/25)*BQ195+(1-EXP(-LN(2)/25))/(LN(2)/25)*Calculateur!BL196*Calculateur!BN196*VLOOKUP('Données projet'!$B$11,Paramètres!$A$1:$I$89,3,0)*0.475*44/12</f>
        <v>1.5723623402681544</v>
      </c>
      <c r="BR196" s="21">
        <f>EXP(-LN(2)/2)*BR195+(1-EXP(-LN(2)/2))/(LN(2)/2)*BL196*BO196*VLOOKUP('Données projet'!$B$11,Paramètres!$A$1:$I$89,3,0)*0.475*44/12</f>
        <v>2.3759342581158418E-10</v>
      </c>
      <c r="BS196" s="22">
        <f t="shared" si="169"/>
        <v>16.679860633445468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195.99999999999994</v>
      </c>
      <c r="BZ196" s="13">
        <f>BY196*VLOOKUP('Données projet'!$B$12,Paramètres!$A$1:$I$89,3,0)*VLOOKUP('Données projet'!$B$12,Paramètres!$A$1:$I$89,5,0)</f>
        <v>152.87999999999997</v>
      </c>
      <c r="CA196" s="13">
        <f t="shared" si="170"/>
        <v>39.232349774697852</v>
      </c>
      <c r="CB196" s="20">
        <f t="shared" si="171"/>
        <v>334.59567585759868</v>
      </c>
      <c r="CC196" s="59">
        <f t="shared" ref="CC196:CC203" si="195">CB196+(BT196+BU196)*44/12</f>
        <v>624.80018020390719</v>
      </c>
      <c r="CD196" s="59">
        <f ca="1">AVERAGE(OFFSET($CC$3,0,0,'Données projet'!$E$12+1,1))-AVERAGE(OFFSET($H$3,0,0,'Données projet'!$E$12+1,1))</f>
        <v>250.01410333089137</v>
      </c>
      <c r="CE196" s="59">
        <f t="shared" si="148"/>
        <v>169.55868564318885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3.8316113871440871</v>
      </c>
      <c r="CL196" s="21">
        <f>EXP(-LN(2)/25)*CL195+(1-EXP(-LN(2)/25))/(LN(2)/25)*Calculateur!CG196*Calculateur!CI196*VLOOKUP('Données projet'!$B$12,Paramètres!$A$1:$I$89,3,0)*0.475*44/12</f>
        <v>0.65415393268666078</v>
      </c>
      <c r="CM196" s="21">
        <f>EXP(-LN(2)/2)*CM195+(1-EXP(-LN(2)/2))/(LN(2)/2)*CG196*CJ196*VLOOKUP('Données projet'!$B$12,Paramètres!$A$1:$I$89,3,0)*0.475*44/12</f>
        <v>5.6266203964397767E-15</v>
      </c>
      <c r="CN196" s="22">
        <f t="shared" si="172"/>
        <v>4.4857653198307528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469.5773392354356</v>
      </c>
      <c r="T197" s="59">
        <f t="shared" ref="T197:T203" si="204">$T$3</f>
        <v>187.25344022835239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142.74891017801914</v>
      </c>
      <c r="AA197" s="21">
        <f>EXP(-LN(2)/25)*AA196+(1-EXP(-LN(2)/25))/(LN(2)/25)*Calculateur!V197*Calculateur!X197*VLOOKUP('Données projet'!$B$9,Paramètres!$A$1:$I$89,3,0)*0.475*44/12</f>
        <v>15.499964441631443</v>
      </c>
      <c r="AB197" s="21">
        <f>EXP(-LN(2)/2)*AB196+(1-EXP(-LN(2)/2))/(LN(2)/2)*V197*Y197*VLOOKUP('Données projet'!$B$9,Paramètres!$A$1:$I$89,3,0)*0.475*44/12</f>
        <v>0.27560133545260879</v>
      </c>
      <c r="AC197" s="22">
        <f t="shared" si="163"/>
        <v>158.52447595510321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252.99999999999994</v>
      </c>
      <c r="AJ197" s="13">
        <f>AI197*VLOOKUP('Données projet'!$B$10,Paramètres!$A$1:$I$89,3,0)*VLOOKUP('Données projet'!$B$10,Paramètres!$A$1:$I$89,5,0)</f>
        <v>244.70159999999993</v>
      </c>
      <c r="AK197" s="13">
        <f t="shared" si="164"/>
        <v>59.44995761550765</v>
      </c>
      <c r="AL197" s="20">
        <f t="shared" si="165"/>
        <v>529.73062951367569</v>
      </c>
      <c r="AM197" s="59">
        <f t="shared" si="193"/>
        <v>819.98941204789548</v>
      </c>
      <c r="AN197" s="59">
        <f ca="1">AVERAGE(OFFSET($AM$3,0,0,'Données projet'!$E$10+1,1))-AVERAGE(OFFSET($H$3,0,0,'Données projet'!$E$10+1,1))</f>
        <v>370.91255999489181</v>
      </c>
      <c r="AO197" s="59">
        <f t="shared" ref="AO197:AO203" si="205">$AO$3</f>
        <v>196.07869248605735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13.308658940534986</v>
      </c>
      <c r="AV197" s="21">
        <f>EXP(-LN(2)/25)*AV196+(1-EXP(-LN(2)/25))/(LN(2)/25)*Calculateur!AQ197*Calculateur!AS197*VLOOKUP('Données projet'!$B$10,Paramètres!$A$1:$I$89,3,0)*0.475*44/12</f>
        <v>1.3742129359705495</v>
      </c>
      <c r="AW197" s="21">
        <f>EXP(-LN(2)/2)*AW196+(1-EXP(-LN(2)/2))/(LN(2)/2)*AQ197*AT197*VLOOKUP('Données projet'!$B$10,Paramètres!$A$1:$I$89,3,0)*0.475*44/12</f>
        <v>1.5096004635530835E-10</v>
      </c>
      <c r="AX197" s="21">
        <f t="shared" si="166"/>
        <v>14.682871876656495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252.99999999999994</v>
      </c>
      <c r="BE197" s="13">
        <f>BD197*VLOOKUP('Données projet'!$B$11,Paramètres!$A$1:$I$89,3,0)*VLOOKUP('Données projet'!$B$11,Paramètres!$A$1:$I$89,5,0)</f>
        <v>272.3291999999999</v>
      </c>
      <c r="BF197" s="13">
        <f t="shared" si="167"/>
        <v>65.34333692428207</v>
      </c>
      <c r="BG197" s="20">
        <f t="shared" si="168"/>
        <v>588.11300180979117</v>
      </c>
      <c r="BH197" s="59">
        <f t="shared" si="194"/>
        <v>878.37178434401085</v>
      </c>
      <c r="BI197" s="59">
        <f ca="1">AVERAGE(OFFSET($BH$3,0,0,'Données projet'!$E$11+1,1))-AVERAGE(OFFSET($H$3,0,0,'Données projet'!$E$11+1,1))</f>
        <v>404.24955007425774</v>
      </c>
      <c r="BJ197" s="59">
        <f t="shared" ref="BJ197:BJ203" si="206">$BJ$3</f>
        <v>211.49137630071019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14.811249466079259</v>
      </c>
      <c r="BQ197" s="21">
        <f>EXP(-LN(2)/25)*BQ196+(1-EXP(-LN(2)/25))/(LN(2)/25)*Calculateur!BL197*Calculateur!BN197*VLOOKUP('Données projet'!$B$11,Paramètres!$A$1:$I$89,3,0)*0.475*44/12</f>
        <v>1.52936600938658</v>
      </c>
      <c r="BR197" s="21">
        <f>EXP(-LN(2)/2)*BR196+(1-EXP(-LN(2)/2))/(LN(2)/2)*BL197*BO197*VLOOKUP('Données projet'!$B$11,Paramètres!$A$1:$I$89,3,0)*0.475*44/12</f>
        <v>1.6800392255671408E-10</v>
      </c>
      <c r="BS197" s="22">
        <f t="shared" si="169"/>
        <v>16.340615475633843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195.99999999999994</v>
      </c>
      <c r="BZ197" s="13">
        <f>BY197*VLOOKUP('Données projet'!$B$12,Paramètres!$A$1:$I$89,3,0)*VLOOKUP('Données projet'!$B$12,Paramètres!$A$1:$I$89,5,0)</f>
        <v>152.87999999999997</v>
      </c>
      <c r="CA197" s="13">
        <f t="shared" si="170"/>
        <v>39.232349774697852</v>
      </c>
      <c r="CB197" s="20">
        <f t="shared" si="171"/>
        <v>334.59567585759868</v>
      </c>
      <c r="CC197" s="59">
        <f t="shared" si="195"/>
        <v>624.85445839181841</v>
      </c>
      <c r="CD197" s="59">
        <f ca="1">AVERAGE(OFFSET($CC$3,0,0,'Données projet'!$E$12+1,1))-AVERAGE(OFFSET($H$3,0,0,'Données projet'!$E$12+1,1))</f>
        <v>250.01410333089137</v>
      </c>
      <c r="CE197" s="59">
        <f t="shared" ref="CE197:CE203" si="207">$CE$3</f>
        <v>169.55868564318885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3.7564758248943728</v>
      </c>
      <c r="CL197" s="21">
        <f>EXP(-LN(2)/25)*CL196+(1-EXP(-LN(2)/25))/(LN(2)/25)*Calculateur!CG197*Calculateur!CI197*VLOOKUP('Données projet'!$B$12,Paramètres!$A$1:$I$89,3,0)*0.475*44/12</f>
        <v>0.63626605899688382</v>
      </c>
      <c r="CM197" s="21">
        <f>EXP(-LN(2)/2)*CM196+(1-EXP(-LN(2)/2))/(LN(2)/2)*CG197*CJ197*VLOOKUP('Données projet'!$B$12,Paramètres!$A$1:$I$89,3,0)*0.475*44/12</f>
        <v>3.9786214374851064E-15</v>
      </c>
      <c r="CN197" s="22">
        <f t="shared" si="172"/>
        <v>4.3927418838912597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469.5773392354356</v>
      </c>
      <c r="T198" s="59">
        <f t="shared" si="204"/>
        <v>187.25344022835239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139.94969111766613</v>
      </c>
      <c r="AA198" s="21">
        <f>EXP(-LN(2)/25)*AA197+(1-EXP(-LN(2)/25))/(LN(2)/25)*Calculateur!V198*Calculateur!X198*VLOOKUP('Données projet'!$B$9,Paramètres!$A$1:$I$89,3,0)*0.475*44/12</f>
        <v>15.076117098867327</v>
      </c>
      <c r="AB198" s="21">
        <f>EXP(-LN(2)/2)*AB197+(1-EXP(-LN(2)/2))/(LN(2)/2)*V198*Y198*VLOOKUP('Données projet'!$B$9,Paramètres!$A$1:$I$89,3,0)*0.475*44/12</f>
        <v>0.19487957320260813</v>
      </c>
      <c r="AC198" s="22">
        <f t="shared" si="163"/>
        <v>155.22068778973605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252.99999999999994</v>
      </c>
      <c r="AJ198" s="13">
        <f>AI198*VLOOKUP('Données projet'!$B$10,Paramètres!$A$1:$I$89,3,0)*VLOOKUP('Données projet'!$B$10,Paramètres!$A$1:$I$89,5,0)</f>
        <v>244.70159999999993</v>
      </c>
      <c r="AK198" s="13">
        <f t="shared" si="164"/>
        <v>59.44995761550765</v>
      </c>
      <c r="AL198" s="20">
        <f t="shared" si="165"/>
        <v>529.73062951367569</v>
      </c>
      <c r="AM198" s="59">
        <f t="shared" si="193"/>
        <v>820.04274863059413</v>
      </c>
      <c r="AN198" s="59">
        <f ca="1">AVERAGE(OFFSET($AM$3,0,0,'Données projet'!$E$10+1,1))-AVERAGE(OFFSET($H$3,0,0,'Données projet'!$E$10+1,1))</f>
        <v>370.91255999489181</v>
      </c>
      <c r="AO198" s="59">
        <f t="shared" si="205"/>
        <v>196.07869248605735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13.047684256191515</v>
      </c>
      <c r="AV198" s="21">
        <f>EXP(-LN(2)/25)*AV197+(1-EXP(-LN(2)/25))/(LN(2)/25)*Calculateur!AQ198*Calculateur!AS198*VLOOKUP('Données projet'!$B$10,Paramètres!$A$1:$I$89,3,0)*0.475*44/12</f>
        <v>1.3366350109697174</v>
      </c>
      <c r="AW198" s="21">
        <f>EXP(-LN(2)/2)*AW197+(1-EXP(-LN(2)/2))/(LN(2)/2)*AQ198*AT198*VLOOKUP('Données projet'!$B$10,Paramètres!$A$1:$I$89,3,0)*0.475*44/12</f>
        <v>1.0674487246607409E-10</v>
      </c>
      <c r="AX198" s="21">
        <f t="shared" si="166"/>
        <v>14.384319267267976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252.99999999999994</v>
      </c>
      <c r="BE198" s="13">
        <f>BD198*VLOOKUP('Données projet'!$B$11,Paramètres!$A$1:$I$89,3,0)*VLOOKUP('Données projet'!$B$11,Paramètres!$A$1:$I$89,5,0)</f>
        <v>272.3291999999999</v>
      </c>
      <c r="BF198" s="13">
        <f t="shared" si="167"/>
        <v>65.34333692428207</v>
      </c>
      <c r="BG198" s="20">
        <f t="shared" si="168"/>
        <v>588.11300180979117</v>
      </c>
      <c r="BH198" s="59">
        <f t="shared" si="194"/>
        <v>878.42512092670972</v>
      </c>
      <c r="BI198" s="59">
        <f ca="1">AVERAGE(OFFSET($BH$3,0,0,'Données projet'!$E$11+1,1))-AVERAGE(OFFSET($H$3,0,0,'Données projet'!$E$11+1,1))</f>
        <v>404.24955007425774</v>
      </c>
      <c r="BJ198" s="59">
        <f t="shared" si="206"/>
        <v>211.49137630071019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14.520809898019589</v>
      </c>
      <c r="BQ198" s="21">
        <f>EXP(-LN(2)/25)*BQ197+(1-EXP(-LN(2)/25))/(LN(2)/25)*Calculateur!BL198*Calculateur!BN198*VLOOKUP('Données projet'!$B$11,Paramètres!$A$1:$I$89,3,0)*0.475*44/12</f>
        <v>1.4875454154340408</v>
      </c>
      <c r="BR198" s="21">
        <f>EXP(-LN(2)/2)*BR197+(1-EXP(-LN(2)/2))/(LN(2)/2)*BL198*BO198*VLOOKUP('Données projet'!$B$11,Paramètres!$A$1:$I$89,3,0)*0.475*44/12</f>
        <v>1.1879671290579209E-10</v>
      </c>
      <c r="BS198" s="22">
        <f t="shared" si="169"/>
        <v>16.008355313572427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195.99999999999994</v>
      </c>
      <c r="BZ198" s="13">
        <f>BY198*VLOOKUP('Données projet'!$B$12,Paramètres!$A$1:$I$89,3,0)*VLOOKUP('Données projet'!$B$12,Paramètres!$A$1:$I$89,5,0)</f>
        <v>152.87999999999997</v>
      </c>
      <c r="CA198" s="13">
        <f t="shared" si="170"/>
        <v>39.232349774697852</v>
      </c>
      <c r="CB198" s="20">
        <f t="shared" si="171"/>
        <v>334.59567585759868</v>
      </c>
      <c r="CC198" s="59">
        <f t="shared" si="195"/>
        <v>624.90779497451717</v>
      </c>
      <c r="CD198" s="59">
        <f ca="1">AVERAGE(OFFSET($CC$3,0,0,'Données projet'!$E$12+1,1))-AVERAGE(OFFSET($H$3,0,0,'Données projet'!$E$12+1,1))</f>
        <v>250.01410333089137</v>
      </c>
      <c r="CE198" s="59">
        <f t="shared" si="207"/>
        <v>169.55868564318885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3.6828136251922077</v>
      </c>
      <c r="CL198" s="21">
        <f>EXP(-LN(2)/25)*CL197+(1-EXP(-LN(2)/25))/(LN(2)/25)*Calculateur!CG198*Calculateur!CI198*VLOOKUP('Données projet'!$B$12,Paramètres!$A$1:$I$89,3,0)*0.475*44/12</f>
        <v>0.61886733015383621</v>
      </c>
      <c r="CM198" s="21">
        <f>EXP(-LN(2)/2)*CM197+(1-EXP(-LN(2)/2))/(LN(2)/2)*CG198*CJ198*VLOOKUP('Données projet'!$B$12,Paramètres!$A$1:$I$89,3,0)*0.475*44/12</f>
        <v>2.8133101982198883E-15</v>
      </c>
      <c r="CN198" s="22">
        <f t="shared" si="172"/>
        <v>4.3016809553460469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469.5773392354356</v>
      </c>
      <c r="T199" s="59">
        <f t="shared" si="204"/>
        <v>187.25344022835239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137.20536303573161</v>
      </c>
      <c r="AA199" s="21">
        <f>EXP(-LN(2)/25)*AA198+(1-EXP(-LN(2)/25))/(LN(2)/25)*Calculateur!V199*Calculateur!X199*VLOOKUP('Données projet'!$B$9,Paramètres!$A$1:$I$89,3,0)*0.475*44/12</f>
        <v>14.663859883980258</v>
      </c>
      <c r="AB199" s="21">
        <f>EXP(-LN(2)/2)*AB198+(1-EXP(-LN(2)/2))/(LN(2)/2)*V199*Y199*VLOOKUP('Données projet'!$B$9,Paramètres!$A$1:$I$89,3,0)*0.475*44/12</f>
        <v>0.13780066772630439</v>
      </c>
      <c r="AC199" s="22">
        <f t="shared" si="163"/>
        <v>152.00702358743817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252.99999999999994</v>
      </c>
      <c r="AJ199" s="13">
        <f>AI199*VLOOKUP('Données projet'!$B$10,Paramètres!$A$1:$I$89,3,0)*VLOOKUP('Données projet'!$B$10,Paramètres!$A$1:$I$89,5,0)</f>
        <v>244.70159999999993</v>
      </c>
      <c r="AK199" s="13">
        <f t="shared" si="164"/>
        <v>59.44995761550765</v>
      </c>
      <c r="AL199" s="20">
        <f t="shared" si="165"/>
        <v>529.73062951367569</v>
      </c>
      <c r="AM199" s="59">
        <f t="shared" si="193"/>
        <v>820.09515994282583</v>
      </c>
      <c r="AN199" s="59">
        <f ca="1">AVERAGE(OFFSET($AM$3,0,0,'Données projet'!$E$10+1,1))-AVERAGE(OFFSET($H$3,0,0,'Données projet'!$E$10+1,1))</f>
        <v>370.91255999489181</v>
      </c>
      <c r="AO199" s="59">
        <f t="shared" si="205"/>
        <v>196.07869248605735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12.791827126229178</v>
      </c>
      <c r="AV199" s="21">
        <f>EXP(-LN(2)/25)*AV198+(1-EXP(-LN(2)/25))/(LN(2)/25)*Calculateur!AQ199*Calculateur!AS199*VLOOKUP('Données projet'!$B$10,Paramètres!$A$1:$I$89,3,0)*0.475*44/12</f>
        <v>1.3000846563041701</v>
      </c>
      <c r="AW199" s="21">
        <f>EXP(-LN(2)/2)*AW198+(1-EXP(-LN(2)/2))/(LN(2)/2)*AQ199*AT199*VLOOKUP('Données projet'!$B$10,Paramètres!$A$1:$I$89,3,0)*0.475*44/12</f>
        <v>7.5480023177654176E-11</v>
      </c>
      <c r="AX199" s="21">
        <f t="shared" si="166"/>
        <v>14.091911782608827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252.99999999999994</v>
      </c>
      <c r="BE199" s="13">
        <f>BD199*VLOOKUP('Données projet'!$B$11,Paramètres!$A$1:$I$89,3,0)*VLOOKUP('Données projet'!$B$11,Paramètres!$A$1:$I$89,5,0)</f>
        <v>272.3291999999999</v>
      </c>
      <c r="BF199" s="13">
        <f t="shared" si="167"/>
        <v>65.34333692428207</v>
      </c>
      <c r="BG199" s="20">
        <f t="shared" si="168"/>
        <v>588.11300180979117</v>
      </c>
      <c r="BH199" s="59">
        <f t="shared" si="194"/>
        <v>878.47753223894142</v>
      </c>
      <c r="BI199" s="59">
        <f ca="1">AVERAGE(OFFSET($BH$3,0,0,'Données projet'!$E$11+1,1))-AVERAGE(OFFSET($H$3,0,0,'Données projet'!$E$11+1,1))</f>
        <v>404.24955007425774</v>
      </c>
      <c r="BJ199" s="59">
        <f t="shared" si="206"/>
        <v>211.49137630071019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14.236065672738924</v>
      </c>
      <c r="BQ199" s="21">
        <f>EXP(-LN(2)/25)*BQ198+(1-EXP(-LN(2)/25))/(LN(2)/25)*Calculateur!BL199*Calculateur!BN199*VLOOKUP('Données projet'!$B$11,Paramètres!$A$1:$I$89,3,0)*0.475*44/12</f>
        <v>1.4468684078223835</v>
      </c>
      <c r="BR199" s="21">
        <f>EXP(-LN(2)/2)*BR198+(1-EXP(-LN(2)/2))/(LN(2)/2)*BL199*BO199*VLOOKUP('Données projet'!$B$11,Paramètres!$A$1:$I$89,3,0)*0.475*44/12</f>
        <v>8.4001961278357038E-11</v>
      </c>
      <c r="BS199" s="22">
        <f t="shared" si="169"/>
        <v>15.68293408064531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195.99999999999994</v>
      </c>
      <c r="BZ199" s="13">
        <f>BY199*VLOOKUP('Données projet'!$B$12,Paramètres!$A$1:$I$89,3,0)*VLOOKUP('Données projet'!$B$12,Paramètres!$A$1:$I$89,5,0)</f>
        <v>152.87999999999997</v>
      </c>
      <c r="CA199" s="13">
        <f t="shared" si="170"/>
        <v>39.232349774697852</v>
      </c>
      <c r="CB199" s="20">
        <f t="shared" si="171"/>
        <v>334.59567585759868</v>
      </c>
      <c r="CC199" s="59">
        <f t="shared" si="195"/>
        <v>624.96020628674887</v>
      </c>
      <c r="CD199" s="59">
        <f ca="1">AVERAGE(OFFSET($CC$3,0,0,'Données projet'!$E$12+1,1))-AVERAGE(OFFSET($H$3,0,0,'Données projet'!$E$12+1,1))</f>
        <v>250.01410333089137</v>
      </c>
      <c r="CE199" s="59">
        <f t="shared" si="207"/>
        <v>169.55868564318885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3.6105958962966969</v>
      </c>
      <c r="CL199" s="21">
        <f>EXP(-LN(2)/25)*CL198+(1-EXP(-LN(2)/25))/(LN(2)/25)*Calculateur!CG199*Calculateur!CI199*VLOOKUP('Données projet'!$B$12,Paramètres!$A$1:$I$89,3,0)*0.475*44/12</f>
        <v>0.60194437046596116</v>
      </c>
      <c r="CM199" s="21">
        <f>EXP(-LN(2)/2)*CM198+(1-EXP(-LN(2)/2))/(LN(2)/2)*CG199*CJ199*VLOOKUP('Données projet'!$B$12,Paramètres!$A$1:$I$89,3,0)*0.475*44/12</f>
        <v>1.9893107187425532E-15</v>
      </c>
      <c r="CN199" s="22">
        <f t="shared" si="172"/>
        <v>4.2125402667626597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469.5773392354356</v>
      </c>
      <c r="T200" s="59">
        <f t="shared" si="204"/>
        <v>187.25344022835239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134.51484955360897</v>
      </c>
      <c r="AA200" s="21">
        <f>EXP(-LN(2)/25)*AA199+(1-EXP(-LN(2)/25))/(LN(2)/25)*Calculateur!V200*Calculateur!X200*VLOOKUP('Données projet'!$B$9,Paramètres!$A$1:$I$89,3,0)*0.475*44/12</f>
        <v>14.262875864313942</v>
      </c>
      <c r="AB200" s="21">
        <f>EXP(-LN(2)/2)*AB199+(1-EXP(-LN(2)/2))/(LN(2)/2)*V200*Y200*VLOOKUP('Données projet'!$B$9,Paramètres!$A$1:$I$89,3,0)*0.475*44/12</f>
        <v>9.7439786601304063E-2</v>
      </c>
      <c r="AC200" s="22">
        <f t="shared" si="163"/>
        <v>148.87516520452422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252.99999999999994</v>
      </c>
      <c r="AJ200" s="13">
        <f>AI200*VLOOKUP('Données projet'!$B$10,Paramètres!$A$1:$I$89,3,0)*VLOOKUP('Données projet'!$B$10,Paramètres!$A$1:$I$89,5,0)</f>
        <v>244.70159999999993</v>
      </c>
      <c r="AK200" s="13">
        <f t="shared" si="164"/>
        <v>59.44995761550765</v>
      </c>
      <c r="AL200" s="20">
        <f t="shared" si="165"/>
        <v>529.73062951367569</v>
      </c>
      <c r="AM200" s="59">
        <f t="shared" si="193"/>
        <v>820.14666203596448</v>
      </c>
      <c r="AN200" s="59">
        <f ca="1">AVERAGE(OFFSET($AM$3,0,0,'Données projet'!$E$10+1,1))-AVERAGE(OFFSET($H$3,0,0,'Données projet'!$E$10+1,1))</f>
        <v>370.91255999489181</v>
      </c>
      <c r="AO200" s="59">
        <f t="shared" si="205"/>
        <v>196.07869248605735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12.540987198527963</v>
      </c>
      <c r="AV200" s="21">
        <f>EXP(-LN(2)/25)*AV199+(1-EXP(-LN(2)/25))/(LN(2)/25)*Calculateur!AQ200*Calculateur!AS200*VLOOKUP('Données projet'!$B$10,Paramètres!$A$1:$I$89,3,0)*0.475*44/12</f>
        <v>1.264533773009052</v>
      </c>
      <c r="AW200" s="21">
        <f>EXP(-LN(2)/2)*AW199+(1-EXP(-LN(2)/2))/(LN(2)/2)*AQ200*AT200*VLOOKUP('Données projet'!$B$10,Paramètres!$A$1:$I$89,3,0)*0.475*44/12</f>
        <v>5.3372436233037047E-11</v>
      </c>
      <c r="AX200" s="21">
        <f t="shared" si="166"/>
        <v>13.805520971590388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252.99999999999994</v>
      </c>
      <c r="BE200" s="13">
        <f>BD200*VLOOKUP('Données projet'!$B$11,Paramètres!$A$1:$I$89,3,0)*VLOOKUP('Données projet'!$B$11,Paramètres!$A$1:$I$89,5,0)</f>
        <v>272.3291999999999</v>
      </c>
      <c r="BF200" s="13">
        <f t="shared" si="167"/>
        <v>65.34333692428207</v>
      </c>
      <c r="BG200" s="20">
        <f t="shared" si="168"/>
        <v>588.11300180979117</v>
      </c>
      <c r="BH200" s="59">
        <f t="shared" si="194"/>
        <v>878.52903433207996</v>
      </c>
      <c r="BI200" s="59">
        <f ca="1">AVERAGE(OFFSET($BH$3,0,0,'Données projet'!$E$11+1,1))-AVERAGE(OFFSET($H$3,0,0,'Données projet'!$E$11+1,1))</f>
        <v>404.24955007425774</v>
      </c>
      <c r="BJ200" s="59">
        <f t="shared" si="206"/>
        <v>211.49137630071019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13.956905108039185</v>
      </c>
      <c r="BQ200" s="21">
        <f>EXP(-LN(2)/25)*BQ199+(1-EXP(-LN(2)/25))/(LN(2)/25)*Calculateur!BL200*Calculateur!BN200*VLOOKUP('Données projet'!$B$11,Paramètres!$A$1:$I$89,3,0)*0.475*44/12</f>
        <v>1.4073037151229777</v>
      </c>
      <c r="BR200" s="21">
        <f>EXP(-LN(2)/2)*BR199+(1-EXP(-LN(2)/2))/(LN(2)/2)*BL200*BO200*VLOOKUP('Données projet'!$B$11,Paramètres!$A$1:$I$89,3,0)*0.475*44/12</f>
        <v>5.9398356452896046E-11</v>
      </c>
      <c r="BS200" s="22">
        <f t="shared" si="169"/>
        <v>15.364208823221562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195.99999999999994</v>
      </c>
      <c r="BZ200" s="13">
        <f>BY200*VLOOKUP('Données projet'!$B$12,Paramètres!$A$1:$I$89,3,0)*VLOOKUP('Données projet'!$B$12,Paramètres!$A$1:$I$89,5,0)</f>
        <v>152.87999999999997</v>
      </c>
      <c r="CA200" s="13">
        <f t="shared" si="170"/>
        <v>39.232349774697852</v>
      </c>
      <c r="CB200" s="20">
        <f t="shared" si="171"/>
        <v>334.59567585759868</v>
      </c>
      <c r="CC200" s="59">
        <f t="shared" si="195"/>
        <v>625.01170837988752</v>
      </c>
      <c r="CD200" s="59">
        <f ca="1">AVERAGE(OFFSET($CC$3,0,0,'Données projet'!$E$12+1,1))-AVERAGE(OFFSET($H$3,0,0,'Données projet'!$E$12+1,1))</f>
        <v>250.01410333089137</v>
      </c>
      <c r="CE200" s="59">
        <f t="shared" si="207"/>
        <v>169.55868564318885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3.5397943130163618</v>
      </c>
      <c r="CL200" s="21">
        <f>EXP(-LN(2)/25)*CL199+(1-EXP(-LN(2)/25))/(LN(2)/25)*Calculateur!CG200*Calculateur!CI200*VLOOKUP('Données projet'!$B$12,Paramètres!$A$1:$I$89,3,0)*0.475*44/12</f>
        <v>0.58548417000069075</v>
      </c>
      <c r="CM200" s="21">
        <f>EXP(-LN(2)/2)*CM199+(1-EXP(-LN(2)/2))/(LN(2)/2)*CG200*CJ200*VLOOKUP('Données projet'!$B$12,Paramètres!$A$1:$I$89,3,0)*0.475*44/12</f>
        <v>1.4066550991099442E-15</v>
      </c>
      <c r="CN200" s="22">
        <f t="shared" si="172"/>
        <v>4.1252784830170546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469.5773392354356</v>
      </c>
      <c r="T201" s="59">
        <f t="shared" si="204"/>
        <v>187.25344022835239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131.87709539981955</v>
      </c>
      <c r="AA201" s="21">
        <f>EXP(-LN(2)/25)*AA200+(1-EXP(-LN(2)/25))/(LN(2)/25)*Calculateur!V201*Calculateur!X201*VLOOKUP('Données projet'!$B$9,Paramètres!$A$1:$I$89,3,0)*0.475*44/12</f>
        <v>13.872856773752234</v>
      </c>
      <c r="AB201" s="21">
        <f>EXP(-LN(2)/2)*AB200+(1-EXP(-LN(2)/2))/(LN(2)/2)*V201*Y201*VLOOKUP('Données projet'!$B$9,Paramètres!$A$1:$I$89,3,0)*0.475*44/12</f>
        <v>6.8900333863152197E-2</v>
      </c>
      <c r="AC201" s="22">
        <f t="shared" si="163"/>
        <v>145.81885250743494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252.99999999999994</v>
      </c>
      <c r="AJ201" s="13">
        <f>AI201*VLOOKUP('Données projet'!$B$10,Paramètres!$A$1:$I$89,3,0)*VLOOKUP('Données projet'!$B$10,Paramètres!$A$1:$I$89,5,0)</f>
        <v>244.70159999999993</v>
      </c>
      <c r="AK201" s="13">
        <f t="shared" si="164"/>
        <v>59.44995761550765</v>
      </c>
      <c r="AL201" s="20">
        <f t="shared" si="165"/>
        <v>529.73062951367569</v>
      </c>
      <c r="AM201" s="59">
        <f t="shared" si="193"/>
        <v>820.19727068292855</v>
      </c>
      <c r="AN201" s="59">
        <f ca="1">AVERAGE(OFFSET($AM$3,0,0,'Données projet'!$E$10+1,1))-AVERAGE(OFFSET($H$3,0,0,'Données projet'!$E$10+1,1))</f>
        <v>370.91255999489181</v>
      </c>
      <c r="AO201" s="59">
        <f t="shared" si="205"/>
        <v>196.07869248605735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12.295066088811721</v>
      </c>
      <c r="AV201" s="21">
        <f>EXP(-LN(2)/25)*AV200+(1-EXP(-LN(2)/25))/(LN(2)/25)*Calculateur!AQ201*Calculateur!AS201*VLOOKUP('Données projet'!$B$10,Paramètres!$A$1:$I$89,3,0)*0.475*44/12</f>
        <v>1.2299550304871785</v>
      </c>
      <c r="AW201" s="21">
        <f>EXP(-LN(2)/2)*AW200+(1-EXP(-LN(2)/2))/(LN(2)/2)*AQ201*AT201*VLOOKUP('Données projet'!$B$10,Paramètres!$A$1:$I$89,3,0)*0.475*44/12</f>
        <v>3.7740011588827088E-11</v>
      </c>
      <c r="AX201" s="21">
        <f t="shared" si="166"/>
        <v>13.525021119336639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252.99999999999994</v>
      </c>
      <c r="BE201" s="13">
        <f>BD201*VLOOKUP('Données projet'!$B$11,Paramètres!$A$1:$I$89,3,0)*VLOOKUP('Données projet'!$B$11,Paramètres!$A$1:$I$89,5,0)</f>
        <v>272.3291999999999</v>
      </c>
      <c r="BF201" s="13">
        <f t="shared" si="167"/>
        <v>65.34333692428207</v>
      </c>
      <c r="BG201" s="20">
        <f t="shared" si="168"/>
        <v>588.11300180979117</v>
      </c>
      <c r="BH201" s="59">
        <f t="shared" si="194"/>
        <v>878.57964297904414</v>
      </c>
      <c r="BI201" s="59">
        <f ca="1">AVERAGE(OFFSET($BH$3,0,0,'Données projet'!$E$11+1,1))-AVERAGE(OFFSET($H$3,0,0,'Données projet'!$E$11+1,1))</f>
        <v>404.24955007425774</v>
      </c>
      <c r="BJ201" s="59">
        <f t="shared" si="206"/>
        <v>211.49137630071019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13.683218711742077</v>
      </c>
      <c r="BQ201" s="21">
        <f>EXP(-LN(2)/25)*BQ200+(1-EXP(-LN(2)/25))/(LN(2)/25)*Calculateur!BL201*Calculateur!BN201*VLOOKUP('Données projet'!$B$11,Paramètres!$A$1:$I$89,3,0)*0.475*44/12</f>
        <v>1.368820921026054</v>
      </c>
      <c r="BR201" s="21">
        <f>EXP(-LN(2)/2)*BR200+(1-EXP(-LN(2)/2))/(LN(2)/2)*BL201*BO201*VLOOKUP('Données projet'!$B$11,Paramètres!$A$1:$I$89,3,0)*0.475*44/12</f>
        <v>4.2000980639178519E-11</v>
      </c>
      <c r="BS201" s="22">
        <f t="shared" si="169"/>
        <v>15.052039632810132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195.99999999999994</v>
      </c>
      <c r="BZ201" s="13">
        <f>BY201*VLOOKUP('Données projet'!$B$12,Paramètres!$A$1:$I$89,3,0)*VLOOKUP('Données projet'!$B$12,Paramètres!$A$1:$I$89,5,0)</f>
        <v>152.87999999999997</v>
      </c>
      <c r="CA201" s="13">
        <f t="shared" si="170"/>
        <v>39.232349774697852</v>
      </c>
      <c r="CB201" s="20">
        <f t="shared" si="171"/>
        <v>334.59567585759868</v>
      </c>
      <c r="CC201" s="59">
        <f t="shared" si="195"/>
        <v>625.06231702685159</v>
      </c>
      <c r="CD201" s="59">
        <f ca="1">AVERAGE(OFFSET($CC$3,0,0,'Données projet'!$E$12+1,1))-AVERAGE(OFFSET($H$3,0,0,'Données projet'!$E$12+1,1))</f>
        <v>250.01410333089137</v>
      </c>
      <c r="CE201" s="59">
        <f t="shared" si="207"/>
        <v>169.55868564318885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3.4703811055994525</v>
      </c>
      <c r="CL201" s="21">
        <f>EXP(-LN(2)/25)*CL200+(1-EXP(-LN(2)/25))/(LN(2)/25)*Calculateur!CG201*Calculateur!CI201*VLOOKUP('Données projet'!$B$12,Paramètres!$A$1:$I$89,3,0)*0.475*44/12</f>
        <v>0.56947407458274746</v>
      </c>
      <c r="CM201" s="21">
        <f>EXP(-LN(2)/2)*CM200+(1-EXP(-LN(2)/2))/(LN(2)/2)*CG201*CJ201*VLOOKUP('Données projet'!$B$12,Paramètres!$A$1:$I$89,3,0)*0.475*44/12</f>
        <v>9.946553593712766E-16</v>
      </c>
      <c r="CN201" s="22">
        <f t="shared" si="172"/>
        <v>4.0398551801822009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469.5773392354356</v>
      </c>
      <c r="T202" s="59">
        <f t="shared" si="204"/>
        <v>187.25344022835239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129.29106599611478</v>
      </c>
      <c r="AA202" s="21">
        <f>EXP(-LN(2)/25)*AA201+(1-EXP(-LN(2)/25))/(LN(2)/25)*Calculateur!V202*Calculateur!X202*VLOOKUP('Données projet'!$B$9,Paramètres!$A$1:$I$89,3,0)*0.475*44/12</f>
        <v>13.493502775732148</v>
      </c>
      <c r="AB202" s="21">
        <f>EXP(-LN(2)/2)*AB201+(1-EXP(-LN(2)/2))/(LN(2)/2)*V202*Y202*VLOOKUP('Données projet'!$B$9,Paramètres!$A$1:$I$89,3,0)*0.475*44/12</f>
        <v>4.8719893300652031E-2</v>
      </c>
      <c r="AC202" s="22">
        <f t="shared" si="163"/>
        <v>142.83328866514756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252.99999999999994</v>
      </c>
      <c r="AJ202" s="13">
        <f>AI202*VLOOKUP('Données projet'!$B$10,Paramètres!$A$1:$I$89,3,0)*VLOOKUP('Données projet'!$B$10,Paramètres!$A$1:$I$89,5,0)</f>
        <v>244.70159999999993</v>
      </c>
      <c r="AK202" s="13">
        <f t="shared" si="164"/>
        <v>59.44995761550765</v>
      </c>
      <c r="AL202" s="20">
        <f t="shared" si="165"/>
        <v>529.73062951367569</v>
      </c>
      <c r="AM202" s="59">
        <f t="shared" si="193"/>
        <v>820.24700138301182</v>
      </c>
      <c r="AN202" s="59">
        <f ca="1">AVERAGE(OFFSET($AM$3,0,0,'Données projet'!$E$10+1,1))-AVERAGE(OFFSET($H$3,0,0,'Données projet'!$E$10+1,1))</f>
        <v>370.91255999489181</v>
      </c>
      <c r="AO202" s="59">
        <f t="shared" si="205"/>
        <v>196.07869248605735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12.053967342059948</v>
      </c>
      <c r="AV202" s="21">
        <f>EXP(-LN(2)/25)*AV201+(1-EXP(-LN(2)/25))/(LN(2)/25)*Calculateur!AQ202*Calculateur!AS202*VLOOKUP('Données projet'!$B$10,Paramètres!$A$1:$I$89,3,0)*0.475*44/12</f>
        <v>1.1963218454979827</v>
      </c>
      <c r="AW202" s="21">
        <f>EXP(-LN(2)/2)*AW201+(1-EXP(-LN(2)/2))/(LN(2)/2)*AQ202*AT202*VLOOKUP('Données projet'!$B$10,Paramètres!$A$1:$I$89,3,0)*0.475*44/12</f>
        <v>2.6686218116518524E-11</v>
      </c>
      <c r="AX202" s="21">
        <f t="shared" si="166"/>
        <v>13.250289187584617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252.99999999999994</v>
      </c>
      <c r="BE202" s="13">
        <f>BD202*VLOOKUP('Données projet'!$B$11,Paramètres!$A$1:$I$89,3,0)*VLOOKUP('Données projet'!$B$11,Paramètres!$A$1:$I$89,5,0)</f>
        <v>272.3291999999999</v>
      </c>
      <c r="BF202" s="13">
        <f t="shared" si="167"/>
        <v>65.34333692428207</v>
      </c>
      <c r="BG202" s="20">
        <f t="shared" si="168"/>
        <v>588.11300180979117</v>
      </c>
      <c r="BH202" s="59">
        <f t="shared" si="194"/>
        <v>878.6293736791273</v>
      </c>
      <c r="BI202" s="59">
        <f ca="1">AVERAGE(OFFSET($BH$3,0,0,'Données projet'!$E$11+1,1))-AVERAGE(OFFSET($H$3,0,0,'Données projet'!$E$11+1,1))</f>
        <v>404.24955007425774</v>
      </c>
      <c r="BJ202" s="59">
        <f t="shared" si="206"/>
        <v>211.49137630071019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13.414899138744136</v>
      </c>
      <c r="BQ202" s="21">
        <f>EXP(-LN(2)/25)*BQ201+(1-EXP(-LN(2)/25))/(LN(2)/25)*Calculateur!BL202*Calculateur!BN202*VLOOKUP('Données projet'!$B$11,Paramètres!$A$1:$I$89,3,0)*0.475*44/12</f>
        <v>1.3313904409574329</v>
      </c>
      <c r="BR202" s="21">
        <f>EXP(-LN(2)/2)*BR201+(1-EXP(-LN(2)/2))/(LN(2)/2)*BL202*BO202*VLOOKUP('Données projet'!$B$11,Paramètres!$A$1:$I$89,3,0)*0.475*44/12</f>
        <v>2.9699178226448023E-11</v>
      </c>
      <c r="BS202" s="22">
        <f t="shared" si="169"/>
        <v>14.746289579731268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195.99999999999994</v>
      </c>
      <c r="BZ202" s="13">
        <f>BY202*VLOOKUP('Données projet'!$B$12,Paramètres!$A$1:$I$89,3,0)*VLOOKUP('Données projet'!$B$12,Paramètres!$A$1:$I$89,5,0)</f>
        <v>152.87999999999997</v>
      </c>
      <c r="CA202" s="13">
        <f t="shared" si="170"/>
        <v>39.232349774697852</v>
      </c>
      <c r="CB202" s="20">
        <f t="shared" si="171"/>
        <v>334.59567585759868</v>
      </c>
      <c r="CC202" s="59">
        <f t="shared" si="195"/>
        <v>625.11204772693486</v>
      </c>
      <c r="CD202" s="59">
        <f ca="1">AVERAGE(OFFSET($CC$3,0,0,'Données projet'!$E$12+1,1))-AVERAGE(OFFSET($H$3,0,0,'Données projet'!$E$12+1,1))</f>
        <v>250.01410333089137</v>
      </c>
      <c r="CE202" s="59">
        <f t="shared" si="207"/>
        <v>169.55868564318885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3.4023290488421125</v>
      </c>
      <c r="CL202" s="21">
        <f>EXP(-LN(2)/25)*CL201+(1-EXP(-LN(2)/25))/(LN(2)/25)*Calculateur!CG202*Calculateur!CI202*VLOOKUP('Données projet'!$B$12,Paramètres!$A$1:$I$89,3,0)*0.475*44/12</f>
        <v>0.55390177606594215</v>
      </c>
      <c r="CM202" s="21">
        <f>EXP(-LN(2)/2)*CM201+(1-EXP(-LN(2)/2))/(LN(2)/2)*CG202*CJ202*VLOOKUP('Données projet'!$B$12,Paramètres!$A$1:$I$89,3,0)*0.475*44/12</f>
        <v>7.0332754955497209E-16</v>
      </c>
      <c r="CN202" s="22">
        <f t="shared" si="172"/>
        <v>3.9562308249080553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9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469.5773392354356</v>
      </c>
      <c r="T203" s="59">
        <f t="shared" si="204"/>
        <v>187.25344022835239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126.75574705169447</v>
      </c>
      <c r="AA203" s="21">
        <f>EXP(-LN(2)/25)*AA202+(1-EXP(-LN(2)/25))/(LN(2)/25)*Calculateur!V203*Calculateur!X203*VLOOKUP('Données projet'!$B$9,Paramètres!$A$1:$I$89,3,0)*0.475*44/12</f>
        <v>13.124522232737281</v>
      </c>
      <c r="AB203" s="21">
        <f>EXP(-LN(2)/2)*AB202+(1-EXP(-LN(2)/2))/(LN(2)/2)*V203*Y203*VLOOKUP('Données projet'!$B$9,Paramètres!$A$1:$I$89,3,0)*0.475*44/12</f>
        <v>3.4450166931576098E-2</v>
      </c>
      <c r="AC203" s="22">
        <f t="shared" si="163"/>
        <v>139.91471945136334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252.99999999999994</v>
      </c>
      <c r="AJ203" s="13">
        <f>AI203*VLOOKUP('Données projet'!$B$10,Paramètres!$A$1:$I$89,3,0)*VLOOKUP('Données projet'!$B$10,Paramètres!$A$1:$I$89,5,0)</f>
        <v>244.70159999999993</v>
      </c>
      <c r="AK203" s="13">
        <f t="shared" si="164"/>
        <v>59.44995761550765</v>
      </c>
      <c r="AL203" s="20">
        <f t="shared" si="165"/>
        <v>529.73062951367569</v>
      </c>
      <c r="AM203" s="59">
        <f t="shared" si="193"/>
        <v>820.29586936662986</v>
      </c>
      <c r="AN203" s="59">
        <f ca="1">AVERAGE(OFFSET($AM$3,0,0,'Données projet'!$E$10+1,1))-AVERAGE(OFFSET($H$3,0,0,'Données projet'!$E$10+1,1))</f>
        <v>370.91255999489181</v>
      </c>
      <c r="AO203" s="59">
        <f t="shared" si="205"/>
        <v>196.07869248605735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11.817596394676263</v>
      </c>
      <c r="AV203" s="21">
        <f>EXP(-LN(2)/25)*AV202+(1-EXP(-LN(2)/25))/(LN(2)/25)*Calculateur!AQ203*Calculateur!AS203*VLOOKUP('Données projet'!$B$10,Paramètres!$A$1:$I$89,3,0)*0.475*44/12</f>
        <v>1.1636083617210087</v>
      </c>
      <c r="AW203" s="21">
        <f>EXP(-LN(2)/2)*AW202+(1-EXP(-LN(2)/2))/(LN(2)/2)*AQ203*AT203*VLOOKUP('Données projet'!$B$10,Paramètres!$A$1:$I$89,3,0)*0.475*44/12</f>
        <v>1.8870005794413544E-11</v>
      </c>
      <c r="AX203" s="21">
        <f t="shared" si="166"/>
        <v>12.981204756416142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252.99999999999994</v>
      </c>
      <c r="BE203" s="13">
        <f>BD203*VLOOKUP('Données projet'!$B$11,Paramètres!$A$1:$I$89,3,0)*VLOOKUP('Données projet'!$B$11,Paramètres!$A$1:$I$89,5,0)</f>
        <v>272.3291999999999</v>
      </c>
      <c r="BF203" s="13">
        <f t="shared" si="167"/>
        <v>65.34333692428207</v>
      </c>
      <c r="BG203" s="20">
        <f t="shared" si="168"/>
        <v>588.11300180979117</v>
      </c>
      <c r="BH203" s="59">
        <f t="shared" si="194"/>
        <v>878.67824166274522</v>
      </c>
      <c r="BI203" s="59">
        <f ca="1">AVERAGE(OFFSET($BH$3,0,0,'Données projet'!$E$11+1,1))-AVERAGE(OFFSET($H$3,0,0,'Données projet'!$E$11+1,1))</f>
        <v>404.24955007425774</v>
      </c>
      <c r="BJ203" s="59">
        <f t="shared" si="206"/>
        <v>211.49137630071019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13.151841148913906</v>
      </c>
      <c r="BQ203" s="21">
        <f>EXP(-LN(2)/25)*BQ202+(1-EXP(-LN(2)/25))/(LN(2)/25)*Calculateur!BL203*Calculateur!BN203*VLOOKUP('Données projet'!$B$11,Paramètres!$A$1:$I$89,3,0)*0.475*44/12</f>
        <v>1.2949834993346716</v>
      </c>
      <c r="BR203" s="21">
        <f>EXP(-LN(2)/2)*BR202+(1-EXP(-LN(2)/2))/(LN(2)/2)*BL203*BO203*VLOOKUP('Données projet'!$B$11,Paramètres!$A$1:$I$89,3,0)*0.475*44/12</f>
        <v>2.1000490319589259E-11</v>
      </c>
      <c r="BS203" s="22">
        <f t="shared" si="169"/>
        <v>14.446824648269578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195.99999999999994</v>
      </c>
      <c r="BZ203" s="13">
        <f>BY203*VLOOKUP('Données projet'!$B$12,Paramètres!$A$1:$I$89,3,0)*VLOOKUP('Données projet'!$B$12,Paramètres!$A$1:$I$89,5,0)</f>
        <v>152.87999999999997</v>
      </c>
      <c r="CA203" s="13">
        <f t="shared" si="170"/>
        <v>39.232349774697852</v>
      </c>
      <c r="CB203" s="20">
        <f t="shared" si="171"/>
        <v>334.59567585759868</v>
      </c>
      <c r="CC203" s="59">
        <f t="shared" si="195"/>
        <v>625.16091571055279</v>
      </c>
      <c r="CD203" s="59">
        <f ca="1">AVERAGE(OFFSET($CC$3,0,0,'Données projet'!$E$12+1,1))-AVERAGE(OFFSET($H$3,0,0,'Données projet'!$E$12+1,1))</f>
        <v>250.01410333089137</v>
      </c>
      <c r="CE203" s="59">
        <f t="shared" si="207"/>
        <v>169.55868564318885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3.335611451410128</v>
      </c>
      <c r="CL203" s="21">
        <f>EXP(-LN(2)/25)*CL202+(1-EXP(-LN(2)/25))/(LN(2)/25)*Calculateur!CG203*Calculateur!CI203*VLOOKUP('Données projet'!$B$12,Paramètres!$A$1:$I$89,3,0)*0.475*44/12</f>
        <v>0.53875530287099049</v>
      </c>
      <c r="CM203" s="21">
        <f>EXP(-LN(2)/2)*CM202+(1-EXP(-LN(2)/2))/(LN(2)/2)*CG203*CJ203*VLOOKUP('Données projet'!$B$12,Paramètres!$A$1:$I$89,3,0)*0.475*44/12</f>
        <v>4.973276796856383E-16</v>
      </c>
      <c r="CN203" s="22">
        <f t="shared" si="172"/>
        <v>3.8743667542811191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9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9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1.2864453787827541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1.2864453787827541</v>
      </c>
      <c r="BA205" s="82">
        <f>EXP(LN('Données projet'!B88)/'Données projet'!A88)</f>
        <v>1.2864453787827541</v>
      </c>
      <c r="BV205" s="82">
        <f>EXP(LN('Données projet'!B114)/'Données projet'!A114)</f>
        <v>1.2864453787827541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75" defaultRowHeight="14.3" x14ac:dyDescent="0.25"/>
  <cols>
    <col min="1" max="1" width="23.375" style="4" bestFit="1" customWidth="1"/>
    <col min="2" max="2" width="27.75" style="4" bestFit="1" customWidth="1"/>
    <col min="3" max="3" width="11.875" style="4" bestFit="1" customWidth="1"/>
    <col min="4" max="4" width="40" style="4" bestFit="1" customWidth="1"/>
    <col min="5" max="5" width="11.875" style="4" bestFit="1" customWidth="1"/>
    <col min="6" max="6" width="13.75" style="4" bestFit="1" customWidth="1"/>
    <col min="7" max="7" width="11.375" style="4" bestFit="1" customWidth="1"/>
    <col min="8" max="8" width="39" style="4" bestFit="1" customWidth="1"/>
    <col min="9" max="9" width="16.75" style="4" customWidth="1"/>
    <col min="10" max="14" width="11.375" style="4"/>
    <col min="15" max="15" width="23.375" style="4" bestFit="1" customWidth="1"/>
    <col min="16" max="16384" width="11.375" style="4"/>
  </cols>
  <sheetData>
    <row r="1" spans="1:16" ht="43.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9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9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9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9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9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9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22" sqref="M22"/>
    </sheetView>
  </sheetViews>
  <sheetFormatPr baseColWidth="10" defaultColWidth="11.375" defaultRowHeight="14.3" x14ac:dyDescent="0.25"/>
  <cols>
    <col min="1" max="1" width="22.875" style="1" bestFit="1" customWidth="1"/>
    <col min="2" max="2" width="10.625" style="1" bestFit="1" customWidth="1"/>
    <col min="3" max="3" width="15.625" style="1" bestFit="1" customWidth="1"/>
    <col min="4" max="4" width="13.375" style="1" bestFit="1" customWidth="1"/>
    <col min="5" max="8" width="11.375" style="1"/>
    <col min="9" max="13" width="11.375" style="62"/>
    <col min="14" max="15" width="11.375" style="1"/>
    <col min="16" max="17" width="13.375" style="1" customWidth="1"/>
    <col min="18" max="16384" width="11.375" style="1"/>
  </cols>
  <sheetData>
    <row r="1" spans="1:62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ht="14.9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8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ht="14.95" x14ac:dyDescent="0.25">
      <c r="A6" s="145" t="str">
        <f>IF('Données projet'!$B$9="","",'Données projet'!$B$9)</f>
        <v>Chêne sessile</v>
      </c>
      <c r="B6" s="146">
        <f>'Données projet'!D9</f>
        <v>2.8440000000000003</v>
      </c>
      <c r="C6" s="147">
        <f ca="1">IF(OR('Données projet'!B9="",'Données projet'!C9="",'Données projet'!C9=0%),0,Calculateur!S3)</f>
        <v>469.5773392354356</v>
      </c>
      <c r="D6" s="147">
        <f>IF(OR('Données projet'!B9="",'Données projet'!C9="",'Données projet'!C9=0%),0,Calculateur!T3)</f>
        <v>187.25344022835239</v>
      </c>
      <c r="E6" s="147">
        <f ca="1">MIN(C6,D6)</f>
        <v>187.25344022835239</v>
      </c>
      <c r="F6" s="147">
        <f ca="1">E6*B6</f>
        <v>532.54878400943426</v>
      </c>
      <c r="G6" s="147">
        <f ca="1">F6*(100%-'Données projet'!$C$24)*(100%-'Données projet'!$C$25)*(100%-'Données projet'!$C$26)*(100%-'Données projet'!$C$27)</f>
        <v>407.3998197672172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34.839000000000006</v>
      </c>
      <c r="K6" s="151">
        <f>J6*(100%-'Données projet'!$C$24)*(100%-'Données projet'!$C$25)*(100%-'Données projet'!$C$26)*(100%-'Données projet'!$C$27)</f>
        <v>26.651835000000005</v>
      </c>
      <c r="L6" s="152">
        <f ca="1">G6+I6+K6</f>
        <v>434.0516547672172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ht="14.95" x14ac:dyDescent="0.25">
      <c r="A7" s="153" t="str">
        <f>IF('Données projet'!$B$10="","",'Données projet'!$B$10)</f>
        <v>Alisier torminal</v>
      </c>
      <c r="B7" s="154">
        <f>'Données projet'!D10</f>
        <v>0.23976000000000003</v>
      </c>
      <c r="C7" s="147">
        <f ca="1">IF(OR('Données projet'!B10="",'Données projet'!C10="",'Données projet'!C10=0%),0,Calculateur!AN3)</f>
        <v>370.91255999489181</v>
      </c>
      <c r="D7" s="147">
        <f>IF(OR('Données projet'!B10="",'Données projet'!C10="",'Données projet'!C10=0%),0,Calculateur!AO3)</f>
        <v>196.07869248605735</v>
      </c>
      <c r="E7" s="147">
        <f t="shared" ref="E7:E15" ca="1" si="0">MIN(C7,D7)</f>
        <v>196.07869248605735</v>
      </c>
      <c r="F7" s="147">
        <f t="shared" ref="F7:F15" ca="1" si="1">E7*B7</f>
        <v>47.011827310457114</v>
      </c>
      <c r="G7" s="147">
        <f ca="1">F7*(100%-'Données projet'!$C$24)*(100%-'Données projet'!$C$25)*(100%-'Données projet'!$C$26)*(100%-'Données projet'!$C$27)</f>
        <v>35.964047892499693</v>
      </c>
      <c r="H7" s="155">
        <f>IF(OR('Données projet'!B10="",'Données projet'!C10="",'Données projet'!C10=0%),0,AVERAGE(Calculateur!$AX$3:$AX$33)*B7)</f>
        <v>0.20242100946967034</v>
      </c>
      <c r="I7" s="149">
        <f>H7*(100%-'Données projet'!$C$24)*(100%-'Données projet'!$C$25)*(100%-'Données projet'!$C$26)*(100%-'Données projet'!$C$27)</f>
        <v>0.15485207224429781</v>
      </c>
      <c r="J7" s="150">
        <f>IF(OR('Données projet'!B10="",'Données projet'!C10="",'Données projet'!C10=0%),0,SUM(Calculateur!$AQ$3:$AQ$33)*VLOOKUP('Données projet'!$B$10,Paramètres!$A$1:$I$89,9,0)*B7)</f>
        <v>2.9370600000000002</v>
      </c>
      <c r="K7" s="151">
        <f>J7*(100%-'Données projet'!$C$24)*(100%-'Données projet'!$C$25)*(100%-'Données projet'!$C$26)*(100%-'Données projet'!$C$27)</f>
        <v>2.2468509000000001</v>
      </c>
      <c r="L7" s="152">
        <f t="shared" ref="L7:L15" ca="1" si="2">G7+I7+K7</f>
        <v>38.365750864743987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ht="14.95" x14ac:dyDescent="0.25">
      <c r="A8" s="153" t="str">
        <f>IF('Données projet'!$B$11="","",'Données projet'!$B$11)</f>
        <v>Cormier</v>
      </c>
      <c r="B8" s="154">
        <f>'Données projet'!D11</f>
        <v>0.25200000000000006</v>
      </c>
      <c r="C8" s="147">
        <f ca="1">IF(OR('Données projet'!B11="",'Données projet'!C11="",'Données projet'!C11=0%),0,Calculateur!BI3)</f>
        <v>404.24955007425774</v>
      </c>
      <c r="D8" s="147">
        <f>IF(OR('Données projet'!B11="",'Données projet'!C11="",'Données projet'!C11=0%),0,Calculateur!BJ3)</f>
        <v>211.49137630071019</v>
      </c>
      <c r="E8" s="147">
        <f t="shared" ca="1" si="0"/>
        <v>211.49137630071019</v>
      </c>
      <c r="F8" s="147">
        <f t="shared" ca="1" si="1"/>
        <v>53.295826827778981</v>
      </c>
      <c r="G8" s="147">
        <f ca="1">F8*(100%-'Données projet'!$C$24)*(100%-'Données projet'!$C$25)*(100%-'Données projet'!$C$26)*(100%-'Données projet'!$C$27)</f>
        <v>40.771307523250918</v>
      </c>
      <c r="H8" s="155">
        <f>IF(OR('Données projet'!B11="",'Données projet'!C11="",'Données projet'!C11=0%),0,AVERAGE(Calculateur!$BS$3:$BS$33)*B8)</f>
        <v>0.23677551964993412</v>
      </c>
      <c r="I8" s="149">
        <f>H8*(100%-'Données projet'!$C$24)*(100%-'Données projet'!$C$25)*(100%-'Données projet'!$C$26)*(100%-'Données projet'!$C$27)</f>
        <v>0.1811332725321996</v>
      </c>
      <c r="J8" s="150">
        <f>IF(OR('Données projet'!B11="",'Données projet'!C11="",'Données projet'!C11=0%),0,SUM(Calculateur!$BL$3:$BL$33)*VLOOKUP('Données projet'!$B$11,Paramètres!$A$1:$I$89,9,0)*B8)</f>
        <v>3.0870000000000006</v>
      </c>
      <c r="K8" s="151">
        <f>J8*(100%-'Données projet'!$C$24)*(100%-'Données projet'!$C$25)*(100%-'Données projet'!$C$26)*(100%-'Données projet'!$C$27)</f>
        <v>2.3615550000000005</v>
      </c>
      <c r="L8" s="152">
        <f t="shared" ca="1" si="2"/>
        <v>43.313995795783121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ht="14.95" x14ac:dyDescent="0.25">
      <c r="A9" s="153" t="str">
        <f>IF('Données projet'!$B$12="","",'Données projet'!$B$12)</f>
        <v>Merisier</v>
      </c>
      <c r="B9" s="154">
        <f>'Données projet'!D12</f>
        <v>0.25200000000000006</v>
      </c>
      <c r="C9" s="147">
        <f ca="1">IF(OR('Données projet'!B12="",'Données projet'!C12="",'Données projet'!C12=0%),0,Calculateur!CD3)</f>
        <v>250.01410333089137</v>
      </c>
      <c r="D9" s="147">
        <f>IF(OR('Données projet'!B12="",'Données projet'!C12="",'Données projet'!C12=0%),0,Calculateur!CE3)</f>
        <v>169.55868564318885</v>
      </c>
      <c r="E9" s="147">
        <f t="shared" ca="1" si="0"/>
        <v>169.55868564318885</v>
      </c>
      <c r="F9" s="147">
        <f t="shared" ca="1" si="1"/>
        <v>42.728788782083598</v>
      </c>
      <c r="G9" s="147">
        <f ca="1">F9*(100%-'Données projet'!$C$24)*(100%-'Données projet'!$C$25)*(100%-'Données projet'!$C$26)*(100%-'Données projet'!$C$27)</f>
        <v>32.687523418293949</v>
      </c>
      <c r="H9" s="155">
        <f>IF(OR('Données projet'!B12="",'Données projet'!C12="",'Données projet'!C12=0%),0,AVERAGE(Calculateur!$CN$3:$CN$33)*B9)</f>
        <v>0.17157646351444505</v>
      </c>
      <c r="I9" s="149">
        <f>H9*(100%-'Données projet'!$C$24)*(100%-'Données projet'!$C$25)*(100%-'Données projet'!$C$26)*(100%-'Données projet'!$C$27)</f>
        <v>0.13125599458855045</v>
      </c>
      <c r="J9" s="150">
        <f>IF(OR('Données projet'!B12="",'Données projet'!C12="",'Données projet'!C12=0%),0,SUM(Calculateur!$CG$3:$CG$33)*VLOOKUP('Données projet'!$B$12,Paramètres!$A$1:$I$89,9,0)*B9)</f>
        <v>3.0870000000000006</v>
      </c>
      <c r="K9" s="151">
        <f>J9*(100%-'Données projet'!$C$24)*(100%-'Données projet'!$C$25)*(100%-'Données projet'!$C$26)*(100%-'Données projet'!$C$27)</f>
        <v>2.3615550000000005</v>
      </c>
      <c r="L9" s="152">
        <f t="shared" ca="1" si="2"/>
        <v>35.180334412882502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ht="14.95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ht="14.95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ht="14.95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ht="14.95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ht="14.95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8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8" thickBot="1" x14ac:dyDescent="0.3">
      <c r="A16" s="209"/>
      <c r="B16" s="213"/>
      <c r="C16" s="214"/>
      <c r="D16" s="23"/>
      <c r="E16" s="23"/>
      <c r="F16" s="165">
        <f t="shared" ref="F16:L16" ca="1" si="3">SUM(F6:F15)</f>
        <v>675.58522692975396</v>
      </c>
      <c r="G16" s="166">
        <f t="shared" ca="1" si="3"/>
        <v>516.82269860126178</v>
      </c>
      <c r="H16" s="167">
        <f t="shared" si="3"/>
        <v>0.61077299263404949</v>
      </c>
      <c r="I16" s="167">
        <f t="shared" si="3"/>
        <v>0.46724133936504786</v>
      </c>
      <c r="J16" s="168">
        <f t="shared" si="3"/>
        <v>43.950060000000015</v>
      </c>
      <c r="K16" s="168">
        <f t="shared" si="3"/>
        <v>33.621795900000002</v>
      </c>
      <c r="L16" s="169">
        <f t="shared" ca="1" si="3"/>
        <v>550.91173584062687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9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9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9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95" thickBot="1" x14ac:dyDescent="0.3">
      <c r="A39" s="170" t="str">
        <f>A7</f>
        <v>Alisier torminal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9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95" thickBot="1" x14ac:dyDescent="0.3">
      <c r="A57" s="170" t="str">
        <f>A8</f>
        <v>Cormier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9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95" thickBot="1" x14ac:dyDescent="0.3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9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9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9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9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9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9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9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9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9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9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9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9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" zoomScale="80" zoomScaleNormal="80" workbookViewId="0">
      <selection activeCell="Q17" sqref="Q17"/>
    </sheetView>
  </sheetViews>
  <sheetFormatPr baseColWidth="10" defaultColWidth="11.375" defaultRowHeight="14.3" x14ac:dyDescent="0.25"/>
  <cols>
    <col min="1" max="1" width="11.375" style="1"/>
    <col min="2" max="2" width="30.875" style="1" bestFit="1" customWidth="1"/>
    <col min="3" max="3" width="18.125" style="1" bestFit="1" customWidth="1"/>
    <col min="4" max="5" width="11.375" style="1"/>
    <col min="6" max="6" width="14" style="1" customWidth="1"/>
    <col min="7" max="7" width="17.625" style="1" customWidth="1"/>
    <col min="8" max="8" width="21.75" style="1" customWidth="1"/>
    <col min="9" max="9" width="37" style="1" customWidth="1"/>
    <col min="10" max="10" width="11.375" style="1"/>
    <col min="11" max="11" width="8.875" style="1" customWidth="1"/>
    <col min="12" max="12" width="11.375" style="1"/>
    <col min="13" max="13" width="21" style="1" customWidth="1"/>
    <col min="14" max="16" width="11.375" style="1"/>
    <col min="17" max="17" width="8" style="1" customWidth="1"/>
    <col min="18" max="18" width="11.375" style="1"/>
    <col min="19" max="19" width="31" style="1" customWidth="1"/>
    <col min="20" max="20" width="18.125" style="1" customWidth="1"/>
    <col min="21" max="21" width="16.375" style="1" customWidth="1"/>
    <col min="22" max="22" width="17.875" style="1" customWidth="1"/>
    <col min="23" max="16384" width="11.375" style="1"/>
  </cols>
  <sheetData>
    <row r="1" spans="1:42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4.95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14.95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8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" customHeight="1" thickBot="1" x14ac:dyDescent="0.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ht="14.95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1505.2733142672855</v>
      </c>
      <c r="U10" s="178">
        <f>'Données projet'!D9</f>
        <v>2.8440000000000003</v>
      </c>
      <c r="V10" s="177">
        <f>U10*T10</f>
        <v>4280.9973057761608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Alisier torminal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494.82876829239262</v>
      </c>
      <c r="U11" s="178">
        <f>'Données projet'!D10</f>
        <v>0.23976000000000003</v>
      </c>
      <c r="V11" s="177">
        <f t="shared" ref="V11" si="0">U11*T11</f>
        <v>118.64014548578407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ht="14.95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Cormier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644.55753679746181</v>
      </c>
      <c r="U12" s="178">
        <f>'Données projet'!D11</f>
        <v>0.25200000000000006</v>
      </c>
      <c r="V12" s="177">
        <f t="shared" ref="V12:V19" si="1">U12*T12</f>
        <v>162.42849927296041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55.545637109036988</v>
      </c>
      <c r="U13" s="178">
        <f>'Données projet'!D12</f>
        <v>0.25200000000000006</v>
      </c>
      <c r="V13" s="177">
        <f t="shared" si="1"/>
        <v>13.997500551477325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4.9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4.9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350000000000001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4000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4.95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8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1000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8" customHeight="1" x14ac:dyDescent="0.25">
      <c r="A23" s="180">
        <f>'Données projet'!A36</f>
        <v>14</v>
      </c>
      <c r="B23" s="181">
        <f>'Données projet'!D36</f>
        <v>25</v>
      </c>
      <c r="C23" s="193">
        <v>15</v>
      </c>
      <c r="D23" s="182">
        <f>B23*C23</f>
        <v>375</v>
      </c>
      <c r="E23" s="193">
        <v>150</v>
      </c>
      <c r="F23" s="230"/>
      <c r="H23" s="190">
        <v>4</v>
      </c>
      <c r="I23" s="191">
        <v>500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-18608.958756354976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8" customHeight="1" x14ac:dyDescent="0.25">
      <c r="A24" s="180">
        <f>'Données projet'!A37</f>
        <v>25</v>
      </c>
      <c r="B24" s="181">
        <f>'Données projet'!D37</f>
        <v>24</v>
      </c>
      <c r="C24" s="193">
        <v>25</v>
      </c>
      <c r="D24" s="182">
        <f t="shared" ref="D24:D42" si="2">B24*C24</f>
        <v>600</v>
      </c>
      <c r="E24" s="193">
        <v>150</v>
      </c>
      <c r="F24" s="233"/>
      <c r="H24" s="190">
        <v>5</v>
      </c>
      <c r="I24" s="191">
        <v>500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8" customHeight="1" x14ac:dyDescent="0.25">
      <c r="A25" s="180">
        <f>'Données projet'!A38</f>
        <v>37</v>
      </c>
      <c r="B25" s="181">
        <f>'Données projet'!D38</f>
        <v>41</v>
      </c>
      <c r="C25" s="193">
        <v>27</v>
      </c>
      <c r="D25" s="182">
        <f t="shared" si="2"/>
        <v>1107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-18608.958756354976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8" customHeight="1" x14ac:dyDescent="0.25">
      <c r="A26" s="180">
        <f>'Données projet'!A39</f>
        <v>45</v>
      </c>
      <c r="B26" s="181">
        <f>'Données projet'!D39</f>
        <v>29</v>
      </c>
      <c r="C26" s="193">
        <v>30</v>
      </c>
      <c r="D26" s="182">
        <f t="shared" si="2"/>
        <v>870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8" customHeight="1" x14ac:dyDescent="0.25">
      <c r="A27" s="180">
        <f>'Données projet'!A40</f>
        <v>53</v>
      </c>
      <c r="B27" s="181">
        <f>'Données projet'!D40</f>
        <v>30</v>
      </c>
      <c r="C27" s="193">
        <v>40</v>
      </c>
      <c r="D27" s="182">
        <f t="shared" si="2"/>
        <v>1200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8" customHeight="1" x14ac:dyDescent="0.25">
      <c r="A28" s="180">
        <f>'Données projet'!A41</f>
        <v>61</v>
      </c>
      <c r="B28" s="181">
        <f>'Données projet'!D41</f>
        <v>33</v>
      </c>
      <c r="C28" s="193">
        <v>60</v>
      </c>
      <c r="D28" s="182">
        <f t="shared" si="2"/>
        <v>1980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69</v>
      </c>
      <c r="B29" s="181">
        <f>'Données projet'!D42</f>
        <v>32</v>
      </c>
      <c r="C29" s="193">
        <v>100</v>
      </c>
      <c r="D29" s="182">
        <f t="shared" si="2"/>
        <v>3200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77</v>
      </c>
      <c r="B30" s="181">
        <f>'Données projet'!D43</f>
        <v>32</v>
      </c>
      <c r="C30" s="193">
        <v>120</v>
      </c>
      <c r="D30" s="182">
        <f t="shared" si="2"/>
        <v>3840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85</v>
      </c>
      <c r="B31" s="181">
        <f>'Données projet'!D44</f>
        <v>31</v>
      </c>
      <c r="C31" s="193">
        <v>140</v>
      </c>
      <c r="D31" s="182">
        <f t="shared" si="2"/>
        <v>4340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4.95" customHeight="1" x14ac:dyDescent="0.25">
      <c r="A32" s="180">
        <f>'Données projet'!A45</f>
        <v>95</v>
      </c>
      <c r="B32" s="181">
        <f>'Données projet'!D45</f>
        <v>42</v>
      </c>
      <c r="C32" s="193">
        <v>160</v>
      </c>
      <c r="D32" s="182">
        <f t="shared" si="2"/>
        <v>6720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105</v>
      </c>
      <c r="B33" s="181">
        <f>'Données projet'!D46</f>
        <v>34</v>
      </c>
      <c r="C33" s="193">
        <v>180</v>
      </c>
      <c r="D33" s="182">
        <f t="shared" si="2"/>
        <v>6120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115</v>
      </c>
      <c r="B34" s="181">
        <f>'Données projet'!D47</f>
        <v>37</v>
      </c>
      <c r="C34" s="193">
        <v>200</v>
      </c>
      <c r="D34" s="182">
        <f t="shared" si="2"/>
        <v>7400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125</v>
      </c>
      <c r="B35" s="181">
        <f>'Données projet'!D48</f>
        <v>39</v>
      </c>
      <c r="C35" s="193">
        <v>220</v>
      </c>
      <c r="D35" s="182">
        <f t="shared" si="2"/>
        <v>8580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135</v>
      </c>
      <c r="B36" s="181">
        <f>'Données projet'!D49</f>
        <v>40</v>
      </c>
      <c r="C36" s="193">
        <v>240</v>
      </c>
      <c r="D36" s="182">
        <f t="shared" si="2"/>
        <v>9600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145</v>
      </c>
      <c r="B37" s="181">
        <f>'Données projet'!D50</f>
        <v>40</v>
      </c>
      <c r="C37" s="193">
        <v>260</v>
      </c>
      <c r="D37" s="182">
        <f t="shared" si="2"/>
        <v>10400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155</v>
      </c>
      <c r="B38" s="181">
        <f>'Données projet'!D51</f>
        <v>42</v>
      </c>
      <c r="C38" s="193">
        <v>280</v>
      </c>
      <c r="D38" s="182">
        <f t="shared" si="2"/>
        <v>11760</v>
      </c>
      <c r="E38" s="193">
        <v>150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165</v>
      </c>
      <c r="B39" s="181">
        <f>'Données projet'!D52</f>
        <v>39</v>
      </c>
      <c r="C39" s="193">
        <v>300</v>
      </c>
      <c r="D39" s="182">
        <f t="shared" si="2"/>
        <v>11700</v>
      </c>
      <c r="E39" s="193">
        <v>150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180</v>
      </c>
      <c r="B40" s="181">
        <f>'Données projet'!D53</f>
        <v>413</v>
      </c>
      <c r="C40" s="193">
        <v>320</v>
      </c>
      <c r="D40" s="182">
        <f t="shared" si="2"/>
        <v>132160</v>
      </c>
      <c r="E40" s="193">
        <v>150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Alisier torminal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350000000000001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4.9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4.95" customHeight="1" x14ac:dyDescent="0.25">
      <c r="A54" s="180">
        <f>'Données projet'!A62</f>
        <v>14</v>
      </c>
      <c r="B54" s="181">
        <f>'Données projet'!D62</f>
        <v>25</v>
      </c>
      <c r="C54" s="191">
        <v>15</v>
      </c>
      <c r="D54" s="179">
        <f>B54*C54</f>
        <v>375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4.95" customHeight="1" x14ac:dyDescent="0.25">
      <c r="A55" s="180">
        <f>'Données projet'!A63</f>
        <v>25</v>
      </c>
      <c r="B55" s="181">
        <f>'Données projet'!D63</f>
        <v>24</v>
      </c>
      <c r="C55" s="191">
        <v>25</v>
      </c>
      <c r="D55" s="179">
        <f t="shared" ref="D55:D73" si="4">B55*C55</f>
        <v>600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4.95" customHeight="1" x14ac:dyDescent="0.25">
      <c r="A56" s="180">
        <f>'Données projet'!A64</f>
        <v>37</v>
      </c>
      <c r="B56" s="181">
        <f>'Données projet'!D64</f>
        <v>41</v>
      </c>
      <c r="C56" s="191">
        <v>27</v>
      </c>
      <c r="D56" s="179">
        <f t="shared" si="4"/>
        <v>1107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4.95" customHeight="1" x14ac:dyDescent="0.25">
      <c r="A57" s="180">
        <f>'Données projet'!A65</f>
        <v>45</v>
      </c>
      <c r="B57" s="181">
        <f>'Données projet'!D65</f>
        <v>29</v>
      </c>
      <c r="C57" s="191">
        <v>30</v>
      </c>
      <c r="D57" s="179">
        <f t="shared" si="4"/>
        <v>870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4.95" customHeight="1" x14ac:dyDescent="0.25">
      <c r="A58" s="180">
        <f>'Données projet'!A66</f>
        <v>53</v>
      </c>
      <c r="B58" s="181">
        <f>'Données projet'!D66</f>
        <v>30</v>
      </c>
      <c r="C58" s="191">
        <v>40</v>
      </c>
      <c r="D58" s="179">
        <f t="shared" si="4"/>
        <v>1200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4.95" customHeight="1" x14ac:dyDescent="0.25">
      <c r="A59" s="180">
        <f>'Données projet'!A67</f>
        <v>61</v>
      </c>
      <c r="B59" s="181">
        <f>'Données projet'!D67</f>
        <v>33</v>
      </c>
      <c r="C59" s="191">
        <v>60</v>
      </c>
      <c r="D59" s="179">
        <f t="shared" si="4"/>
        <v>1980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69</v>
      </c>
      <c r="B60" s="181">
        <f>'Données projet'!D68</f>
        <v>32</v>
      </c>
      <c r="C60" s="191">
        <v>100</v>
      </c>
      <c r="D60" s="179">
        <f t="shared" si="4"/>
        <v>3200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77</v>
      </c>
      <c r="B61" s="181">
        <f>'Données projet'!D69</f>
        <v>32</v>
      </c>
      <c r="C61" s="191">
        <v>120</v>
      </c>
      <c r="D61" s="179">
        <f t="shared" si="4"/>
        <v>3840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85</v>
      </c>
      <c r="B62" s="181">
        <f>'Données projet'!D70</f>
        <v>31</v>
      </c>
      <c r="C62" s="191">
        <v>140</v>
      </c>
      <c r="D62" s="179">
        <f t="shared" si="4"/>
        <v>4340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95</v>
      </c>
      <c r="B63" s="181">
        <f>'Données projet'!D71</f>
        <v>42</v>
      </c>
      <c r="C63" s="191">
        <v>160</v>
      </c>
      <c r="D63" s="179">
        <f t="shared" si="4"/>
        <v>6720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105</v>
      </c>
      <c r="B64" s="181">
        <f>'Données projet'!D72</f>
        <v>34</v>
      </c>
      <c r="C64" s="191">
        <v>180</v>
      </c>
      <c r="D64" s="179">
        <f t="shared" si="4"/>
        <v>6120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115</v>
      </c>
      <c r="B65" s="181">
        <f>'Données projet'!D73</f>
        <v>37</v>
      </c>
      <c r="C65" s="191">
        <v>200</v>
      </c>
      <c r="D65" s="179">
        <f t="shared" si="4"/>
        <v>7400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125</v>
      </c>
      <c r="B66" s="181">
        <f>'Données projet'!D74</f>
        <v>39</v>
      </c>
      <c r="C66" s="191">
        <v>220</v>
      </c>
      <c r="D66" s="179">
        <f t="shared" si="4"/>
        <v>8580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>
        <v>240</v>
      </c>
      <c r="D67" s="179">
        <f t="shared" si="4"/>
        <v>0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>
        <v>260</v>
      </c>
      <c r="D68" s="179">
        <f t="shared" si="4"/>
        <v>0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>
        <v>280</v>
      </c>
      <c r="D69" s="179">
        <f t="shared" si="4"/>
        <v>0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v>300</v>
      </c>
      <c r="D70" s="179">
        <f t="shared" si="4"/>
        <v>0</v>
      </c>
      <c r="E70" s="193">
        <v>150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v>320</v>
      </c>
      <c r="D71" s="179">
        <f t="shared" si="4"/>
        <v>0</v>
      </c>
      <c r="E71" s="193">
        <v>150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Cormier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14</v>
      </c>
      <c r="B85" s="181">
        <f>'Données projet'!D88</f>
        <v>25</v>
      </c>
      <c r="C85" s="191">
        <v>15</v>
      </c>
      <c r="D85" s="179">
        <f>B85*C85</f>
        <v>375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24</v>
      </c>
      <c r="C86" s="191">
        <v>25</v>
      </c>
      <c r="D86" s="179">
        <f t="shared" ref="D86:D104" si="6">B86*C86</f>
        <v>600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37</v>
      </c>
      <c r="B87" s="181">
        <f>'Données projet'!D90</f>
        <v>41</v>
      </c>
      <c r="C87" s="191">
        <v>27</v>
      </c>
      <c r="D87" s="179">
        <f t="shared" si="6"/>
        <v>1107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45</v>
      </c>
      <c r="B88" s="181">
        <f>'Données projet'!D91</f>
        <v>29</v>
      </c>
      <c r="C88" s="191">
        <v>30</v>
      </c>
      <c r="D88" s="179">
        <f t="shared" si="6"/>
        <v>870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53</v>
      </c>
      <c r="B89" s="181">
        <f>'Données projet'!D92</f>
        <v>30</v>
      </c>
      <c r="C89" s="191">
        <v>40</v>
      </c>
      <c r="D89" s="179">
        <f t="shared" si="6"/>
        <v>1200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61</v>
      </c>
      <c r="B90" s="181">
        <f>'Données projet'!D93</f>
        <v>33</v>
      </c>
      <c r="C90" s="191">
        <v>60</v>
      </c>
      <c r="D90" s="179">
        <f t="shared" si="6"/>
        <v>1980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69</v>
      </c>
      <c r="B91" s="181">
        <f>'Données projet'!D94</f>
        <v>32</v>
      </c>
      <c r="C91" s="191">
        <v>100</v>
      </c>
      <c r="D91" s="179">
        <f t="shared" si="6"/>
        <v>3200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77</v>
      </c>
      <c r="B92" s="181">
        <f>'Données projet'!D95</f>
        <v>32</v>
      </c>
      <c r="C92" s="191">
        <v>120</v>
      </c>
      <c r="D92" s="179">
        <f t="shared" si="6"/>
        <v>3840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85</v>
      </c>
      <c r="B93" s="181">
        <f>'Données projet'!D96</f>
        <v>31</v>
      </c>
      <c r="C93" s="191">
        <v>140</v>
      </c>
      <c r="D93" s="179">
        <f t="shared" si="6"/>
        <v>4340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95</v>
      </c>
      <c r="B94" s="181">
        <f>'Données projet'!D97</f>
        <v>42</v>
      </c>
      <c r="C94" s="191">
        <v>160</v>
      </c>
      <c r="D94" s="179">
        <f t="shared" si="6"/>
        <v>6720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105</v>
      </c>
      <c r="B95" s="181">
        <f>'Données projet'!D98</f>
        <v>34</v>
      </c>
      <c r="C95" s="191">
        <v>180</v>
      </c>
      <c r="D95" s="179">
        <f t="shared" si="6"/>
        <v>6120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115</v>
      </c>
      <c r="B96" s="181">
        <f>'Données projet'!D99</f>
        <v>37</v>
      </c>
      <c r="C96" s="191">
        <v>200</v>
      </c>
      <c r="D96" s="179">
        <f t="shared" si="6"/>
        <v>7400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125</v>
      </c>
      <c r="B97" s="181">
        <f>'Données projet'!D100</f>
        <v>39</v>
      </c>
      <c r="C97" s="191">
        <v>220</v>
      </c>
      <c r="D97" s="179">
        <f t="shared" si="6"/>
        <v>8580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v>240</v>
      </c>
      <c r="D98" s="179">
        <f t="shared" si="6"/>
        <v>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v>260</v>
      </c>
      <c r="D99" s="179">
        <f t="shared" si="6"/>
        <v>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v>280</v>
      </c>
      <c r="D100" s="179">
        <f t="shared" si="6"/>
        <v>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v>300</v>
      </c>
      <c r="D101" s="179">
        <f t="shared" si="6"/>
        <v>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v>320</v>
      </c>
      <c r="D102" s="179">
        <f t="shared" si="6"/>
        <v>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14</v>
      </c>
      <c r="B116" s="181">
        <f>'Données projet'!D114</f>
        <v>25</v>
      </c>
      <c r="C116" s="191">
        <v>15</v>
      </c>
      <c r="D116" s="179">
        <f>B116*C116</f>
        <v>375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24</v>
      </c>
      <c r="C117" s="191">
        <v>25</v>
      </c>
      <c r="D117" s="179">
        <f t="shared" ref="D117:D135" si="8">B117*C117</f>
        <v>600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37</v>
      </c>
      <c r="B118" s="181">
        <f>'Données projet'!D116</f>
        <v>41</v>
      </c>
      <c r="C118" s="191">
        <v>27</v>
      </c>
      <c r="D118" s="179">
        <f t="shared" si="8"/>
        <v>1107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45</v>
      </c>
      <c r="B119" s="181">
        <f>'Données projet'!D117</f>
        <v>29</v>
      </c>
      <c r="C119" s="191">
        <v>30</v>
      </c>
      <c r="D119" s="179">
        <f t="shared" si="8"/>
        <v>870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53</v>
      </c>
      <c r="B120" s="181">
        <f>'Données projet'!D118</f>
        <v>30</v>
      </c>
      <c r="C120" s="191">
        <v>40</v>
      </c>
      <c r="D120" s="179">
        <f t="shared" si="8"/>
        <v>1200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61</v>
      </c>
      <c r="B121" s="181">
        <f>'Données projet'!D119</f>
        <v>33</v>
      </c>
      <c r="C121" s="191">
        <v>60</v>
      </c>
      <c r="D121" s="179">
        <f t="shared" si="8"/>
        <v>1980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69</v>
      </c>
      <c r="B122" s="181">
        <f>'Données projet'!D120</f>
        <v>32</v>
      </c>
      <c r="C122" s="191">
        <v>100</v>
      </c>
      <c r="D122" s="179">
        <f t="shared" si="8"/>
        <v>3200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77</v>
      </c>
      <c r="B123" s="181">
        <f>'Données projet'!D121</f>
        <v>32</v>
      </c>
      <c r="C123" s="191">
        <v>120</v>
      </c>
      <c r="D123" s="179">
        <f t="shared" si="8"/>
        <v>3840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85</v>
      </c>
      <c r="B124" s="181">
        <f>'Données projet'!D122</f>
        <v>31</v>
      </c>
      <c r="C124" s="191">
        <v>140</v>
      </c>
      <c r="D124" s="179">
        <f t="shared" si="8"/>
        <v>4340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95</v>
      </c>
      <c r="B125" s="181">
        <f>'Données projet'!D123</f>
        <v>42</v>
      </c>
      <c r="C125" s="191">
        <v>160</v>
      </c>
      <c r="D125" s="179">
        <f t="shared" si="8"/>
        <v>6720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v>180</v>
      </c>
      <c r="D126" s="179">
        <f t="shared" si="8"/>
        <v>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v>200</v>
      </c>
      <c r="D127" s="179">
        <f t="shared" si="8"/>
        <v>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v>220</v>
      </c>
      <c r="D128" s="179">
        <f t="shared" si="8"/>
        <v>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v>240</v>
      </c>
      <c r="D129" s="179">
        <f t="shared" si="8"/>
        <v>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str">
        <f>IF(O128+1&lt;=MIN('Données projet'!$E$9:$E$18),O128+1,"STOP")</f>
        <v>STOP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v>260</v>
      </c>
      <c r="D130" s="179">
        <f t="shared" si="8"/>
        <v>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v>280</v>
      </c>
      <c r="D131" s="179">
        <f t="shared" si="8"/>
        <v>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v>300</v>
      </c>
      <c r="D132" s="179">
        <f t="shared" si="8"/>
        <v>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v>320</v>
      </c>
      <c r="D133" s="179">
        <f t="shared" si="8"/>
        <v>0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8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8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8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8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8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8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8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4.9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DELTA TECHNOLOGIES</cp:lastModifiedBy>
  <dcterms:created xsi:type="dcterms:W3CDTF">2021-02-01T08:22:39Z</dcterms:created>
  <dcterms:modified xsi:type="dcterms:W3CDTF">2024-05-14T13:10:04Z</dcterms:modified>
</cp:coreProperties>
</file>