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umond Christian (Simon_combes)_6,29/LBC/"/>
    </mc:Choice>
  </mc:AlternateContent>
  <xr:revisionPtr revIDLastSave="25" documentId="8_{9A3C3E71-39F3-4305-BEF1-2616B866E0A4}" xr6:coauthVersionLast="47" xr6:coauthVersionMax="47" xr10:uidLastSave="{8D0997DF-FFA2-4510-800C-66430360E4CB}"/>
  <bookViews>
    <workbookView xWindow="-120" yWindow="-12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B35" i="2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Y154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D162" i="2"/>
  <c r="HI163" i="2"/>
  <c r="EV163" i="2"/>
  <c r="FS163" i="2"/>
  <c r="EC163" i="2"/>
  <c r="ED163" i="2" s="1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X164" i="2" l="1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A172" i="2"/>
  <c r="ED172" i="2" s="1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HI179" i="2"/>
  <c r="DF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Y182" i="2" s="1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HH185" i="2"/>
  <c r="HG185" i="2"/>
  <c r="HI185" i="2"/>
  <c r="EB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A192" i="2"/>
  <c r="EB192" i="2"/>
  <c r="ED192" i="2" s="1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Y192" i="2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G194" i="2"/>
  <c r="FQ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FS202" i="2"/>
  <c r="FZ6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8" i="2" a="1"/>
  <c r="FY18" i="2" s="1"/>
  <c r="FY71" i="2" a="1"/>
  <c r="FY71" i="2" s="1"/>
  <c r="BC65" i="2" a="1"/>
  <c r="BC6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EI195" i="2" a="1"/>
  <c r="EI195" i="2" s="1"/>
  <c r="AH151" i="2" a="1"/>
  <c r="AH151" i="2" s="1"/>
  <c r="AH19" i="2" a="1"/>
  <c r="AH19" i="2" s="1"/>
  <c r="FD188" i="2" a="1"/>
  <c r="FD188" i="2" s="1"/>
  <c r="FD44" i="2" a="1"/>
  <c r="FD44" i="2" s="1"/>
  <c r="FD48" i="2" a="1"/>
  <c r="FD48" i="2" s="1"/>
  <c r="FD14" i="2" a="1"/>
  <c r="FD14" i="2" s="1"/>
  <c r="FD64" i="2" a="1"/>
  <c r="FD64" i="2" s="1"/>
  <c r="FD43" i="2" a="1"/>
  <c r="FD43" i="2" s="1"/>
  <c r="FD131" i="2" a="1"/>
  <c r="FD131" i="2" s="1"/>
  <c r="FD167" i="2" a="1"/>
  <c r="FD167" i="2" s="1"/>
  <c r="FD160" i="2" a="1"/>
  <c r="FD160" i="2" s="1"/>
  <c r="FD19" i="2" a="1"/>
  <c r="FD19" i="2" s="1"/>
  <c r="FD194" i="2" a="1"/>
  <c r="FD194" i="2" s="1"/>
  <c r="FD187" i="2" a="1"/>
  <c r="FD187" i="2" s="1"/>
  <c r="BC185" i="2" a="1"/>
  <c r="BC185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FD60" i="2" l="1" a="1"/>
  <c r="FD60" i="2" s="1"/>
  <c r="FD137" i="2" a="1"/>
  <c r="FD137" i="2" s="1"/>
  <c r="FD159" i="2" a="1"/>
  <c r="FD159" i="2" s="1"/>
  <c r="FD107" i="2" a="1"/>
  <c r="FD107" i="2" s="1"/>
  <c r="FD144" i="2" a="1"/>
  <c r="FD144" i="2" s="1"/>
  <c r="FD189" i="2" a="1"/>
  <c r="FD189" i="2" s="1"/>
  <c r="FR203" i="2"/>
  <c r="FD59" i="2" a="1"/>
  <c r="FD59" i="2" s="1"/>
  <c r="FD21" i="2" a="1"/>
  <c r="FD21" i="2" s="1"/>
  <c r="EI145" i="2" a="1"/>
  <c r="EI145" i="2" s="1"/>
  <c r="FY172" i="2" a="1"/>
  <c r="FY172" i="2" s="1"/>
  <c r="FY50" i="2" a="1"/>
  <c r="FY50" i="2" s="1"/>
  <c r="FY104" i="2" a="1"/>
  <c r="FY104" i="2" s="1"/>
  <c r="FY178" i="2" a="1"/>
  <c r="FY178" i="2" s="1"/>
  <c r="FY54" i="2" a="1"/>
  <c r="FY54" i="2" s="1"/>
  <c r="FY55" i="2" a="1"/>
  <c r="FY55" i="2" s="1"/>
  <c r="FY82" i="2" a="1"/>
  <c r="FY82" i="2" s="1"/>
  <c r="FY152" i="2" a="1"/>
  <c r="FY152" i="2" s="1"/>
  <c r="FY182" i="2" a="1"/>
  <c r="FY182" i="2" s="1"/>
  <c r="FY186" i="2" a="1"/>
  <c r="FY186" i="2" s="1"/>
  <c r="DN152" i="2" a="1"/>
  <c r="DN152" i="2" s="1"/>
  <c r="DN168" i="2" a="1"/>
  <c r="DN168" i="2" s="1"/>
  <c r="DN31" i="2" a="1"/>
  <c r="DN31" i="2" s="1"/>
  <c r="DN66" i="2" a="1"/>
  <c r="DN66" i="2" s="1"/>
  <c r="CS38" i="2" a="1"/>
  <c r="CS38" i="2" s="1"/>
  <c r="CS77" i="2" a="1"/>
  <c r="CS77" i="2" s="1"/>
  <c r="BC32" i="2" a="1"/>
  <c r="BC32" i="2" s="1"/>
  <c r="BC164" i="2" a="1"/>
  <c r="BC164" i="2" s="1"/>
  <c r="BC192" i="2" a="1"/>
  <c r="BC192" i="2" s="1"/>
  <c r="BC55" i="2" a="1"/>
  <c r="BC55" i="2" s="1"/>
  <c r="BC83" i="2" a="1"/>
  <c r="BC83" i="2" s="1"/>
  <c r="BC47" i="2" a="1"/>
  <c r="BC47" i="2" s="1"/>
  <c r="BC58" i="2" a="1"/>
  <c r="BC58" i="2" s="1"/>
  <c r="BC18" i="2" a="1"/>
  <c r="BC18" i="2" s="1"/>
  <c r="BC38" i="2" a="1"/>
  <c r="BC38" i="2" s="1"/>
  <c r="BC151" i="2" a="1"/>
  <c r="BC151" i="2" s="1"/>
  <c r="BC117" i="2" a="1"/>
  <c r="BC117" i="2" s="1"/>
  <c r="BC143" i="2" a="1"/>
  <c r="BC143" i="2" s="1"/>
  <c r="BC68" i="2" a="1"/>
  <c r="BC68" i="2" s="1"/>
  <c r="BC34" i="2" a="1"/>
  <c r="BC34" i="2" s="1"/>
  <c r="BC130" i="2" a="1"/>
  <c r="BC130" i="2" s="1"/>
  <c r="BC7" i="2" a="1"/>
  <c r="BC7" i="2" s="1"/>
  <c r="BC181" i="2" a="1"/>
  <c r="BC181" i="2" s="1"/>
  <c r="BC114" i="2" a="1"/>
  <c r="BC114" i="2" s="1"/>
  <c r="BC31" i="2" a="1"/>
  <c r="BC31" i="2" s="1"/>
  <c r="BC126" i="2" a="1"/>
  <c r="BC126" i="2" s="1"/>
  <c r="BC84" i="2" a="1"/>
  <c r="BC84" i="2" s="1"/>
  <c r="BC82" i="2" a="1"/>
  <c r="BC82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Y203" i="2"/>
  <c r="ED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CD180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CD165" i="2" l="1"/>
  <c r="CD83" i="2"/>
  <c r="CD79" i="2"/>
  <c r="CD114" i="2"/>
  <c r="CD107" i="2"/>
  <c r="CD97" i="2"/>
  <c r="CD159" i="2"/>
  <c r="CD91" i="2"/>
  <c r="CD170" i="2"/>
  <c r="CD98" i="2"/>
  <c r="CD128" i="2"/>
  <c r="CD64" i="2"/>
  <c r="CD138" i="2"/>
  <c r="CD148" i="2"/>
  <c r="CD96" i="2"/>
  <c r="CD104" i="2"/>
  <c r="CD66" i="2"/>
  <c r="CD164" i="2"/>
  <c r="CD33" i="2"/>
  <c r="CD6" i="2"/>
  <c r="CD160" i="2"/>
  <c r="CD31" i="2"/>
  <c r="CD60" i="2"/>
  <c r="CD153" i="2"/>
  <c r="CD14" i="2"/>
  <c r="CD7" i="2"/>
  <c r="CD176" i="2"/>
  <c r="CD162" i="2"/>
  <c r="CD179" i="2"/>
  <c r="CD65" i="2"/>
  <c r="CD134" i="2"/>
  <c r="CD113" i="2"/>
  <c r="CD45" i="2"/>
  <c r="CD112" i="2"/>
  <c r="CD24" i="2"/>
  <c r="CD102" i="2"/>
  <c r="CD43" i="2"/>
  <c r="CD122" i="2"/>
  <c r="CD84" i="2"/>
  <c r="CD189" i="2"/>
  <c r="CD131" i="2"/>
  <c r="CD151" i="2"/>
  <c r="CD87" i="2"/>
  <c r="CD130" i="2"/>
  <c r="CD139" i="2"/>
  <c r="CD177" i="2"/>
  <c r="CD61" i="2"/>
  <c r="CD105" i="2"/>
  <c r="CD136" i="2"/>
  <c r="CD27" i="2"/>
  <c r="CD25" i="2"/>
  <c r="CD203" i="2"/>
  <c r="CD157" i="2"/>
  <c r="CD23" i="2"/>
  <c r="CD199" i="2"/>
  <c r="CD63" i="2"/>
  <c r="CD156" i="2"/>
  <c r="CD11" i="2"/>
  <c r="CD86" i="2"/>
  <c r="CD19" i="2"/>
  <c r="CD16" i="2"/>
  <c r="CD193" i="2"/>
  <c r="CD54" i="2"/>
  <c r="CD155" i="2"/>
  <c r="CD78" i="2"/>
  <c r="CD135" i="2"/>
  <c r="CD141" i="2"/>
  <c r="CD38" i="2"/>
  <c r="CD200" i="2"/>
  <c r="CD20" i="2"/>
  <c r="CD146" i="2"/>
  <c r="CD182" i="2"/>
  <c r="CD59" i="2"/>
  <c r="CD124" i="2"/>
  <c r="CD71" i="2"/>
  <c r="CD76" i="2"/>
  <c r="CD183" i="2"/>
  <c r="CD17" i="2"/>
  <c r="CD109" i="2"/>
  <c r="CD40" i="2"/>
  <c r="CD185" i="2"/>
  <c r="CD88" i="2"/>
  <c r="CD125" i="2"/>
  <c r="CD22" i="2"/>
  <c r="CD52" i="2"/>
  <c r="CD150" i="2"/>
  <c r="CD26" i="2"/>
  <c r="CD101" i="2"/>
  <c r="CD168" i="2"/>
  <c r="CD57" i="2"/>
  <c r="CD181" i="2"/>
  <c r="CD147" i="2"/>
  <c r="CD8" i="2"/>
  <c r="CD21" i="2"/>
  <c r="CD69" i="2"/>
  <c r="CD42" i="2"/>
  <c r="CD192" i="2"/>
  <c r="CD120" i="2"/>
  <c r="CD166" i="2"/>
  <c r="CD186" i="2"/>
  <c r="CD99" i="2"/>
  <c r="CD145" i="2"/>
  <c r="CD152" i="2"/>
  <c r="CD46" i="2"/>
  <c r="CD32" i="2"/>
  <c r="CD195" i="2"/>
  <c r="CD39" i="2"/>
  <c r="CD47" i="2"/>
  <c r="CD41" i="2"/>
  <c r="CD81" i="2"/>
  <c r="CD172" i="2"/>
  <c r="CD4" i="2"/>
  <c r="CD143" i="2"/>
  <c r="CD80" i="2"/>
  <c r="CD171" i="2"/>
  <c r="CD191" i="2"/>
  <c r="CD75" i="2"/>
  <c r="CD121" i="2"/>
  <c r="CD117" i="2"/>
  <c r="CD15" i="2"/>
  <c r="CD190" i="2"/>
  <c r="CD82" i="2"/>
  <c r="CD56" i="2"/>
  <c r="CD161" i="2"/>
  <c r="CD36" i="2"/>
  <c r="CD173" i="2"/>
  <c r="CD110" i="2"/>
  <c r="CD28" i="2"/>
  <c r="CD127" i="2"/>
  <c r="CD34" i="2"/>
  <c r="CD92" i="2"/>
  <c r="CD103" i="2"/>
  <c r="CD144" i="2"/>
  <c r="CD119" i="2"/>
  <c r="CD115" i="2"/>
  <c r="CD108" i="2"/>
  <c r="CD48" i="2"/>
  <c r="CD12" i="2"/>
  <c r="CD149" i="2"/>
  <c r="CD111" i="2"/>
  <c r="CD10" i="2"/>
  <c r="CD174" i="2"/>
  <c r="CD167" i="2"/>
  <c r="CD133" i="2"/>
  <c r="CD51" i="2"/>
  <c r="CD13" i="2"/>
  <c r="CD5" i="2"/>
  <c r="CD175" i="2"/>
  <c r="CD196" i="2"/>
  <c r="CD140" i="2"/>
  <c r="CD85" i="2"/>
  <c r="CD126" i="2"/>
  <c r="CD178" i="2"/>
  <c r="CD158" i="2"/>
  <c r="CD70" i="2"/>
  <c r="CD116" i="2"/>
  <c r="CD184" i="2"/>
  <c r="CD30" i="2"/>
  <c r="CD118" i="2"/>
  <c r="CD67" i="2"/>
  <c r="CD37" i="2"/>
  <c r="CD194" i="2"/>
  <c r="CD18" i="2"/>
  <c r="CD169" i="2"/>
  <c r="CD198" i="2"/>
  <c r="CD197" i="2"/>
  <c r="CD187" i="2"/>
  <c r="CD163" i="2"/>
  <c r="CD77" i="2"/>
  <c r="CD142" i="2"/>
  <c r="CD72" i="2"/>
  <c r="CD9" i="2"/>
  <c r="CD93" i="2"/>
  <c r="CD35" i="2"/>
  <c r="CD95" i="2"/>
  <c r="CD129" i="2"/>
  <c r="CD58" i="2"/>
  <c r="CD74" i="2"/>
  <c r="CD123" i="2"/>
  <c r="CD106" i="2"/>
  <c r="CD73" i="2"/>
  <c r="CD154" i="2"/>
  <c r="CD55" i="2"/>
  <c r="CD90" i="2"/>
  <c r="CD100" i="2"/>
  <c r="CD68" i="2"/>
  <c r="CD49" i="2"/>
  <c r="CD53" i="2"/>
  <c r="CD44" i="2"/>
  <c r="CD29" i="2"/>
  <c r="CD3" i="2"/>
  <c r="C9" i="4" s="1"/>
  <c r="E9" i="4" s="1"/>
  <c r="F9" i="4" s="1"/>
  <c r="G9" i="4" s="1"/>
  <c r="L9" i="4" s="1"/>
  <c r="CD50" i="2"/>
  <c r="CD201" i="2"/>
  <c r="CD62" i="2"/>
  <c r="CD94" i="2"/>
  <c r="CD137" i="2"/>
  <c r="CD188" i="2"/>
  <c r="CD89" i="2"/>
  <c r="CD202" i="2"/>
  <c r="CD132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GE19" i="2" l="1"/>
  <c r="GE95" i="2"/>
  <c r="GE11" i="2"/>
  <c r="GE185" i="2"/>
  <c r="GE133" i="2"/>
  <c r="GE192" i="2"/>
  <c r="GE191" i="2"/>
  <c r="GE163" i="2"/>
  <c r="GE157" i="2"/>
  <c r="GE36" i="2"/>
  <c r="GE121" i="2"/>
  <c r="GE120" i="2"/>
  <c r="GE127" i="2"/>
  <c r="GE174" i="2"/>
  <c r="GE162" i="2"/>
  <c r="GE99" i="2"/>
  <c r="GE140" i="2"/>
  <c r="GE75" i="2"/>
  <c r="GE199" i="2"/>
  <c r="GE193" i="2"/>
  <c r="GE149" i="2"/>
  <c r="GE74" i="2"/>
  <c r="GE10" i="2"/>
  <c r="GE167" i="2"/>
  <c r="GE153" i="2"/>
  <c r="GE110" i="2"/>
  <c r="GE173" i="2"/>
  <c r="GE73" i="2"/>
  <c r="GE43" i="2"/>
  <c r="GE38" i="2"/>
  <c r="GE77" i="2"/>
  <c r="GE124" i="2"/>
  <c r="GE170" i="2"/>
  <c r="GE76" i="2"/>
  <c r="GE134" i="2"/>
  <c r="GE115" i="2"/>
  <c r="GE142" i="2"/>
  <c r="GE87" i="2"/>
  <c r="GE37" i="2"/>
  <c r="GE53" i="2"/>
  <c r="GE106" i="2"/>
  <c r="GE146" i="2"/>
  <c r="GE201" i="2"/>
  <c r="GE83" i="2"/>
  <c r="GE96" i="2"/>
  <c r="GE97" i="2"/>
  <c r="GE40" i="2"/>
  <c r="GE64" i="2"/>
  <c r="GE141" i="2"/>
  <c r="GE32" i="2"/>
  <c r="GE94" i="2"/>
  <c r="GE177" i="2"/>
  <c r="GE33" i="2"/>
  <c r="GE12" i="2"/>
  <c r="GE4" i="2"/>
  <c r="GE6" i="2"/>
  <c r="GE90" i="2"/>
  <c r="GE111" i="2"/>
  <c r="GE114" i="2"/>
  <c r="GE175" i="2"/>
  <c r="GE187" i="2"/>
  <c r="GE196" i="2"/>
  <c r="GE52" i="2"/>
  <c r="GE198" i="2"/>
  <c r="GE197" i="2"/>
  <c r="GE85" i="2"/>
  <c r="GE108" i="2"/>
  <c r="GE148" i="2"/>
  <c r="GE102" i="2"/>
  <c r="GE47" i="2"/>
  <c r="GE62" i="2"/>
  <c r="GE92" i="2"/>
  <c r="GE58" i="2"/>
  <c r="GE122" i="2"/>
  <c r="GE172" i="2"/>
  <c r="GE78" i="2"/>
  <c r="GE176" i="2"/>
  <c r="GE50" i="2"/>
  <c r="GE200" i="2"/>
  <c r="GE51" i="2"/>
  <c r="GE132" i="2"/>
  <c r="GE190" i="2"/>
  <c r="GE188" i="2"/>
  <c r="GE17" i="2"/>
  <c r="GE166" i="2"/>
  <c r="GE25" i="2"/>
  <c r="GE160" i="2"/>
  <c r="GE68" i="2"/>
  <c r="GE41" i="2"/>
  <c r="GE34" i="2"/>
  <c r="GE152" i="2"/>
  <c r="GE20" i="2"/>
  <c r="GE119" i="2"/>
  <c r="GE5" i="2"/>
  <c r="GE168" i="2"/>
  <c r="GE126" i="2"/>
  <c r="GE103" i="2"/>
  <c r="GE116" i="2"/>
  <c r="GE151" i="2"/>
  <c r="GE45" i="2"/>
  <c r="GE84" i="2"/>
  <c r="GE143" i="2"/>
  <c r="GE57" i="2"/>
  <c r="GE164" i="2"/>
  <c r="GE186" i="2"/>
  <c r="GE30" i="2"/>
  <c r="GE7" i="2"/>
  <c r="GE145" i="2"/>
  <c r="GE9" i="2"/>
  <c r="GE21" i="2"/>
  <c r="GE150" i="2"/>
  <c r="GE178" i="2"/>
  <c r="GE22" i="2"/>
  <c r="GE13" i="2"/>
  <c r="GE79" i="2"/>
  <c r="GE98" i="2"/>
  <c r="GE161" i="2"/>
  <c r="GE65" i="2"/>
  <c r="GE69" i="2"/>
  <c r="GE46" i="2"/>
  <c r="GE88" i="2"/>
  <c r="GE18" i="2"/>
  <c r="GE138" i="2"/>
  <c r="GE169" i="2"/>
  <c r="GE39" i="2"/>
  <c r="GE15" i="2"/>
  <c r="GE194" i="2"/>
  <c r="GE42" i="2"/>
  <c r="GE156" i="2"/>
  <c r="GE105" i="2"/>
  <c r="GE158" i="2"/>
  <c r="GE139" i="2"/>
  <c r="GE109" i="2"/>
  <c r="GE3" i="2"/>
  <c r="C14" i="4" s="1"/>
  <c r="E14" i="4" s="1"/>
  <c r="F14" i="4" s="1"/>
  <c r="G14" i="4" s="1"/>
  <c r="L14" i="4" s="1"/>
  <c r="GE100" i="2"/>
  <c r="GE80" i="2"/>
  <c r="GE180" i="2"/>
  <c r="GE202" i="2"/>
  <c r="GE54" i="2"/>
  <c r="GE70" i="2"/>
  <c r="GE195" i="2"/>
  <c r="GE189" i="2"/>
  <c r="GE55" i="2"/>
  <c r="GE16" i="2"/>
  <c r="GE129" i="2"/>
  <c r="GE203" i="2"/>
  <c r="GE14" i="2"/>
  <c r="GE29" i="2"/>
  <c r="GE128" i="2"/>
  <c r="GE171" i="2"/>
  <c r="GE183" i="2"/>
  <c r="GE125" i="2"/>
  <c r="GE184" i="2"/>
  <c r="GE117" i="2"/>
  <c r="GE49" i="2"/>
  <c r="GE61" i="2"/>
  <c r="GE66" i="2"/>
  <c r="GE27" i="2"/>
  <c r="GE44" i="2"/>
  <c r="GE89" i="2"/>
  <c r="GE59" i="2"/>
  <c r="GE181" i="2"/>
  <c r="GE72" i="2"/>
  <c r="GE8" i="2"/>
  <c r="GE23" i="2"/>
  <c r="GE93" i="2"/>
  <c r="GE56" i="2"/>
  <c r="GE104" i="2"/>
  <c r="GE154" i="2"/>
  <c r="GE67" i="2"/>
  <c r="GE91" i="2"/>
  <c r="GE165" i="2"/>
  <c r="GE137" i="2"/>
  <c r="GE147" i="2"/>
  <c r="GE60" i="2"/>
  <c r="GE144" i="2"/>
  <c r="GE159" i="2"/>
  <c r="GE179" i="2"/>
  <c r="GE24" i="2"/>
  <c r="GE130" i="2"/>
  <c r="GE31" i="2"/>
  <c r="GE26" i="2"/>
  <c r="GE101" i="2"/>
  <c r="GE118" i="2"/>
  <c r="GE86" i="2"/>
  <c r="GE35" i="2"/>
  <c r="GE112" i="2"/>
  <c r="GE107" i="2"/>
  <c r="GE131" i="2"/>
  <c r="GE63" i="2"/>
  <c r="GE81" i="2"/>
  <c r="GE48" i="2"/>
  <c r="GE28" i="2"/>
  <c r="GE135" i="2"/>
  <c r="GE123" i="2"/>
  <c r="GE82" i="2"/>
  <c r="GE113" i="2"/>
  <c r="GE71" i="2"/>
  <c r="GE136" i="2"/>
  <c r="GE182" i="2"/>
  <c r="GE15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FJ63" i="2" l="1"/>
  <c r="FJ16" i="2"/>
  <c r="FJ151" i="2"/>
  <c r="FJ196" i="2"/>
  <c r="FJ167" i="2"/>
  <c r="FJ85" i="2"/>
  <c r="FJ104" i="2"/>
  <c r="FJ129" i="2"/>
  <c r="FJ3" i="2"/>
  <c r="C13" i="4" s="1"/>
  <c r="E13" i="4" s="1"/>
  <c r="F13" i="4" s="1"/>
  <c r="G13" i="4" s="1"/>
  <c r="L13" i="4" s="1"/>
  <c r="FJ32" i="2"/>
  <c r="FJ187" i="2"/>
  <c r="FJ78" i="2"/>
  <c r="FJ147" i="2"/>
  <c r="FJ128" i="2"/>
  <c r="FJ10" i="2"/>
  <c r="FJ23" i="2"/>
  <c r="FJ101" i="2"/>
  <c r="FJ169" i="2"/>
  <c r="FJ54" i="2"/>
  <c r="FJ149" i="2"/>
  <c r="FJ59" i="2"/>
  <c r="FJ203" i="2"/>
  <c r="FJ7" i="2"/>
  <c r="FJ56" i="2"/>
  <c r="FJ111" i="2"/>
  <c r="FJ137" i="2"/>
  <c r="FJ45" i="2"/>
  <c r="FJ28" i="2"/>
  <c r="FJ200" i="2"/>
  <c r="FJ118" i="2"/>
  <c r="FJ43" i="2"/>
  <c r="FJ177" i="2"/>
  <c r="FJ132" i="2"/>
  <c r="FJ171" i="2"/>
  <c r="FJ70" i="2"/>
  <c r="FJ20" i="2"/>
  <c r="FJ81" i="2"/>
  <c r="FJ198" i="2"/>
  <c r="FJ168" i="2"/>
  <c r="FJ154" i="2"/>
  <c r="FJ92" i="2"/>
  <c r="FJ27" i="2"/>
  <c r="FJ82" i="2"/>
  <c r="FJ18" i="2"/>
  <c r="FJ103" i="2"/>
  <c r="FJ88" i="2"/>
  <c r="FJ194" i="2"/>
  <c r="FJ57" i="2"/>
  <c r="FJ52" i="2"/>
  <c r="FJ98" i="2"/>
  <c r="FJ201" i="2"/>
  <c r="FJ191" i="2"/>
  <c r="FJ64" i="2"/>
  <c r="FJ143" i="2"/>
  <c r="FJ12" i="2"/>
  <c r="FJ188" i="2"/>
  <c r="FJ131" i="2"/>
  <c r="FJ13" i="2"/>
  <c r="FJ130" i="2"/>
  <c r="FJ48" i="2"/>
  <c r="FJ146" i="2"/>
  <c r="FJ127" i="2"/>
  <c r="FJ184" i="2"/>
  <c r="FJ180" i="2"/>
  <c r="FJ181" i="2"/>
  <c r="FJ71" i="2"/>
  <c r="FJ58" i="2"/>
  <c r="FJ97" i="2"/>
  <c r="FJ26" i="2"/>
  <c r="FJ87" i="2"/>
  <c r="FJ19" i="2"/>
  <c r="FJ89" i="2"/>
  <c r="FJ102" i="2"/>
  <c r="FJ195" i="2"/>
  <c r="FJ157" i="2"/>
  <c r="FJ179" i="2"/>
  <c r="FJ145" i="2"/>
  <c r="FJ24" i="2"/>
  <c r="FJ189" i="2"/>
  <c r="FJ135" i="2"/>
  <c r="FJ61" i="2"/>
  <c r="FJ100" i="2"/>
  <c r="FJ153" i="2"/>
  <c r="FJ74" i="2"/>
  <c r="FJ65" i="2"/>
  <c r="FJ17" i="2"/>
  <c r="FJ164" i="2"/>
  <c r="FJ166" i="2"/>
  <c r="FJ68" i="2"/>
  <c r="FJ186" i="2"/>
  <c r="FJ176" i="2"/>
  <c r="FJ174" i="2"/>
  <c r="FJ172" i="2"/>
  <c r="FJ30" i="2"/>
  <c r="FJ73" i="2"/>
  <c r="FJ44" i="2"/>
  <c r="FJ53" i="2"/>
  <c r="FJ117" i="2"/>
  <c r="FJ41" i="2"/>
  <c r="FJ123" i="2"/>
  <c r="FJ156" i="2"/>
  <c r="FJ84" i="2"/>
  <c r="FJ114" i="2"/>
  <c r="FJ51" i="2"/>
  <c r="FJ144" i="2"/>
  <c r="FJ69" i="2"/>
  <c r="FJ113" i="2"/>
  <c r="FJ120" i="2"/>
  <c r="FJ139" i="2"/>
  <c r="FJ112" i="2"/>
  <c r="FJ8" i="2"/>
  <c r="FJ148" i="2"/>
  <c r="FJ90" i="2"/>
  <c r="FJ162" i="2"/>
  <c r="FJ79" i="2"/>
  <c r="FJ29" i="2"/>
  <c r="FJ141" i="2"/>
  <c r="FJ6" i="2"/>
  <c r="FJ66" i="2"/>
  <c r="FJ133" i="2"/>
  <c r="FJ109" i="2"/>
  <c r="FJ14" i="2"/>
  <c r="FJ160" i="2"/>
  <c r="FJ119" i="2"/>
  <c r="FJ108" i="2"/>
  <c r="FJ25" i="2"/>
  <c r="FJ55" i="2"/>
  <c r="FJ122" i="2"/>
  <c r="FJ178" i="2"/>
  <c r="FJ121" i="2"/>
  <c r="FJ183" i="2"/>
  <c r="FJ192" i="2"/>
  <c r="FJ72" i="2"/>
  <c r="FJ175" i="2"/>
  <c r="FJ163" i="2"/>
  <c r="FJ39" i="2"/>
  <c r="FJ190" i="2"/>
  <c r="FJ124" i="2"/>
  <c r="FJ47" i="2"/>
  <c r="FJ95" i="2"/>
  <c r="FJ80" i="2"/>
  <c r="FJ182" i="2"/>
  <c r="FJ152" i="2"/>
  <c r="FJ40" i="2"/>
  <c r="FJ42" i="2"/>
  <c r="FJ193" i="2"/>
  <c r="FJ33" i="2"/>
  <c r="FJ38" i="2"/>
  <c r="FJ50" i="2"/>
  <c r="FJ161" i="2"/>
  <c r="FJ11" i="2"/>
  <c r="FJ134" i="2"/>
  <c r="FJ35" i="2"/>
  <c r="FJ36" i="2"/>
  <c r="FJ126" i="2"/>
  <c r="FJ4" i="2"/>
  <c r="FJ140" i="2"/>
  <c r="FJ185" i="2"/>
  <c r="FJ150" i="2"/>
  <c r="FJ37" i="2"/>
  <c r="FJ142" i="2"/>
  <c r="FJ159" i="2"/>
  <c r="FJ86" i="2"/>
  <c r="FJ199" i="2"/>
  <c r="FJ165" i="2"/>
  <c r="FJ93" i="2"/>
  <c r="FJ105" i="2"/>
  <c r="FJ75" i="2"/>
  <c r="FJ136" i="2"/>
  <c r="FJ5" i="2"/>
  <c r="FJ15" i="2"/>
  <c r="FJ173" i="2"/>
  <c r="FJ96" i="2"/>
  <c r="FJ115" i="2"/>
  <c r="FJ62" i="2"/>
  <c r="FJ138" i="2"/>
  <c r="FJ110" i="2"/>
  <c r="FJ34" i="2"/>
  <c r="FJ158" i="2"/>
  <c r="FJ60" i="2"/>
  <c r="FJ107" i="2"/>
  <c r="FJ99" i="2"/>
  <c r="FJ77" i="2"/>
  <c r="FJ155" i="2"/>
  <c r="FJ94" i="2"/>
  <c r="FJ83" i="2"/>
  <c r="FJ9" i="2"/>
  <c r="FJ31" i="2"/>
  <c r="FJ125" i="2"/>
  <c r="FJ49" i="2"/>
  <c r="FJ67" i="2"/>
  <c r="FJ197" i="2"/>
  <c r="FJ76" i="2"/>
  <c r="FJ170" i="2"/>
  <c r="FJ91" i="2"/>
  <c r="FJ106" i="2"/>
  <c r="FJ202" i="2"/>
  <c r="FJ116" i="2"/>
  <c r="FJ46" i="2"/>
  <c r="FJ21" i="2"/>
  <c r="FJ22" i="2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<sst xmlns="http://schemas.openxmlformats.org/spreadsheetml/2006/main" count="1201" uniqueCount="339">
  <si>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</si>
  <si>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</si>
  <si>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</si>
  <si>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</si>
  <si>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</si>
  <si>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</si>
  <si>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</si>
  <si>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</si>
  <si>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</si>
  <si>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</si>
  <si>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</si>
  <si>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</si>
  <si>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</si>
  <si>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</si>
  <si>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</si>
  <si>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</si>
  <si>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Epicéa commun</t>
  </si>
  <si>
    <t>NB : La durée de révolution doit être identique à la dernière année indiquée dans la table de production renseignée en dessous</t>
  </si>
  <si>
    <t>Essence 2</t>
  </si>
  <si>
    <t>Hêtre</t>
  </si>
  <si>
    <t>Essence 3</t>
  </si>
  <si>
    <t>Douglas</t>
  </si>
  <si>
    <t>Essence 4</t>
  </si>
  <si>
    <t>Sapin pectiné</t>
  </si>
  <si>
    <t>Essence 5</t>
  </si>
  <si>
    <t>Pin laricio</t>
  </si>
  <si>
    <t>Essence 6</t>
  </si>
  <si>
    <t>Pin noir d'Autriche</t>
  </si>
  <si>
    <t>Essence 7</t>
  </si>
  <si>
    <t>Châtaignier</t>
  </si>
  <si>
    <t>Essence 8</t>
  </si>
  <si>
    <t>Chêne sessile</t>
  </si>
  <si>
    <t>Essence 9</t>
  </si>
  <si>
    <t>Chêne rouge d'Amérique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</si>
  <si>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</si>
  <si>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</si>
  <si>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</si>
  <si>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</si>
  <si>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</si>
  <si>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</si>
  <si>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</si>
  <si>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</si>
  <si>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</si>
  <si>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</si>
  <si>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</si>
  <si>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</si>
  <si>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</si>
  <si>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</si>
  <si>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</si>
  <si>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</si>
  <si>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</si>
  <si>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</si>
  <si>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</si>
  <si>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</si>
  <si>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</si>
  <si>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</si>
  <si>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</si>
  <si>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</si>
  <si>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</si>
  <si>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</si>
  <si>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</si>
  <si>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</si>
  <si>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</si>
  <si>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30</t>
  </si>
  <si>
    <t>29</t>
  </si>
  <si>
    <t>31</t>
  </si>
  <si>
    <t>32</t>
  </si>
  <si>
    <t>28</t>
  </si>
  <si>
    <t>26</t>
  </si>
  <si>
    <t>24</t>
  </si>
  <si>
    <t>22</t>
  </si>
  <si>
    <t>21</t>
  </si>
  <si>
    <t>19</t>
  </si>
  <si>
    <t>17</t>
  </si>
  <si>
    <t>16</t>
  </si>
  <si>
    <t>14</t>
  </si>
  <si>
    <t>13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</si>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</sst>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32" fillId="21" borderId="54" xfId="1" applyNumberFormat="1" applyFont="1" applyFill="1" applyBorder="1" applyAlignment="1" applyProtection="1">
      <alignment horizontal="center" vertical="center"/>
      <protection locked="0" hidden="1"/>
    </xf>
    <xf numFmtId="168" fontId="32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1.557347294970586</c:v>
                </c:pt>
                <c:pt idx="2">
                  <c:v>1.927995638648712</c:v>
                </c:pt>
                <c:pt idx="3">
                  <c:v>2.3872063201987852</c:v>
                </c:pt>
                <c:pt idx="4">
                  <c:v>2.9562190539624695</c:v>
                </c:pt>
                <c:pt idx="5">
                  <c:v>3.6613851604924554</c:v>
                </c:pt>
                <c:pt idx="6">
                  <c:v>4.5354017184558257</c:v>
                </c:pt>
                <c:pt idx="7">
                  <c:v>5.6188445814209969</c:v>
                </c:pt>
                <c:pt idx="8">
                  <c:v>6.9620728316563563</c:v>
                </c:pt>
                <c:pt idx="9">
                  <c:v>8.6275949095458468</c:v>
                </c:pt>
                <c:pt idx="10">
                  <c:v>10.693008634085174</c:v>
                </c:pt>
                <c:pt idx="11">
                  <c:v>13.254654670996976</c:v>
                </c:pt>
                <c:pt idx="12">
                  <c:v>16.432157022255627</c:v>
                </c:pt>
                <c:pt idx="13">
                  <c:v>20.374066437659895</c:v>
                </c:pt>
                <c:pt idx="14">
                  <c:v>25.264875319299922</c:v>
                </c:pt>
                <c:pt idx="15">
                  <c:v>31.333738235727811</c:v>
                </c:pt>
                <c:pt idx="16">
                  <c:v>38.865313737822305</c:v>
                </c:pt>
                <c:pt idx="17">
                  <c:v>48.21324469982094</c:v>
                </c:pt>
                <c:pt idx="18">
                  <c:v>59.816920787552846</c:v>
                </c:pt>
                <c:pt idx="19">
                  <c:v>74.222323972837131</c:v>
                </c:pt>
                <c:pt idx="20">
                  <c:v>92.107953855246592</c:v>
                </c:pt>
                <c:pt idx="21">
                  <c:v>114.31707337027716</c:v>
                </c:pt>
                <c:pt idx="22">
                  <c:v>141.89781902837689</c:v>
                </c:pt>
                <c:pt idx="23">
                  <c:v>176.15309780701702</c:v>
                </c:pt>
                <c:pt idx="24">
                  <c:v>218.70266347735244</c:v>
                </c:pt>
                <c:pt idx="25">
                  <c:v>271.56035124904912</c:v>
                </c:pt>
                <c:pt idx="26">
                  <c:v>225.52091699304256</c:v>
                </c:pt>
                <c:pt idx="27">
                  <c:v>249.03836880677167</c:v>
                </c:pt>
                <c:pt idx="28">
                  <c:v>272.50543872810448</c:v>
                </c:pt>
                <c:pt idx="29">
                  <c:v>295.92707386000797</c:v>
                </c:pt>
                <c:pt idx="30">
                  <c:v>319.30737399917899</c:v>
                </c:pt>
                <c:pt idx="31">
                  <c:v>248.75188517454123</c:v>
                </c:pt>
                <c:pt idx="32">
                  <c:v>271.0917511016014</c:v>
                </c:pt>
                <c:pt idx="33">
                  <c:v>293.39020784390783</c:v>
                </c:pt>
                <c:pt idx="34">
                  <c:v>315.65084374519887</c:v>
                </c:pt>
                <c:pt idx="35">
                  <c:v>337.87669968317124</c:v>
                </c:pt>
                <c:pt idx="36">
                  <c:v>360.07038387242051</c:v>
                </c:pt>
                <c:pt idx="37">
                  <c:v>293.14442297316191</c:v>
                </c:pt>
                <c:pt idx="38">
                  <c:v>314.07555612801667</c:v>
                </c:pt>
                <c:pt idx="39">
                  <c:v>334.97577070824246</c:v>
                </c:pt>
                <c:pt idx="40">
                  <c:v>355.84726616513905</c:v>
                </c:pt>
                <c:pt idx="41">
                  <c:v>376.69196294978332</c:v>
                </c:pt>
                <c:pt idx="42">
                  <c:v>397.51155170430474</c:v>
                </c:pt>
                <c:pt idx="43">
                  <c:v>336.66607018125291</c:v>
                </c:pt>
                <c:pt idx="44">
                  <c:v>356.07357931688739</c:v>
                </c:pt>
                <c:pt idx="45">
                  <c:v>375.45793364368859</c:v>
                </c:pt>
                <c:pt idx="46">
                  <c:v>394.82049622164624</c:v>
                </c:pt>
                <c:pt idx="47">
                  <c:v>414.16248555981201</c:v>
                </c:pt>
                <c:pt idx="48">
                  <c:v>433.48499711951621</c:v>
                </c:pt>
                <c:pt idx="49">
                  <c:v>362.93517118361439</c:v>
                </c:pt>
                <c:pt idx="50">
                  <c:v>380.41323181806086</c:v>
                </c:pt>
                <c:pt idx="51">
                  <c:v>397.87382939264381</c:v>
                </c:pt>
                <c:pt idx="52">
                  <c:v>415.31783785061089</c:v>
                </c:pt>
                <c:pt idx="53">
                  <c:v>432.74605175632138</c:v>
                </c:pt>
                <c:pt idx="54">
                  <c:v>450.15919647759853</c:v>
                </c:pt>
                <c:pt idx="55">
                  <c:v>467.55793671061741</c:v>
                </c:pt>
                <c:pt idx="56">
                  <c:v>397.70281720608892</c:v>
                </c:pt>
                <c:pt idx="57">
                  <c:v>413.34730872142615</c:v>
                </c:pt>
                <c:pt idx="58">
                  <c:v>428.9790293930098</c:v>
                </c:pt>
                <c:pt idx="59">
                  <c:v>444.59850998495403</c:v>
                </c:pt>
                <c:pt idx="60">
                  <c:v>460.20624093628697</c:v>
                </c:pt>
                <c:pt idx="61">
                  <c:v>475.80267671676319</c:v>
                </c:pt>
                <c:pt idx="62">
                  <c:v>491.38823958190954</c:v>
                </c:pt>
                <c:pt idx="63">
                  <c:v>1.6301611558033651E-12</c:v>
                </c:pt>
                <c:pt idx="64">
                  <c:v>1.6301611558033651E-12</c:v>
                </c:pt>
                <c:pt idx="65">
                  <c:v>1.6301611558033651E-12</c:v>
                </c:pt>
                <c:pt idx="66">
                  <c:v>1.6301611558033651E-12</c:v>
                </c:pt>
                <c:pt idx="67">
                  <c:v>1.6301611558033651E-12</c:v>
                </c:pt>
                <c:pt idx="68">
                  <c:v>1.6301611558033651E-12</c:v>
                </c:pt>
                <c:pt idx="69">
                  <c:v>1.6301611558033651E-12</c:v>
                </c:pt>
                <c:pt idx="70">
                  <c:v>1.6301611558033651E-12</c:v>
                </c:pt>
                <c:pt idx="71">
                  <c:v>1.6301611558033651E-12</c:v>
                </c:pt>
                <c:pt idx="72">
                  <c:v>1.6301611558033651E-12</c:v>
                </c:pt>
                <c:pt idx="73">
                  <c:v>1.6301611558033651E-12</c:v>
                </c:pt>
                <c:pt idx="74">
                  <c:v>1.6301611558033651E-12</c:v>
                </c:pt>
                <c:pt idx="75">
                  <c:v>1.6301611558033651E-12</c:v>
                </c:pt>
                <c:pt idx="76">
                  <c:v>1.6301611558033651E-12</c:v>
                </c:pt>
                <c:pt idx="77">
                  <c:v>1.6301611558033651E-12</c:v>
                </c:pt>
                <c:pt idx="78">
                  <c:v>1.6301611558033651E-12</c:v>
                </c:pt>
                <c:pt idx="79">
                  <c:v>1.6301611558033651E-12</c:v>
                </c:pt>
                <c:pt idx="80">
                  <c:v>1.6301611558033651E-12</c:v>
                </c:pt>
                <c:pt idx="81">
                  <c:v>1.6301611558033651E-12</c:v>
                </c:pt>
                <c:pt idx="82">
                  <c:v>1.6301611558033651E-12</c:v>
                </c:pt>
                <c:pt idx="83">
                  <c:v>1.6301611558033651E-12</c:v>
                </c:pt>
                <c:pt idx="84">
                  <c:v>1.6301611558033651E-12</c:v>
                </c:pt>
                <c:pt idx="85">
                  <c:v>1.6301611558033651E-12</c:v>
                </c:pt>
                <c:pt idx="86">
                  <c:v>1.6301611558033651E-12</c:v>
                </c:pt>
                <c:pt idx="87">
                  <c:v>1.6301611558033651E-12</c:v>
                </c:pt>
                <c:pt idx="88">
                  <c:v>1.6301611558033651E-12</c:v>
                </c:pt>
                <c:pt idx="89">
                  <c:v>1.6301611558033651E-12</c:v>
                </c:pt>
                <c:pt idx="90">
                  <c:v>1.6301611558033651E-12</c:v>
                </c:pt>
                <c:pt idx="91">
                  <c:v>1.6301611558033651E-12</c:v>
                </c:pt>
                <c:pt idx="92">
                  <c:v>1.6301611558033651E-12</c:v>
                </c:pt>
                <c:pt idx="93">
                  <c:v>1.6301611558033651E-12</c:v>
                </c:pt>
                <c:pt idx="94">
                  <c:v>1.6301611558033651E-12</c:v>
                </c:pt>
                <c:pt idx="95">
                  <c:v>1.6301611558033651E-12</c:v>
                </c:pt>
                <c:pt idx="96">
                  <c:v>1.6301611558033651E-12</c:v>
                </c:pt>
                <c:pt idx="97">
                  <c:v>1.6301611558033651E-12</c:v>
                </c:pt>
                <c:pt idx="98">
                  <c:v>1.6301611558033651E-12</c:v>
                </c:pt>
                <c:pt idx="99">
                  <c:v>1.6301611558033651E-12</c:v>
                </c:pt>
                <c:pt idx="100">
                  <c:v>1.6301611558033651E-12</c:v>
                </c:pt>
                <c:pt idx="101">
                  <c:v>1.6301611558033651E-12</c:v>
                </c:pt>
                <c:pt idx="102">
                  <c:v>1.6301611558033651E-12</c:v>
                </c:pt>
                <c:pt idx="103">
                  <c:v>1.6301611558033651E-12</c:v>
                </c:pt>
                <c:pt idx="104">
                  <c:v>1.6301611558033651E-12</c:v>
                </c:pt>
                <c:pt idx="105">
                  <c:v>1.6301611558033651E-12</c:v>
                </c:pt>
                <c:pt idx="106">
                  <c:v>1.6301611558033651E-12</c:v>
                </c:pt>
                <c:pt idx="107">
                  <c:v>1.6301611558033651E-12</c:v>
                </c:pt>
                <c:pt idx="108">
                  <c:v>1.6301611558033651E-12</c:v>
                </c:pt>
                <c:pt idx="109">
                  <c:v>1.6301611558033651E-12</c:v>
                </c:pt>
                <c:pt idx="110">
                  <c:v>1.6301611558033651E-12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2.5429178512299973</c:v>
                </c:pt>
                <c:pt idx="2">
                  <c:v>2.9456516874549741</c:v>
                </c:pt>
                <c:pt idx="3">
                  <c:v>3.4123992928290199</c:v>
                </c:pt>
                <c:pt idx="4">
                  <c:v>3.9533702250153646</c:v>
                </c:pt>
                <c:pt idx="5">
                  <c:v>4.5804075574040661</c:v>
                </c:pt>
                <c:pt idx="6">
                  <c:v>5.3072500141928769</c:v>
                </c:pt>
                <c:pt idx="7">
                  <c:v>6.1498362862650646</c:v>
                </c:pt>
                <c:pt idx="8">
                  <c:v>7.1266583323611288</c:v>
                </c:pt>
                <c:pt idx="9">
                  <c:v>8.2591715702511497</c:v>
                </c:pt>
                <c:pt idx="10">
                  <c:v>9.5722711410879242</c:v>
                </c:pt>
                <c:pt idx="11">
                  <c:v>11.094844915797003</c:v>
                </c:pt>
                <c:pt idx="12">
                  <c:v>12.860415638882102</c:v>
                </c:pt>
                <c:pt idx="13">
                  <c:v>14.907886611509575</c:v>
                </c:pt>
                <c:pt idx="14">
                  <c:v>17.282407647663636</c:v>
                </c:pt>
                <c:pt idx="15">
                  <c:v>20.036380747414992</c:v>
                </c:pt>
                <c:pt idx="16">
                  <c:v>23.230628081405936</c:v>
                </c:pt>
                <c:pt idx="17">
                  <c:v>26.935748542020491</c:v>
                </c:pt>
                <c:pt idx="18">
                  <c:v>31.23369337251437</c:v>
                </c:pt>
                <c:pt idx="19">
                  <c:v>36.219596332302103</c:v>
                </c:pt>
                <c:pt idx="20">
                  <c:v>42.00389960705747</c:v>
                </c:pt>
                <c:pt idx="21">
                  <c:v>48.714823357015241</c:v>
                </c:pt>
                <c:pt idx="22">
                  <c:v>56.501234567904305</c:v>
                </c:pt>
                <c:pt idx="23">
                  <c:v>65.535979903111794</c:v>
                </c:pt>
                <c:pt idx="24">
                  <c:v>76.019757758611675</c:v>
                </c:pt>
                <c:pt idx="25">
                  <c:v>88.185616933053481</c:v>
                </c:pt>
                <c:pt idx="26">
                  <c:v>102.30418352235762</c:v>
                </c:pt>
                <c:pt idx="27">
                  <c:v>118.6897341547331</c:v>
                </c:pt>
                <c:pt idx="28">
                  <c:v>137.70725287451742</c:v>
                </c:pt>
                <c:pt idx="29">
                  <c:v>159.78063129933361</c:v>
                </c:pt>
                <c:pt idx="30">
                  <c:v>185.40219762387332</c:v>
                </c:pt>
                <c:pt idx="31">
                  <c:v>200.21840894139982</c:v>
                </c:pt>
                <c:pt idx="32">
                  <c:v>215.00921165531906</c:v>
                </c:pt>
                <c:pt idx="33">
                  <c:v>229.77660032319537</c:v>
                </c:pt>
                <c:pt idx="34">
                  <c:v>244.52229199614086</c:v>
                </c:pt>
                <c:pt idx="35">
                  <c:v>259.24777959689567</c:v>
                </c:pt>
                <c:pt idx="36">
                  <c:v>273.95437251774672</c:v>
                </c:pt>
                <c:pt idx="37">
                  <c:v>288.64322803419367</c:v>
                </c:pt>
                <c:pt idx="38">
                  <c:v>303.31537598331357</c:v>
                </c:pt>
                <c:pt idx="39">
                  <c:v>317.97173841352787</c:v>
                </c:pt>
                <c:pt idx="40">
                  <c:v>332.61314541969597</c:v>
                </c:pt>
                <c:pt idx="41">
                  <c:v>347.24034804282337</c:v>
                </c:pt>
                <c:pt idx="42">
                  <c:v>361.85402888174957</c:v>
                </c:pt>
                <c:pt idx="43">
                  <c:v>254.05045177998628</c:v>
                </c:pt>
                <c:pt idx="44">
                  <c:v>273.30908788188759</c:v>
                </c:pt>
                <c:pt idx="45">
                  <c:v>292.53722691519516</c:v>
                </c:pt>
                <c:pt idx="46">
                  <c:v>311.73715484282963</c:v>
                </c:pt>
                <c:pt idx="47">
                  <c:v>330.91085304441197</c:v>
                </c:pt>
                <c:pt idx="48">
                  <c:v>350.06005456618703</c:v>
                </c:pt>
                <c:pt idx="49">
                  <c:v>286.89034966245754</c:v>
                </c:pt>
                <c:pt idx="50">
                  <c:v>305.85500858009215</c:v>
                </c:pt>
                <c:pt idx="51">
                  <c:v>324.79353511961989</c:v>
                </c:pt>
                <c:pt idx="52">
                  <c:v>343.7076668934921</c:v>
                </c:pt>
                <c:pt idx="53">
                  <c:v>362.59893469310401</c:v>
                </c:pt>
                <c:pt idx="54">
                  <c:v>381.46869682265316</c:v>
                </c:pt>
                <c:pt idx="55">
                  <c:v>313.16905698571117</c:v>
                </c:pt>
                <c:pt idx="56">
                  <c:v>331.03818873367459</c:v>
                </c:pt>
                <c:pt idx="57">
                  <c:v>348.88605288334207</c:v>
                </c:pt>
                <c:pt idx="58">
                  <c:v>366.71389018102133</c:v>
                </c:pt>
                <c:pt idx="59">
                  <c:v>384.52281091470104</c:v>
                </c:pt>
                <c:pt idx="60">
                  <c:v>402.31381416318754</c:v>
                </c:pt>
                <c:pt idx="61">
                  <c:v>420.08780346210182</c:v>
                </c:pt>
                <c:pt idx="62">
                  <c:v>437.8455996801153</c:v>
                </c:pt>
                <c:pt idx="63">
                  <c:v>455.5879516974644</c:v>
                </c:pt>
                <c:pt idx="64">
                  <c:v>353.95712226692348</c:v>
                </c:pt>
                <c:pt idx="65">
                  <c:v>370.35688522663548</c:v>
                </c:pt>
                <c:pt idx="66">
                  <c:v>386.74081362771966</c:v>
                </c:pt>
                <c:pt idx="67">
                  <c:v>403.10967255012497</c:v>
                </c:pt>
                <c:pt idx="68">
                  <c:v>419.46415988416135</c:v>
                </c:pt>
                <c:pt idx="69">
                  <c:v>435.80491467507318</c:v>
                </c:pt>
                <c:pt idx="70">
                  <c:v>452.13252415087572</c:v>
                </c:pt>
                <c:pt idx="71">
                  <c:v>468.44752968222582</c:v>
                </c:pt>
                <c:pt idx="72">
                  <c:v>484.75043186889616</c:v>
                </c:pt>
                <c:pt idx="73">
                  <c:v>385.34418111151308</c:v>
                </c:pt>
                <c:pt idx="74">
                  <c:v>399.99106513919605</c:v>
                </c:pt>
                <c:pt idx="75">
                  <c:v>414.62634326880578</c:v>
                </c:pt>
                <c:pt idx="76">
                  <c:v>429.25048279331673</c:v>
                </c:pt>
                <c:pt idx="77">
                  <c:v>443.86391657284116</c:v>
                </c:pt>
                <c:pt idx="78">
                  <c:v>458.46704664561889</c:v>
                </c:pt>
                <c:pt idx="79">
                  <c:v>473.06024735501097</c:v>
                </c:pt>
                <c:pt idx="80">
                  <c:v>487.64386807059628</c:v>
                </c:pt>
                <c:pt idx="81">
                  <c:v>502.21823556686968</c:v>
                </c:pt>
                <c:pt idx="82">
                  <c:v>410.78433077192614</c:v>
                </c:pt>
                <c:pt idx="83">
                  <c:v>423.86951590263931</c:v>
                </c:pt>
                <c:pt idx="84">
                  <c:v>436.94600995500986</c:v>
                </c:pt>
                <c:pt idx="85">
                  <c:v>450.01410966004374</c:v>
                </c:pt>
                <c:pt idx="86">
                  <c:v>463.07409311039578</c:v>
                </c:pt>
                <c:pt idx="87">
                  <c:v>476.12622143478103</c:v>
                </c:pt>
                <c:pt idx="88">
                  <c:v>489.17074027923871</c:v>
                </c:pt>
                <c:pt idx="89">
                  <c:v>502.20788112218662</c:v>
                </c:pt>
                <c:pt idx="90">
                  <c:v>515.23786244583641</c:v>
                </c:pt>
                <c:pt idx="91">
                  <c:v>430.84903664517725</c:v>
                </c:pt>
                <c:pt idx="92">
                  <c:v>442.51945485773354</c:v>
                </c:pt>
                <c:pt idx="93">
                  <c:v>454.1832792300529</c:v>
                </c:pt>
                <c:pt idx="94">
                  <c:v>465.84070297227248</c:v>
                </c:pt>
                <c:pt idx="95">
                  <c:v>477.49190883547925</c:v>
                </c:pt>
                <c:pt idx="96">
                  <c:v>489.13706992469861</c:v>
                </c:pt>
                <c:pt idx="97">
                  <c:v>500.77635043043279</c:v>
                </c:pt>
                <c:pt idx="98">
                  <c:v>512.4099062886537</c:v>
                </c:pt>
                <c:pt idx="99">
                  <c:v>524.03788577774696</c:v>
                </c:pt>
                <c:pt idx="100">
                  <c:v>436.52151442746043</c:v>
                </c:pt>
                <c:pt idx="101">
                  <c:v>446.79262062108199</c:v>
                </c:pt>
                <c:pt idx="102">
                  <c:v>457.05867291782783</c:v>
                </c:pt>
                <c:pt idx="103">
                  <c:v>467.31980085891377</c:v>
                </c:pt>
                <c:pt idx="104">
                  <c:v>477.57612783175529</c:v>
                </c:pt>
                <c:pt idx="105">
                  <c:v>487.82777149101111</c:v>
                </c:pt>
                <c:pt idx="106">
                  <c:v>498.07484414238871</c:v>
                </c:pt>
                <c:pt idx="107">
                  <c:v>508.31745309322224</c:v>
                </c:pt>
                <c:pt idx="108">
                  <c:v>518.55570097332179</c:v>
                </c:pt>
                <c:pt idx="109">
                  <c:v>528.78968602916552</c:v>
                </c:pt>
                <c:pt idx="110">
                  <c:v>539.01950239413429</c:v>
                </c:pt>
                <c:pt idx="111">
                  <c:v>549.24524033716591</c:v>
                </c:pt>
                <c:pt idx="112">
                  <c:v>360.65976316043208</c:v>
                </c:pt>
                <c:pt idx="113">
                  <c:v>369.08348977378813</c:v>
                </c:pt>
                <c:pt idx="114">
                  <c:v>377.50302204831195</c:v>
                </c:pt>
                <c:pt idx="115">
                  <c:v>385.91846678404823</c:v>
                </c:pt>
                <c:pt idx="116">
                  <c:v>394.32992574027008</c:v>
                </c:pt>
                <c:pt idx="117">
                  <c:v>267.72278632342648</c:v>
                </c:pt>
                <c:pt idx="118">
                  <c:v>274.46664122010094</c:v>
                </c:pt>
                <c:pt idx="119">
                  <c:v>281.20677323982733</c:v>
                </c:pt>
                <c:pt idx="120">
                  <c:v>287.94328431562616</c:v>
                </c:pt>
                <c:pt idx="121">
                  <c:v>294.67627121581432</c:v>
                </c:pt>
                <c:pt idx="122">
                  <c:v>177.15925468747449</c:v>
                </c:pt>
                <c:pt idx="123">
                  <c:v>181.97739130049476</c:v>
                </c:pt>
                <c:pt idx="124">
                  <c:v>186.79254320044149</c:v>
                </c:pt>
                <c:pt idx="125">
                  <c:v>191.60479835461936</c:v>
                </c:pt>
                <c:pt idx="126">
                  <c:v>7.2667013513884219E-12</c:v>
                </c:pt>
                <c:pt idx="127">
                  <c:v>7.2667013513884219E-12</c:v>
                </c:pt>
                <c:pt idx="128">
                  <c:v>7.2667013513884219E-12</c:v>
                </c:pt>
                <c:pt idx="129">
                  <c:v>7.2667013513884219E-12</c:v>
                </c:pt>
                <c:pt idx="130">
                  <c:v>7.2667013513884219E-12</c:v>
                </c:pt>
                <c:pt idx="131">
                  <c:v>7.2667013513884219E-12</c:v>
                </c:pt>
                <c:pt idx="132">
                  <c:v>7.2667013513884219E-12</c:v>
                </c:pt>
                <c:pt idx="133">
                  <c:v>7.2667013513884219E-12</c:v>
                </c:pt>
                <c:pt idx="134">
                  <c:v>7.2667013513884219E-12</c:v>
                </c:pt>
                <c:pt idx="135">
                  <c:v>7.2667013513884219E-12</c:v>
                </c:pt>
                <c:pt idx="136">
                  <c:v>7.2667013513884219E-12</c:v>
                </c:pt>
                <c:pt idx="137">
                  <c:v>7.2667013513884219E-12</c:v>
                </c:pt>
                <c:pt idx="138">
                  <c:v>7.2667013513884219E-12</c:v>
                </c:pt>
                <c:pt idx="139">
                  <c:v>7.2667013513884219E-12</c:v>
                </c:pt>
                <c:pt idx="140">
                  <c:v>7.2667013513884219E-12</c:v>
                </c:pt>
                <c:pt idx="141">
                  <c:v>7.2667013513884219E-12</c:v>
                </c:pt>
                <c:pt idx="142">
                  <c:v>7.2667013513884219E-12</c:v>
                </c:pt>
                <c:pt idx="143">
                  <c:v>7.2667013513884219E-12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1.9203140204256501</c:v>
                </c:pt>
                <c:pt idx="2">
                  <c:v>2.5373503253163028</c:v>
                </c:pt>
                <c:pt idx="3">
                  <c:v>3.3534746967486257</c:v>
                </c:pt>
                <c:pt idx="4">
                  <c:v>4.4331733568756295</c:v>
                </c:pt>
                <c:pt idx="5">
                  <c:v>5.8618959087124844</c:v>
                </c:pt>
                <c:pt idx="6">
                  <c:v>7.7528930525398989</c:v>
                </c:pt>
                <c:pt idx="7">
                  <c:v>10.25629147060061</c:v>
                </c:pt>
                <c:pt idx="8">
                  <c:v>13.571139900979007</c:v>
                </c:pt>
                <c:pt idx="9">
                  <c:v>17.961401872259763</c:v>
                </c:pt>
                <c:pt idx="10">
                  <c:v>23.777191628409394</c:v>
                </c:pt>
                <c:pt idx="11">
                  <c:v>31.482976739683497</c:v>
                </c:pt>
                <c:pt idx="12">
                  <c:v>41.695038777497835</c:v>
                </c:pt>
                <c:pt idx="13">
                  <c:v>55.231238828767289</c:v>
                </c:pt>
                <c:pt idx="14">
                  <c:v>73.177139575199462</c:v>
                </c:pt>
                <c:pt idx="15">
                  <c:v>96.973872761809389</c:v>
                </c:pt>
                <c:pt idx="16">
                  <c:v>128.5349201061963</c:v>
                </c:pt>
                <c:pt idx="17">
                  <c:v>170.40134351085038</c:v>
                </c:pt>
                <c:pt idx="18">
                  <c:v>225.94815187984651</c:v>
                </c:pt>
                <c:pt idx="19">
                  <c:v>167.16296506232308</c:v>
                </c:pt>
                <c:pt idx="20">
                  <c:v>192.18884674319466</c:v>
                </c:pt>
                <c:pt idx="21">
                  <c:v>217.1388300933443</c:v>
                </c:pt>
                <c:pt idx="22">
                  <c:v>242.02286555553883</c:v>
                </c:pt>
                <c:pt idx="23">
                  <c:v>266.84868659023806</c:v>
                </c:pt>
                <c:pt idx="24">
                  <c:v>291.62246867343509</c:v>
                </c:pt>
                <c:pt idx="25">
                  <c:v>267.83973847752952</c:v>
                </c:pt>
                <c:pt idx="26">
                  <c:v>295.20984442190121</c:v>
                </c:pt>
                <c:pt idx="27">
                  <c:v>322.52334414346899</c:v>
                </c:pt>
                <c:pt idx="28">
                  <c:v>349.78570168538204</c:v>
                </c:pt>
                <c:pt idx="29">
                  <c:v>377.00145988014447</c:v>
                </c:pt>
                <c:pt idx="30">
                  <c:v>404.17445235272709</c:v>
                </c:pt>
                <c:pt idx="31">
                  <c:v>353.21192913215128</c:v>
                </c:pt>
                <c:pt idx="32">
                  <c:v>380.489293957889</c:v>
                </c:pt>
                <c:pt idx="33">
                  <c:v>407.72413218176933</c:v>
                </c:pt>
                <c:pt idx="34">
                  <c:v>434.91968080096325</c:v>
                </c:pt>
                <c:pt idx="35">
                  <c:v>462.0787392553421</c:v>
                </c:pt>
                <c:pt idx="36">
                  <c:v>489.2037513380601</c:v>
                </c:pt>
                <c:pt idx="37">
                  <c:v>433.59961837417922</c:v>
                </c:pt>
                <c:pt idx="38">
                  <c:v>460.20839309591241</c:v>
                </c:pt>
                <c:pt idx="39">
                  <c:v>486.78434106566425</c:v>
                </c:pt>
                <c:pt idx="40">
                  <c:v>513.3295043673719</c:v>
                </c:pt>
                <c:pt idx="41">
                  <c:v>539.84569687343048</c:v>
                </c:pt>
                <c:pt idx="42">
                  <c:v>566.33453992930242</c:v>
                </c:pt>
                <c:pt idx="43">
                  <c:v>505.12943759596516</c:v>
                </c:pt>
                <c:pt idx="44">
                  <c:v>530.71596264955372</c:v>
                </c:pt>
                <c:pt idx="45">
                  <c:v>556.27653997499021</c:v>
                </c:pt>
                <c:pt idx="46">
                  <c:v>581.81252811739625</c:v>
                </c:pt>
                <c:pt idx="47">
                  <c:v>607.3251567793933</c:v>
                </c:pt>
                <c:pt idx="48">
                  <c:v>632.81554404720976</c:v>
                </c:pt>
                <c:pt idx="49">
                  <c:v>561.06523631130233</c:v>
                </c:pt>
                <c:pt idx="50">
                  <c:v>585.27746753250301</c:v>
                </c:pt>
                <c:pt idx="51">
                  <c:v>609.46883491347808</c:v>
                </c:pt>
                <c:pt idx="52">
                  <c:v>633.64028212185701</c:v>
                </c:pt>
                <c:pt idx="53">
                  <c:v>657.79267504360621</c:v>
                </c:pt>
                <c:pt idx="54">
                  <c:v>681.92681087155893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1.5131185718677749</c:v>
                </c:pt>
                <c:pt idx="2">
                  <c:v>1.773865727842314</c:v>
                </c:pt>
                <c:pt idx="3">
                  <c:v>2.0797148101462595</c:v>
                </c:pt>
                <c:pt idx="4">
                  <c:v>2.4384948740555195</c:v>
                </c:pt>
                <c:pt idx="5">
                  <c:v>2.8593985120154239</c:v>
                </c:pt>
                <c:pt idx="6">
                  <c:v>3.3532200688595482</c:v>
                </c:pt>
                <c:pt idx="7">
                  <c:v>3.932635593665744</c:v>
                </c:pt>
                <c:pt idx="8">
                  <c:v>4.6125318600748235</c:v>
                </c:pt>
                <c:pt idx="9">
                  <c:v>5.4103930779889948</c:v>
                </c:pt>
                <c:pt idx="10">
                  <c:v>6.3467554385140295</c:v>
                </c:pt>
                <c:pt idx="11">
                  <c:v>7.4457414211045334</c:v>
                </c:pt>
                <c:pt idx="12">
                  <c:v>8.7356878945466221</c:v>
                </c:pt>
                <c:pt idx="13">
                  <c:v>10.249884517502915</c:v>
                </c:pt>
                <c:pt idx="14">
                  <c:v>12.02744185558347</c:v>
                </c:pt>
                <c:pt idx="15">
                  <c:v>14.114312057678861</c:v>
                </c:pt>
                <c:pt idx="16">
                  <c:v>16.564488965706705</c:v>
                </c:pt>
                <c:pt idx="17">
                  <c:v>19.44141927624808</c:v>
                </c:pt>
                <c:pt idx="18">
                  <c:v>22.819661956084005</c:v>
                </c:pt>
                <c:pt idx="19">
                  <c:v>26.7868396850936</c:v>
                </c:pt>
                <c:pt idx="20">
                  <c:v>31.445933834447359</c:v>
                </c:pt>
                <c:pt idx="21">
                  <c:v>36.91798359171046</c:v>
                </c:pt>
                <c:pt idx="22">
                  <c:v>43.345260560160028</c:v>
                </c:pt>
                <c:pt idx="23">
                  <c:v>50.895002773239121</c:v>
                </c:pt>
                <c:pt idx="24">
                  <c:v>59.763806913326988</c:v>
                </c:pt>
                <c:pt idx="25">
                  <c:v>70.182795003437803</c:v>
                </c:pt>
                <c:pt idx="26">
                  <c:v>82.423692418065698</c:v>
                </c:pt>
                <c:pt idx="27">
                  <c:v>96.805978285186868</c:v>
                </c:pt>
                <c:pt idx="28">
                  <c:v>113.70529787319107</c:v>
                </c:pt>
                <c:pt idx="29">
                  <c:v>133.56336013722208</c:v>
                </c:pt>
                <c:pt idx="30">
                  <c:v>156.89958313771777</c:v>
                </c:pt>
                <c:pt idx="31">
                  <c:v>171.28608189344109</c:v>
                </c:pt>
                <c:pt idx="32">
                  <c:v>185.64414298896838</c:v>
                </c:pt>
                <c:pt idx="33">
                  <c:v>199.97627670370795</c:v>
                </c:pt>
                <c:pt idx="34">
                  <c:v>214.28460369373829</c:v>
                </c:pt>
                <c:pt idx="35">
                  <c:v>228.5709380160437</c:v>
                </c:pt>
                <c:pt idx="36">
                  <c:v>242.836848265903</c:v>
                </c:pt>
                <c:pt idx="37">
                  <c:v>257.08370357108907</c:v>
                </c:pt>
                <c:pt idx="38">
                  <c:v>271.31270884251882</c:v>
                </c:pt>
                <c:pt idx="39">
                  <c:v>285.5249322343638</c:v>
                </c:pt>
                <c:pt idx="40">
                  <c:v>299.72132684541117</c:v>
                </c:pt>
                <c:pt idx="41">
                  <c:v>313.90274809050567</c:v>
                </c:pt>
                <c:pt idx="42">
                  <c:v>328.06996776656405</c:v>
                </c:pt>
                <c:pt idx="43">
                  <c:v>342.22368556059865</c:v>
                </c:pt>
                <c:pt idx="44">
                  <c:v>356.36453855363487</c:v>
                </c:pt>
                <c:pt idx="45">
                  <c:v>370.49310913682393</c:v>
                </c:pt>
                <c:pt idx="46">
                  <c:v>235.8170222594193</c:v>
                </c:pt>
                <c:pt idx="47">
                  <c:v>255.99238900216505</c:v>
                </c:pt>
                <c:pt idx="48">
                  <c:v>276.13178788147866</c:v>
                </c:pt>
                <c:pt idx="49">
                  <c:v>296.23821042887113</c:v>
                </c:pt>
                <c:pt idx="50">
                  <c:v>316.31420886529878</c:v>
                </c:pt>
                <c:pt idx="51">
                  <c:v>336.36198499195331</c:v>
                </c:pt>
                <c:pt idx="52">
                  <c:v>356.38345675876371</c:v>
                </c:pt>
                <c:pt idx="53">
                  <c:v>295.66018709027185</c:v>
                </c:pt>
                <c:pt idx="54">
                  <c:v>314.72545489763206</c:v>
                </c:pt>
                <c:pt idx="55">
                  <c:v>333.76512948486356</c:v>
                </c:pt>
                <c:pt idx="56">
                  <c:v>352.78087567445959</c:v>
                </c:pt>
                <c:pt idx="57">
                  <c:v>371.77416420020251</c:v>
                </c:pt>
                <c:pt idx="58">
                  <c:v>390.74630329982637</c:v>
                </c:pt>
                <c:pt idx="59">
                  <c:v>409.69846384975637</c:v>
                </c:pt>
                <c:pt idx="60">
                  <c:v>328.57965069848217</c:v>
                </c:pt>
                <c:pt idx="61">
                  <c:v>346.41182708586899</c:v>
                </c:pt>
                <c:pt idx="62">
                  <c:v>364.22385477547709</c:v>
                </c:pt>
                <c:pt idx="63">
                  <c:v>382.0168574554055</c:v>
                </c:pt>
                <c:pt idx="64">
                  <c:v>399.79184562424922</c:v>
                </c:pt>
                <c:pt idx="65">
                  <c:v>417.54973262241424</c:v>
                </c:pt>
                <c:pt idx="66">
                  <c:v>435.29134779382133</c:v>
                </c:pt>
                <c:pt idx="67">
                  <c:v>453.01744739000702</c:v>
                </c:pt>
                <c:pt idx="68">
                  <c:v>372.61238152477608</c:v>
                </c:pt>
                <c:pt idx="69">
                  <c:v>389.0120275184363</c:v>
                </c:pt>
                <c:pt idx="70">
                  <c:v>405.39667199946308</c:v>
                </c:pt>
                <c:pt idx="71">
                  <c:v>421.76700645417844</c:v>
                </c:pt>
                <c:pt idx="72">
                  <c:v>438.12366432639357</c:v>
                </c:pt>
                <c:pt idx="73">
                  <c:v>454.46722791935463</c:v>
                </c:pt>
                <c:pt idx="74">
                  <c:v>470.79823425323389</c:v>
                </c:pt>
                <c:pt idx="75">
                  <c:v>487.11718006768632</c:v>
                </c:pt>
                <c:pt idx="76">
                  <c:v>410.81897202841924</c:v>
                </c:pt>
                <c:pt idx="77">
                  <c:v>425.73098111597369</c:v>
                </c:pt>
                <c:pt idx="78">
                  <c:v>440.63175766570038</c:v>
                </c:pt>
                <c:pt idx="79">
                  <c:v>455.52173493700224</c:v>
                </c:pt>
                <c:pt idx="80">
                  <c:v>470.40131556115119</c:v>
                </c:pt>
                <c:pt idx="81">
                  <c:v>485.27087462696255</c:v>
                </c:pt>
                <c:pt idx="82">
                  <c:v>500.13076236864549</c:v>
                </c:pt>
                <c:pt idx="83">
                  <c:v>514.98130651764825</c:v>
                </c:pt>
                <c:pt idx="84">
                  <c:v>432.78663283008837</c:v>
                </c:pt>
                <c:pt idx="85">
                  <c:v>446.10391022136793</c:v>
                </c:pt>
                <c:pt idx="86">
                  <c:v>459.41267765993166</c:v>
                </c:pt>
                <c:pt idx="87">
                  <c:v>472.71321637460909</c:v>
                </c:pt>
                <c:pt idx="88">
                  <c:v>486.00579047998735</c:v>
                </c:pt>
                <c:pt idx="89">
                  <c:v>499.29064846732598</c:v>
                </c:pt>
                <c:pt idx="90">
                  <c:v>512.56802452855823</c:v>
                </c:pt>
                <c:pt idx="91">
                  <c:v>525.83813973599365</c:v>
                </c:pt>
                <c:pt idx="92">
                  <c:v>445.69846571878628</c:v>
                </c:pt>
                <c:pt idx="93">
                  <c:v>457.59430434597886</c:v>
                </c:pt>
                <c:pt idx="94">
                  <c:v>469.48353976435419</c:v>
                </c:pt>
                <c:pt idx="95">
                  <c:v>481.36636275983591</c:v>
                </c:pt>
                <c:pt idx="96">
                  <c:v>493.24295393097515</c:v>
                </c:pt>
                <c:pt idx="97">
                  <c:v>505.1134844703144</c:v>
                </c:pt>
                <c:pt idx="98">
                  <c:v>516.97811686848524</c:v>
                </c:pt>
                <c:pt idx="99">
                  <c:v>528.83700555031589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1.9190286454111984</c:v>
                </c:pt>
                <c:pt idx="2">
                  <c:v>2.3745849545443303</c:v>
                </c:pt>
                <c:pt idx="3">
                  <c:v>2.9387074600120022</c:v>
                </c:pt>
                <c:pt idx="4">
                  <c:v>3.6373642606677699</c:v>
                </c:pt>
                <c:pt idx="5">
                  <c:v>4.5027561310621662</c:v>
                </c:pt>
                <c:pt idx="6">
                  <c:v>5.574817211181835</c:v>
                </c:pt>
                <c:pt idx="7">
                  <c:v>6.9030780910250833</c:v>
                </c:pt>
                <c:pt idx="8">
                  <c:v>8.5489790389656317</c:v>
                </c:pt>
                <c:pt idx="9">
                  <c:v>10.588742422282403</c:v>
                </c:pt>
                <c:pt idx="10">
                  <c:v>13.116939849228773</c:v>
                </c:pt>
                <c:pt idx="11">
                  <c:v>16.25092248765457</c:v>
                </c:pt>
                <c:pt idx="12">
                  <c:v>20.136323957001007</c:v>
                </c:pt>
                <c:pt idx="13">
                  <c:v>24.953896103882347</c:v>
                </c:pt>
                <c:pt idx="14">
                  <c:v>30.928001289691398</c:v>
                </c:pt>
                <c:pt idx="15">
                  <c:v>38.337163569730286</c:v>
                </c:pt>
                <c:pt idx="16">
                  <c:v>47.527179095652748</c:v>
                </c:pt>
                <c:pt idx="17">
                  <c:v>58.927407916558735</c:v>
                </c:pt>
                <c:pt idx="18">
                  <c:v>73.071020926366415</c:v>
                </c:pt>
                <c:pt idx="19">
                  <c:v>90.620164272100169</c:v>
                </c:pt>
                <c:pt idx="20">
                  <c:v>112.39723814407783</c:v>
                </c:pt>
                <c:pt idx="21">
                  <c:v>139.42377877384845</c:v>
                </c:pt>
                <c:pt idx="22">
                  <c:v>172.96879568586891</c:v>
                </c:pt>
                <c:pt idx="23">
                  <c:v>120.81303317390598</c:v>
                </c:pt>
                <c:pt idx="24">
                  <c:v>137.39493932050493</c:v>
                </c:pt>
                <c:pt idx="25">
                  <c:v>153.92869031169104</c:v>
                </c:pt>
                <c:pt idx="26">
                  <c:v>170.42019182322252</c:v>
                </c:pt>
                <c:pt idx="27">
                  <c:v>186.87411051319771</c:v>
                </c:pt>
                <c:pt idx="28">
                  <c:v>158.76051046617241</c:v>
                </c:pt>
                <c:pt idx="29">
                  <c:v>175.59896516159765</c:v>
                </c:pt>
                <c:pt idx="30">
                  <c:v>192.39950656012797</c:v>
                </c:pt>
                <c:pt idx="31">
                  <c:v>209.16591248746568</c:v>
                </c:pt>
                <c:pt idx="32">
                  <c:v>225.9013049640763</c:v>
                </c:pt>
                <c:pt idx="33">
                  <c:v>242.60830522574886</c:v>
                </c:pt>
                <c:pt idx="34">
                  <c:v>203.58097513234921</c:v>
                </c:pt>
                <c:pt idx="35">
                  <c:v>220.02792533739478</c:v>
                </c:pt>
                <c:pt idx="36">
                  <c:v>236.44664824285425</c:v>
                </c:pt>
                <c:pt idx="37">
                  <c:v>252.83938002506238</c:v>
                </c:pt>
                <c:pt idx="38">
                  <c:v>269.20804306495108</c:v>
                </c:pt>
                <c:pt idx="39">
                  <c:v>285.55430679301213</c:v>
                </c:pt>
                <c:pt idx="40">
                  <c:v>301.87963385560869</c:v>
                </c:pt>
                <c:pt idx="41">
                  <c:v>318.1853157623936</c:v>
                </c:pt>
                <c:pt idx="42">
                  <c:v>258.41598707691702</c:v>
                </c:pt>
                <c:pt idx="43">
                  <c:v>273.64897538716622</c:v>
                </c:pt>
                <c:pt idx="44">
                  <c:v>288.86291050147327</c:v>
                </c:pt>
                <c:pt idx="45">
                  <c:v>304.05893725476164</c:v>
                </c:pt>
                <c:pt idx="46">
                  <c:v>319.23807668594327</c:v>
                </c:pt>
                <c:pt idx="47">
                  <c:v>334.40124479846673</c:v>
                </c:pt>
                <c:pt idx="48">
                  <c:v>349.54926773846654</c:v>
                </c:pt>
                <c:pt idx="49">
                  <c:v>364.68289420332832</c:v>
                </c:pt>
                <c:pt idx="50">
                  <c:v>379.80280568231501</c:v>
                </c:pt>
                <c:pt idx="51">
                  <c:v>322.84049713909758</c:v>
                </c:pt>
                <c:pt idx="52">
                  <c:v>336.46900937495138</c:v>
                </c:pt>
                <c:pt idx="53">
                  <c:v>350.08536931249296</c:v>
                </c:pt>
                <c:pt idx="54">
                  <c:v>363.69011622386893</c:v>
                </c:pt>
                <c:pt idx="55">
                  <c:v>377.28374573904148</c:v>
                </c:pt>
                <c:pt idx="56">
                  <c:v>390.86671485599658</c:v>
                </c:pt>
                <c:pt idx="57">
                  <c:v>404.43944621805167</c:v>
                </c:pt>
                <c:pt idx="58">
                  <c:v>418.00233178696976</c:v>
                </c:pt>
                <c:pt idx="59">
                  <c:v>431.55573601445491</c:v>
                </c:pt>
                <c:pt idx="60">
                  <c:v>445.09999859445628</c:v>
                </c:pt>
                <c:pt idx="61">
                  <c:v>387.7771166912168</c:v>
                </c:pt>
                <c:pt idx="62">
                  <c:v>399.46857545562966</c:v>
                </c:pt>
                <c:pt idx="63">
                  <c:v>411.15262832791541</c:v>
                </c:pt>
                <c:pt idx="64">
                  <c:v>422.82951545951158</c:v>
                </c:pt>
                <c:pt idx="65">
                  <c:v>434.49946265388786</c:v>
                </c:pt>
                <c:pt idx="66">
                  <c:v>446.16268259430194</c:v>
                </c:pt>
                <c:pt idx="67">
                  <c:v>457.81937593647899</c:v>
                </c:pt>
                <c:pt idx="68">
                  <c:v>469.46973228420592</c:v>
                </c:pt>
                <c:pt idx="69">
                  <c:v>481.11393106303944</c:v>
                </c:pt>
                <c:pt idx="70">
                  <c:v>492.75214230502996</c:v>
                </c:pt>
                <c:pt idx="71">
                  <c:v>435.52165252219328</c:v>
                </c:pt>
                <c:pt idx="72">
                  <c:v>445.12148726182323</c:v>
                </c:pt>
                <c:pt idx="73">
                  <c:v>454.71688880152823</c:v>
                </c:pt>
                <c:pt idx="74">
                  <c:v>464.30796390580741</c:v>
                </c:pt>
                <c:pt idx="75">
                  <c:v>473.89481456743061</c:v>
                </c:pt>
                <c:pt idx="76">
                  <c:v>483.47753831500194</c:v>
                </c:pt>
                <c:pt idx="77">
                  <c:v>493.05622849486417</c:v>
                </c:pt>
                <c:pt idx="78">
                  <c:v>502.630974529958</c:v>
                </c:pt>
                <c:pt idx="79">
                  <c:v>512.20186215792671</c:v>
                </c:pt>
                <c:pt idx="80">
                  <c:v>521.7689736504982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1.7831749518281999</c:v>
                </c:pt>
                <c:pt idx="2">
                  <c:v>2.0501085104059609</c:v>
                </c:pt>
                <c:pt idx="3">
                  <c:v>2.3571471356485318</c:v>
                </c:pt>
                <c:pt idx="4">
                  <c:v>2.7103371830886087</c:v>
                </c:pt>
                <c:pt idx="5">
                  <c:v>3.1166395283021995</c:v>
                </c:pt>
                <c:pt idx="6">
                  <c:v>3.584068306986405</c:v>
                </c:pt>
                <c:pt idx="7">
                  <c:v>4.1218507618698323</c:v>
                </c:pt>
                <c:pt idx="8">
                  <c:v>4.7406114157507906</c:v>
                </c:pt>
                <c:pt idx="9">
                  <c:v>5.4525842821356489</c:v>
                </c:pt>
                <c:pt idx="10">
                  <c:v>6.2718573925346961</c:v>
                </c:pt>
                <c:pt idx="11">
                  <c:v>7.2146545740413366</c:v>
                </c:pt>
                <c:pt idx="12">
                  <c:v>8.2996601657285805</c:v>
                </c:pt>
                <c:pt idx="13">
                  <c:v>9.5483932330551085</c:v>
                </c:pt>
                <c:pt idx="14">
                  <c:v>10.985638843663169</c:v>
                </c:pt>
                <c:pt idx="15">
                  <c:v>12.639945126189227</c:v>
                </c:pt>
                <c:pt idx="16">
                  <c:v>14.544196169671787</c:v>
                </c:pt>
                <c:pt idx="17">
                  <c:v>16.736272362148483</c:v>
                </c:pt>
                <c:pt idx="18">
                  <c:v>19.259811544613253</c:v>
                </c:pt>
                <c:pt idx="19">
                  <c:v>22.165086407035805</c:v>
                </c:pt>
                <c:pt idx="20">
                  <c:v>25.510015918615196</c:v>
                </c:pt>
                <c:pt idx="21">
                  <c:v>29.361331313301061</c:v>
                </c:pt>
                <c:pt idx="22">
                  <c:v>33.795920299790779</c:v>
                </c:pt>
                <c:pt idx="23">
                  <c:v>38.902376797235419</c:v>
                </c:pt>
                <c:pt idx="24">
                  <c:v>44.782787688251545</c:v>
                </c:pt>
                <c:pt idx="25">
                  <c:v>51.55479291550791</c:v>
                </c:pt>
                <c:pt idx="26">
                  <c:v>59.35396082636543</c:v>
                </c:pt>
                <c:pt idx="27">
                  <c:v>68.336527106327125</c:v>
                </c:pt>
                <c:pt idx="28">
                  <c:v>78.682553068600171</c:v>
                </c:pt>
                <c:pt idx="29">
                  <c:v>90.599567636479421</c:v>
                </c:pt>
                <c:pt idx="30">
                  <c:v>104.32676724367427</c:v>
                </c:pt>
                <c:pt idx="31">
                  <c:v>114.13383426027171</c:v>
                </c:pt>
                <c:pt idx="32">
                  <c:v>123.92026614704378</c:v>
                </c:pt>
                <c:pt idx="33">
                  <c:v>133.68792459005655</c:v>
                </c:pt>
                <c:pt idx="34">
                  <c:v>143.43837641635537</c:v>
                </c:pt>
                <c:pt idx="35">
                  <c:v>153.17295762133551</c:v>
                </c:pt>
                <c:pt idx="36">
                  <c:v>162.8928202163822</c:v>
                </c:pt>
                <c:pt idx="37">
                  <c:v>172.59896727877927</c:v>
                </c:pt>
                <c:pt idx="38">
                  <c:v>182.29227968560431</c:v>
                </c:pt>
                <c:pt idx="39">
                  <c:v>191.97353685143318</c:v>
                </c:pt>
                <c:pt idx="40">
                  <c:v>201.64343305575247</c:v>
                </c:pt>
                <c:pt idx="41">
                  <c:v>211.30259046902029</c:v>
                </c:pt>
                <c:pt idx="42">
                  <c:v>220.95156966848455</c:v>
                </c:pt>
                <c:pt idx="43">
                  <c:v>230.59087821831409</c:v>
                </c:pt>
                <c:pt idx="44">
                  <c:v>240.22097773807607</c:v>
                </c:pt>
                <c:pt idx="45">
                  <c:v>249.84228977707835</c:v>
                </c:pt>
                <c:pt idx="46">
                  <c:v>168.63410480765569</c:v>
                </c:pt>
                <c:pt idx="47">
                  <c:v>176.79237684299684</c:v>
                </c:pt>
                <c:pt idx="48">
                  <c:v>184.94181703135453</c:v>
                </c:pt>
                <c:pt idx="49">
                  <c:v>193.08286995651619</c:v>
                </c:pt>
                <c:pt idx="50">
                  <c:v>201.21593959472145</c:v>
                </c:pt>
                <c:pt idx="51">
                  <c:v>209.341394551657</c:v>
                </c:pt>
                <c:pt idx="52">
                  <c:v>217.45957244257306</c:v>
                </c:pt>
                <c:pt idx="53">
                  <c:v>225.57078358316141</c:v>
                </c:pt>
                <c:pt idx="54">
                  <c:v>233.67531412106086</c:v>
                </c:pt>
                <c:pt idx="55">
                  <c:v>241.7734287096406</c:v>
                </c:pt>
                <c:pt idx="56">
                  <c:v>249.86537280438071</c:v>
                </c:pt>
                <c:pt idx="57">
                  <c:v>257.95137464587646</c:v>
                </c:pt>
                <c:pt idx="58">
                  <c:v>266.03164698092456</c:v>
                </c:pt>
                <c:pt idx="59">
                  <c:v>274.10638856335783</c:v>
                </c:pt>
                <c:pt idx="60">
                  <c:v>282.17578546861091</c:v>
                </c:pt>
                <c:pt idx="61">
                  <c:v>208.01493039014414</c:v>
                </c:pt>
                <c:pt idx="62">
                  <c:v>215.38784421973284</c:v>
                </c:pt>
                <c:pt idx="63">
                  <c:v>222.7549507959551</c:v>
                </c:pt>
                <c:pt idx="64">
                  <c:v>230.11646953493198</c:v>
                </c:pt>
                <c:pt idx="65">
                  <c:v>237.4726046486262</c:v>
                </c:pt>
                <c:pt idx="66">
                  <c:v>244.82354664725247</c:v>
                </c:pt>
                <c:pt idx="67">
                  <c:v>252.16947365158649</c:v>
                </c:pt>
                <c:pt idx="68">
                  <c:v>259.51055254418083</c:v>
                </c:pt>
                <c:pt idx="69">
                  <c:v>266.84693998335916</c:v>
                </c:pt>
                <c:pt idx="70">
                  <c:v>274.17878329974945</c:v>
                </c:pt>
                <c:pt idx="71">
                  <c:v>281.50622129180516</c:v>
                </c:pt>
                <c:pt idx="72">
                  <c:v>288.82938493408795</c:v>
                </c:pt>
                <c:pt idx="73">
                  <c:v>296.1483980098925</c:v>
                </c:pt>
                <c:pt idx="74">
                  <c:v>303.46337767800765</c:v>
                </c:pt>
                <c:pt idx="75">
                  <c:v>310.7744349819252</c:v>
                </c:pt>
                <c:pt idx="76">
                  <c:v>234.22485215131053</c:v>
                </c:pt>
                <c:pt idx="77">
                  <c:v>241.15234361261153</c:v>
                </c:pt>
                <c:pt idx="78">
                  <c:v>248.07530658627624</c:v>
                </c:pt>
                <c:pt idx="79">
                  <c:v>254.9938854471707</c:v>
                </c:pt>
                <c:pt idx="80">
                  <c:v>261.90821608554938</c:v>
                </c:pt>
                <c:pt idx="81">
                  <c:v>268.81842662152309</c:v>
                </c:pt>
                <c:pt idx="82">
                  <c:v>275.72463804213999</c:v>
                </c:pt>
                <c:pt idx="83">
                  <c:v>282.62696477123183</c:v>
                </c:pt>
                <c:pt idx="84">
                  <c:v>289.5255151806262</c:v>
                </c:pt>
                <c:pt idx="85">
                  <c:v>296.42039205004096</c:v>
                </c:pt>
                <c:pt idx="86">
                  <c:v>303.31169298191065</c:v>
                </c:pt>
                <c:pt idx="87">
                  <c:v>310.19951077650973</c:v>
                </c:pt>
                <c:pt idx="88">
                  <c:v>317.08393377198678</c:v>
                </c:pt>
                <c:pt idx="89">
                  <c:v>323.9650461532986</c:v>
                </c:pt>
                <c:pt idx="90">
                  <c:v>330.84292823350557</c:v>
                </c:pt>
                <c:pt idx="91">
                  <c:v>264.9087157699762</c:v>
                </c:pt>
                <c:pt idx="92">
                  <c:v>271.52622113166575</c:v>
                </c:pt>
                <c:pt idx="93">
                  <c:v>278.14009911142142</c:v>
                </c:pt>
                <c:pt idx="94">
                  <c:v>284.75044824523775</c:v>
                </c:pt>
                <c:pt idx="95">
                  <c:v>291.35736211492559</c:v>
                </c:pt>
                <c:pt idx="96">
                  <c:v>297.96092970641115</c:v>
                </c:pt>
                <c:pt idx="97">
                  <c:v>304.56123573457916</c:v>
                </c:pt>
                <c:pt idx="98">
                  <c:v>311.15836093845962</c:v>
                </c:pt>
                <c:pt idx="99">
                  <c:v>317.75238235004855</c:v>
                </c:pt>
                <c:pt idx="100">
                  <c:v>324.34337353962934</c:v>
                </c:pt>
                <c:pt idx="101">
                  <c:v>228.11253913451057</c:v>
                </c:pt>
                <c:pt idx="102">
                  <c:v>233.95669184612726</c:v>
                </c:pt>
                <c:pt idx="103">
                  <c:v>239.79751243950668</c:v>
                </c:pt>
                <c:pt idx="104">
                  <c:v>245.63509366059168</c:v>
                </c:pt>
                <c:pt idx="105">
                  <c:v>251.4695234801122</c:v>
                </c:pt>
                <c:pt idx="106">
                  <c:v>257.30088544705046</c:v>
                </c:pt>
                <c:pt idx="107">
                  <c:v>263.12925900834375</c:v>
                </c:pt>
                <c:pt idx="108">
                  <c:v>268.95471979874691</c:v>
                </c:pt>
                <c:pt idx="109">
                  <c:v>274.7773399042357</c:v>
                </c:pt>
                <c:pt idx="110">
                  <c:v>280.59718810189094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78.012881309795674</c:v>
                </c:pt>
                <c:pt idx="17">
                  <c:v>100.31646113802792</c:v>
                </c:pt>
                <c:pt idx="18">
                  <c:v>122.49645924610253</c:v>
                </c:pt>
                <c:pt idx="19">
                  <c:v>144.57852045501949</c:v>
                </c:pt>
                <c:pt idx="20">
                  <c:v>166.57974956981323</c:v>
                </c:pt>
                <c:pt idx="21">
                  <c:v>134.34850957742924</c:v>
                </c:pt>
                <c:pt idx="22">
                  <c:v>157.97933796889382</c:v>
                </c:pt>
                <c:pt idx="23">
                  <c:v>181.52619054784418</c:v>
                </c:pt>
                <c:pt idx="24">
                  <c:v>205.0015053728589</c:v>
                </c:pt>
                <c:pt idx="25">
                  <c:v>228.41463048777476</c:v>
                </c:pt>
                <c:pt idx="26">
                  <c:v>195.49245385292792</c:v>
                </c:pt>
                <c:pt idx="27">
                  <c:v>217.98082037329846</c:v>
                </c:pt>
                <c:pt idx="28">
                  <c:v>240.41585018926619</c:v>
                </c:pt>
                <c:pt idx="29">
                  <c:v>262.80321996128214</c:v>
                </c:pt>
                <c:pt idx="30">
                  <c:v>285.14755944378322</c:v>
                </c:pt>
                <c:pt idx="31">
                  <c:v>250.19618568369199</c:v>
                </c:pt>
                <c:pt idx="32">
                  <c:v>270.36084436950489</c:v>
                </c:pt>
                <c:pt idx="33">
                  <c:v>290.4916672508881</c:v>
                </c:pt>
                <c:pt idx="34">
                  <c:v>310.59132815273165</c:v>
                </c:pt>
                <c:pt idx="35">
                  <c:v>330.66212656242288</c:v>
                </c:pt>
                <c:pt idx="36">
                  <c:v>293.6342310126339</c:v>
                </c:pt>
                <c:pt idx="37">
                  <c:v>311.53277495970798</c:v>
                </c:pt>
                <c:pt idx="38">
                  <c:v>329.40850810618275</c:v>
                </c:pt>
                <c:pt idx="39">
                  <c:v>347.26284215565846</c:v>
                </c:pt>
                <c:pt idx="40">
                  <c:v>365.09703181844549</c:v>
                </c:pt>
                <c:pt idx="41">
                  <c:v>325.64701898414177</c:v>
                </c:pt>
                <c:pt idx="42">
                  <c:v>341.00051892831283</c:v>
                </c:pt>
                <c:pt idx="43">
                  <c:v>356.33882114313155</c:v>
                </c:pt>
                <c:pt idx="44">
                  <c:v>371.6626718429784</c:v>
                </c:pt>
                <c:pt idx="45">
                  <c:v>386.97275069119183</c:v>
                </c:pt>
                <c:pt idx="46">
                  <c:v>362.90791424748937</c:v>
                </c:pt>
                <c:pt idx="47">
                  <c:v>376.35086351579019</c:v>
                </c:pt>
                <c:pt idx="48">
                  <c:v>389.78335896423386</c:v>
                </c:pt>
                <c:pt idx="49">
                  <c:v>403.20581160192484</c:v>
                </c:pt>
                <c:pt idx="50">
                  <c:v>416.61860284059549</c:v>
                </c:pt>
                <c:pt idx="51">
                  <c:v>398.52467686288401</c:v>
                </c:pt>
                <c:pt idx="52">
                  <c:v>410.06935400448907</c:v>
                </c:pt>
                <c:pt idx="53">
                  <c:v>421.60701499488988</c:v>
                </c:pt>
                <c:pt idx="54">
                  <c:v>433.13787892530354</c:v>
                </c:pt>
                <c:pt idx="55">
                  <c:v>444.66215226871259</c:v>
                </c:pt>
                <c:pt idx="56">
                  <c:v>429.39887113927824</c:v>
                </c:pt>
                <c:pt idx="57">
                  <c:v>439.05655970073695</c:v>
                </c:pt>
                <c:pt idx="58">
                  <c:v>448.70969327309916</c:v>
                </c:pt>
                <c:pt idx="59">
                  <c:v>458.35838369213019</c:v>
                </c:pt>
                <c:pt idx="60">
                  <c:v>468.00273769986558</c:v>
                </c:pt>
                <c:pt idx="61">
                  <c:v>454.31269266448368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478.57555101045637</c:v>
                </c:pt>
                <c:pt idx="65">
                  <c:v>486.65728665769001</c:v>
                </c:pt>
                <c:pt idx="66">
                  <c:v>473.60073566758007</c:v>
                </c:pt>
                <c:pt idx="67">
                  <c:v>480.75168621261065</c:v>
                </c:pt>
                <c:pt idx="68">
                  <c:v>487.90037643155364</c:v>
                </c:pt>
                <c:pt idx="69">
                  <c:v>495.04684412923598</c:v>
                </c:pt>
                <c:pt idx="70">
                  <c:v>502.19112592946141</c:v>
                </c:pt>
                <c:pt idx="71">
                  <c:v>488.52189609916542</c:v>
                </c:pt>
                <c:pt idx="72">
                  <c:v>495.04684412923598</c:v>
                </c:pt>
                <c:pt idx="73">
                  <c:v>501.56996990242982</c:v>
                </c:pt>
                <c:pt idx="74">
                  <c:v>508.09130047272885</c:v>
                </c:pt>
                <c:pt idx="75">
                  <c:v>514.61086214265538</c:v>
                </c:pt>
                <c:pt idx="76">
                  <c:v>501.56996990242982</c:v>
                </c:pt>
                <c:pt idx="77">
                  <c:v>507.15979072537579</c:v>
                </c:pt>
                <c:pt idx="78">
                  <c:v>512.74830923215643</c:v>
                </c:pt>
                <c:pt idx="79">
                  <c:v>518.33554162748942</c:v>
                </c:pt>
                <c:pt idx="80">
                  <c:v>523.92150373805168</c:v>
                </c:pt>
                <c:pt idx="81">
                  <c:v>506.84927944121517</c:v>
                </c:pt>
                <c:pt idx="82">
                  <c:v>506.84927944121517</c:v>
                </c:pt>
                <c:pt idx="83">
                  <c:v>506.84927944121517</c:v>
                </c:pt>
                <c:pt idx="84">
                  <c:v>506.84927944121517</c:v>
                </c:pt>
                <c:pt idx="85">
                  <c:v>506.84927944121517</c:v>
                </c:pt>
                <c:pt idx="86">
                  <c:v>506.84927944121517</c:v>
                </c:pt>
                <c:pt idx="87">
                  <c:v>506.84927944121517</c:v>
                </c:pt>
                <c:pt idx="88">
                  <c:v>506.84927944121517</c:v>
                </c:pt>
                <c:pt idx="89">
                  <c:v>506.84927944121517</c:v>
                </c:pt>
                <c:pt idx="90">
                  <c:v>506.84927944121517</c:v>
                </c:pt>
                <c:pt idx="91">
                  <c:v>506.84927944121517</c:v>
                </c:pt>
                <c:pt idx="92">
                  <c:v>506.84927944121517</c:v>
                </c:pt>
                <c:pt idx="93">
                  <c:v>506.84927944121517</c:v>
                </c:pt>
                <c:pt idx="94">
                  <c:v>506.84927944121517</c:v>
                </c:pt>
                <c:pt idx="95">
                  <c:v>506.84927944121517</c:v>
                </c:pt>
                <c:pt idx="96">
                  <c:v>506.84927944121517</c:v>
                </c:pt>
                <c:pt idx="97">
                  <c:v>506.84927944121517</c:v>
                </c:pt>
                <c:pt idx="98">
                  <c:v>506.84927944121517</c:v>
                </c:pt>
                <c:pt idx="99">
                  <c:v>506.84927944121517</c:v>
                </c:pt>
                <c:pt idx="100">
                  <c:v>506.84927944121517</c:v>
                </c:pt>
                <c:pt idx="101">
                  <c:v>506.84927944121517</c:v>
                </c:pt>
                <c:pt idx="102">
                  <c:v>506.84927944121517</c:v>
                </c:pt>
                <c:pt idx="103">
                  <c:v>506.84927944121517</c:v>
                </c:pt>
                <c:pt idx="104">
                  <c:v>506.84927944121517</c:v>
                </c:pt>
                <c:pt idx="105">
                  <c:v>506.84927944121517</c:v>
                </c:pt>
                <c:pt idx="106">
                  <c:v>506.84927944121517</c:v>
                </c:pt>
                <c:pt idx="107">
                  <c:v>506.84927944121517</c:v>
                </c:pt>
                <c:pt idx="108">
                  <c:v>506.84927944121517</c:v>
                </c:pt>
                <c:pt idx="109">
                  <c:v>506.84927944121517</c:v>
                </c:pt>
                <c:pt idx="110">
                  <c:v>506.84927944121517</c:v>
                </c:pt>
                <c:pt idx="111">
                  <c:v>506.84927944121517</c:v>
                </c:pt>
                <c:pt idx="112">
                  <c:v>506.84927944121517</c:v>
                </c:pt>
                <c:pt idx="113">
                  <c:v>506.84927944121517</c:v>
                </c:pt>
                <c:pt idx="114">
                  <c:v>506.84927944121517</c:v>
                </c:pt>
                <c:pt idx="115">
                  <c:v>506.84927944121517</c:v>
                </c:pt>
                <c:pt idx="116">
                  <c:v>506.84927944121517</c:v>
                </c:pt>
                <c:pt idx="117">
                  <c:v>506.84927944121517</c:v>
                </c:pt>
                <c:pt idx="118">
                  <c:v>506.84927944121517</c:v>
                </c:pt>
                <c:pt idx="119">
                  <c:v>506.84927944121517</c:v>
                </c:pt>
                <c:pt idx="120">
                  <c:v>506.84927944121517</c:v>
                </c:pt>
                <c:pt idx="121">
                  <c:v>506.84927944121517</c:v>
                </c:pt>
                <c:pt idx="122">
                  <c:v>506.84927944121517</c:v>
                </c:pt>
                <c:pt idx="123">
                  <c:v>506.84927944121517</c:v>
                </c:pt>
                <c:pt idx="124">
                  <c:v>506.84927944121517</c:v>
                </c:pt>
                <c:pt idx="125">
                  <c:v>506.84927944121517</c:v>
                </c:pt>
                <c:pt idx="126">
                  <c:v>506.84927944121517</c:v>
                </c:pt>
                <c:pt idx="127">
                  <c:v>506.84927944121517</c:v>
                </c:pt>
                <c:pt idx="128">
                  <c:v>506.84927944121517</c:v>
                </c:pt>
                <c:pt idx="129">
                  <c:v>506.84927944121517</c:v>
                </c:pt>
                <c:pt idx="130">
                  <c:v>506.84927944121517</c:v>
                </c:pt>
                <c:pt idx="131">
                  <c:v>506.84927944121517</c:v>
                </c:pt>
                <c:pt idx="132">
                  <c:v>506.84927944121517</c:v>
                </c:pt>
                <c:pt idx="133">
                  <c:v>506.84927944121517</c:v>
                </c:pt>
                <c:pt idx="134">
                  <c:v>506.84927944121517</c:v>
                </c:pt>
                <c:pt idx="135">
                  <c:v>506.84927944121517</c:v>
                </c:pt>
                <c:pt idx="136">
                  <c:v>506.84927944121517</c:v>
                </c:pt>
                <c:pt idx="137">
                  <c:v>506.84927944121517</c:v>
                </c:pt>
                <c:pt idx="138">
                  <c:v>506.84927944121517</c:v>
                </c:pt>
                <c:pt idx="139">
                  <c:v>506.84927944121517</c:v>
                </c:pt>
                <c:pt idx="140">
                  <c:v>506.84927944121517</c:v>
                </c:pt>
                <c:pt idx="141">
                  <c:v>506.84927944121517</c:v>
                </c:pt>
                <c:pt idx="142">
                  <c:v>506.84927944121517</c:v>
                </c:pt>
                <c:pt idx="143">
                  <c:v>506.84927944121517</c:v>
                </c:pt>
                <c:pt idx="144">
                  <c:v>506.84927944121517</c:v>
                </c:pt>
                <c:pt idx="145">
                  <c:v>506.84927944121517</c:v>
                </c:pt>
                <c:pt idx="146">
                  <c:v>506.84927944121517</c:v>
                </c:pt>
                <c:pt idx="147">
                  <c:v>506.84927944121517</c:v>
                </c:pt>
                <c:pt idx="148">
                  <c:v>506.84927944121517</c:v>
                </c:pt>
                <c:pt idx="149">
                  <c:v>506.84927944121517</c:v>
                </c:pt>
                <c:pt idx="150">
                  <c:v>506.84927944121517</c:v>
                </c:pt>
                <c:pt idx="151">
                  <c:v>506.84927944121517</c:v>
                </c:pt>
                <c:pt idx="152">
                  <c:v>506.84927944121517</c:v>
                </c:pt>
                <c:pt idx="153">
                  <c:v>506.84927944121517</c:v>
                </c:pt>
                <c:pt idx="154">
                  <c:v>506.84927944121517</c:v>
                </c:pt>
                <c:pt idx="155">
                  <c:v>506.84927944121517</c:v>
                </c:pt>
                <c:pt idx="156">
                  <c:v>506.84927944121517</c:v>
                </c:pt>
                <c:pt idx="157">
                  <c:v>506.84927944121517</c:v>
                </c:pt>
                <c:pt idx="158">
                  <c:v>506.84927944121517</c:v>
                </c:pt>
                <c:pt idx="159">
                  <c:v>506.84927944121517</c:v>
                </c:pt>
                <c:pt idx="160">
                  <c:v>506.84927944121517</c:v>
                </c:pt>
                <c:pt idx="161">
                  <c:v>506.84927944121517</c:v>
                </c:pt>
                <c:pt idx="162">
                  <c:v>506.84927944121517</c:v>
                </c:pt>
                <c:pt idx="163">
                  <c:v>506.84927944121517</c:v>
                </c:pt>
                <c:pt idx="164">
                  <c:v>506.84927944121517</c:v>
                </c:pt>
                <c:pt idx="165">
                  <c:v>506.84927944121517</c:v>
                </c:pt>
                <c:pt idx="166">
                  <c:v>506.84927944121517</c:v>
                </c:pt>
                <c:pt idx="167">
                  <c:v>506.84927944121517</c:v>
                </c:pt>
                <c:pt idx="168">
                  <c:v>506.84927944121517</c:v>
                </c:pt>
                <c:pt idx="169">
                  <c:v>506.84927944121517</c:v>
                </c:pt>
                <c:pt idx="170">
                  <c:v>506.84927944121517</c:v>
                </c:pt>
                <c:pt idx="171">
                  <c:v>506.84927944121517</c:v>
                </c:pt>
                <c:pt idx="172">
                  <c:v>506.84927944121517</c:v>
                </c:pt>
                <c:pt idx="173">
                  <c:v>506.84927944121517</c:v>
                </c:pt>
                <c:pt idx="174">
                  <c:v>506.84927944121517</c:v>
                </c:pt>
                <c:pt idx="175">
                  <c:v>506.84927944121517</c:v>
                </c:pt>
                <c:pt idx="176">
                  <c:v>506.84927944121517</c:v>
                </c:pt>
                <c:pt idx="177">
                  <c:v>506.84927944121517</c:v>
                </c:pt>
                <c:pt idx="178">
                  <c:v>506.84927944121517</c:v>
                </c:pt>
                <c:pt idx="179">
                  <c:v>506.84927944121517</c:v>
                </c:pt>
                <c:pt idx="180">
                  <c:v>506.84927944121517</c:v>
                </c:pt>
                <c:pt idx="181">
                  <c:v>506.84927944121517</c:v>
                </c:pt>
                <c:pt idx="182">
                  <c:v>506.84927944121517</c:v>
                </c:pt>
                <c:pt idx="183">
                  <c:v>506.84927944121517</c:v>
                </c:pt>
                <c:pt idx="184">
                  <c:v>506.84927944121517</c:v>
                </c:pt>
                <c:pt idx="185">
                  <c:v>506.84927944121517</c:v>
                </c:pt>
                <c:pt idx="186">
                  <c:v>506.84927944121517</c:v>
                </c:pt>
                <c:pt idx="187">
                  <c:v>506.84927944121517</c:v>
                </c:pt>
                <c:pt idx="188">
                  <c:v>506.84927944121517</c:v>
                </c:pt>
                <c:pt idx="189">
                  <c:v>506.84927944121517</c:v>
                </c:pt>
                <c:pt idx="190">
                  <c:v>506.84927944121517</c:v>
                </c:pt>
                <c:pt idx="191">
                  <c:v>506.84927944121517</c:v>
                </c:pt>
                <c:pt idx="192">
                  <c:v>506.84927944121517</c:v>
                </c:pt>
                <c:pt idx="193">
                  <c:v>506.84927944121517</c:v>
                </c:pt>
                <c:pt idx="194">
                  <c:v>506.84927944121517</c:v>
                </c:pt>
                <c:pt idx="195">
                  <c:v>506.84927944121517</c:v>
                </c:pt>
                <c:pt idx="196">
                  <c:v>506.84927944121517</c:v>
                </c:pt>
                <c:pt idx="197">
                  <c:v>506.84927944121517</c:v>
                </c:pt>
                <c:pt idx="198">
                  <c:v>506.84927944121517</c:v>
                </c:pt>
                <c:pt idx="199">
                  <c:v>506.84927944121517</c:v>
                </c:pt>
                <c:pt idx="200">
                  <c:v>506.84927944121517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2.6545363919666056</c:v>
                </c:pt>
                <c:pt idx="2">
                  <c:v>3.0498680872909687</c:v>
                </c:pt>
                <c:pt idx="3">
                  <c:v>3.5042863496199099</c:v>
                </c:pt>
                <c:pt idx="4">
                  <c:v>4.0266521169806992</c:v>
                </c:pt>
                <c:pt idx="5">
                  <c:v>4.6271593579498189</c:v>
                </c:pt>
                <c:pt idx="6">
                  <c:v>5.3175362001651179</c:v>
                </c:pt>
                <c:pt idx="7">
                  <c:v>6.1112764875692553</c:v>
                </c:pt>
                <c:pt idx="8">
                  <c:v>7.0239063814266727</c:v>
                </c:pt>
                <c:pt idx="9">
                  <c:v>8.0732913217033442</c:v>
                </c:pt>
                <c:pt idx="10">
                  <c:v>9.2799894738115594</c:v>
                </c:pt>
                <c:pt idx="11">
                  <c:v>10.66765871730995</c:v>
                </c:pt>
                <c:pt idx="12">
                  <c:v>12.26352530671501</c:v>
                </c:pt>
                <c:pt idx="13">
                  <c:v>14.098923571801871</c:v>
                </c:pt>
                <c:pt idx="14">
                  <c:v>16.209917450642156</c:v>
                </c:pt>
                <c:pt idx="15">
                  <c:v>18.638016291961673</c:v>
                </c:pt>
                <c:pt idx="16">
                  <c:v>21.430999257425388</c:v>
                </c:pt>
                <c:pt idx="17">
                  <c:v>24.643864837480283</c:v>
                </c:pt>
                <c:pt idx="18">
                  <c:v>28.339924510581934</c:v>
                </c:pt>
                <c:pt idx="19">
                  <c:v>32.592062475931563</c:v>
                </c:pt>
                <c:pt idx="20">
                  <c:v>37.484186732991283</c:v>
                </c:pt>
                <c:pt idx="21">
                  <c:v>43.112900634753409</c:v>
                </c:pt>
                <c:pt idx="22">
                  <c:v>49.58942848411747</c:v>
                </c:pt>
                <c:pt idx="23">
                  <c:v>57.041833863841269</c:v>
                </c:pt>
                <c:pt idx="24">
                  <c:v>65.61757529424726</c:v>
                </c:pt>
                <c:pt idx="25">
                  <c:v>75.48645061896606</c:v>
                </c:pt>
                <c:pt idx="26">
                  <c:v>86.843989365628133</c:v>
                </c:pt>
                <c:pt idx="27">
                  <c:v>99.915361374894232</c:v>
                </c:pt>
                <c:pt idx="28">
                  <c:v>114.9598804212918</c:v>
                </c:pt>
                <c:pt idx="29">
                  <c:v>132.27619357492748</c:v>
                </c:pt>
                <c:pt idx="30">
                  <c:v>152.20826091870231</c:v>
                </c:pt>
                <c:pt idx="31">
                  <c:v>162.98463072137639</c:v>
                </c:pt>
                <c:pt idx="32">
                  <c:v>173.74415159546285</c:v>
                </c:pt>
                <c:pt idx="33">
                  <c:v>184.48801497982217</c:v>
                </c:pt>
                <c:pt idx="34">
                  <c:v>195.21726202720279</c:v>
                </c:pt>
                <c:pt idx="35">
                  <c:v>205.93280996116789</c:v>
                </c:pt>
                <c:pt idx="36">
                  <c:v>216.6354726500532</c:v>
                </c:pt>
                <c:pt idx="37">
                  <c:v>227.32597689583122</c:v>
                </c:pt>
                <c:pt idx="38">
                  <c:v>238.00497549414197</c:v>
                </c:pt>
                <c:pt idx="39">
                  <c:v>248.67305782470615</c:v>
                </c:pt>
                <c:pt idx="40">
                  <c:v>259.33075852724227</c:v>
                </c:pt>
                <c:pt idx="41">
                  <c:v>269.97856467507779</c:v>
                </c:pt>
                <c:pt idx="42">
                  <c:v>280.61692175681293</c:v>
                </c:pt>
                <c:pt idx="43">
                  <c:v>219.2364936366308</c:v>
                </c:pt>
                <c:pt idx="44">
                  <c:v>233.16817282079023</c:v>
                </c:pt>
                <c:pt idx="45">
                  <c:v>247.08084979641851</c:v>
                </c:pt>
                <c:pt idx="46">
                  <c:v>260.97574553687451</c:v>
                </c:pt>
                <c:pt idx="47">
                  <c:v>274.85394031838462</c:v>
                </c:pt>
                <c:pt idx="48">
                  <c:v>288.71639637046309</c:v>
                </c:pt>
                <c:pt idx="49">
                  <c:v>302.56397594468757</c:v>
                </c:pt>
                <c:pt idx="50">
                  <c:v>316.39745590015349</c:v>
                </c:pt>
                <c:pt idx="51">
                  <c:v>273.38670979243687</c:v>
                </c:pt>
                <c:pt idx="52">
                  <c:v>287.42020429431284</c:v>
                </c:pt>
                <c:pt idx="53">
                  <c:v>301.43837740587037</c:v>
                </c:pt>
                <c:pt idx="54">
                  <c:v>315.44204208522223</c:v>
                </c:pt>
                <c:pt idx="55">
                  <c:v>329.43193320131792</c:v>
                </c:pt>
                <c:pt idx="56">
                  <c:v>343.40871810261575</c:v>
                </c:pt>
                <c:pt idx="57">
                  <c:v>357.37300537454212</c:v>
                </c:pt>
                <c:pt idx="58">
                  <c:v>371.32535215621283</c:v>
                </c:pt>
                <c:pt idx="59">
                  <c:v>315.51183909506216</c:v>
                </c:pt>
                <c:pt idx="60">
                  <c:v>329.05073650276262</c:v>
                </c:pt>
                <c:pt idx="61">
                  <c:v>342.57734336481394</c:v>
                </c:pt>
                <c:pt idx="62">
                  <c:v>356.09221338084268</c:v>
                </c:pt>
                <c:pt idx="63">
                  <c:v>369.59585478551793</c:v>
                </c:pt>
                <c:pt idx="64">
                  <c:v>383.08873564151554</c:v>
                </c:pt>
                <c:pt idx="65">
                  <c:v>396.5712883477056</c:v>
                </c:pt>
                <c:pt idx="66">
                  <c:v>410.0439135021868</c:v>
                </c:pt>
                <c:pt idx="67">
                  <c:v>347.44730241687625</c:v>
                </c:pt>
                <c:pt idx="68">
                  <c:v>360.38278100948378</c:v>
                </c:pt>
                <c:pt idx="69">
                  <c:v>373.30810753560894</c:v>
                </c:pt>
                <c:pt idx="70">
                  <c:v>386.22368305629948</c:v>
                </c:pt>
                <c:pt idx="71">
                  <c:v>399.12987961766686</c:v>
                </c:pt>
                <c:pt idx="72">
                  <c:v>412.02704324015616</c:v>
                </c:pt>
                <c:pt idx="73">
                  <c:v>424.91549651397821</c:v>
                </c:pt>
                <c:pt idx="74">
                  <c:v>437.79554086320655</c:v>
                </c:pt>
                <c:pt idx="75">
                  <c:v>379.41318705628618</c:v>
                </c:pt>
                <c:pt idx="76">
                  <c:v>392.00536505326244</c:v>
                </c:pt>
                <c:pt idx="77">
                  <c:v>404.5887722875338</c:v>
                </c:pt>
                <c:pt idx="78">
                  <c:v>417.16372000047312</c:v>
                </c:pt>
                <c:pt idx="79">
                  <c:v>429.73049913746746</c:v>
                </c:pt>
                <c:pt idx="80">
                  <c:v>442.28938223878066</c:v>
                </c:pt>
                <c:pt idx="81">
                  <c:v>454.84062510445273</c:v>
                </c:pt>
                <c:pt idx="82">
                  <c:v>467.38446826585488</c:v>
                </c:pt>
                <c:pt idx="83">
                  <c:v>479.92113829104784</c:v>
                </c:pt>
                <c:pt idx="84">
                  <c:v>492.45084894664933</c:v>
                </c:pt>
                <c:pt idx="85">
                  <c:v>413.69789366517688</c:v>
                </c:pt>
                <c:pt idx="86">
                  <c:v>425.72326588472441</c:v>
                </c:pt>
                <c:pt idx="87">
                  <c:v>437.74133281024564</c:v>
                </c:pt>
                <c:pt idx="88">
                  <c:v>449.75232328199803</c:v>
                </c:pt>
                <c:pt idx="89">
                  <c:v>461.7564529200472</c:v>
                </c:pt>
                <c:pt idx="90">
                  <c:v>473.75392521910811</c:v>
                </c:pt>
                <c:pt idx="91">
                  <c:v>485.74493252670771</c:v>
                </c:pt>
                <c:pt idx="92">
                  <c:v>497.72965691973968</c:v>
                </c:pt>
                <c:pt idx="93">
                  <c:v>509.70827099220446</c:v>
                </c:pt>
                <c:pt idx="94">
                  <c:v>521.68093856505448</c:v>
                </c:pt>
                <c:pt idx="95">
                  <c:v>442.71309293511808</c:v>
                </c:pt>
                <c:pt idx="96">
                  <c:v>454.37653595908381</c:v>
                </c:pt>
                <c:pt idx="97">
                  <c:v>466.03358176488229</c:v>
                </c:pt>
                <c:pt idx="98">
                  <c:v>477.68441292460778</c:v>
                </c:pt>
                <c:pt idx="99">
                  <c:v>489.32920237793724</c:v>
                </c:pt>
                <c:pt idx="100">
                  <c:v>500.96811416232453</c:v>
                </c:pt>
                <c:pt idx="101">
                  <c:v>512.60130407180907</c:v>
                </c:pt>
                <c:pt idx="102">
                  <c:v>524.22892025291412</c:v>
                </c:pt>
                <c:pt idx="103">
                  <c:v>535.85110374493036</c:v>
                </c:pt>
                <c:pt idx="104">
                  <c:v>547.46798897089673</c:v>
                </c:pt>
                <c:pt idx="105">
                  <c:v>470.83512622667905</c:v>
                </c:pt>
                <c:pt idx="106">
                  <c:v>482.31993060359929</c:v>
                </c:pt>
                <c:pt idx="107">
                  <c:v>493.79892623857194</c:v>
                </c:pt>
                <c:pt idx="108">
                  <c:v>505.27226719263109</c:v>
                </c:pt>
                <c:pt idx="109">
                  <c:v>516.74009995985261</c:v>
                </c:pt>
                <c:pt idx="110">
                  <c:v>528.20256400226049</c:v>
                </c:pt>
                <c:pt idx="111">
                  <c:v>539.65979223588909</c:v>
                </c:pt>
                <c:pt idx="112">
                  <c:v>551.11191147342799</c:v>
                </c:pt>
                <c:pt idx="113">
                  <c:v>562.55904282816812</c:v>
                </c:pt>
                <c:pt idx="114">
                  <c:v>574.00130208336589</c:v>
                </c:pt>
                <c:pt idx="115">
                  <c:v>503.63619118948264</c:v>
                </c:pt>
                <c:pt idx="116">
                  <c:v>515.16004926803487</c:v>
                </c:pt>
                <c:pt idx="117">
                  <c:v>526.67846775173223</c:v>
                </c:pt>
                <c:pt idx="118">
                  <c:v>538.19158235979023</c:v>
                </c:pt>
                <c:pt idx="119">
                  <c:v>549.69952253188956</c:v>
                </c:pt>
                <c:pt idx="120">
                  <c:v>561.2024118468803</c:v>
                </c:pt>
                <c:pt idx="121">
                  <c:v>572.70036840537955</c:v>
                </c:pt>
                <c:pt idx="122">
                  <c:v>584.19350518005501</c:v>
                </c:pt>
                <c:pt idx="123">
                  <c:v>595.68193033691477</c:v>
                </c:pt>
                <c:pt idx="124">
                  <c:v>607.16574753053146</c:v>
                </c:pt>
                <c:pt idx="125">
                  <c:v>542.67444994481593</c:v>
                </c:pt>
                <c:pt idx="126">
                  <c:v>554.28705775501305</c:v>
                </c:pt>
                <c:pt idx="127">
                  <c:v>565.89456923136788</c:v>
                </c:pt>
                <c:pt idx="128">
                  <c:v>577.49710362235521</c:v>
                </c:pt>
                <c:pt idx="129">
                  <c:v>589.09477499506363</c:v>
                </c:pt>
                <c:pt idx="130">
                  <c:v>600.68769256005351</c:v>
                </c:pt>
                <c:pt idx="131">
                  <c:v>612.27596096984428</c:v>
                </c:pt>
                <c:pt idx="132">
                  <c:v>623.8596805936337</c:v>
                </c:pt>
                <c:pt idx="133">
                  <c:v>635.43894777056346</c:v>
                </c:pt>
                <c:pt idx="134">
                  <c:v>647.0138550435679</c:v>
                </c:pt>
                <c:pt idx="135">
                  <c:v>579.21299579651088</c:v>
                </c:pt>
                <c:pt idx="136">
                  <c:v>590.93727564374069</c:v>
                </c:pt>
                <c:pt idx="137">
                  <c:v>602.65671400044437</c:v>
                </c:pt>
                <c:pt idx="138">
                  <c:v>614.37141825894662</c:v>
                </c:pt>
                <c:pt idx="139">
                  <c:v>626.08149138337728</c:v>
                </c:pt>
                <c:pt idx="140">
                  <c:v>637.78703217341183</c:v>
                </c:pt>
                <c:pt idx="141">
                  <c:v>649.48813550765476</c:v>
                </c:pt>
                <c:pt idx="142">
                  <c:v>661.18489256857811</c:v>
                </c:pt>
                <c:pt idx="143">
                  <c:v>672.87739105072149</c:v>
                </c:pt>
                <c:pt idx="144">
                  <c:v>684.56571535367812</c:v>
                </c:pt>
                <c:pt idx="145">
                  <c:v>615.99826184014375</c:v>
                </c:pt>
                <c:pt idx="146">
                  <c:v>627.92166785894335</c:v>
                </c:pt>
                <c:pt idx="147">
                  <c:v>639.84039007045806</c:v>
                </c:pt>
                <c:pt idx="148">
                  <c:v>651.75452798722438</c:v>
                </c:pt>
                <c:pt idx="149">
                  <c:v>663.6641771883518</c:v>
                </c:pt>
                <c:pt idx="150">
                  <c:v>675.56942954427871</c:v>
                </c:pt>
                <c:pt idx="151">
                  <c:v>687.47037342486567</c:v>
                </c:pt>
                <c:pt idx="152">
                  <c:v>699.36709389233977</c:v>
                </c:pt>
                <c:pt idx="153">
                  <c:v>711.25967288043512</c:v>
                </c:pt>
                <c:pt idx="154">
                  <c:v>723.14818936093525</c:v>
                </c:pt>
                <c:pt idx="155">
                  <c:v>656.10481372787308</c:v>
                </c:pt>
                <c:pt idx="156">
                  <c:v>668.18502285411148</c:v>
                </c:pt>
                <c:pt idx="157">
                  <c:v>680.26074198077038</c:v>
                </c:pt>
                <c:pt idx="158">
                  <c:v>692.33206200882375</c:v>
                </c:pt>
                <c:pt idx="159">
                  <c:v>704.39907041247409</c:v>
                </c:pt>
                <c:pt idx="160">
                  <c:v>716.46185142605191</c:v>
                </c:pt>
                <c:pt idx="161">
                  <c:v>728.52048621768233</c:v>
                </c:pt>
                <c:pt idx="162">
                  <c:v>740.57505305086443</c:v>
                </c:pt>
                <c:pt idx="163">
                  <c:v>752.62562743498745</c:v>
                </c:pt>
                <c:pt idx="164">
                  <c:v>764.67228226571467</c:v>
                </c:pt>
                <c:pt idx="165">
                  <c:v>691.65849642549881</c:v>
                </c:pt>
                <c:pt idx="166">
                  <c:v>703.8733396080155</c:v>
                </c:pt>
                <c:pt idx="167">
                  <c:v>716.08384763697256</c:v>
                </c:pt>
                <c:pt idx="168">
                  <c:v>728.29010481250054</c:v>
                </c:pt>
                <c:pt idx="169">
                  <c:v>740.49219238015883</c:v>
                </c:pt>
                <c:pt idx="170">
                  <c:v>752.69018869117497</c:v>
                </c:pt>
                <c:pt idx="171">
                  <c:v>764.88416935176735</c:v>
                </c:pt>
                <c:pt idx="172">
                  <c:v>777.07420736245524</c:v>
                </c:pt>
                <c:pt idx="173">
                  <c:v>789.26037324818117</c:v>
                </c:pt>
                <c:pt idx="174">
                  <c:v>801.44273517998261</c:v>
                </c:pt>
                <c:pt idx="175">
                  <c:v>499.6921135299911</c:v>
                </c:pt>
                <c:pt idx="176">
                  <c:v>507.54522794679673</c:v>
                </c:pt>
                <c:pt idx="177">
                  <c:v>515.39577427024676</c:v>
                </c:pt>
                <c:pt idx="178">
                  <c:v>352.97127757915587</c:v>
                </c:pt>
                <c:pt idx="179">
                  <c:v>357.82672398095787</c:v>
                </c:pt>
                <c:pt idx="180">
                  <c:v>362.68072838718234</c:v>
                </c:pt>
                <c:pt idx="181">
                  <c:v>251.76948295809464</c:v>
                </c:pt>
                <c:pt idx="182">
                  <c:v>254.76218506142436</c:v>
                </c:pt>
                <c:pt idx="183">
                  <c:v>257.75409130952295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9" t="s">
        <v>0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2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2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2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2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25">
      <c r="B18" s="259" t="s">
        <v>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2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2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2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2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2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2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2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2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2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2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2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2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2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D21" sqref="D2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0" t="s">
        <v>2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5" t="s">
        <v>4</v>
      </c>
      <c r="C3" s="266"/>
      <c r="D3" s="266"/>
      <c r="E3" s="266"/>
      <c r="F3" s="267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0" t="s">
        <v>7</v>
      </c>
      <c r="B5" s="270"/>
      <c r="C5" s="24">
        <v>6.2910000000000004</v>
      </c>
      <c r="D5" s="271" t="s">
        <v>8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9" t="s">
        <v>9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16</v>
      </c>
      <c r="C9" s="32">
        <v>0.06</v>
      </c>
      <c r="D9" s="33">
        <f t="shared" ref="D9:D18" si="0">C9*$C$5</f>
        <v>0.37746000000000002</v>
      </c>
      <c r="E9" s="257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18</v>
      </c>
      <c r="B10" s="31" t="s">
        <v>19</v>
      </c>
      <c r="C10" s="32">
        <v>0.06</v>
      </c>
      <c r="D10" s="33">
        <f t="shared" si="0"/>
        <v>0.37746000000000002</v>
      </c>
      <c r="E10" s="257">
        <v>125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20</v>
      </c>
      <c r="B11" s="31" t="s">
        <v>21</v>
      </c>
      <c r="C11" s="32">
        <v>0.21</v>
      </c>
      <c r="D11" s="33">
        <f t="shared" si="0"/>
        <v>1.32111</v>
      </c>
      <c r="E11" s="257">
        <v>54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22</v>
      </c>
      <c r="B12" s="31" t="s">
        <v>23</v>
      </c>
      <c r="C12" s="32">
        <v>0.06</v>
      </c>
      <c r="D12" s="33">
        <f t="shared" si="0"/>
        <v>0.37746000000000002</v>
      </c>
      <c r="E12" s="257">
        <v>99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24</v>
      </c>
      <c r="B13" s="31" t="s">
        <v>25</v>
      </c>
      <c r="C13" s="32">
        <v>0.27</v>
      </c>
      <c r="D13" s="33">
        <f t="shared" si="0"/>
        <v>1.6985700000000001</v>
      </c>
      <c r="E13" s="257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26</v>
      </c>
      <c r="B14" s="31" t="s">
        <v>27</v>
      </c>
      <c r="C14" s="32">
        <v>0.11</v>
      </c>
      <c r="D14" s="33">
        <f t="shared" si="0"/>
        <v>0.69201000000000001</v>
      </c>
      <c r="E14" s="257">
        <v>110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28</v>
      </c>
      <c r="B15" s="31" t="s">
        <v>29</v>
      </c>
      <c r="C15" s="32">
        <v>0.15</v>
      </c>
      <c r="D15" s="33">
        <f t="shared" si="0"/>
        <v>0.94364999999999999</v>
      </c>
      <c r="E15" s="257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30</v>
      </c>
      <c r="B16" s="31" t="s">
        <v>31</v>
      </c>
      <c r="C16" s="32">
        <v>0.04</v>
      </c>
      <c r="D16" s="33">
        <f t="shared" si="0"/>
        <v>0.25164000000000003</v>
      </c>
      <c r="E16" s="257">
        <v>183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32</v>
      </c>
      <c r="B17" s="31" t="s">
        <v>33</v>
      </c>
      <c r="C17" s="32">
        <v>0.04</v>
      </c>
      <c r="D17" s="33">
        <f t="shared" si="0"/>
        <v>0.25164000000000003</v>
      </c>
      <c r="E17" s="257">
        <v>100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34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35</v>
      </c>
      <c r="C19" s="37">
        <f>SUM(C9:C18)</f>
        <v>1</v>
      </c>
      <c r="D19" s="38">
        <f>SUM(D9:D18)</f>
        <v>6.2910000000000004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8" t="s">
        <v>36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37</v>
      </c>
      <c r="B24" s="42" t="s">
        <v>38</v>
      </c>
      <c r="C24" s="43">
        <v>0</v>
      </c>
      <c r="D24" s="44" t="s">
        <v>39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40</v>
      </c>
      <c r="B25" s="42" t="s">
        <v>41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42</v>
      </c>
      <c r="B26" s="42" t="s">
        <v>43</v>
      </c>
      <c r="C26" s="43">
        <v>0.1</v>
      </c>
      <c r="D26" s="44" t="s">
        <v>44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45</v>
      </c>
      <c r="B27" s="42" t="s">
        <v>46</v>
      </c>
      <c r="C27" s="43">
        <v>0</v>
      </c>
      <c r="D27" s="44" t="s">
        <v>47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9" t="s">
        <v>48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Epicéa commun</v>
      </c>
      <c r="D32" s="229" t="s">
        <v>49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50</v>
      </c>
      <c r="C34" s="261" t="s">
        <v>51</v>
      </c>
      <c r="D34" s="261"/>
      <c r="E34" s="262" t="s">
        <v>52</v>
      </c>
      <c r="F34" s="263"/>
      <c r="G34" s="263"/>
      <c r="H34" s="26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53</v>
      </c>
      <c r="B35" s="36" t="s">
        <v>54</v>
      </c>
      <c r="C35" s="48" t="s">
        <v>55</v>
      </c>
      <c r="D35" s="48" t="s">
        <v>56</v>
      </c>
      <c r="E35" s="36" t="s">
        <v>57</v>
      </c>
      <c r="F35" s="36" t="s">
        <v>58</v>
      </c>
      <c r="G35" s="36" t="s">
        <v>59</v>
      </c>
      <c r="H35" s="36" t="s">
        <v>60</v>
      </c>
      <c r="I35" s="48" t="s">
        <v>61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256.63846150000001</v>
      </c>
      <c r="C36" s="60">
        <v>1</v>
      </c>
      <c r="D36" s="60">
        <v>67.207692309999999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10.26553846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302.96923079999999</v>
      </c>
      <c r="C37" s="60">
        <v>2</v>
      </c>
      <c r="D37" s="60">
        <v>90.015384620000006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22.707692321999996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36</v>
      </c>
      <c r="B38" s="60">
        <v>342.64615379999998</v>
      </c>
      <c r="C38" s="60">
        <v>3</v>
      </c>
      <c r="D38" s="60">
        <v>85.407692310000002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21.615384603333336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42</v>
      </c>
      <c r="B39" s="60">
        <v>379.17692310000001</v>
      </c>
      <c r="C39" s="60">
        <v>4</v>
      </c>
      <c r="D39" s="60">
        <v>78.223076919999997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20.323076935000007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48</v>
      </c>
      <c r="B40" s="60">
        <v>414.34615380000002</v>
      </c>
      <c r="C40" s="60">
        <v>5</v>
      </c>
      <c r="D40" s="60">
        <v>85.953846150000004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18.898717936666667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55</v>
      </c>
      <c r="B41" s="60">
        <v>447.71538459999999</v>
      </c>
      <c r="C41" s="60">
        <v>6</v>
      </c>
      <c r="D41" s="60">
        <v>83.638461539999994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17.046153849999996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62</v>
      </c>
      <c r="B42" s="60">
        <v>471.08461540000002</v>
      </c>
      <c r="C42" s="60">
        <v>7</v>
      </c>
      <c r="D42" s="60">
        <v>471.08461540000002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15.286813191428573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18</v>
      </c>
      <c r="B58" s="52" t="str">
        <f>IF(B10="","",B10)</f>
        <v>Hêtre</v>
      </c>
      <c r="D58" s="229" t="s">
        <v>49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50</v>
      </c>
      <c r="C60" s="261" t="s">
        <v>51</v>
      </c>
      <c r="D60" s="261"/>
      <c r="E60" s="262" t="s">
        <v>52</v>
      </c>
      <c r="F60" s="263"/>
      <c r="G60" s="263"/>
      <c r="H60" s="26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53</v>
      </c>
      <c r="B61" s="36" t="s">
        <v>54</v>
      </c>
      <c r="C61" s="48" t="s">
        <v>55</v>
      </c>
      <c r="D61" s="48" t="s">
        <v>56</v>
      </c>
      <c r="E61" s="36" t="s">
        <v>57</v>
      </c>
      <c r="F61" s="36" t="s">
        <v>58</v>
      </c>
      <c r="G61" s="36" t="s">
        <v>59</v>
      </c>
      <c r="H61" s="36" t="s">
        <v>60</v>
      </c>
      <c r="I61" s="48" t="s">
        <v>61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v>97.282051280000005</v>
      </c>
      <c r="C62" s="60" t="s">
        <v>62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3.2427350426666668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42</v>
      </c>
      <c r="B63" s="60">
        <v>193.06410260000001</v>
      </c>
      <c r="C63" s="60">
        <v>1</v>
      </c>
      <c r="D63" s="60">
        <v>69.141025639999995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7.9818376100000004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48</v>
      </c>
      <c r="B64" s="60">
        <v>186.6217949</v>
      </c>
      <c r="C64" s="60">
        <v>2</v>
      </c>
      <c r="D64" s="60">
        <v>44.737179490000003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10.449786323333329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54</v>
      </c>
      <c r="B65" s="60">
        <v>203.78846150000001</v>
      </c>
      <c r="C65" s="60">
        <v>3</v>
      </c>
      <c r="D65" s="60">
        <v>47.025641030000003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10.317307681666671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63</v>
      </c>
      <c r="B66" s="60">
        <v>244.41666670000001</v>
      </c>
      <c r="C66" s="60">
        <v>4</v>
      </c>
      <c r="D66" s="60">
        <v>64.628205129999998</v>
      </c>
      <c r="E66" s="51">
        <v>0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9.7393162477777775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72</v>
      </c>
      <c r="B67" s="60">
        <v>260.44230770000001</v>
      </c>
      <c r="C67" s="60">
        <v>5</v>
      </c>
      <c r="D67" s="60">
        <v>62.551282049999998</v>
      </c>
      <c r="E67" s="51">
        <v>0</v>
      </c>
      <c r="F67" s="51">
        <v>0</v>
      </c>
      <c r="G67" s="51">
        <v>0</v>
      </c>
      <c r="H67" s="51">
        <v>0</v>
      </c>
      <c r="I67" s="49">
        <f t="shared" si="2"/>
        <v>8.9615384588888887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81</v>
      </c>
      <c r="B68" s="60">
        <v>270.05128209999998</v>
      </c>
      <c r="C68" s="60">
        <v>6</v>
      </c>
      <c r="D68" s="60">
        <v>57.38461538</v>
      </c>
      <c r="E68" s="51">
        <v>0</v>
      </c>
      <c r="F68" s="51">
        <v>0</v>
      </c>
      <c r="G68" s="51">
        <v>0</v>
      </c>
      <c r="H68" s="51">
        <v>0</v>
      </c>
      <c r="I68" s="49">
        <f t="shared" si="2"/>
        <v>8.0178062722222183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277.21794870000002</v>
      </c>
      <c r="C69" s="50">
        <v>7</v>
      </c>
      <c r="D69" s="50">
        <v>52.782051279999997</v>
      </c>
      <c r="E69" s="51">
        <v>0</v>
      </c>
      <c r="F69" s="51">
        <v>0</v>
      </c>
      <c r="G69" s="51">
        <v>0</v>
      </c>
      <c r="H69" s="51">
        <v>0</v>
      </c>
      <c r="I69" s="49">
        <f t="shared" si="2"/>
        <v>7.1723646644444505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99</v>
      </c>
      <c r="B70" s="50">
        <v>282.06410260000001</v>
      </c>
      <c r="C70" s="50">
        <v>8</v>
      </c>
      <c r="D70" s="50">
        <v>53.75</v>
      </c>
      <c r="E70" s="51">
        <v>0</v>
      </c>
      <c r="F70" s="51">
        <v>0</v>
      </c>
      <c r="G70" s="51">
        <v>0</v>
      </c>
      <c r="H70" s="51">
        <v>0</v>
      </c>
      <c r="I70" s="49">
        <f t="shared" si="2"/>
        <v>6.4031339088888863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111</v>
      </c>
      <c r="B71" s="50">
        <v>295.95512819999999</v>
      </c>
      <c r="C71" s="50">
        <v>9</v>
      </c>
      <c r="D71" s="50">
        <v>108.1474359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5.6367521333333315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116</v>
      </c>
      <c r="B72" s="50">
        <v>210.82692309999999</v>
      </c>
      <c r="C72" s="50">
        <v>10</v>
      </c>
      <c r="D72" s="50">
        <v>72.698717950000002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4.6038461600000007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121</v>
      </c>
      <c r="B73" s="50">
        <v>156.43589739999999</v>
      </c>
      <c r="C73" s="50">
        <v>11</v>
      </c>
      <c r="D73" s="50">
        <v>66.179487179999995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3.6615384500000006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125</v>
      </c>
      <c r="B74" s="50">
        <v>100.6217949</v>
      </c>
      <c r="C74" s="50">
        <v>12</v>
      </c>
      <c r="D74" s="50">
        <v>100.6217949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2.5913461700000013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20</v>
      </c>
      <c r="B84" s="52" t="str">
        <f>IF(B11="","",B11)</f>
        <v>Douglas</v>
      </c>
      <c r="D84" s="229" t="s">
        <v>49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50</v>
      </c>
      <c r="C86" s="261" t="s">
        <v>51</v>
      </c>
      <c r="D86" s="261"/>
      <c r="E86" s="262" t="s">
        <v>52</v>
      </c>
      <c r="F86" s="263"/>
      <c r="G86" s="263"/>
      <c r="H86" s="26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53</v>
      </c>
      <c r="B87" s="36" t="s">
        <v>54</v>
      </c>
      <c r="C87" s="48" t="s">
        <v>55</v>
      </c>
      <c r="D87" s="48" t="s">
        <v>56</v>
      </c>
      <c r="E87" s="36" t="s">
        <v>57</v>
      </c>
      <c r="F87" s="36" t="s">
        <v>58</v>
      </c>
      <c r="G87" s="36" t="s">
        <v>59</v>
      </c>
      <c r="H87" s="36" t="s">
        <v>60</v>
      </c>
      <c r="I87" s="48" t="s">
        <v>61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18</v>
      </c>
      <c r="B88" s="60">
        <v>182.8923077</v>
      </c>
      <c r="C88" s="60">
        <v>1</v>
      </c>
      <c r="D88" s="60">
        <v>69.284615380000005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10.160683761111111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24</v>
      </c>
      <c r="B89" s="60">
        <v>237.56153850000001</v>
      </c>
      <c r="C89" s="60">
        <v>2</v>
      </c>
      <c r="D89" s="60">
        <v>42.661538460000003</v>
      </c>
      <c r="E89" s="51">
        <v>0.7</v>
      </c>
      <c r="F89" s="51">
        <v>0.17</v>
      </c>
      <c r="G89" s="51">
        <v>0.13</v>
      </c>
      <c r="H89" s="87">
        <v>0</v>
      </c>
      <c r="I89" s="53">
        <f t="shared" ref="I89:I107" si="3">IF(A89&lt;&gt;0,(B89-(B88-D88))/(A89-A88),"")</f>
        <v>20.658974363333336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331.86923080000003</v>
      </c>
      <c r="C90" s="60">
        <v>3</v>
      </c>
      <c r="D90" s="60">
        <v>65.669230769999999</v>
      </c>
      <c r="E90" s="87">
        <v>0.7</v>
      </c>
      <c r="F90" s="87">
        <v>0.17</v>
      </c>
      <c r="G90" s="87">
        <v>0.13</v>
      </c>
      <c r="H90" s="87">
        <v>0</v>
      </c>
      <c r="I90" s="53">
        <f t="shared" si="3"/>
        <v>22.828205126666671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36</v>
      </c>
      <c r="B91" s="60">
        <v>403.50769229999997</v>
      </c>
      <c r="C91" s="60">
        <v>4</v>
      </c>
      <c r="D91" s="60">
        <v>69.3</v>
      </c>
      <c r="E91" s="87">
        <v>0.7</v>
      </c>
      <c r="F91" s="87">
        <v>0.17</v>
      </c>
      <c r="G91" s="87">
        <v>0.13</v>
      </c>
      <c r="H91" s="87">
        <v>0</v>
      </c>
      <c r="I91" s="53">
        <f t="shared" si="3"/>
        <v>22.884615378333326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42</v>
      </c>
      <c r="B92" s="60">
        <v>468.72307690000002</v>
      </c>
      <c r="C92" s="60">
        <v>5</v>
      </c>
      <c r="D92" s="60">
        <v>73.392307689999996</v>
      </c>
      <c r="E92" s="87">
        <v>0.7</v>
      </c>
      <c r="F92" s="87">
        <v>0.17</v>
      </c>
      <c r="G92" s="87">
        <v>0.13</v>
      </c>
      <c r="H92" s="87">
        <v>0</v>
      </c>
      <c r="I92" s="53">
        <f t="shared" si="3"/>
        <v>22.419230766666676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48</v>
      </c>
      <c r="B93" s="60">
        <v>525.08461539999996</v>
      </c>
      <c r="C93" s="60">
        <v>6</v>
      </c>
      <c r="D93" s="60">
        <v>81.330769230000001</v>
      </c>
      <c r="E93" s="87">
        <v>0.7</v>
      </c>
      <c r="F93" s="87">
        <v>0.17</v>
      </c>
      <c r="G93" s="87">
        <v>0.13</v>
      </c>
      <c r="H93" s="87">
        <v>0</v>
      </c>
      <c r="I93" s="53">
        <f t="shared" si="3"/>
        <v>21.625641031666657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54</v>
      </c>
      <c r="B94" s="60">
        <v>566.79999999999995</v>
      </c>
      <c r="C94" s="60">
        <v>7</v>
      </c>
      <c r="D94" s="60">
        <v>566.79999999999995</v>
      </c>
      <c r="E94" s="87">
        <v>0.7</v>
      </c>
      <c r="F94" s="87">
        <v>0.17</v>
      </c>
      <c r="G94" s="87">
        <v>0.13</v>
      </c>
      <c r="H94" s="87">
        <v>0</v>
      </c>
      <c r="I94" s="53">
        <f t="shared" si="3"/>
        <v>20.507692304999996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22</v>
      </c>
      <c r="B110" s="52" t="str">
        <f>IF(B12="","",B12)</f>
        <v>Sapin pectiné</v>
      </c>
      <c r="D110" s="229" t="s">
        <v>49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50</v>
      </c>
      <c r="C112" s="261" t="s">
        <v>51</v>
      </c>
      <c r="D112" s="261"/>
      <c r="E112" s="262" t="s">
        <v>52</v>
      </c>
      <c r="F112" s="263"/>
      <c r="G112" s="263"/>
      <c r="H112" s="26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53</v>
      </c>
      <c r="B113" s="36" t="s">
        <v>54</v>
      </c>
      <c r="C113" s="48" t="s">
        <v>55</v>
      </c>
      <c r="D113" s="48" t="s">
        <v>56</v>
      </c>
      <c r="E113" s="36" t="s">
        <v>57</v>
      </c>
      <c r="F113" s="36" t="s">
        <v>58</v>
      </c>
      <c r="G113" s="36" t="s">
        <v>59</v>
      </c>
      <c r="H113" s="36" t="s">
        <v>60</v>
      </c>
      <c r="I113" s="48" t="s">
        <v>61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30</v>
      </c>
      <c r="B114" s="60">
        <v>142.3692308</v>
      </c>
      <c r="C114" s="50" t="s">
        <v>62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4.7456410266666662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45</v>
      </c>
      <c r="B115" s="60">
        <v>343.52307689999998</v>
      </c>
      <c r="C115" s="50">
        <v>1</v>
      </c>
      <c r="D115" s="60">
        <v>146.2769231</v>
      </c>
      <c r="E115" s="51">
        <v>0</v>
      </c>
      <c r="F115" s="51">
        <v>0.56000000000000005</v>
      </c>
      <c r="G115" s="51">
        <v>0.44</v>
      </c>
      <c r="H115" s="51">
        <v>0</v>
      </c>
      <c r="I115" s="53">
        <f t="shared" ref="I115:I133" si="4">IF(A115&lt;&gt;0,(B115-(B114-D114))/(A115-A114),"")</f>
        <v>13.410256406666665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52</v>
      </c>
      <c r="B116" s="60">
        <v>330.13076919999997</v>
      </c>
      <c r="C116" s="50">
        <v>2</v>
      </c>
      <c r="D116" s="60">
        <v>75.523076919999994</v>
      </c>
      <c r="E116" s="51">
        <v>0.7</v>
      </c>
      <c r="F116" s="51">
        <v>0.17</v>
      </c>
      <c r="G116" s="51">
        <v>0.13</v>
      </c>
      <c r="H116" s="51">
        <v>0</v>
      </c>
      <c r="I116" s="53">
        <f t="shared" si="4"/>
        <v>18.983516485714286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59</v>
      </c>
      <c r="B117" s="60">
        <v>380.79230769999998</v>
      </c>
      <c r="C117" s="50">
        <v>3</v>
      </c>
      <c r="D117" s="60">
        <v>93.915384619999998</v>
      </c>
      <c r="E117" s="51">
        <v>0.7</v>
      </c>
      <c r="F117" s="51">
        <v>0.17</v>
      </c>
      <c r="G117" s="51">
        <v>0.13</v>
      </c>
      <c r="H117" s="51">
        <v>0</v>
      </c>
      <c r="I117" s="53">
        <f t="shared" si="4"/>
        <v>18.026373631428573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67</v>
      </c>
      <c r="B118" s="60">
        <v>422.06153849999998</v>
      </c>
      <c r="C118" s="50">
        <v>4</v>
      </c>
      <c r="D118" s="60">
        <v>92.107692310000004</v>
      </c>
      <c r="E118" s="51">
        <v>0.7</v>
      </c>
      <c r="F118" s="51">
        <v>0.17</v>
      </c>
      <c r="G118" s="51">
        <v>0.13</v>
      </c>
      <c r="H118" s="51">
        <v>0</v>
      </c>
      <c r="I118" s="53">
        <f t="shared" si="4"/>
        <v>16.8980769275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75</v>
      </c>
      <c r="B119" s="60">
        <v>454.6076923</v>
      </c>
      <c r="C119" s="50">
        <v>5</v>
      </c>
      <c r="D119" s="60">
        <v>86.946153850000002</v>
      </c>
      <c r="E119" s="51">
        <v>0.7</v>
      </c>
      <c r="F119" s="51">
        <v>0.17</v>
      </c>
      <c r="G119" s="51">
        <v>0.13</v>
      </c>
      <c r="H119" s="51">
        <v>0</v>
      </c>
      <c r="I119" s="53">
        <f t="shared" si="4"/>
        <v>15.581730763750002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83</v>
      </c>
      <c r="B120" s="60">
        <v>481.23846150000003</v>
      </c>
      <c r="C120" s="60">
        <v>6</v>
      </c>
      <c r="D120" s="60">
        <v>91.153846150000007</v>
      </c>
      <c r="E120" s="87">
        <v>0.7</v>
      </c>
      <c r="F120" s="87">
        <v>0.17</v>
      </c>
      <c r="G120" s="87">
        <v>0.13</v>
      </c>
      <c r="H120" s="87">
        <v>0</v>
      </c>
      <c r="I120" s="53">
        <f t="shared" si="4"/>
        <v>14.197115381250008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91</v>
      </c>
      <c r="B121" s="60">
        <v>491.6230769</v>
      </c>
      <c r="C121" s="60">
        <v>7</v>
      </c>
      <c r="D121" s="60">
        <v>87.88461538</v>
      </c>
      <c r="E121" s="87">
        <v>0.7</v>
      </c>
      <c r="F121" s="87">
        <v>0.17</v>
      </c>
      <c r="G121" s="87">
        <v>0.13</v>
      </c>
      <c r="H121" s="87">
        <v>0</v>
      </c>
      <c r="I121" s="53">
        <f t="shared" si="4"/>
        <v>12.692307693749996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99</v>
      </c>
      <c r="B122" s="60">
        <v>494.49230770000003</v>
      </c>
      <c r="C122" s="60">
        <v>8</v>
      </c>
      <c r="D122" s="60">
        <v>494.49230770000003</v>
      </c>
      <c r="E122" s="87">
        <v>0.7</v>
      </c>
      <c r="F122" s="87">
        <v>0.17</v>
      </c>
      <c r="G122" s="87">
        <v>0.13</v>
      </c>
      <c r="H122" s="87">
        <v>0</v>
      </c>
      <c r="I122" s="53">
        <f t="shared" si="4"/>
        <v>11.344230772500005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24</v>
      </c>
      <c r="B136" s="52" t="str">
        <f>IF(B13="","",B13)</f>
        <v>Pin laricio</v>
      </c>
      <c r="D136" s="229" t="s">
        <v>49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50</v>
      </c>
      <c r="C138" s="261" t="s">
        <v>51</v>
      </c>
      <c r="D138" s="261"/>
      <c r="E138" s="262" t="s">
        <v>52</v>
      </c>
      <c r="F138" s="263"/>
      <c r="G138" s="263"/>
      <c r="H138" s="26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53</v>
      </c>
      <c r="B139" s="36" t="s">
        <v>54</v>
      </c>
      <c r="C139" s="48" t="s">
        <v>55</v>
      </c>
      <c r="D139" s="48" t="s">
        <v>56</v>
      </c>
      <c r="E139" s="36" t="s">
        <v>57</v>
      </c>
      <c r="F139" s="36" t="s">
        <v>58</v>
      </c>
      <c r="G139" s="36" t="s">
        <v>59</v>
      </c>
      <c r="H139" s="36" t="s">
        <v>60</v>
      </c>
      <c r="I139" s="48" t="s">
        <v>61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22</v>
      </c>
      <c r="B140" s="60">
        <v>129.9846154</v>
      </c>
      <c r="C140" s="50">
        <v>1</v>
      </c>
      <c r="D140" s="60">
        <v>52.746153849999999</v>
      </c>
      <c r="E140" s="51">
        <v>0</v>
      </c>
      <c r="F140" s="51">
        <v>0.56000000000000005</v>
      </c>
      <c r="G140" s="51">
        <v>0.44</v>
      </c>
      <c r="H140" s="51">
        <v>0</v>
      </c>
      <c r="I140" s="57">
        <f>IFERROR(B140/A140,"")</f>
        <v>5.9083916090909092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27</v>
      </c>
      <c r="B141" s="60">
        <v>140.71538459999999</v>
      </c>
      <c r="C141" s="50">
        <v>2</v>
      </c>
      <c r="D141" s="60">
        <v>34.646153849999997</v>
      </c>
      <c r="E141" s="51">
        <v>0.7</v>
      </c>
      <c r="F141" s="51">
        <v>0.17</v>
      </c>
      <c r="G141" s="51">
        <v>0.13</v>
      </c>
      <c r="H141" s="51">
        <v>0</v>
      </c>
      <c r="I141" s="57">
        <f t="shared" ref="I141:I159" si="5">IF(A141&lt;&gt;0,(B141-(B140-D140))/(A141-A140),"")</f>
        <v>12.69538461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144.9846154</v>
      </c>
      <c r="C142" s="50" t="s">
        <v>62</v>
      </c>
      <c r="D142" s="60">
        <v>0</v>
      </c>
      <c r="E142" s="51">
        <v>0</v>
      </c>
      <c r="F142" s="51">
        <v>0</v>
      </c>
      <c r="G142" s="51">
        <v>0</v>
      </c>
      <c r="H142" s="51">
        <v>0</v>
      </c>
      <c r="I142" s="57">
        <f t="shared" si="5"/>
        <v>12.971794883333331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33</v>
      </c>
      <c r="B143" s="60">
        <v>183.9</v>
      </c>
      <c r="C143" s="50">
        <v>3</v>
      </c>
      <c r="D143" s="60">
        <v>43.007692310000003</v>
      </c>
      <c r="E143" s="51">
        <v>0.7</v>
      </c>
      <c r="F143" s="51">
        <v>0.17</v>
      </c>
      <c r="G143" s="51">
        <v>0.13</v>
      </c>
      <c r="H143" s="51">
        <v>0</v>
      </c>
      <c r="I143" s="57">
        <f t="shared" si="5"/>
        <v>12.97179486666667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41</v>
      </c>
      <c r="B144" s="60">
        <v>242.81538459999999</v>
      </c>
      <c r="C144" s="50">
        <v>4</v>
      </c>
      <c r="D144" s="60">
        <v>58.484615380000001</v>
      </c>
      <c r="E144" s="51">
        <v>0.7</v>
      </c>
      <c r="F144" s="51">
        <v>0.17</v>
      </c>
      <c r="G144" s="51">
        <v>0.13</v>
      </c>
      <c r="H144" s="51">
        <v>0</v>
      </c>
      <c r="I144" s="57">
        <f t="shared" si="5"/>
        <v>12.740384613749999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50</v>
      </c>
      <c r="B145" s="60">
        <v>291.08461540000002</v>
      </c>
      <c r="C145" s="50">
        <v>5</v>
      </c>
      <c r="D145" s="60">
        <v>55.292307690000001</v>
      </c>
      <c r="E145" s="51">
        <v>0.7</v>
      </c>
      <c r="F145" s="51">
        <v>0.17</v>
      </c>
      <c r="G145" s="51">
        <v>0.13</v>
      </c>
      <c r="H145" s="51">
        <v>0</v>
      </c>
      <c r="I145" s="57">
        <f t="shared" si="5"/>
        <v>11.861538464444449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60</v>
      </c>
      <c r="B146" s="60">
        <v>342.42307690000001</v>
      </c>
      <c r="C146" s="50">
        <v>6</v>
      </c>
      <c r="D146" s="60">
        <v>54.261538459999997</v>
      </c>
      <c r="E146" s="51">
        <v>0.7</v>
      </c>
      <c r="F146" s="51">
        <v>0.17</v>
      </c>
      <c r="G146" s="51">
        <v>0.13</v>
      </c>
      <c r="H146" s="51">
        <v>0</v>
      </c>
      <c r="I146" s="57">
        <f t="shared" si="5"/>
        <v>10.663076919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70</v>
      </c>
      <c r="B147" s="60">
        <v>379.99230770000003</v>
      </c>
      <c r="C147" s="50">
        <v>7</v>
      </c>
      <c r="D147" s="60">
        <v>52.669230769999999</v>
      </c>
      <c r="E147" s="51">
        <v>0.7</v>
      </c>
      <c r="F147" s="51">
        <v>0.17</v>
      </c>
      <c r="G147" s="51">
        <v>0.13</v>
      </c>
      <c r="H147" s="51">
        <v>0</v>
      </c>
      <c r="I147" s="57">
        <f>IF(A147&lt;&gt;0,(B147-(B146-D146))/(A147-A146),"")</f>
        <v>9.1830769260000018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80</v>
      </c>
      <c r="B148" s="60">
        <v>402.90769230000001</v>
      </c>
      <c r="C148" s="50">
        <v>8</v>
      </c>
      <c r="D148" s="60">
        <v>402.90769230000001</v>
      </c>
      <c r="E148" s="51">
        <v>0.7</v>
      </c>
      <c r="F148" s="51">
        <v>0.17</v>
      </c>
      <c r="G148" s="51">
        <v>0.13</v>
      </c>
      <c r="H148" s="51">
        <v>0</v>
      </c>
      <c r="I148" s="57">
        <f t="shared" si="5"/>
        <v>7.5584615369999995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26</v>
      </c>
      <c r="B162" s="52" t="str">
        <f>IF(B14="","",B14)</f>
        <v>Pin noir d'Autriche</v>
      </c>
      <c r="D162" s="229" t="s">
        <v>49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50</v>
      </c>
      <c r="C164" s="261" t="s">
        <v>51</v>
      </c>
      <c r="D164" s="261"/>
      <c r="E164" s="262" t="s">
        <v>52</v>
      </c>
      <c r="F164" s="263"/>
      <c r="G164" s="263"/>
      <c r="H164" s="26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53</v>
      </c>
      <c r="B165" s="36" t="s">
        <v>54</v>
      </c>
      <c r="C165" s="48" t="s">
        <v>55</v>
      </c>
      <c r="D165" s="48" t="s">
        <v>56</v>
      </c>
      <c r="E165" s="36" t="s">
        <v>57</v>
      </c>
      <c r="F165" s="36" t="s">
        <v>58</v>
      </c>
      <c r="G165" s="36" t="s">
        <v>59</v>
      </c>
      <c r="H165" s="36" t="s">
        <v>60</v>
      </c>
      <c r="I165" s="48" t="s">
        <v>61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30</v>
      </c>
      <c r="B166" s="60">
        <v>77.353846149999995</v>
      </c>
      <c r="C166" s="60" t="s">
        <v>62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2.5784615383333334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45</v>
      </c>
      <c r="B167" s="60">
        <v>189.52307690000001</v>
      </c>
      <c r="C167" s="60">
        <v>1</v>
      </c>
      <c r="D167" s="60">
        <v>69.169230769999999</v>
      </c>
      <c r="E167" s="51">
        <v>0</v>
      </c>
      <c r="F167" s="51">
        <v>0</v>
      </c>
      <c r="G167" s="51">
        <v>0</v>
      </c>
      <c r="H167" s="51">
        <v>0</v>
      </c>
      <c r="I167" s="49">
        <f t="shared" ref="I167:I185" si="6">IF(A167&lt;&gt;0,(B167-(B166-D166))/(A167-A166),"")</f>
        <v>7.4779487166666678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60</v>
      </c>
      <c r="B168" s="60">
        <v>214.7</v>
      </c>
      <c r="C168" s="60">
        <v>2</v>
      </c>
      <c r="D168" s="60">
        <v>63.34615385</v>
      </c>
      <c r="E168" s="51">
        <v>0</v>
      </c>
      <c r="F168" s="51">
        <v>0</v>
      </c>
      <c r="G168" s="51">
        <v>0</v>
      </c>
      <c r="H168" s="51">
        <v>0</v>
      </c>
      <c r="I168" s="49">
        <f t="shared" si="6"/>
        <v>6.2897435913333322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75</v>
      </c>
      <c r="B169" s="60">
        <v>237.02307690000001</v>
      </c>
      <c r="C169" s="60">
        <v>3</v>
      </c>
      <c r="D169" s="60">
        <v>65.015384620000006</v>
      </c>
      <c r="E169" s="51">
        <v>0</v>
      </c>
      <c r="F169" s="51">
        <v>0</v>
      </c>
      <c r="G169" s="51">
        <v>0</v>
      </c>
      <c r="H169" s="51">
        <v>0</v>
      </c>
      <c r="I169" s="49">
        <f t="shared" si="6"/>
        <v>5.7112820500000021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90</v>
      </c>
      <c r="B170" s="60">
        <v>252.71538459999999</v>
      </c>
      <c r="C170" s="60">
        <v>4</v>
      </c>
      <c r="D170" s="60">
        <v>56.623076920000003</v>
      </c>
      <c r="E170" s="51">
        <v>0</v>
      </c>
      <c r="F170" s="51">
        <v>0</v>
      </c>
      <c r="G170" s="51">
        <v>0</v>
      </c>
      <c r="H170" s="51">
        <v>0</v>
      </c>
      <c r="I170" s="49">
        <f t="shared" si="6"/>
        <v>5.3805128213333315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100</v>
      </c>
      <c r="B171" s="60">
        <v>247.6307692</v>
      </c>
      <c r="C171" s="60">
        <v>5</v>
      </c>
      <c r="D171" s="60">
        <v>79.523076919999994</v>
      </c>
      <c r="E171" s="51">
        <v>0</v>
      </c>
      <c r="F171" s="51">
        <v>0</v>
      </c>
      <c r="G171" s="51">
        <v>0</v>
      </c>
      <c r="H171" s="51">
        <v>0</v>
      </c>
      <c r="I171" s="49">
        <f t="shared" si="6"/>
        <v>5.1538461520000025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110</v>
      </c>
      <c r="B172" s="60">
        <v>213.46923079999999</v>
      </c>
      <c r="C172" s="60">
        <v>6</v>
      </c>
      <c r="D172" s="60">
        <v>213.46923079999999</v>
      </c>
      <c r="E172" s="51">
        <v>0</v>
      </c>
      <c r="F172" s="51">
        <v>0</v>
      </c>
      <c r="G172" s="51">
        <v>0</v>
      </c>
      <c r="H172" s="51">
        <v>0</v>
      </c>
      <c r="I172" s="49">
        <f t="shared" si="6"/>
        <v>4.5361538519999982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28</v>
      </c>
      <c r="B188" s="52" t="str">
        <f>IF(B15="","",B15)</f>
        <v>Châtaignier</v>
      </c>
      <c r="D188" s="229" t="s">
        <v>49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50</v>
      </c>
      <c r="C190" s="261" t="s">
        <v>51</v>
      </c>
      <c r="D190" s="261"/>
      <c r="E190" s="262" t="s">
        <v>52</v>
      </c>
      <c r="F190" s="263"/>
      <c r="G190" s="263"/>
      <c r="H190" s="26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53</v>
      </c>
      <c r="B191" s="36" t="s">
        <v>54</v>
      </c>
      <c r="C191" s="48" t="s">
        <v>55</v>
      </c>
      <c r="D191" s="48" t="s">
        <v>56</v>
      </c>
      <c r="E191" s="36" t="s">
        <v>57</v>
      </c>
      <c r="F191" s="36" t="s">
        <v>58</v>
      </c>
      <c r="G191" s="36" t="s">
        <v>59</v>
      </c>
      <c r="H191" s="36" t="s">
        <v>60</v>
      </c>
      <c r="I191" s="48" t="s">
        <v>61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10</v>
      </c>
      <c r="B192" s="60">
        <v>11</v>
      </c>
      <c r="C192" s="60">
        <v>0</v>
      </c>
      <c r="D192" s="60">
        <v>0</v>
      </c>
      <c r="E192" s="51">
        <v>0</v>
      </c>
      <c r="F192" s="51">
        <v>0</v>
      </c>
      <c r="G192" s="51">
        <v>0</v>
      </c>
      <c r="H192" s="51">
        <v>0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15</v>
      </c>
      <c r="B193" s="60">
        <v>65</v>
      </c>
      <c r="C193" s="60">
        <v>1</v>
      </c>
      <c r="D193" s="60">
        <v>32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20</v>
      </c>
      <c r="B194" s="60">
        <v>102</v>
      </c>
      <c r="C194" s="60">
        <v>2</v>
      </c>
      <c r="D194" s="60">
        <v>35</v>
      </c>
      <c r="E194" s="51">
        <v>0</v>
      </c>
      <c r="F194" s="51">
        <v>0.03</v>
      </c>
      <c r="G194" s="51">
        <v>0</v>
      </c>
      <c r="H194" s="51">
        <v>0.97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25</v>
      </c>
      <c r="B195" s="60">
        <v>141</v>
      </c>
      <c r="C195" s="60">
        <v>3</v>
      </c>
      <c r="D195" s="60">
        <v>35</v>
      </c>
      <c r="E195" s="51">
        <v>0.03</v>
      </c>
      <c r="F195" s="51">
        <v>0.23</v>
      </c>
      <c r="G195" s="51">
        <v>0</v>
      </c>
      <c r="H195" s="51">
        <v>0.74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30</v>
      </c>
      <c r="B196" s="60">
        <v>177</v>
      </c>
      <c r="C196" s="60">
        <v>4</v>
      </c>
      <c r="D196" s="60">
        <v>35</v>
      </c>
      <c r="E196" s="51">
        <v>0.2</v>
      </c>
      <c r="F196" s="51">
        <v>0.43</v>
      </c>
      <c r="G196" s="51">
        <v>0</v>
      </c>
      <c r="H196" s="51">
        <v>0.37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35</v>
      </c>
      <c r="B197" s="60">
        <v>206</v>
      </c>
      <c r="C197" s="60">
        <v>5</v>
      </c>
      <c r="D197" s="60">
        <v>35</v>
      </c>
      <c r="E197" s="51">
        <v>0.49</v>
      </c>
      <c r="F197" s="51">
        <v>0.34</v>
      </c>
      <c r="G197" s="51">
        <v>0</v>
      </c>
      <c r="H197" s="51">
        <v>0.17</v>
      </c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40</v>
      </c>
      <c r="B198" s="60">
        <v>228</v>
      </c>
      <c r="C198" s="60">
        <v>6</v>
      </c>
      <c r="D198" s="60">
        <v>35</v>
      </c>
      <c r="E198" s="51">
        <v>0.71</v>
      </c>
      <c r="F198" s="51">
        <v>0.2</v>
      </c>
      <c r="G198" s="51">
        <v>0</v>
      </c>
      <c r="H198" s="51">
        <v>0.09</v>
      </c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45</v>
      </c>
      <c r="B199" s="50">
        <v>242</v>
      </c>
      <c r="C199" s="50">
        <v>7</v>
      </c>
      <c r="D199" s="50">
        <v>24</v>
      </c>
      <c r="E199" s="51">
        <v>0.83</v>
      </c>
      <c r="F199" s="51">
        <v>0.13</v>
      </c>
      <c r="G199" s="51">
        <v>0</v>
      </c>
      <c r="H199" s="51">
        <v>0.04</v>
      </c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50</v>
      </c>
      <c r="B200" s="50">
        <v>261</v>
      </c>
      <c r="C200" s="50">
        <v>8</v>
      </c>
      <c r="D200" s="50">
        <v>19</v>
      </c>
      <c r="E200" s="51">
        <v>0.84</v>
      </c>
      <c r="F200" s="51">
        <v>0.11</v>
      </c>
      <c r="G200" s="51">
        <v>0</v>
      </c>
      <c r="H200" s="51">
        <v>0.05</v>
      </c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55</v>
      </c>
      <c r="B201" s="50">
        <v>279</v>
      </c>
      <c r="C201" s="50">
        <v>9</v>
      </c>
      <c r="D201" s="50">
        <v>16</v>
      </c>
      <c r="E201" s="51">
        <v>0.88</v>
      </c>
      <c r="F201" s="51">
        <v>0.06</v>
      </c>
      <c r="G201" s="51">
        <v>0</v>
      </c>
      <c r="H201" s="51">
        <v>0.06</v>
      </c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60</v>
      </c>
      <c r="B202" s="50">
        <v>294</v>
      </c>
      <c r="C202" s="50">
        <v>10</v>
      </c>
      <c r="D202" s="50">
        <v>14</v>
      </c>
      <c r="E202" s="51">
        <v>0.93</v>
      </c>
      <c r="F202" s="51">
        <v>7.0000000000000007E-2</v>
      </c>
      <c r="G202" s="51">
        <v>0</v>
      </c>
      <c r="H202" s="51">
        <v>0</v>
      </c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65</v>
      </c>
      <c r="B203" s="50">
        <v>306</v>
      </c>
      <c r="C203" s="50">
        <v>11</v>
      </c>
      <c r="D203" s="50">
        <v>13</v>
      </c>
      <c r="E203" s="51">
        <v>0.92</v>
      </c>
      <c r="F203" s="51">
        <v>0.08</v>
      </c>
      <c r="G203" s="51">
        <v>0</v>
      </c>
      <c r="H203" s="51">
        <v>0</v>
      </c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70</v>
      </c>
      <c r="B204" s="50">
        <v>316</v>
      </c>
      <c r="C204" s="50">
        <v>12</v>
      </c>
      <c r="D204" s="50">
        <v>13</v>
      </c>
      <c r="E204" s="51">
        <v>0.92</v>
      </c>
      <c r="F204" s="51">
        <v>0</v>
      </c>
      <c r="G204" s="51">
        <v>0</v>
      </c>
      <c r="H204" s="51">
        <v>0.08</v>
      </c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75</v>
      </c>
      <c r="B205" s="50">
        <v>324</v>
      </c>
      <c r="C205" s="50">
        <v>13</v>
      </c>
      <c r="D205" s="50">
        <v>12</v>
      </c>
      <c r="E205" s="51">
        <v>0.92</v>
      </c>
      <c r="F205" s="51">
        <v>0</v>
      </c>
      <c r="G205" s="51">
        <v>0</v>
      </c>
      <c r="H205" s="51">
        <v>0.08</v>
      </c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80</v>
      </c>
      <c r="B206" s="50">
        <v>330</v>
      </c>
      <c r="C206" s="50">
        <v>14</v>
      </c>
      <c r="D206" s="50">
        <v>11</v>
      </c>
      <c r="E206" s="51">
        <v>0.91</v>
      </c>
      <c r="F206" s="51">
        <v>0.09</v>
      </c>
      <c r="G206" s="51">
        <v>0</v>
      </c>
      <c r="H206" s="51">
        <v>0</v>
      </c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30</v>
      </c>
      <c r="B214" s="52" t="str">
        <f>IF(B16="","",B16)</f>
        <v>Chêne sessile</v>
      </c>
      <c r="D214" s="229" t="s">
        <v>49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50</v>
      </c>
      <c r="C216" s="261" t="s">
        <v>51</v>
      </c>
      <c r="D216" s="261"/>
      <c r="E216" s="262" t="s">
        <v>52</v>
      </c>
      <c r="F216" s="263"/>
      <c r="G216" s="263"/>
      <c r="H216" s="26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53</v>
      </c>
      <c r="B217" s="36" t="s">
        <v>54</v>
      </c>
      <c r="C217" s="48" t="s">
        <v>55</v>
      </c>
      <c r="D217" s="48" t="s">
        <v>56</v>
      </c>
      <c r="E217" s="36" t="s">
        <v>57</v>
      </c>
      <c r="F217" s="36" t="s">
        <v>58</v>
      </c>
      <c r="G217" s="36" t="s">
        <v>59</v>
      </c>
      <c r="H217" s="36" t="s">
        <v>60</v>
      </c>
      <c r="I217" s="48" t="s">
        <v>61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30</v>
      </c>
      <c r="B218" s="60">
        <v>75.346153846153854</v>
      </c>
      <c r="C218" s="50" t="s">
        <v>62</v>
      </c>
      <c r="D218" s="60">
        <v>0</v>
      </c>
      <c r="E218" s="63">
        <v>0</v>
      </c>
      <c r="F218" s="63">
        <v>0</v>
      </c>
      <c r="G218" s="63">
        <v>0</v>
      </c>
      <c r="H218" s="63">
        <v>0</v>
      </c>
      <c r="I218" s="53">
        <f>IFERROR(B218/A218,"")</f>
        <v>2.5115384615384619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42</v>
      </c>
      <c r="B219" s="60">
        <v>141.09615384615384</v>
      </c>
      <c r="C219" s="50">
        <v>1</v>
      </c>
      <c r="D219" s="60">
        <v>38.685897435897438</v>
      </c>
      <c r="E219" s="63">
        <v>0</v>
      </c>
      <c r="F219" s="63">
        <v>0</v>
      </c>
      <c r="G219" s="63">
        <v>0</v>
      </c>
      <c r="H219" s="63">
        <v>1</v>
      </c>
      <c r="I219" s="53">
        <f t="shared" ref="I219:I237" si="8">IF(A219&lt;&gt;0,(B219-(B218-D218))/(A219-A218),"")</f>
        <v>5.4791666666666652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50</v>
      </c>
      <c r="B220" s="60">
        <v>159.55769230769232</v>
      </c>
      <c r="C220" s="50">
        <v>2</v>
      </c>
      <c r="D220" s="60">
        <v>29.416666666666664</v>
      </c>
      <c r="E220" s="63">
        <v>0</v>
      </c>
      <c r="F220" s="63">
        <v>0</v>
      </c>
      <c r="G220" s="63">
        <v>0</v>
      </c>
      <c r="H220" s="63">
        <v>1</v>
      </c>
      <c r="I220" s="53">
        <f t="shared" si="8"/>
        <v>7.143429487179489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58</v>
      </c>
      <c r="B221" s="55">
        <v>187.98717948717947</v>
      </c>
      <c r="C221" s="55">
        <v>3</v>
      </c>
      <c r="D221" s="55">
        <v>35.88461538461538</v>
      </c>
      <c r="E221" s="63">
        <v>0</v>
      </c>
      <c r="F221" s="63">
        <v>0</v>
      </c>
      <c r="G221" s="63">
        <v>0</v>
      </c>
      <c r="H221" s="63">
        <v>1</v>
      </c>
      <c r="I221" s="53">
        <f t="shared" si="8"/>
        <v>7.2307692307692264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66</v>
      </c>
      <c r="B222" s="55">
        <v>208.08333333333334</v>
      </c>
      <c r="C222" s="55">
        <v>4</v>
      </c>
      <c r="D222" s="55">
        <v>39.166666666666664</v>
      </c>
      <c r="E222" s="63">
        <v>0</v>
      </c>
      <c r="F222" s="63">
        <v>0</v>
      </c>
      <c r="G222" s="63">
        <v>0</v>
      </c>
      <c r="H222" s="63">
        <v>1</v>
      </c>
      <c r="I222" s="53">
        <f t="shared" si="8"/>
        <v>6.9975961538461569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74</v>
      </c>
      <c r="B223" s="55">
        <v>222.5128205128205</v>
      </c>
      <c r="C223" s="55">
        <v>5</v>
      </c>
      <c r="D223" s="55">
        <v>36.865384615384613</v>
      </c>
      <c r="E223" s="63">
        <v>0</v>
      </c>
      <c r="F223" s="63">
        <v>0</v>
      </c>
      <c r="G223" s="63">
        <v>0</v>
      </c>
      <c r="H223" s="63">
        <v>1</v>
      </c>
      <c r="I223" s="53">
        <f t="shared" si="8"/>
        <v>6.6995192307692264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84</v>
      </c>
      <c r="B224" s="55">
        <v>250.98717948717945</v>
      </c>
      <c r="C224" s="55">
        <v>6</v>
      </c>
      <c r="D224" s="55">
        <v>47.256410256410255</v>
      </c>
      <c r="E224" s="63">
        <v>0.7</v>
      </c>
      <c r="F224" s="63">
        <v>0</v>
      </c>
      <c r="G224" s="63">
        <v>0</v>
      </c>
      <c r="H224" s="63">
        <v>0.3</v>
      </c>
      <c r="I224" s="53">
        <f t="shared" si="8"/>
        <v>6.5339743589743566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94</v>
      </c>
      <c r="B225" s="55">
        <v>266.24358974358972</v>
      </c>
      <c r="C225" s="55">
        <v>7</v>
      </c>
      <c r="D225" s="55">
        <v>47.243589743589745</v>
      </c>
      <c r="E225" s="63">
        <v>0.7</v>
      </c>
      <c r="F225" s="63">
        <v>0</v>
      </c>
      <c r="G225" s="63">
        <v>0</v>
      </c>
      <c r="H225" s="63">
        <v>0.3</v>
      </c>
      <c r="I225" s="53">
        <f t="shared" si="8"/>
        <v>6.2512820512820522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104</v>
      </c>
      <c r="B226" s="55">
        <v>279.71794871794873</v>
      </c>
      <c r="C226" s="55">
        <v>8</v>
      </c>
      <c r="D226" s="55">
        <v>45.987179487179482</v>
      </c>
      <c r="E226" s="63">
        <v>0.7</v>
      </c>
      <c r="F226" s="63">
        <v>0</v>
      </c>
      <c r="G226" s="63">
        <v>0</v>
      </c>
      <c r="H226" s="63">
        <v>0.3</v>
      </c>
      <c r="I226" s="53">
        <f t="shared" si="8"/>
        <v>6.071794871794876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114</v>
      </c>
      <c r="B227" s="55">
        <v>293.59615384615381</v>
      </c>
      <c r="C227" s="55">
        <v>9</v>
      </c>
      <c r="D227" s="55">
        <v>42.78846153846154</v>
      </c>
      <c r="E227" s="63">
        <v>0.7</v>
      </c>
      <c r="F227" s="63">
        <v>0</v>
      </c>
      <c r="G227" s="63">
        <v>0</v>
      </c>
      <c r="H227" s="63">
        <v>0.3</v>
      </c>
      <c r="I227" s="53">
        <f t="shared" si="8"/>
        <v>5.9865384615384558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124</v>
      </c>
      <c r="B228" s="55">
        <v>310.96153846153845</v>
      </c>
      <c r="C228" s="55">
        <v>10</v>
      </c>
      <c r="D228" s="55">
        <v>39.820512820512818</v>
      </c>
      <c r="E228" s="63">
        <v>0.7</v>
      </c>
      <c r="F228" s="63">
        <v>0</v>
      </c>
      <c r="G228" s="63">
        <v>0</v>
      </c>
      <c r="H228" s="63">
        <v>0.3</v>
      </c>
      <c r="I228" s="53">
        <f t="shared" si="8"/>
        <v>6.0153846153846189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134</v>
      </c>
      <c r="B229" s="55">
        <v>331.85256410256414</v>
      </c>
      <c r="C229" s="55">
        <v>11</v>
      </c>
      <c r="D229" s="55">
        <v>41.666666666666664</v>
      </c>
      <c r="E229" s="63">
        <v>0.7</v>
      </c>
      <c r="F229" s="63">
        <v>0</v>
      </c>
      <c r="G229" s="63">
        <v>0</v>
      </c>
      <c r="H229" s="63">
        <v>0.3</v>
      </c>
      <c r="I229" s="53">
        <f t="shared" si="8"/>
        <v>6.0711538461538508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144</v>
      </c>
      <c r="B230" s="55">
        <v>351.5641025641026</v>
      </c>
      <c r="C230" s="55">
        <v>12</v>
      </c>
      <c r="D230" s="55">
        <v>42.224358974358978</v>
      </c>
      <c r="E230" s="64">
        <v>0.9</v>
      </c>
      <c r="F230" s="64">
        <v>0</v>
      </c>
      <c r="G230" s="64">
        <v>0</v>
      </c>
      <c r="H230" s="64">
        <v>0.1</v>
      </c>
      <c r="I230" s="53">
        <f t="shared" si="8"/>
        <v>6.1378205128205137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154</v>
      </c>
      <c r="B231" s="60">
        <v>371.83974358974359</v>
      </c>
      <c r="C231" s="88">
        <v>13</v>
      </c>
      <c r="D231" s="60">
        <v>41.557692307692307</v>
      </c>
      <c r="E231" s="54">
        <v>0.9</v>
      </c>
      <c r="F231" s="54">
        <v>0</v>
      </c>
      <c r="G231" s="54">
        <v>0</v>
      </c>
      <c r="H231" s="54">
        <v>0.1</v>
      </c>
      <c r="I231" s="53">
        <f t="shared" si="8"/>
        <v>6.2499999999999947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164</v>
      </c>
      <c r="B232" s="50">
        <v>393.6858974358974</v>
      </c>
      <c r="C232" s="50">
        <v>14</v>
      </c>
      <c r="D232" s="50">
        <v>44.814102564102562</v>
      </c>
      <c r="E232" s="54">
        <v>0.9</v>
      </c>
      <c r="F232" s="54">
        <v>0</v>
      </c>
      <c r="G232" s="54">
        <v>0</v>
      </c>
      <c r="H232" s="54">
        <v>0.1</v>
      </c>
      <c r="I232" s="53">
        <f t="shared" si="8"/>
        <v>6.3403846153846128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>
        <v>174</v>
      </c>
      <c r="B233" s="50">
        <v>413.05128205128204</v>
      </c>
      <c r="C233" s="50">
        <v>15</v>
      </c>
      <c r="D233" s="50">
        <v>162.38461538461539</v>
      </c>
      <c r="E233" s="54">
        <v>0.9</v>
      </c>
      <c r="F233" s="54">
        <v>0</v>
      </c>
      <c r="G233" s="54">
        <v>0</v>
      </c>
      <c r="H233" s="54">
        <v>0.1</v>
      </c>
      <c r="I233" s="53">
        <f t="shared" si="8"/>
        <v>6.4179487179487182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>
        <v>177</v>
      </c>
      <c r="B234" s="50">
        <v>262.96153846153845</v>
      </c>
      <c r="C234" s="50">
        <v>16</v>
      </c>
      <c r="D234" s="50">
        <v>87</v>
      </c>
      <c r="E234" s="54">
        <v>0.9</v>
      </c>
      <c r="F234" s="54">
        <v>0</v>
      </c>
      <c r="G234" s="54">
        <v>0</v>
      </c>
      <c r="H234" s="54">
        <v>0.1</v>
      </c>
      <c r="I234" s="53">
        <f t="shared" si="8"/>
        <v>4.0982905982905988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>
        <v>180</v>
      </c>
      <c r="B235" s="50">
        <v>183.50641025641025</v>
      </c>
      <c r="C235" s="50">
        <v>17</v>
      </c>
      <c r="D235" s="50">
        <v>58.794871794871796</v>
      </c>
      <c r="E235" s="54">
        <v>0.9</v>
      </c>
      <c r="F235" s="54">
        <v>0</v>
      </c>
      <c r="G235" s="54">
        <v>0</v>
      </c>
      <c r="H235" s="54">
        <v>0.1</v>
      </c>
      <c r="I235" s="53">
        <f t="shared" si="8"/>
        <v>2.5149572649572653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>
        <v>183</v>
      </c>
      <c r="B236" s="50">
        <v>129.32692307692307</v>
      </c>
      <c r="C236" s="50">
        <v>18</v>
      </c>
      <c r="D236" s="50">
        <v>129.32692307692307</v>
      </c>
      <c r="E236" s="54">
        <v>0.9</v>
      </c>
      <c r="F236" s="54">
        <v>0</v>
      </c>
      <c r="G236" s="54">
        <v>0</v>
      </c>
      <c r="H236" s="54">
        <v>0.1</v>
      </c>
      <c r="I236" s="53">
        <f t="shared" si="8"/>
        <v>1.5384615384615377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32</v>
      </c>
      <c r="B240" s="52" t="str">
        <f>IF(B17="","",B17)</f>
        <v>Chêne rouge d'Amérique</v>
      </c>
      <c r="D240" s="229" t="s">
        <v>49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50</v>
      </c>
      <c r="C242" s="261" t="s">
        <v>51</v>
      </c>
      <c r="D242" s="261"/>
      <c r="E242" s="262" t="s">
        <v>52</v>
      </c>
      <c r="F242" s="263"/>
      <c r="G242" s="263"/>
      <c r="H242" s="26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53</v>
      </c>
      <c r="B243" s="36" t="s">
        <v>54</v>
      </c>
      <c r="C243" s="48" t="s">
        <v>55</v>
      </c>
      <c r="D243" s="48" t="s">
        <v>56</v>
      </c>
      <c r="E243" s="36" t="s">
        <v>57</v>
      </c>
      <c r="F243" s="36" t="s">
        <v>58</v>
      </c>
      <c r="G243" s="36" t="s">
        <v>59</v>
      </c>
      <c r="H243" s="36" t="s">
        <v>60</v>
      </c>
      <c r="I243" s="48" t="s">
        <v>61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10</v>
      </c>
      <c r="B244" s="60">
        <v>35</v>
      </c>
      <c r="C244" s="60">
        <v>0</v>
      </c>
      <c r="D244" s="60">
        <v>0</v>
      </c>
      <c r="E244" s="51">
        <v>0</v>
      </c>
      <c r="F244" s="51">
        <v>0</v>
      </c>
      <c r="G244" s="51">
        <v>0</v>
      </c>
      <c r="H244" s="63">
        <v>1</v>
      </c>
      <c r="I244" s="53">
        <f>IFERROR(B244/A244,"")</f>
        <v>3.5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15</v>
      </c>
      <c r="B245" s="60">
        <v>88</v>
      </c>
      <c r="C245" s="60">
        <v>0</v>
      </c>
      <c r="D245" s="60" t="s">
        <v>63</v>
      </c>
      <c r="E245" s="63">
        <v>0</v>
      </c>
      <c r="F245" s="63">
        <v>0</v>
      </c>
      <c r="G245" s="63">
        <v>0</v>
      </c>
      <c r="H245" s="63">
        <v>1</v>
      </c>
      <c r="I245" s="53">
        <f>IF(A245&lt;&gt;0,(B245-(B244-D244))/(A245-A244),"")</f>
        <v>10.6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20</v>
      </c>
      <c r="B246" s="60">
        <v>117</v>
      </c>
      <c r="C246" s="60">
        <v>1</v>
      </c>
      <c r="D246" s="60" t="s">
        <v>64</v>
      </c>
      <c r="E246" s="63">
        <v>0</v>
      </c>
      <c r="F246" s="63">
        <v>0</v>
      </c>
      <c r="G246" s="63">
        <v>0</v>
      </c>
      <c r="H246" s="63">
        <v>1</v>
      </c>
      <c r="I246" s="53">
        <f>IF(A246&lt;&gt;0,(B246-(B245-D245))/(A246-A245),"")</f>
        <v>11.8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25</v>
      </c>
      <c r="B247" s="60">
        <v>145</v>
      </c>
      <c r="C247" s="60">
        <v>2</v>
      </c>
      <c r="D247" s="60" t="s">
        <v>65</v>
      </c>
      <c r="E247" s="63">
        <v>0</v>
      </c>
      <c r="F247" s="63">
        <v>0</v>
      </c>
      <c r="G247" s="63">
        <v>0</v>
      </c>
      <c r="H247" s="63">
        <v>1</v>
      </c>
      <c r="I247" s="53">
        <f t="shared" ref="I247:I263" si="9">IF(A247&lt;&gt;0,(B247-(B246-D246))/(A247-A246),"")</f>
        <v>11.4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30</v>
      </c>
      <c r="B248" s="60">
        <v>169</v>
      </c>
      <c r="C248" s="60">
        <v>3</v>
      </c>
      <c r="D248" s="60" t="s">
        <v>66</v>
      </c>
      <c r="E248" s="63">
        <v>0</v>
      </c>
      <c r="F248" s="63">
        <v>0.5</v>
      </c>
      <c r="G248" s="63">
        <v>0</v>
      </c>
      <c r="H248" s="63">
        <v>0.5</v>
      </c>
      <c r="I248" s="53">
        <f t="shared" si="9"/>
        <v>11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35</v>
      </c>
      <c r="B249" s="60">
        <v>189</v>
      </c>
      <c r="C249" s="60">
        <v>4</v>
      </c>
      <c r="D249" s="60" t="s">
        <v>66</v>
      </c>
      <c r="E249" s="63">
        <v>0</v>
      </c>
      <c r="F249" s="63">
        <v>0.5</v>
      </c>
      <c r="G249" s="63">
        <v>0</v>
      </c>
      <c r="H249" s="63">
        <v>0.5</v>
      </c>
      <c r="I249" s="53">
        <f t="shared" si="9"/>
        <v>10.4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40</v>
      </c>
      <c r="B250" s="60">
        <v>206</v>
      </c>
      <c r="C250" s="60">
        <v>5</v>
      </c>
      <c r="D250" s="60" t="s">
        <v>65</v>
      </c>
      <c r="E250" s="63">
        <v>0.4</v>
      </c>
      <c r="F250" s="63">
        <v>0.4</v>
      </c>
      <c r="G250" s="63">
        <v>0</v>
      </c>
      <c r="H250" s="63">
        <v>0.2</v>
      </c>
      <c r="I250" s="53">
        <f t="shared" si="9"/>
        <v>9.8000000000000007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45</v>
      </c>
      <c r="B251" s="55">
        <v>219</v>
      </c>
      <c r="C251" s="55">
        <v>6</v>
      </c>
      <c r="D251" s="55" t="s">
        <v>63</v>
      </c>
      <c r="E251" s="63">
        <v>0.4</v>
      </c>
      <c r="F251" s="63">
        <v>0.4</v>
      </c>
      <c r="G251" s="63">
        <v>0</v>
      </c>
      <c r="H251" s="63">
        <v>0.2</v>
      </c>
      <c r="I251" s="53">
        <f t="shared" si="9"/>
        <v>8.8000000000000007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50</v>
      </c>
      <c r="B252" s="55">
        <v>230</v>
      </c>
      <c r="C252" s="55">
        <v>7</v>
      </c>
      <c r="D252" s="55" t="s">
        <v>67</v>
      </c>
      <c r="E252" s="63">
        <v>0.4</v>
      </c>
      <c r="F252" s="63">
        <v>0.4</v>
      </c>
      <c r="G252" s="63">
        <v>0</v>
      </c>
      <c r="H252" s="63">
        <v>0.2</v>
      </c>
      <c r="I252" s="53">
        <f t="shared" si="9"/>
        <v>8.1999999999999993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55</v>
      </c>
      <c r="B253" s="55">
        <v>239</v>
      </c>
      <c r="C253" s="55">
        <v>8</v>
      </c>
      <c r="D253" s="55" t="s">
        <v>68</v>
      </c>
      <c r="E253" s="63">
        <v>0.5</v>
      </c>
      <c r="F253" s="63">
        <v>0.4</v>
      </c>
      <c r="G253" s="63">
        <v>0</v>
      </c>
      <c r="H253" s="63">
        <v>0.1</v>
      </c>
      <c r="I253" s="53">
        <f t="shared" si="9"/>
        <v>7.4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60</v>
      </c>
      <c r="B254" s="55">
        <v>246</v>
      </c>
      <c r="C254" s="55">
        <v>9</v>
      </c>
      <c r="D254" s="55" t="s">
        <v>69</v>
      </c>
      <c r="E254" s="63">
        <v>0.5</v>
      </c>
      <c r="F254" s="63">
        <v>0.4</v>
      </c>
      <c r="G254" s="63">
        <v>0</v>
      </c>
      <c r="H254" s="63">
        <v>0.1</v>
      </c>
      <c r="I254" s="53">
        <f t="shared" si="9"/>
        <v>6.6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>
        <v>65</v>
      </c>
      <c r="B255" s="55">
        <v>252</v>
      </c>
      <c r="C255" s="55">
        <v>10</v>
      </c>
      <c r="D255" s="55" t="s">
        <v>70</v>
      </c>
      <c r="E255" s="63">
        <v>0.6</v>
      </c>
      <c r="F255" s="63">
        <v>0.3</v>
      </c>
      <c r="G255" s="63">
        <v>0</v>
      </c>
      <c r="H255" s="63">
        <v>0.1</v>
      </c>
      <c r="I255" s="53">
        <f t="shared" si="9"/>
        <v>6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>
        <v>70</v>
      </c>
      <c r="B256" s="55">
        <v>257</v>
      </c>
      <c r="C256" s="55">
        <v>11</v>
      </c>
      <c r="D256" s="55" t="s">
        <v>71</v>
      </c>
      <c r="E256" s="64">
        <v>0.6</v>
      </c>
      <c r="F256" s="64">
        <v>0.3</v>
      </c>
      <c r="G256" s="64">
        <v>0</v>
      </c>
      <c r="H256" s="64">
        <v>0.1</v>
      </c>
      <c r="I256" s="53">
        <f t="shared" si="9"/>
        <v>5.4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>
        <v>75</v>
      </c>
      <c r="B257" s="60">
        <v>261</v>
      </c>
      <c r="C257" s="88">
        <v>12</v>
      </c>
      <c r="D257" s="60" t="s">
        <v>72</v>
      </c>
      <c r="E257" s="54">
        <v>0.7</v>
      </c>
      <c r="F257" s="54">
        <v>0.2</v>
      </c>
      <c r="G257" s="54">
        <v>0</v>
      </c>
      <c r="H257" s="54">
        <v>0.1</v>
      </c>
      <c r="I257" s="53">
        <f t="shared" si="9"/>
        <v>5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>
        <v>80</v>
      </c>
      <c r="B258" s="50">
        <v>264</v>
      </c>
      <c r="C258" s="50">
        <v>13</v>
      </c>
      <c r="D258" s="50" t="s">
        <v>73</v>
      </c>
      <c r="E258" s="54">
        <v>0.7</v>
      </c>
      <c r="F258" s="54">
        <v>0.2</v>
      </c>
      <c r="G258" s="54">
        <v>0</v>
      </c>
      <c r="H258" s="54">
        <v>0.1</v>
      </c>
      <c r="I258" s="53">
        <f t="shared" si="9"/>
        <v>4.4000000000000004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>
        <v>85</v>
      </c>
      <c r="B259" s="50">
        <v>267</v>
      </c>
      <c r="C259" s="50">
        <v>14</v>
      </c>
      <c r="D259" s="50" t="s">
        <v>74</v>
      </c>
      <c r="E259" s="54">
        <v>0.8</v>
      </c>
      <c r="F259" s="54">
        <v>0.1</v>
      </c>
      <c r="G259" s="54">
        <v>0</v>
      </c>
      <c r="H259" s="54">
        <v>0.1</v>
      </c>
      <c r="I259" s="53">
        <f t="shared" si="9"/>
        <v>4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>
        <v>90</v>
      </c>
      <c r="B260" s="50">
        <v>268</v>
      </c>
      <c r="C260" s="50">
        <v>15</v>
      </c>
      <c r="D260" s="50" t="s">
        <v>75</v>
      </c>
      <c r="E260" s="54">
        <v>0.8</v>
      </c>
      <c r="F260" s="54">
        <v>0.1</v>
      </c>
      <c r="G260" s="54">
        <v>0</v>
      </c>
      <c r="H260" s="54">
        <v>0.1</v>
      </c>
      <c r="I260" s="53">
        <f t="shared" si="9"/>
        <v>3.4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>
        <v>95</v>
      </c>
      <c r="B261" s="50">
        <v>270</v>
      </c>
      <c r="C261" s="50">
        <v>16</v>
      </c>
      <c r="D261" s="50" t="s">
        <v>76</v>
      </c>
      <c r="E261" s="54">
        <v>0.8</v>
      </c>
      <c r="F261" s="54">
        <v>0.1</v>
      </c>
      <c r="G261" s="54">
        <v>0</v>
      </c>
      <c r="H261" s="54">
        <v>0.1</v>
      </c>
      <c r="I261" s="53">
        <f t="shared" si="9"/>
        <v>3.2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>
        <v>100</v>
      </c>
      <c r="B262" s="50">
        <v>273</v>
      </c>
      <c r="C262" s="50">
        <v>17</v>
      </c>
      <c r="D262" s="50" t="s">
        <v>76</v>
      </c>
      <c r="E262" s="54">
        <v>0.8</v>
      </c>
      <c r="F262" s="54">
        <v>0.1</v>
      </c>
      <c r="G262" s="54">
        <v>0</v>
      </c>
      <c r="H262" s="54">
        <v>0.1</v>
      </c>
      <c r="I262" s="53">
        <f t="shared" si="9"/>
        <v>3.2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34</v>
      </c>
      <c r="B266" s="52" t="str">
        <f>IF(B18="","",B18)</f>
        <v/>
      </c>
      <c r="D266" s="229" t="s">
        <v>49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50</v>
      </c>
      <c r="C268" s="261" t="s">
        <v>51</v>
      </c>
      <c r="D268" s="261"/>
      <c r="E268" s="262" t="s">
        <v>52</v>
      </c>
      <c r="F268" s="263"/>
      <c r="G268" s="263"/>
      <c r="H268" s="26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53</v>
      </c>
      <c r="B269" s="36" t="s">
        <v>54</v>
      </c>
      <c r="C269" s="48" t="s">
        <v>55</v>
      </c>
      <c r="D269" s="48" t="s">
        <v>56</v>
      </c>
      <c r="E269" s="36" t="s">
        <v>57</v>
      </c>
      <c r="F269" s="36" t="s">
        <v>58</v>
      </c>
      <c r="G269" s="36" t="s">
        <v>59</v>
      </c>
      <c r="H269" s="36" t="s">
        <v>60</v>
      </c>
      <c r="I269" s="48" t="s">
        <v>61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4" t="s">
        <v>77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78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79</v>
      </c>
      <c r="C7" s="100" t="s">
        <v>80</v>
      </c>
      <c r="D7" s="215"/>
      <c r="E7" s="101"/>
      <c r="F7" s="26" t="s">
        <v>79</v>
      </c>
      <c r="G7" s="100" t="s">
        <v>81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82</v>
      </c>
      <c r="D8" s="23"/>
      <c r="E8" s="105">
        <v>4</v>
      </c>
      <c r="F8" s="61">
        <v>0</v>
      </c>
      <c r="G8" s="102" t="s">
        <v>83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84</v>
      </c>
      <c r="D9" s="23"/>
      <c r="E9" s="105">
        <v>5</v>
      </c>
      <c r="F9" s="61">
        <v>0</v>
      </c>
      <c r="G9" s="103" t="s">
        <v>85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86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87</v>
      </c>
      <c r="D13" s="216"/>
      <c r="E13" s="99"/>
      <c r="F13" s="107"/>
      <c r="G13" s="98" t="s">
        <v>88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89</v>
      </c>
      <c r="D14" s="216"/>
      <c r="E14" s="99"/>
      <c r="F14" s="107"/>
      <c r="G14" s="98" t="s">
        <v>90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79</v>
      </c>
      <c r="C15" s="4"/>
      <c r="D15" s="23"/>
      <c r="E15" s="4"/>
      <c r="F15" s="4"/>
      <c r="G15" s="2" t="s">
        <v>91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92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93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94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0" t="s">
        <v>95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Epicéa commun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Hêtre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Douglas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Sapin pectiné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Pin laricio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>Pin noir d'Autriche</v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>Châtaignier</v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>Chêne sessile</v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>Chêne rouge d'Amérique</v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75.75" thickBot="1" x14ac:dyDescent="0.3">
      <c r="A2" s="71" t="s">
        <v>96</v>
      </c>
      <c r="B2" s="72" t="s">
        <v>97</v>
      </c>
      <c r="C2" s="5" t="s">
        <v>98</v>
      </c>
      <c r="D2" s="5" t="s">
        <v>99</v>
      </c>
      <c r="E2" s="5" t="s">
        <v>100</v>
      </c>
      <c r="F2" s="5" t="s">
        <v>101</v>
      </c>
      <c r="G2" s="5" t="s">
        <v>102</v>
      </c>
      <c r="H2" s="66" t="s">
        <v>103</v>
      </c>
      <c r="I2" s="68" t="s">
        <v>100</v>
      </c>
      <c r="J2" s="69" t="s">
        <v>101</v>
      </c>
      <c r="K2" s="6" t="s">
        <v>104</v>
      </c>
      <c r="L2" s="6" t="s">
        <v>105</v>
      </c>
      <c r="M2" s="6" t="s">
        <v>105</v>
      </c>
      <c r="N2" s="6" t="s">
        <v>106</v>
      </c>
      <c r="O2" s="6" t="s">
        <v>107</v>
      </c>
      <c r="P2" s="6" t="s">
        <v>108</v>
      </c>
      <c r="Q2" s="6" t="s">
        <v>102</v>
      </c>
      <c r="R2" s="6" t="s">
        <v>109</v>
      </c>
      <c r="S2" s="6" t="s">
        <v>110</v>
      </c>
      <c r="T2" s="6" t="s">
        <v>111</v>
      </c>
      <c r="U2" s="7" t="s">
        <v>112</v>
      </c>
      <c r="V2" s="8" t="s">
        <v>113</v>
      </c>
      <c r="W2" s="7" t="s">
        <v>57</v>
      </c>
      <c r="X2" s="7" t="s">
        <v>58</v>
      </c>
      <c r="Y2" s="7" t="s">
        <v>114</v>
      </c>
      <c r="Z2" s="8" t="s">
        <v>115</v>
      </c>
      <c r="AA2" s="8" t="s">
        <v>116</v>
      </c>
      <c r="AB2" s="8" t="s">
        <v>117</v>
      </c>
      <c r="AC2" s="9" t="s">
        <v>118</v>
      </c>
      <c r="AD2" s="69" t="s">
        <v>100</v>
      </c>
      <c r="AE2" s="69" t="s">
        <v>101</v>
      </c>
      <c r="AF2" s="6" t="s">
        <v>104</v>
      </c>
      <c r="AG2" s="6" t="s">
        <v>105</v>
      </c>
      <c r="AH2" s="6" t="s">
        <v>105</v>
      </c>
      <c r="AI2" s="6" t="s">
        <v>106</v>
      </c>
      <c r="AJ2" s="6" t="s">
        <v>107</v>
      </c>
      <c r="AK2" s="6" t="s">
        <v>108</v>
      </c>
      <c r="AL2" s="6" t="s">
        <v>102</v>
      </c>
      <c r="AM2" s="6" t="s">
        <v>109</v>
      </c>
      <c r="AN2" s="6" t="s">
        <v>110</v>
      </c>
      <c r="AO2" s="6" t="s">
        <v>111</v>
      </c>
      <c r="AP2" s="7" t="s">
        <v>112</v>
      </c>
      <c r="AQ2" s="8" t="s">
        <v>113</v>
      </c>
      <c r="AR2" s="7" t="s">
        <v>57</v>
      </c>
      <c r="AS2" s="7" t="s">
        <v>58</v>
      </c>
      <c r="AT2" s="8" t="s">
        <v>119</v>
      </c>
      <c r="AU2" s="8" t="s">
        <v>115</v>
      </c>
      <c r="AV2" s="8" t="s">
        <v>116</v>
      </c>
      <c r="AW2" s="8" t="s">
        <v>117</v>
      </c>
      <c r="AX2" s="8" t="s">
        <v>118</v>
      </c>
      <c r="AY2" s="68" t="s">
        <v>100</v>
      </c>
      <c r="AZ2" s="69" t="s">
        <v>101</v>
      </c>
      <c r="BA2" s="6" t="s">
        <v>104</v>
      </c>
      <c r="BB2" s="6" t="s">
        <v>105</v>
      </c>
      <c r="BC2" s="6" t="s">
        <v>105</v>
      </c>
      <c r="BD2" s="6" t="s">
        <v>106</v>
      </c>
      <c r="BE2" s="6" t="s">
        <v>107</v>
      </c>
      <c r="BF2" s="6" t="s">
        <v>108</v>
      </c>
      <c r="BG2" s="6" t="s">
        <v>102</v>
      </c>
      <c r="BH2" s="6" t="s">
        <v>109</v>
      </c>
      <c r="BI2" s="6" t="s">
        <v>110</v>
      </c>
      <c r="BJ2" s="6" t="s">
        <v>111</v>
      </c>
      <c r="BK2" s="7" t="s">
        <v>112</v>
      </c>
      <c r="BL2" s="8" t="s">
        <v>113</v>
      </c>
      <c r="BM2" s="7" t="s">
        <v>57</v>
      </c>
      <c r="BN2" s="7" t="s">
        <v>58</v>
      </c>
      <c r="BO2" s="8" t="s">
        <v>119</v>
      </c>
      <c r="BP2" s="8" t="s">
        <v>115</v>
      </c>
      <c r="BQ2" s="8" t="s">
        <v>116</v>
      </c>
      <c r="BR2" s="8" t="s">
        <v>117</v>
      </c>
      <c r="BS2" s="9" t="s">
        <v>118</v>
      </c>
      <c r="BT2" s="68" t="s">
        <v>100</v>
      </c>
      <c r="BU2" s="69" t="s">
        <v>101</v>
      </c>
      <c r="BV2" s="6" t="s">
        <v>104</v>
      </c>
      <c r="BW2" s="6" t="s">
        <v>105</v>
      </c>
      <c r="BX2" s="6" t="s">
        <v>105</v>
      </c>
      <c r="BY2" s="6" t="s">
        <v>106</v>
      </c>
      <c r="BZ2" s="6" t="s">
        <v>107</v>
      </c>
      <c r="CA2" s="6" t="s">
        <v>108</v>
      </c>
      <c r="CB2" s="6" t="s">
        <v>102</v>
      </c>
      <c r="CC2" s="6" t="s">
        <v>109</v>
      </c>
      <c r="CD2" s="6" t="s">
        <v>110</v>
      </c>
      <c r="CE2" s="6" t="s">
        <v>111</v>
      </c>
      <c r="CF2" s="7" t="s">
        <v>112</v>
      </c>
      <c r="CG2" s="8" t="s">
        <v>113</v>
      </c>
      <c r="CH2" s="7" t="s">
        <v>57</v>
      </c>
      <c r="CI2" s="7" t="s">
        <v>58</v>
      </c>
      <c r="CJ2" s="8" t="s">
        <v>119</v>
      </c>
      <c r="CK2" s="8" t="s">
        <v>115</v>
      </c>
      <c r="CL2" s="8" t="s">
        <v>116</v>
      </c>
      <c r="CM2" s="8" t="s">
        <v>117</v>
      </c>
      <c r="CN2" s="9" t="s">
        <v>118</v>
      </c>
      <c r="CO2" s="68" t="s">
        <v>100</v>
      </c>
      <c r="CP2" s="69" t="s">
        <v>101</v>
      </c>
      <c r="CQ2" s="6" t="s">
        <v>104</v>
      </c>
      <c r="CR2" s="6" t="s">
        <v>105</v>
      </c>
      <c r="CS2" s="6" t="s">
        <v>105</v>
      </c>
      <c r="CT2" s="6" t="s">
        <v>106</v>
      </c>
      <c r="CU2" s="6" t="s">
        <v>107</v>
      </c>
      <c r="CV2" s="6" t="s">
        <v>108</v>
      </c>
      <c r="CW2" s="6" t="s">
        <v>102</v>
      </c>
      <c r="CX2" s="6" t="s">
        <v>109</v>
      </c>
      <c r="CY2" s="6" t="s">
        <v>110</v>
      </c>
      <c r="CZ2" s="6" t="s">
        <v>111</v>
      </c>
      <c r="DA2" s="7" t="s">
        <v>112</v>
      </c>
      <c r="DB2" s="8" t="s">
        <v>113</v>
      </c>
      <c r="DC2" s="7" t="s">
        <v>57</v>
      </c>
      <c r="DD2" s="7" t="s">
        <v>58</v>
      </c>
      <c r="DE2" s="8" t="s">
        <v>119</v>
      </c>
      <c r="DF2" s="8" t="s">
        <v>115</v>
      </c>
      <c r="DG2" s="8" t="s">
        <v>116</v>
      </c>
      <c r="DH2" s="8" t="s">
        <v>117</v>
      </c>
      <c r="DI2" s="9" t="s">
        <v>118</v>
      </c>
      <c r="DJ2" s="68" t="s">
        <v>100</v>
      </c>
      <c r="DK2" s="69" t="s">
        <v>101</v>
      </c>
      <c r="DL2" s="6" t="s">
        <v>104</v>
      </c>
      <c r="DM2" s="6" t="s">
        <v>105</v>
      </c>
      <c r="DN2" s="6" t="s">
        <v>105</v>
      </c>
      <c r="DO2" s="6" t="s">
        <v>106</v>
      </c>
      <c r="DP2" s="6" t="s">
        <v>107</v>
      </c>
      <c r="DQ2" s="6" t="s">
        <v>108</v>
      </c>
      <c r="DR2" s="6" t="s">
        <v>102</v>
      </c>
      <c r="DS2" s="6" t="s">
        <v>109</v>
      </c>
      <c r="DT2" s="6" t="s">
        <v>110</v>
      </c>
      <c r="DU2" s="6" t="s">
        <v>111</v>
      </c>
      <c r="DV2" s="7" t="s">
        <v>112</v>
      </c>
      <c r="DW2" s="8" t="s">
        <v>113</v>
      </c>
      <c r="DX2" s="7" t="s">
        <v>57</v>
      </c>
      <c r="DY2" s="7" t="s">
        <v>58</v>
      </c>
      <c r="DZ2" s="8" t="s">
        <v>119</v>
      </c>
      <c r="EA2" s="8" t="s">
        <v>115</v>
      </c>
      <c r="EB2" s="8" t="s">
        <v>116</v>
      </c>
      <c r="EC2" s="8" t="s">
        <v>117</v>
      </c>
      <c r="ED2" s="9" t="s">
        <v>118</v>
      </c>
      <c r="EE2" s="68" t="s">
        <v>100</v>
      </c>
      <c r="EF2" s="69" t="s">
        <v>101</v>
      </c>
      <c r="EG2" s="6" t="s">
        <v>104</v>
      </c>
      <c r="EH2" s="6" t="s">
        <v>105</v>
      </c>
      <c r="EI2" s="6" t="s">
        <v>105</v>
      </c>
      <c r="EJ2" s="6" t="s">
        <v>106</v>
      </c>
      <c r="EK2" s="6" t="s">
        <v>107</v>
      </c>
      <c r="EL2" s="6" t="s">
        <v>108</v>
      </c>
      <c r="EM2" s="6" t="s">
        <v>102</v>
      </c>
      <c r="EN2" s="6" t="s">
        <v>109</v>
      </c>
      <c r="EO2" s="6" t="s">
        <v>110</v>
      </c>
      <c r="EP2" s="6" t="s">
        <v>111</v>
      </c>
      <c r="EQ2" s="7" t="s">
        <v>112</v>
      </c>
      <c r="ER2" s="8" t="s">
        <v>113</v>
      </c>
      <c r="ES2" s="7" t="s">
        <v>57</v>
      </c>
      <c r="ET2" s="7" t="s">
        <v>58</v>
      </c>
      <c r="EU2" s="8" t="s">
        <v>119</v>
      </c>
      <c r="EV2" s="8" t="s">
        <v>115</v>
      </c>
      <c r="EW2" s="8" t="s">
        <v>116</v>
      </c>
      <c r="EX2" s="8" t="s">
        <v>117</v>
      </c>
      <c r="EY2" s="9" t="s">
        <v>118</v>
      </c>
      <c r="EZ2" s="68" t="s">
        <v>100</v>
      </c>
      <c r="FA2" s="69" t="s">
        <v>101</v>
      </c>
      <c r="FB2" s="6" t="s">
        <v>104</v>
      </c>
      <c r="FC2" s="6" t="s">
        <v>105</v>
      </c>
      <c r="FD2" s="6" t="s">
        <v>105</v>
      </c>
      <c r="FE2" s="6" t="s">
        <v>106</v>
      </c>
      <c r="FF2" s="6" t="s">
        <v>107</v>
      </c>
      <c r="FG2" s="6" t="s">
        <v>108</v>
      </c>
      <c r="FH2" s="6" t="s">
        <v>102</v>
      </c>
      <c r="FI2" s="6" t="s">
        <v>109</v>
      </c>
      <c r="FJ2" s="6" t="s">
        <v>110</v>
      </c>
      <c r="FK2" s="6" t="s">
        <v>111</v>
      </c>
      <c r="FL2" s="7" t="s">
        <v>112</v>
      </c>
      <c r="FM2" s="8" t="s">
        <v>113</v>
      </c>
      <c r="FN2" s="7" t="s">
        <v>57</v>
      </c>
      <c r="FO2" s="7" t="s">
        <v>58</v>
      </c>
      <c r="FP2" s="8" t="s">
        <v>120</v>
      </c>
      <c r="FQ2" s="8" t="s">
        <v>115</v>
      </c>
      <c r="FR2" s="8" t="s">
        <v>116</v>
      </c>
      <c r="FS2" s="8" t="s">
        <v>117</v>
      </c>
      <c r="FT2" s="9" t="s">
        <v>118</v>
      </c>
      <c r="FU2" s="68" t="s">
        <v>100</v>
      </c>
      <c r="FV2" s="69" t="s">
        <v>101</v>
      </c>
      <c r="FW2" s="6" t="s">
        <v>104</v>
      </c>
      <c r="FX2" s="6" t="s">
        <v>105</v>
      </c>
      <c r="FY2" s="6" t="s">
        <v>105</v>
      </c>
      <c r="FZ2" s="6" t="s">
        <v>106</v>
      </c>
      <c r="GA2" s="6" t="s">
        <v>107</v>
      </c>
      <c r="GB2" s="6" t="s">
        <v>108</v>
      </c>
      <c r="GC2" s="6" t="s">
        <v>102</v>
      </c>
      <c r="GD2" s="6" t="s">
        <v>109</v>
      </c>
      <c r="GE2" s="6" t="s">
        <v>110</v>
      </c>
      <c r="GF2" s="6" t="s">
        <v>111</v>
      </c>
      <c r="GG2" s="7" t="s">
        <v>112</v>
      </c>
      <c r="GH2" s="8" t="s">
        <v>113</v>
      </c>
      <c r="GI2" s="7" t="s">
        <v>57</v>
      </c>
      <c r="GJ2" s="7" t="s">
        <v>58</v>
      </c>
      <c r="GK2" s="8" t="s">
        <v>119</v>
      </c>
      <c r="GL2" s="8" t="s">
        <v>115</v>
      </c>
      <c r="GM2" s="8" t="s">
        <v>116</v>
      </c>
      <c r="GN2" s="8" t="s">
        <v>117</v>
      </c>
      <c r="GO2" s="8" t="s">
        <v>118</v>
      </c>
      <c r="GP2" s="68" t="s">
        <v>100</v>
      </c>
      <c r="GQ2" s="69" t="s">
        <v>101</v>
      </c>
      <c r="GR2" s="6" t="s">
        <v>104</v>
      </c>
      <c r="GS2" s="6" t="s">
        <v>105</v>
      </c>
      <c r="GT2" s="6" t="s">
        <v>105</v>
      </c>
      <c r="GU2" s="6" t="s">
        <v>106</v>
      </c>
      <c r="GV2" s="6" t="s">
        <v>107</v>
      </c>
      <c r="GW2" s="6" t="s">
        <v>108</v>
      </c>
      <c r="GX2" s="6" t="s">
        <v>102</v>
      </c>
      <c r="GY2" s="6" t="s">
        <v>109</v>
      </c>
      <c r="GZ2" s="6" t="s">
        <v>110</v>
      </c>
      <c r="HA2" s="6" t="s">
        <v>111</v>
      </c>
      <c r="HB2" s="7" t="s">
        <v>112</v>
      </c>
      <c r="HC2" s="8" t="s">
        <v>113</v>
      </c>
      <c r="HD2" s="7" t="s">
        <v>57</v>
      </c>
      <c r="HE2" s="7" t="s">
        <v>58</v>
      </c>
      <c r="HF2" s="8" t="s">
        <v>119</v>
      </c>
      <c r="HG2" s="8" t="s">
        <v>115</v>
      </c>
      <c r="HH2" s="8" t="s">
        <v>116</v>
      </c>
      <c r="HI2" s="8" t="s">
        <v>117</v>
      </c>
      <c r="HJ2" s="9" t="s">
        <v>118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226.41956082453015</v>
      </c>
      <c r="T3" s="59">
        <f>IF('Données projet'!E9&gt;30,$R$33-$H$33,LOOKUP('Données projet'!$E$9,$A$3:$A$203,R3:R203)-LOOKUP('Données projet'!$E$9,$A$3:$A$203,$H$3:$H$203))</f>
        <v>317.95076157570446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257.80662231827404</v>
      </c>
      <c r="AO3" s="59">
        <f>IF('Données projet'!E10&gt;30,$AM$33-$H$33,LOOKUP('Données projet'!$E$10,$A$3:$A$203,AM3:AM203)-LOOKUP('Données projet'!$E$10,$A$3:$A$203,$H$3:$H$203))</f>
        <v>184.04558520039876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300.90952915835157</v>
      </c>
      <c r="BJ3" s="59">
        <f>IF('Données projet'!E11&gt;30,$BH$33-$H$33,LOOKUP('Données projet'!$E$11,$A$3:$A$203,BH3:BH203)-LOOKUP('Données projet'!$E$11,$A$3:$A$203,$H$3:$H$203))</f>
        <v>402.81783992925256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246.05217890269194</v>
      </c>
      <c r="CE3" s="59">
        <f>IF('Données projet'!E12&gt;30,$CC$33-$H$33,LOOKUP('Données projet'!$E$12,$A$3:$A$203,CC3:CC203)-LOOKUP('Données projet'!$E$12,$A$3:$A$203,$H$3:$H$203))</f>
        <v>155.54297071424327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237.036496933921</v>
      </c>
      <c r="CZ3" s="59">
        <f>IF('Données projet'!E13&gt;30,$CX$33-$H$33,LOOKUP('Données projet'!$E$13,$A$3:$A$203,CX3:CX203)-LOOKUP('Données projet'!$E$13,$A$3:$A$203,$H$3:$H$203))</f>
        <v>191.04289413665344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148.22129593028302</v>
      </c>
      <c r="DU3" s="59">
        <f>IF('Données projet'!E14&gt;30,$DS$33-$H$33,LOOKUP('Données projet'!$E$14,$A$3:$A$203,DS3:DS203)-LOOKUP('Données projet'!$E$14,$A$3:$A$203,$H$3:$H$203))</f>
        <v>102.97015482019975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278.53123771916404</v>
      </c>
      <c r="EP3" s="59">
        <f>IF('Données projet'!E15&gt;30,$EN$33-$H$33,LOOKUP('Données projet'!$E$15,$A$3:$A$203,EN3:EN203)-LOOKUP('Données projet'!$E$15,$A$3:$A$203,$H$3:$H$203))</f>
        <v>283.79094702030869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335.99493768537013</v>
      </c>
      <c r="FK3" s="59">
        <f>IF('Données projet'!E16&gt;30,$FI$33-$H$33,LOOKUP('Données projet'!$E$16,$A$3:$A$203,FI3:FI203)-LOOKUP('Données projet'!$E$16,$A$3:$A$203,$H$3:$H$203))</f>
        <v>150.85164849522778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319.57811113658374</v>
      </c>
      <c r="GF3" s="59">
        <f>IF('Données projet'!E17&gt;30,$GD$33-$H$33,LOOKUP('Données projet'!$E$17,$A$3:$A$203,GD3:GD203)-LOOKUP('Données projet'!$E$17,$A$3:$A$203,$H$3:$H$203))</f>
        <v>322.03572137403245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10.26553846</v>
      </c>
      <c r="N4" s="13">
        <f>IF('Données projet'!$A$36&gt;35,N3+M4-V3,IF(A4&lt;'Données projet'!$A$36,$K$205^A4,IF(A4='Données projet'!$A$36,'Données projet'!$B$36,N3+M4-V3)))</f>
        <v>1.2484549330316834</v>
      </c>
      <c r="O4" s="13">
        <f>N4*VLOOKUP('Données projet'!$B$9,Paramètres!$A$1:$I$89,3,0)*VLOOKUP('Données projet'!$B$9,Paramètres!$A$1:$I$89,5,0)</f>
        <v>0.60050682278823975</v>
      </c>
      <c r="P4" s="13">
        <f>EXP(-1.0587+0.8836*LN(O4)+0.284)</f>
        <v>0.29366387288865176</v>
      </c>
      <c r="Q4" s="20">
        <f t="shared" ref="Q4:Q34" si="2">(O4+P4)*0.475*44/12</f>
        <v>1.557347294970586</v>
      </c>
      <c r="R4" s="59">
        <f t="shared" si="0"/>
        <v>259.44623618385947</v>
      </c>
      <c r="S4" s="59">
        <f ca="1">AVERAGE(OFFSET($R$3,0,0,'Données projet'!$E$9+1,1))-AVERAGE(OFFSET($H$3,0,0,'Données projet'!$E$9+1,1))</f>
        <v>226.41956082453015</v>
      </c>
      <c r="T4" s="59">
        <f>$T$3</f>
        <v>317.95076157570446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3.2427350426666668</v>
      </c>
      <c r="AI4" s="13">
        <f>IF('Données projet'!$A$62&gt;35,AI3+AH4-AQ3,IF(A4&lt;'Données projet'!$A$62,$AF$205^A4,IF(A4='Données projet'!$A$62,'Données projet'!$B$62,AI3+AH4-AQ3)))</f>
        <v>1.1648439739921734</v>
      </c>
      <c r="AJ4" s="13">
        <f>AI4*VLOOKUP('Données projet'!$B$10,Paramètres!$A$1:$I$89,3,0)*VLOOKUP('Données projet'!$B$10,Paramètres!$A$1:$I$89,5,0)</f>
        <v>0.99943612968528484</v>
      </c>
      <c r="AK4" s="13">
        <f>EXP(-1.0587+0.8836*LN(AJ4)+0.284)</f>
        <v>0.46061239733672321</v>
      </c>
      <c r="AL4" s="20">
        <f t="shared" ref="AL4:AL67" si="4">(AJ4+AK4)*0.475*44/12</f>
        <v>2.5429178512299973</v>
      </c>
      <c r="AM4" s="59">
        <f t="shared" ref="AM4:AM67" si="5">AL4+(AD4+AE4)*44/12</f>
        <v>260.43180674011887</v>
      </c>
      <c r="AN4" s="59">
        <f ca="1">AVERAGE(OFFSET($AM$3,0,0,'Données projet'!$E$10+1,1))-AVERAGE(OFFSET($H$3,0,0,'Données projet'!$E$10+1,1))</f>
        <v>257.80662231827404</v>
      </c>
      <c r="AO4" s="59">
        <f>$AO$3</f>
        <v>184.04558520039876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10.160683761111111</v>
      </c>
      <c r="BD4" s="12">
        <f>IF('Données projet'!$A$88&gt;35,BD3+BC4-BL3,IF(A4&lt;'Données projet'!$A$88,$BA$205^A4,IF(A4='Données projet'!$A$88,'Données projet'!$B$88,BD3+BC4-BL3)))</f>
        <v>1.335603426080427</v>
      </c>
      <c r="BE4" s="13">
        <f>BD4*VLOOKUP('Données projet'!$B$11,Paramètres!$A$1:$I$89,3,0)*VLOOKUP('Données projet'!$B$11,Paramètres!$A$1:$I$89,5,0)</f>
        <v>0.7466023151789587</v>
      </c>
      <c r="BF4" s="13">
        <f>EXP(-1.0587+0.8836*LN(BE4)+0.284)</f>
        <v>0.35597032812763468</v>
      </c>
      <c r="BG4" s="20">
        <f t="shared" ref="BG4:BG67" si="7">(BE4+BF4)*0.475*44/12</f>
        <v>1.9203140204256501</v>
      </c>
      <c r="BH4" s="59">
        <f t="shared" ref="BH4:BH67" si="8">BG4+(AY4+AZ4)*44/12</f>
        <v>259.80920290931454</v>
      </c>
      <c r="BI4" s="59">
        <f ca="1">AVERAGE(OFFSET($BH$3,0,0,'Données projet'!$E$11+1,1))-AVERAGE(OFFSET($H$3,0,0,'Données projet'!$E$11+1,1))</f>
        <v>300.90952915835157</v>
      </c>
      <c r="BJ4" s="59">
        <f>$BJ$3</f>
        <v>402.81783992925256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4.7456410266666662</v>
      </c>
      <c r="BY4" s="12">
        <f>IF('Données projet'!$A$114&gt;35,BY3+BX4-CG3,IF(A4&lt;'Données projet'!$A$114,$BV$205^A4,IF(A4='Données projet'!$A$114,'Données projet'!$B$114,BY3+BX4-CG3)))</f>
        <v>1.1797243348594753</v>
      </c>
      <c r="BZ4" s="13">
        <f>BY4*VLOOKUP('Données projet'!$B$12,Paramètres!$A$1:$I$89,3,0)*VLOOKUP('Données projet'!$B$12,Paramètres!$A$1:$I$89,5,0)</f>
        <v>0.58278382142058083</v>
      </c>
      <c r="CA4" s="13">
        <f>EXP(-1.0587+0.8836*LN(BZ4)+0.284)</f>
        <v>0.28599239209201727</v>
      </c>
      <c r="CB4" s="20">
        <f t="shared" ref="CB4:CB67" si="10">(BZ4+CA4)*0.475*44/12</f>
        <v>1.5131185718677749</v>
      </c>
      <c r="CC4" s="59">
        <f t="shared" ref="CC4:CC67" si="11">CB4+(BT4+BU4)*44/12</f>
        <v>259.40200746075664</v>
      </c>
      <c r="CD4" s="59">
        <f ca="1">AVERAGE(OFFSET($CC$3,0,0,'Données projet'!$E$12+1,1))-AVERAGE(OFFSET($H$3,0,0,'Données projet'!$E$12+1,1))</f>
        <v>246.05217890269194</v>
      </c>
      <c r="CE4" s="59">
        <f>$CE$3</f>
        <v>155.54297071424327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5.9083916090909092</v>
      </c>
      <c r="CT4" s="12">
        <f>IF('Données projet'!$A$140&gt;35,CT3+CS4-DB3,IF(A4&lt;'Données projet'!$A$140,$CQ$205^A4,IF(A4='Données projet'!$A$140,'Données projet'!$B$140,CT3+CS4-DB3)))</f>
        <v>1.2476305424068326</v>
      </c>
      <c r="CU4" s="17">
        <f>CT4*VLOOKUP('Données projet'!$B$13,Paramètres!$A$1:$I$89,3,0)*VLOOKUP('Données projet'!$B$13,Paramètres!$A$1:$I$89,5,0)</f>
        <v>0.74608306435928584</v>
      </c>
      <c r="CV4" s="13">
        <f>EXP(-1.0587+0.8836*LN(CU4)+0.284)</f>
        <v>0.355751564584943</v>
      </c>
      <c r="CW4" s="20">
        <f t="shared" ref="CW4:CW67" si="13">(CU4+CV4)*0.475*44/12</f>
        <v>1.9190286454111984</v>
      </c>
      <c r="CX4" s="59">
        <f t="shared" ref="CX4:CX67" si="14">CW4+(CO4+CP4)*44/12</f>
        <v>259.80791753430003</v>
      </c>
      <c r="CY4" s="59">
        <f ca="1">AVERAGE(OFFSET($CX$3,0,0,'Données projet'!$E$13+1,1))-AVERAGE(OFFSET($H$3,0,0,'Données projet'!$E$13+1,1))</f>
        <v>237.036496933921</v>
      </c>
      <c r="CZ4" s="59">
        <f>$CZ$3</f>
        <v>191.04289413665344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2.5784615383333334</v>
      </c>
      <c r="DO4" s="12">
        <f>IF('Données projet'!$A$166&gt;35,DO3+DN4-DW3,IF(A4&lt;'Données projet'!$A$166,$DL$205^A4,IF(A4='Données projet'!$A$166,'Données projet'!$B$166,DO3+DN4-DW3)))</f>
        <v>1.1559775426931937</v>
      </c>
      <c r="DP4" s="17">
        <f>DO4*VLOOKUP('Données projet'!$B$14,Paramètres!$A$1:$I$89,3,0)*VLOOKUP('Données projet'!$B$14,Paramètres!$A$1:$I$89,5,0)</f>
        <v>0.69127457053052999</v>
      </c>
      <c r="DQ4" s="13">
        <f>EXP(-1.0587+0.8836*LN(DP4)+0.284)</f>
        <v>0.33255793769618769</v>
      </c>
      <c r="DR4" s="20">
        <f t="shared" ref="DR4:DR67" si="16">(DP4+DQ4)*0.475*44/12</f>
        <v>1.7831749518281999</v>
      </c>
      <c r="DS4" s="59">
        <f t="shared" ref="DS4:DS67" si="17">DR4+(DJ4+DK4)*44/12</f>
        <v>259.67206384071704</v>
      </c>
      <c r="DT4" s="59">
        <f ca="1">AVERAGE(OFFSET($DS$3,0,0,'Données projet'!$E$14+1,1))-AVERAGE(OFFSET($H$3,0,0,'Données projet'!$E$14+1,1))</f>
        <v>148.22129593028302</v>
      </c>
      <c r="DU4" s="59">
        <f>$DU$3</f>
        <v>102.97015482019975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0.93188372027207511</v>
      </c>
      <c r="EL4" s="13">
        <f>EXP(-1.0587+0.8836*LN(EK4)+0.284)</f>
        <v>0.43299221190803017</v>
      </c>
      <c r="EM4" s="20">
        <f t="shared" ref="EM4:EM67" si="19">(EK4+EL4)*0.475*44/12</f>
        <v>2.3771589152136832</v>
      </c>
      <c r="EN4" s="59">
        <f t="shared" ref="EN4:EN67" si="20">EM4+(EE4+EF4)*44/12</f>
        <v>260.26604780410253</v>
      </c>
      <c r="EO4" s="59">
        <f ca="1">AVERAGE(OFFSET($EN$3,0,0,'Données projet'!$E$15+1,1))-AVERAGE(OFFSET($H$3,0,0,'Données projet'!$E$15+1,1))</f>
        <v>278.53123771916404</v>
      </c>
      <c r="EP4" s="59">
        <f>$EP$3</f>
        <v>283.79094702030869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2.5115384615384619</v>
      </c>
      <c r="FE4" s="12">
        <f>IF('Données projet'!$A$218&gt;35,FE3+FD4-FM3,IF(A4&lt;'Données projet'!$A$218,$FB$205^A4,IF(A4='Données projet'!$A$218,'Données projet'!$B$218,FE3+FD4-FM3)))</f>
        <v>1.1549646791274306</v>
      </c>
      <c r="FF4" s="17">
        <f>FE4*VLOOKUP('Données projet'!$B$16,Paramètres!$A$1:$I$89,3,0)*VLOOKUP('Données projet'!$B$16,Paramètres!$A$1:$I$89,5,0)</f>
        <v>1.0450120416744992</v>
      </c>
      <c r="FG4" s="13">
        <f>EXP(-1.0587+0.8836*LN(FF4)+0.284)</f>
        <v>0.47912368577044179</v>
      </c>
      <c r="FH4" s="20">
        <f t="shared" ref="FH4:FH67" si="22">(FF4+FG4)*0.475*44/12</f>
        <v>2.6545363919666056</v>
      </c>
      <c r="FI4" s="59">
        <f t="shared" ref="FI4:FI67" si="23">FH4+(EZ4+FA4)*44/12</f>
        <v>260.54342528085544</v>
      </c>
      <c r="FJ4" s="59">
        <f ca="1">AVERAGE(OFFSET($FI$3,0,0,'Données projet'!$E$16+1,1))-AVERAGE(OFFSET($H$3,0,0,'Données projet'!$E$16+1,1))</f>
        <v>335.99493768537013</v>
      </c>
      <c r="FK4" s="59">
        <f>$FK$3</f>
        <v>150.85164849522778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3.5</v>
      </c>
      <c r="FZ4" s="12">
        <f>IF('Données projet'!$A$244&gt;35,FZ3+FY4-GH3,IF(A4&lt;'Données projet'!$A$244,$FW$205^A4,IF(A4='Données projet'!$A$244,'Données projet'!$B$244,FZ3+FY4-GH3)))</f>
        <v>1.4269435884576509</v>
      </c>
      <c r="GA4" s="17">
        <f>FZ4*VLOOKUP('Données projet'!$B$17,Paramètres!$A$1:$I$89,3,0)*VLOOKUP('Données projet'!$B$17,Paramètres!$A$1:$I$89,5,0)</f>
        <v>1.246577918876604</v>
      </c>
      <c r="GB4" s="13">
        <f>EXP(-1.0587+0.8836*LN(GA4)+0.284)</f>
        <v>0.55992486380829476</v>
      </c>
      <c r="GC4" s="20">
        <f t="shared" ref="GC4:GC67" si="25">(GA4+GB4)*0.475*44/12</f>
        <v>3.1463256798428652</v>
      </c>
      <c r="GD4" s="59">
        <f t="shared" ref="GD4:GD67" si="26">GC4+(FU4+FV4)*44/12</f>
        <v>261.0352145687317</v>
      </c>
      <c r="GE4" s="59">
        <f ca="1">AVERAGE(OFFSET($GD$3,0,0,'Données projet'!$E$17+1,1))-AVERAGE(OFFSET($H$3,0,0,'Données projet'!$E$17+1,1))</f>
        <v>319.57811113658374</v>
      </c>
      <c r="GF4" s="59">
        <f>$GF$3</f>
        <v>322.03572137403245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10.26553846</v>
      </c>
      <c r="N5" s="13">
        <f>IF('Données projet'!$A$36&gt;35,N4+M5-V4,IF(A5&lt;'Données projet'!$A$36,$K$205^A5,IF(A5='Données projet'!$A$36,'Données projet'!$B$36,N4+M5-V4)))</f>
        <v>1.5586397198111452</v>
      </c>
      <c r="O5" s="13">
        <f>N5*VLOOKUP('Données projet'!$B$9,Paramètres!$A$1:$I$89,3,0)*VLOOKUP('Données projet'!$B$9,Paramètres!$A$1:$I$89,5,0)</f>
        <v>0.74970570522916091</v>
      </c>
      <c r="P5" s="13">
        <f t="shared" ref="P5:P68" si="33">EXP(-1.0587+0.8836*LN(O5)+0.284)</f>
        <v>0.35727743657871208</v>
      </c>
      <c r="Q5" s="20">
        <f t="shared" si="2"/>
        <v>1.927995638648712</v>
      </c>
      <c r="R5" s="59">
        <f t="shared" si="0"/>
        <v>261.03910674975987</v>
      </c>
      <c r="S5" s="59">
        <f ca="1">AVERAGE(OFFSET($R$3,0,0,'Données projet'!$E$9+1,1))-AVERAGE(OFFSET($H$3,0,0,'Données projet'!$E$9+1,1))</f>
        <v>226.41956082453015</v>
      </c>
      <c r="T5" s="59">
        <f t="shared" ref="T5:T68" si="34">$T$3</f>
        <v>317.95076157570446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3.2427350426666668</v>
      </c>
      <c r="AI5" s="13">
        <f>IF('Données projet'!$A$62&gt;35,AI4+AH5-AQ4,IF(A5&lt;'Données projet'!$A$62,$AF$205^A5,IF(A5='Données projet'!$A$62,'Données projet'!$B$62,AI4+AH5-AQ4)))</f>
        <v>1.3568614837458792</v>
      </c>
      <c r="AJ5" s="13">
        <f>AI5*VLOOKUP('Données projet'!$B$10,Paramètres!$A$1:$I$89,3,0)*VLOOKUP('Données projet'!$B$10,Paramètres!$A$1:$I$89,5,0)</f>
        <v>1.1641871530539647</v>
      </c>
      <c r="AK5" s="13">
        <f t="shared" ref="AK5:AK68" si="35">EXP(-1.0587+0.8836*LN(AJ5)+0.284)</f>
        <v>0.52709611247042254</v>
      </c>
      <c r="AL5" s="20">
        <f t="shared" si="4"/>
        <v>2.9456516874549741</v>
      </c>
      <c r="AM5" s="59">
        <f t="shared" si="5"/>
        <v>262.05676279856613</v>
      </c>
      <c r="AN5" s="59">
        <f ca="1">AVERAGE(OFFSET($AM$3,0,0,'Données projet'!$E$10+1,1))-AVERAGE(OFFSET($H$3,0,0,'Données projet'!$E$10+1,1))</f>
        <v>257.80662231827404</v>
      </c>
      <c r="AO5" s="59">
        <f t="shared" ref="AO5:AO68" si="36">$AO$3</f>
        <v>184.04558520039876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10.160683761111111</v>
      </c>
      <c r="BD5" s="12">
        <f>IF('Données projet'!$A$88&gt;35,BD4+BC5-BL4,IF(A5&lt;'Données projet'!$A$88,$BA$205^A5,IF(A5='Données projet'!$A$88,'Données projet'!$B$88,BD4+BC5-BL4)))</f>
        <v>1.7838365117577748</v>
      </c>
      <c r="BE5" s="13">
        <f>BD5*VLOOKUP('Données projet'!$B$11,Paramètres!$A$1:$I$89,3,0)*VLOOKUP('Données projet'!$B$11,Paramètres!$A$1:$I$89,5,0)</f>
        <v>0.99716461007259616</v>
      </c>
      <c r="BF5" s="13">
        <f t="shared" ref="BF5:BF68" si="37">EXP(-1.0587+0.8836*LN(BE5)+0.284)</f>
        <v>0.4596872513530324</v>
      </c>
      <c r="BG5" s="20">
        <f t="shared" si="7"/>
        <v>2.5373503253163028</v>
      </c>
      <c r="BH5" s="59">
        <f t="shared" si="8"/>
        <v>261.64846143642745</v>
      </c>
      <c r="BI5" s="59">
        <f ca="1">AVERAGE(OFFSET($BH$3,0,0,'Données projet'!$E$11+1,1))-AVERAGE(OFFSET($H$3,0,0,'Données projet'!$E$11+1,1))</f>
        <v>300.90952915835157</v>
      </c>
      <c r="BJ5" s="59">
        <f t="shared" ref="BJ5:BJ68" si="38">$BJ$3</f>
        <v>402.81783992925256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4.7456410266666662</v>
      </c>
      <c r="BY5" s="12">
        <f>IF('Données projet'!$A$114&gt;35,BY4+BX5-CG4,IF(A5&lt;'Données projet'!$A$114,$BV$205^A5,IF(A5='Données projet'!$A$114,'Données projet'!$B$114,BY4+BX5-CG4)))</f>
        <v>1.3917495062596312</v>
      </c>
      <c r="BZ5" s="13">
        <f>BY5*VLOOKUP('Données projet'!$B$12,Paramètres!$A$1:$I$89,3,0)*VLOOKUP('Données projet'!$B$12,Paramètres!$A$1:$I$89,5,0)</f>
        <v>0.68752425609225787</v>
      </c>
      <c r="CA5" s="13">
        <f t="shared" ref="CA5:CA68" si="39">EXP(-1.0587+0.8836*LN(BZ5)+0.284)</f>
        <v>0.33096324314734804</v>
      </c>
      <c r="CB5" s="20">
        <f t="shared" si="10"/>
        <v>1.773865727842314</v>
      </c>
      <c r="CC5" s="59">
        <f t="shared" si="11"/>
        <v>260.88497683895343</v>
      </c>
      <c r="CD5" s="59">
        <f ca="1">AVERAGE(OFFSET($CC$3,0,0,'Données projet'!$E$12+1,1))-AVERAGE(OFFSET($H$3,0,0,'Données projet'!$E$12+1,1))</f>
        <v>246.05217890269194</v>
      </c>
      <c r="CE5" s="59">
        <f t="shared" ref="CE5:CE68" si="40">$CE$3</f>
        <v>155.54297071424327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5.9083916090909092</v>
      </c>
      <c r="CT5" s="12">
        <f>IF('Données projet'!$A$140&gt;35,CT4+CS5-DB4,IF(A5&lt;'Données projet'!$A$140,$CQ$205^A5,IF(A5='Données projet'!$A$140,'Données projet'!$B$140,CT4+CS5-DB4)))</f>
        <v>1.5565819703463672</v>
      </c>
      <c r="CU5" s="17">
        <f>CT5*VLOOKUP('Données projet'!$B$13,Paramètres!$A$1:$I$89,3,0)*VLOOKUP('Données projet'!$B$13,Paramètres!$A$1:$I$89,5,0)</f>
        <v>0.9308360182671277</v>
      </c>
      <c r="CV5" s="13">
        <f t="shared" ref="CV5:CV68" si="41">EXP(-1.0587+0.8836*LN(CU5)+0.284)</f>
        <v>0.4325620417583253</v>
      </c>
      <c r="CW5" s="20">
        <f t="shared" si="13"/>
        <v>2.3745849545443303</v>
      </c>
      <c r="CX5" s="59">
        <f t="shared" si="14"/>
        <v>261.48569606565547</v>
      </c>
      <c r="CY5" s="59">
        <f ca="1">AVERAGE(OFFSET($CX$3,0,0,'Données projet'!$E$13+1,1))-AVERAGE(OFFSET($H$3,0,0,'Données projet'!$E$13+1,1))</f>
        <v>237.036496933921</v>
      </c>
      <c r="CZ5" s="59">
        <f t="shared" ref="CZ5:CZ68" si="42">$CZ$3</f>
        <v>191.04289413665344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2.5784615383333334</v>
      </c>
      <c r="DO5" s="12">
        <f>IF('Données projet'!$A$166&gt;35,DO4+DN5-DW4,IF(A5&lt;'Données projet'!$A$166,$DL$205^A5,IF(A5='Données projet'!$A$166,'Données projet'!$B$166,DO4+DN5-DW4)))</f>
        <v>1.3362840792109947</v>
      </c>
      <c r="DP5" s="17">
        <f>DO5*VLOOKUP('Données projet'!$B$14,Paramètres!$A$1:$I$89,3,0)*VLOOKUP('Données projet'!$B$14,Paramètres!$A$1:$I$89,5,0)</f>
        <v>0.79909787936817489</v>
      </c>
      <c r="DQ5" s="13">
        <f t="shared" ref="DQ5:DQ68" si="43">EXP(-1.0587+0.8836*LN(DP5)+0.284)</f>
        <v>0.37799791608022376</v>
      </c>
      <c r="DR5" s="20">
        <f t="shared" si="16"/>
        <v>2.0501085104059609</v>
      </c>
      <c r="DS5" s="59">
        <f t="shared" si="17"/>
        <v>261.16121962151709</v>
      </c>
      <c r="DT5" s="59">
        <f ca="1">AVERAGE(OFFSET($DS$3,0,0,'Données projet'!$E$14+1,1))-AVERAGE(OFFSET($H$3,0,0,'Données projet'!$E$14+1,1))</f>
        <v>148.22129593028302</v>
      </c>
      <c r="DU5" s="59">
        <f t="shared" ref="DU5:DU68" si="44">$DU$3</f>
        <v>102.97015482019975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1.1844070759794372</v>
      </c>
      <c r="EL5" s="13">
        <f t="shared" ref="EL5:EL68" si="45">EXP(-1.0587+0.8836*LN(EK5)+0.284)</f>
        <v>0.53517712549257934</v>
      </c>
      <c r="EM5" s="20">
        <f t="shared" si="19"/>
        <v>2.9949424842304286</v>
      </c>
      <c r="EN5" s="59">
        <f t="shared" si="20"/>
        <v>262.10605359534156</v>
      </c>
      <c r="EO5" s="59">
        <f ca="1">AVERAGE(OFFSET($EN$3,0,0,'Données projet'!$E$15+1,1))-AVERAGE(OFFSET($H$3,0,0,'Données projet'!$E$15+1,1))</f>
        <v>278.53123771916404</v>
      </c>
      <c r="EP5" s="59">
        <f t="shared" ref="EP5:EP68" si="46">$EP$3</f>
        <v>283.79094702030869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2.5115384615384619</v>
      </c>
      <c r="FE5" s="12">
        <f>IF('Données projet'!$A$218&gt;35,FE4+FD5-FM4,IF(A5&lt;'Données projet'!$A$218,$FB$205^A5,IF(A5='Données projet'!$A$218,'Données projet'!$B$218,FE4+FD5-FM4)))</f>
        <v>1.3339434100319287</v>
      </c>
      <c r="FF5" s="17">
        <f>FE5*VLOOKUP('Données projet'!$B$16,Paramètres!$A$1:$I$89,3,0)*VLOOKUP('Données projet'!$B$16,Paramètres!$A$1:$I$89,5,0)</f>
        <v>1.206951997396889</v>
      </c>
      <c r="FG5" s="13">
        <f t="shared" ref="FG5:FG68" si="47">EXP(-1.0587+0.8836*LN(FF5)+0.284)</f>
        <v>0.54416843549744709</v>
      </c>
      <c r="FH5" s="20">
        <f t="shared" si="22"/>
        <v>3.0498680872909687</v>
      </c>
      <c r="FI5" s="59">
        <f t="shared" si="23"/>
        <v>262.16097919840212</v>
      </c>
      <c r="FJ5" s="59">
        <f ca="1">AVERAGE(OFFSET($FI$3,0,0,'Données projet'!$E$16+1,1))-AVERAGE(OFFSET($H$3,0,0,'Données projet'!$E$16+1,1))</f>
        <v>335.99493768537013</v>
      </c>
      <c r="FK5" s="59">
        <f t="shared" ref="FK5:FK68" si="48">$FK$3</f>
        <v>150.85164849522778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3.5</v>
      </c>
      <c r="FZ5" s="12">
        <f>IF('Données projet'!$A$244&gt;35,FZ4+FY5-GH4,IF(A5&lt;'Données projet'!$A$244,$FW$205^A5,IF(A5='Données projet'!$A$244,'Données projet'!$B$244,FZ4+FY5-GH4)))</f>
        <v>2.0361680046403978</v>
      </c>
      <c r="GA5" s="17">
        <f>FZ5*VLOOKUP('Données projet'!$B$17,Paramètres!$A$1:$I$89,3,0)*VLOOKUP('Données projet'!$B$17,Paramètres!$A$1:$I$89,5,0)</f>
        <v>1.7787963688538517</v>
      </c>
      <c r="GB5" s="13">
        <f t="shared" ref="GB5:GB68" si="49">EXP(-1.0587+0.8836*LN(GA5)+0.284)</f>
        <v>0.76659080447596062</v>
      </c>
      <c r="GC5" s="20">
        <f t="shared" si="25"/>
        <v>4.4332159935494238</v>
      </c>
      <c r="GD5" s="59">
        <f t="shared" si="26"/>
        <v>263.54432710466057</v>
      </c>
      <c r="GE5" s="59">
        <f ca="1">AVERAGE(OFFSET($GD$3,0,0,'Données projet'!$E$17+1,1))-AVERAGE(OFFSET($H$3,0,0,'Données projet'!$E$17+1,1))</f>
        <v>319.57811113658374</v>
      </c>
      <c r="GF5" s="59">
        <f t="shared" ref="GF5:GF68" si="50">$GF$3</f>
        <v>322.03572137403245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10.26553846</v>
      </c>
      <c r="N6" s="13">
        <f>IF('Données projet'!$A$36&gt;35,N5+M6-V5,IF(A6&lt;'Données projet'!$A$36,$K$205^A6,IF(A6='Données projet'!$A$36,'Données projet'!$B$36,N5+M6-V5)))</f>
        <v>1.9458914470173452</v>
      </c>
      <c r="O6" s="13">
        <f>N6*VLOOKUP('Données projet'!$B$9,Paramètres!$A$1:$I$89,3,0)*VLOOKUP('Données projet'!$B$9,Paramètres!$A$1:$I$89,5,0)</f>
        <v>0.93597378601534309</v>
      </c>
      <c r="P6" s="13">
        <f t="shared" si="33"/>
        <v>0.43467099113228497</v>
      </c>
      <c r="Q6" s="20">
        <f t="shared" si="2"/>
        <v>2.3872063201987852</v>
      </c>
      <c r="R6" s="59">
        <f t="shared" si="0"/>
        <v>262.72053965353211</v>
      </c>
      <c r="S6" s="59">
        <f ca="1">AVERAGE(OFFSET($R$3,0,0,'Données projet'!$E$9+1,1))-AVERAGE(OFFSET($H$3,0,0,'Données projet'!$E$9+1,1))</f>
        <v>226.41956082453015</v>
      </c>
      <c r="T6" s="59">
        <f t="shared" si="34"/>
        <v>317.95076157570446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3.2427350426666668</v>
      </c>
      <c r="AI6" s="13">
        <f>IF('Données projet'!$A$62&gt;35,AI5+AH6-AQ5,IF(A6&lt;'Données projet'!$A$62,$AF$205^A6,IF(A6='Données projet'!$A$62,'Données projet'!$B$62,AI5+AH6-AQ5)))</f>
        <v>1.5805319228834669</v>
      </c>
      <c r="AJ6" s="13">
        <f>AI6*VLOOKUP('Données projet'!$B$10,Paramètres!$A$1:$I$89,3,0)*VLOOKUP('Données projet'!$B$10,Paramètres!$A$1:$I$89,5,0)</f>
        <v>1.3560963898340148</v>
      </c>
      <c r="AK6" s="13">
        <f t="shared" si="35"/>
        <v>0.60317593140752768</v>
      </c>
      <c r="AL6" s="20">
        <f t="shared" si="4"/>
        <v>3.4123992928290199</v>
      </c>
      <c r="AM6" s="59">
        <f t="shared" si="5"/>
        <v>263.74573262616235</v>
      </c>
      <c r="AN6" s="59">
        <f ca="1">AVERAGE(OFFSET($AM$3,0,0,'Données projet'!$E$10+1,1))-AVERAGE(OFFSET($H$3,0,0,'Données projet'!$E$10+1,1))</f>
        <v>257.80662231827404</v>
      </c>
      <c r="AO6" s="59">
        <f t="shared" si="36"/>
        <v>184.04558520039876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10.160683761111111</v>
      </c>
      <c r="BD6" s="12">
        <f>IF('Données projet'!$A$88&gt;35,BD5+BC6-BL5,IF(A6&lt;'Données projet'!$A$88,$BA$205^A6,IF(A6='Données projet'!$A$88,'Données projet'!$B$88,BD5+BC6-BL5)))</f>
        <v>2.3824981566710419</v>
      </c>
      <c r="BE6" s="13">
        <f>BD6*VLOOKUP('Données projet'!$B$11,Paramètres!$A$1:$I$89,3,0)*VLOOKUP('Données projet'!$B$11,Paramètres!$A$1:$I$89,5,0)</f>
        <v>1.3318164695791124</v>
      </c>
      <c r="BF6" s="13">
        <f t="shared" si="37"/>
        <v>0.59362354769282633</v>
      </c>
      <c r="BG6" s="20">
        <f t="shared" si="7"/>
        <v>3.3534746967486257</v>
      </c>
      <c r="BH6" s="59">
        <f t="shared" si="8"/>
        <v>263.68680803008192</v>
      </c>
      <c r="BI6" s="59">
        <f ca="1">AVERAGE(OFFSET($BH$3,0,0,'Données projet'!$E$11+1,1))-AVERAGE(OFFSET($H$3,0,0,'Données projet'!$E$11+1,1))</f>
        <v>300.90952915835157</v>
      </c>
      <c r="BJ6" s="59">
        <f t="shared" si="38"/>
        <v>402.81783992925256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4.7456410266666662</v>
      </c>
      <c r="BY6" s="12">
        <f>IF('Données projet'!$A$114&gt;35,BY5+BX6-CG5,IF(A6&lt;'Données projet'!$A$114,$BV$205^A6,IF(A6='Données projet'!$A$114,'Données projet'!$B$114,BY5+BX6-CG5)))</f>
        <v>1.6418807605631465</v>
      </c>
      <c r="BZ6" s="13">
        <f>BY6*VLOOKUP('Données projet'!$B$12,Paramètres!$A$1:$I$89,3,0)*VLOOKUP('Données projet'!$B$12,Paramètres!$A$1:$I$89,5,0)</f>
        <v>0.81108909571819443</v>
      </c>
      <c r="CA6" s="13">
        <f t="shared" si="39"/>
        <v>0.38300553211697841</v>
      </c>
      <c r="CB6" s="20">
        <f t="shared" si="10"/>
        <v>2.0797148101462595</v>
      </c>
      <c r="CC6" s="59">
        <f t="shared" si="11"/>
        <v>262.41304814347956</v>
      </c>
      <c r="CD6" s="59">
        <f ca="1">AVERAGE(OFFSET($CC$3,0,0,'Données projet'!$E$12+1,1))-AVERAGE(OFFSET($H$3,0,0,'Données projet'!$E$12+1,1))</f>
        <v>246.05217890269194</v>
      </c>
      <c r="CE6" s="59">
        <f t="shared" si="40"/>
        <v>155.54297071424327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5.9083916090909092</v>
      </c>
      <c r="CT6" s="12">
        <f>IF('Données projet'!$A$140&gt;35,CT5+CS6-DB5,IF(A6&lt;'Données projet'!$A$140,$CQ$205^A6,IF(A6='Données projet'!$A$140,'Données projet'!$B$140,CT5+CS6-DB5)))</f>
        <v>1.9420392079639344</v>
      </c>
      <c r="CU6" s="17">
        <f>CT6*VLOOKUP('Données projet'!$B$13,Paramètres!$A$1:$I$89,3,0)*VLOOKUP('Données projet'!$B$13,Paramètres!$A$1:$I$89,5,0)</f>
        <v>1.1613394463624329</v>
      </c>
      <c r="CV6" s="13">
        <f t="shared" si="41"/>
        <v>0.52595670292675489</v>
      </c>
      <c r="CW6" s="20">
        <f t="shared" si="13"/>
        <v>2.9387074600120022</v>
      </c>
      <c r="CX6" s="59">
        <f t="shared" si="14"/>
        <v>263.2720407933453</v>
      </c>
      <c r="CY6" s="59">
        <f ca="1">AVERAGE(OFFSET($CX$3,0,0,'Données projet'!$E$13+1,1))-AVERAGE(OFFSET($H$3,0,0,'Données projet'!$E$13+1,1))</f>
        <v>237.036496933921</v>
      </c>
      <c r="CZ6" s="59">
        <f t="shared" si="42"/>
        <v>191.04289413665344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2.5784615383333334</v>
      </c>
      <c r="DO6" s="12">
        <f>IF('Données projet'!$A$166&gt;35,DO5+DN6-DW5,IF(A6&lt;'Données projet'!$A$166,$DL$205^A6,IF(A6='Données projet'!$A$166,'Données projet'!$B$166,DO5+DN6-DW5)))</f>
        <v>1.5447143862263626</v>
      </c>
      <c r="DP6" s="17">
        <f>DO6*VLOOKUP('Données projet'!$B$14,Paramètres!$A$1:$I$89,3,0)*VLOOKUP('Données projet'!$B$14,Paramètres!$A$1:$I$89,5,0)</f>
        <v>0.92373920296336487</v>
      </c>
      <c r="DQ6" s="13">
        <f t="shared" si="43"/>
        <v>0.42964671224153367</v>
      </c>
      <c r="DR6" s="20">
        <f t="shared" si="16"/>
        <v>2.3571471356485318</v>
      </c>
      <c r="DS6" s="59">
        <f t="shared" si="17"/>
        <v>262.69048046898183</v>
      </c>
      <c r="DT6" s="59">
        <f ca="1">AVERAGE(OFFSET($DS$3,0,0,'Données projet'!$E$14+1,1))-AVERAGE(OFFSET($H$3,0,0,'Données projet'!$E$14+1,1))</f>
        <v>148.22129593028302</v>
      </c>
      <c r="DU6" s="59">
        <f t="shared" si="44"/>
        <v>102.97015482019975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1.5053596184946649</v>
      </c>
      <c r="EL6" s="13">
        <f t="shared" si="45"/>
        <v>0.66147738405820555</v>
      </c>
      <c r="EM6" s="20">
        <f t="shared" si="19"/>
        <v>3.7739077794462492</v>
      </c>
      <c r="EN6" s="59">
        <f t="shared" si="20"/>
        <v>264.10724111277955</v>
      </c>
      <c r="EO6" s="59">
        <f ca="1">AVERAGE(OFFSET($EN$3,0,0,'Données projet'!$E$15+1,1))-AVERAGE(OFFSET($H$3,0,0,'Données projet'!$E$15+1,1))</f>
        <v>278.53123771916404</v>
      </c>
      <c r="EP6" s="59">
        <f t="shared" si="46"/>
        <v>283.79094702030869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2.5115384615384619</v>
      </c>
      <c r="FE6" s="12">
        <f>IF('Données projet'!$A$218&gt;35,FE5+FD6-FM5,IF(A6&lt;'Données projet'!$A$218,$FB$205^A6,IF(A6='Données projet'!$A$218,'Données projet'!$B$218,FE5+FD6-FM5)))</f>
        <v>1.5406575225416772</v>
      </c>
      <c r="FF6" s="17">
        <f>FE6*VLOOKUP('Données projet'!$B$16,Paramètres!$A$1:$I$89,3,0)*VLOOKUP('Données projet'!$B$16,Paramètres!$A$1:$I$89,5,0)</f>
        <v>1.3939869263957094</v>
      </c>
      <c r="FG6" s="13">
        <f t="shared" si="47"/>
        <v>0.6180435135774448</v>
      </c>
      <c r="FH6" s="20">
        <f t="shared" si="22"/>
        <v>3.5042863496199099</v>
      </c>
      <c r="FI6" s="59">
        <f t="shared" si="23"/>
        <v>263.83761968295323</v>
      </c>
      <c r="FJ6" s="59">
        <f ca="1">AVERAGE(OFFSET($FI$3,0,0,'Données projet'!$E$16+1,1))-AVERAGE(OFFSET($H$3,0,0,'Données projet'!$E$16+1,1))</f>
        <v>335.99493768537013</v>
      </c>
      <c r="FK6" s="59">
        <f t="shared" si="48"/>
        <v>150.85164849522778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3.5</v>
      </c>
      <c r="FZ6" s="12">
        <f>IF('Données projet'!$A$244&gt;35,FZ5+FY6-GH5,IF(A6&lt;'Données projet'!$A$244,$FW$205^A6,IF(A6='Données projet'!$A$244,'Données projet'!$B$244,FZ5+FY6-GH5)))</f>
        <v>2.905496879244224</v>
      </c>
      <c r="GA6" s="17">
        <f>FZ6*VLOOKUP('Données projet'!$B$17,Paramètres!$A$1:$I$89,3,0)*VLOOKUP('Données projet'!$B$17,Paramètres!$A$1:$I$89,5,0)</f>
        <v>2.5382420737077545</v>
      </c>
      <c r="GB6" s="13">
        <f t="shared" si="49"/>
        <v>1.049536285118966</v>
      </c>
      <c r="GC6" s="20">
        <f t="shared" si="25"/>
        <v>6.2487139749565381</v>
      </c>
      <c r="GD6" s="59">
        <f t="shared" si="26"/>
        <v>266.58204730828987</v>
      </c>
      <c r="GE6" s="59">
        <f ca="1">AVERAGE(OFFSET($GD$3,0,0,'Données projet'!$E$17+1,1))-AVERAGE(OFFSET($H$3,0,0,'Données projet'!$E$17+1,1))</f>
        <v>319.57811113658374</v>
      </c>
      <c r="GF6" s="59">
        <f t="shared" si="50"/>
        <v>322.03572137403245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10.26553846</v>
      </c>
      <c r="N7" s="13">
        <f>IF('Données projet'!$A$36&gt;35,N6+M7-V6,IF(A7&lt;'Données projet'!$A$36,$K$205^A7,IF(A7='Données projet'!$A$36,'Données projet'!$B$36,N6+M7-V6)))</f>
        <v>2.4293577761729654</v>
      </c>
      <c r="O7" s="13">
        <f>N7*VLOOKUP('Données projet'!$B$9,Paramètres!$A$1:$I$89,3,0)*VLOOKUP('Données projet'!$B$9,Paramètres!$A$1:$I$89,5,0)</f>
        <v>1.1685210903391965</v>
      </c>
      <c r="P7" s="13">
        <f t="shared" si="33"/>
        <v>0.52882956265360936</v>
      </c>
      <c r="Q7" s="20">
        <f t="shared" si="2"/>
        <v>2.9562190539624695</v>
      </c>
      <c r="R7" s="59">
        <f t="shared" si="0"/>
        <v>264.511774609518</v>
      </c>
      <c r="S7" s="59">
        <f ca="1">AVERAGE(OFFSET($R$3,0,0,'Données projet'!$E$9+1,1))-AVERAGE(OFFSET($H$3,0,0,'Données projet'!$E$9+1,1))</f>
        <v>226.41956082453015</v>
      </c>
      <c r="T7" s="59">
        <f t="shared" si="34"/>
        <v>317.95076157570446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3.2427350426666668</v>
      </c>
      <c r="AI7" s="13">
        <f>IF('Données projet'!$A$62&gt;35,AI6+AH7-AQ6,IF(A7&lt;'Données projet'!$A$62,$AF$205^A7,IF(A7='Données projet'!$A$62,'Données projet'!$B$62,AI6+AH7-AQ6)))</f>
        <v>1.8410730860730689</v>
      </c>
      <c r="AJ7" s="13">
        <f>AI7*VLOOKUP('Données projet'!$B$10,Paramètres!$A$1:$I$89,3,0)*VLOOKUP('Données projet'!$B$10,Paramètres!$A$1:$I$89,5,0)</f>
        <v>1.5796407078506931</v>
      </c>
      <c r="AK7" s="13">
        <f t="shared" si="35"/>
        <v>0.69023693330645453</v>
      </c>
      <c r="AL7" s="20">
        <f t="shared" si="4"/>
        <v>3.9533702250153646</v>
      </c>
      <c r="AM7" s="59">
        <f t="shared" si="5"/>
        <v>265.50892578057091</v>
      </c>
      <c r="AN7" s="59">
        <f ca="1">AVERAGE(OFFSET($AM$3,0,0,'Données projet'!$E$10+1,1))-AVERAGE(OFFSET($H$3,0,0,'Données projet'!$E$10+1,1))</f>
        <v>257.80662231827404</v>
      </c>
      <c r="AO7" s="59">
        <f t="shared" si="36"/>
        <v>184.04558520039876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10.160683761111111</v>
      </c>
      <c r="BD7" s="12">
        <f>IF('Données projet'!$A$88&gt;35,BD6+BC7-BL6,IF(A7&lt;'Données projet'!$A$88,$BA$205^A7,IF(A7='Données projet'!$A$88,'Données projet'!$B$88,BD6+BC7-BL6)))</f>
        <v>3.1820727006801457</v>
      </c>
      <c r="BE7" s="13">
        <f>BD7*VLOOKUP('Données projet'!$B$11,Paramètres!$A$1:$I$89,3,0)*VLOOKUP('Données projet'!$B$11,Paramètres!$A$1:$I$89,5,0)</f>
        <v>1.7787786396802017</v>
      </c>
      <c r="BF7" s="13">
        <f t="shared" si="37"/>
        <v>0.76658405326274381</v>
      </c>
      <c r="BG7" s="20">
        <f t="shared" si="7"/>
        <v>4.4331733568756295</v>
      </c>
      <c r="BH7" s="59">
        <f t="shared" si="8"/>
        <v>265.98872891243116</v>
      </c>
      <c r="BI7" s="59">
        <f ca="1">AVERAGE(OFFSET($BH$3,0,0,'Données projet'!$E$11+1,1))-AVERAGE(OFFSET($H$3,0,0,'Données projet'!$E$11+1,1))</f>
        <v>300.90952915835157</v>
      </c>
      <c r="BJ7" s="59">
        <f t="shared" si="38"/>
        <v>402.81783992925256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4.7456410266666662</v>
      </c>
      <c r="BY7" s="12">
        <f>IF('Données projet'!$A$114&gt;35,BY6+BX7-CG6,IF(A7&lt;'Données projet'!$A$114,$BV$205^A7,IF(A7='Données projet'!$A$114,'Données projet'!$B$114,BY6+BX7-CG6)))</f>
        <v>1.9369666881739274</v>
      </c>
      <c r="BZ7" s="13">
        <f>BY7*VLOOKUP('Données projet'!$B$12,Paramètres!$A$1:$I$89,3,0)*VLOOKUP('Données projet'!$B$12,Paramètres!$A$1:$I$89,5,0)</f>
        <v>0.95686154395792011</v>
      </c>
      <c r="CA7" s="13">
        <f t="shared" si="39"/>
        <v>0.44323120669596694</v>
      </c>
      <c r="CB7" s="20">
        <f t="shared" si="10"/>
        <v>2.4384948740555195</v>
      </c>
      <c r="CC7" s="59">
        <f t="shared" si="11"/>
        <v>263.99405042961104</v>
      </c>
      <c r="CD7" s="59">
        <f ca="1">AVERAGE(OFFSET($CC$3,0,0,'Données projet'!$E$12+1,1))-AVERAGE(OFFSET($H$3,0,0,'Données projet'!$E$12+1,1))</f>
        <v>246.05217890269194</v>
      </c>
      <c r="CE7" s="59">
        <f t="shared" si="40"/>
        <v>155.54297071424327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5.9083916090909092</v>
      </c>
      <c r="CT7" s="12">
        <f>IF('Données projet'!$A$140&gt;35,CT6+CS7-DB6,IF(A7&lt;'Données projet'!$A$140,$CQ$205^A7,IF(A7='Données projet'!$A$140,'Données projet'!$B$140,CT6+CS7-DB6)))</f>
        <v>2.4229474304073788</v>
      </c>
      <c r="CU7" s="17">
        <f>CT7*VLOOKUP('Données projet'!$B$13,Paramètres!$A$1:$I$89,3,0)*VLOOKUP('Données projet'!$B$13,Paramètres!$A$1:$I$89,5,0)</f>
        <v>1.4489225633836125</v>
      </c>
      <c r="CV7" s="13">
        <f t="shared" si="41"/>
        <v>0.63951624656917438</v>
      </c>
      <c r="CW7" s="20">
        <f t="shared" si="13"/>
        <v>3.6373642606677699</v>
      </c>
      <c r="CX7" s="59">
        <f t="shared" si="14"/>
        <v>265.19291981622331</v>
      </c>
      <c r="CY7" s="59">
        <f ca="1">AVERAGE(OFFSET($CX$3,0,0,'Données projet'!$E$13+1,1))-AVERAGE(OFFSET($H$3,0,0,'Données projet'!$E$13+1,1))</f>
        <v>237.036496933921</v>
      </c>
      <c r="CZ7" s="59">
        <f t="shared" si="42"/>
        <v>191.04289413665344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2.5784615383333334</v>
      </c>
      <c r="DO7" s="12">
        <f>IF('Données projet'!$A$166&gt;35,DO6+DN7-DW6,IF(A7&lt;'Données projet'!$A$166,$DL$205^A7,IF(A7='Données projet'!$A$166,'Données projet'!$B$166,DO6+DN7-DW6)))</f>
        <v>1.7856551403527758</v>
      </c>
      <c r="DP7" s="17">
        <f>DO7*VLOOKUP('Données projet'!$B$14,Paramètres!$A$1:$I$89,3,0)*VLOOKUP('Données projet'!$B$14,Paramètres!$A$1:$I$89,5,0)</f>
        <v>1.0678217739309601</v>
      </c>
      <c r="DQ7" s="13">
        <f t="shared" si="43"/>
        <v>0.48835268525867187</v>
      </c>
      <c r="DR7" s="20">
        <f t="shared" si="16"/>
        <v>2.7103371830886087</v>
      </c>
      <c r="DS7" s="59">
        <f t="shared" si="17"/>
        <v>264.26589273864414</v>
      </c>
      <c r="DT7" s="59">
        <f ca="1">AVERAGE(OFFSET($DS$3,0,0,'Données projet'!$E$14+1,1))-AVERAGE(OFFSET($H$3,0,0,'Données projet'!$E$14+1,1))</f>
        <v>148.22129593028302</v>
      </c>
      <c r="DU7" s="59">
        <f t="shared" si="44"/>
        <v>102.97015482019975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1.9132843993864705</v>
      </c>
      <c r="EL7" s="13">
        <f t="shared" si="45"/>
        <v>0.81758413948982178</v>
      </c>
      <c r="EM7" s="20">
        <f t="shared" si="19"/>
        <v>4.7562627052095419</v>
      </c>
      <c r="EN7" s="59">
        <f t="shared" si="20"/>
        <v>266.31181826076511</v>
      </c>
      <c r="EO7" s="59">
        <f ca="1">AVERAGE(OFFSET($EN$3,0,0,'Données projet'!$E$15+1,1))-AVERAGE(OFFSET($H$3,0,0,'Données projet'!$E$15+1,1))</f>
        <v>278.53123771916404</v>
      </c>
      <c r="EP7" s="59">
        <f t="shared" si="46"/>
        <v>283.79094702030869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2.5115384615384619</v>
      </c>
      <c r="FE7" s="12">
        <f>IF('Données projet'!$A$218&gt;35,FE6+FD7-FM6,IF(A7&lt;'Données projet'!$A$218,$FB$205^A7,IF(A7='Données projet'!$A$218,'Données projet'!$B$218,FE6+FD7-FM6)))</f>
        <v>1.7794050211676105</v>
      </c>
      <c r="FF7" s="17">
        <f>FE7*VLOOKUP('Données projet'!$B$16,Paramètres!$A$1:$I$89,3,0)*VLOOKUP('Données projet'!$B$16,Paramètres!$A$1:$I$89,5,0)</f>
        <v>1.610005663152454</v>
      </c>
      <c r="FG7" s="13">
        <f t="shared" si="47"/>
        <v>0.70194770544890439</v>
      </c>
      <c r="FH7" s="20">
        <f t="shared" si="22"/>
        <v>4.0266521169806992</v>
      </c>
      <c r="FI7" s="59">
        <f t="shared" si="23"/>
        <v>265.58220767253624</v>
      </c>
      <c r="FJ7" s="59">
        <f ca="1">AVERAGE(OFFSET($FI$3,0,0,'Données projet'!$E$16+1,1))-AVERAGE(OFFSET($H$3,0,0,'Données projet'!$E$16+1,1))</f>
        <v>335.99493768537013</v>
      </c>
      <c r="FK7" s="59">
        <f t="shared" si="48"/>
        <v>150.85164849522778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3.5</v>
      </c>
      <c r="FZ7" s="12">
        <f>IF('Données projet'!$A$244&gt;35,FZ6+FY7-GH6,IF(A7&lt;'Données projet'!$A$244,$FW$205^A7,IF(A7='Données projet'!$A$244,'Données projet'!$B$244,FZ6+FY7-GH6)))</f>
        <v>4.1459801431212595</v>
      </c>
      <c r="GA7" s="17">
        <f>FZ7*VLOOKUP('Données projet'!$B$17,Paramètres!$A$1:$I$89,3,0)*VLOOKUP('Données projet'!$B$17,Paramètres!$A$1:$I$89,5,0)</f>
        <v>3.6219282530307328</v>
      </c>
      <c r="GB7" s="13">
        <f t="shared" si="49"/>
        <v>1.4369157669903438</v>
      </c>
      <c r="GC7" s="20">
        <f t="shared" si="25"/>
        <v>8.8108200015367082</v>
      </c>
      <c r="GD7" s="59">
        <f t="shared" si="26"/>
        <v>270.36637555709223</v>
      </c>
      <c r="GE7" s="59">
        <f ca="1">AVERAGE(OFFSET($GD$3,0,0,'Données projet'!$E$17+1,1))-AVERAGE(OFFSET($H$3,0,0,'Données projet'!$E$17+1,1))</f>
        <v>319.57811113658374</v>
      </c>
      <c r="GF7" s="59">
        <f t="shared" si="50"/>
        <v>322.03572137403245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10.26553846</v>
      </c>
      <c r="N8" s="13">
        <f>IF('Données projet'!$A$36&gt;35,N7+M8-V7,IF(A8&lt;'Données projet'!$A$36,$K$205^A8,IF(A8='Données projet'!$A$36,'Données projet'!$B$36,N7+M8-V7)))</f>
        <v>3.0329436997620189</v>
      </c>
      <c r="O8" s="13">
        <f>N8*VLOOKUP('Données projet'!$B$9,Paramètres!$A$1:$I$89,3,0)*VLOOKUP('Données projet'!$B$9,Paramètres!$A$1:$I$89,5,0)</f>
        <v>1.4588459195855312</v>
      </c>
      <c r="P8" s="13">
        <f t="shared" si="33"/>
        <v>0.6433847945728165</v>
      </c>
      <c r="Q8" s="20">
        <f t="shared" si="2"/>
        <v>3.6613851604924554</v>
      </c>
      <c r="R8" s="59">
        <f t="shared" si="0"/>
        <v>266.43916293827021</v>
      </c>
      <c r="S8" s="59">
        <f ca="1">AVERAGE(OFFSET($R$3,0,0,'Données projet'!$E$9+1,1))-AVERAGE(OFFSET($H$3,0,0,'Données projet'!$E$9+1,1))</f>
        <v>226.41956082453015</v>
      </c>
      <c r="T8" s="59">
        <f t="shared" si="34"/>
        <v>317.95076157570446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3.2427350426666668</v>
      </c>
      <c r="AI8" s="13">
        <f>IF('Données projet'!$A$62&gt;35,AI7+AH8-AQ7,IF(A8&lt;'Données projet'!$A$62,$AF$205^A8,IF(A8='Données projet'!$A$62,'Données projet'!$B$62,AI7+AH8-AQ7)))</f>
        <v>2.1445628899913882</v>
      </c>
      <c r="AJ8" s="13">
        <f>AI8*VLOOKUP('Données projet'!$B$10,Paramètres!$A$1:$I$89,3,0)*VLOOKUP('Données projet'!$B$10,Paramètres!$A$1:$I$89,5,0)</f>
        <v>1.8400349596126113</v>
      </c>
      <c r="AK8" s="13">
        <f t="shared" si="35"/>
        <v>0.78986411640886178</v>
      </c>
      <c r="AL8" s="20">
        <f t="shared" si="4"/>
        <v>4.5804075574040661</v>
      </c>
      <c r="AM8" s="59">
        <f t="shared" si="5"/>
        <v>267.35818533518182</v>
      </c>
      <c r="AN8" s="59">
        <f ca="1">AVERAGE(OFFSET($AM$3,0,0,'Données projet'!$E$10+1,1))-AVERAGE(OFFSET($H$3,0,0,'Données projet'!$E$10+1,1))</f>
        <v>257.80662231827404</v>
      </c>
      <c r="AO8" s="59">
        <f t="shared" si="36"/>
        <v>184.04558520039876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10.160683761111111</v>
      </c>
      <c r="BD8" s="12">
        <f>IF('Données projet'!$A$88&gt;35,BD7+BC8-BL7,IF(A8&lt;'Données projet'!$A$88,$BA$205^A8,IF(A8='Données projet'!$A$88,'Données projet'!$B$88,BD7+BC8-BL7)))</f>
        <v>4.2499872010653998</v>
      </c>
      <c r="BE8" s="13">
        <f>BD8*VLOOKUP('Données projet'!$B$11,Paramètres!$A$1:$I$89,3,0)*VLOOKUP('Données projet'!$B$11,Paramètres!$A$1:$I$89,5,0)</f>
        <v>2.3757428453955587</v>
      </c>
      <c r="BF8" s="13">
        <f t="shared" si="37"/>
        <v>0.98993901606615564</v>
      </c>
      <c r="BG8" s="20">
        <f t="shared" si="7"/>
        <v>5.8618959087124844</v>
      </c>
      <c r="BH8" s="59">
        <f t="shared" si="8"/>
        <v>268.63967368649026</v>
      </c>
      <c r="BI8" s="59">
        <f ca="1">AVERAGE(OFFSET($BH$3,0,0,'Données projet'!$E$11+1,1))-AVERAGE(OFFSET($H$3,0,0,'Données projet'!$E$11+1,1))</f>
        <v>300.90952915835157</v>
      </c>
      <c r="BJ8" s="59">
        <f t="shared" si="38"/>
        <v>402.81783992925256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4.7456410266666662</v>
      </c>
      <c r="BY8" s="12">
        <f>IF('Données projet'!$A$114&gt;35,BY7+BX8-CG7,IF(A8&lt;'Données projet'!$A$114,$BV$205^A8,IF(A8='Données projet'!$A$114,'Données projet'!$B$114,BY7+BX8-CG7)))</f>
        <v>2.2850867378509472</v>
      </c>
      <c r="BZ8" s="13">
        <f>BY8*VLOOKUP('Données projet'!$B$12,Paramètres!$A$1:$I$89,3,0)*VLOOKUP('Données projet'!$B$12,Paramètres!$A$1:$I$89,5,0)</f>
        <v>1.1288328484983681</v>
      </c>
      <c r="CA8" s="13">
        <f t="shared" si="39"/>
        <v>0.51292706270665989</v>
      </c>
      <c r="CB8" s="20">
        <f t="shared" si="10"/>
        <v>2.8593985120154239</v>
      </c>
      <c r="CC8" s="59">
        <f t="shared" si="11"/>
        <v>265.63717628979322</v>
      </c>
      <c r="CD8" s="59">
        <f ca="1">AVERAGE(OFFSET($CC$3,0,0,'Données projet'!$E$12+1,1))-AVERAGE(OFFSET($H$3,0,0,'Données projet'!$E$12+1,1))</f>
        <v>246.05217890269194</v>
      </c>
      <c r="CE8" s="59">
        <f t="shared" si="40"/>
        <v>155.54297071424327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5.9083916090909092</v>
      </c>
      <c r="CT8" s="12">
        <f>IF('Données projet'!$A$140&gt;35,CT7+CS8-DB7,IF(A8&lt;'Données projet'!$A$140,$CQ$205^A8,IF(A8='Données projet'!$A$140,'Données projet'!$B$140,CT7+CS8-DB7)))</f>
        <v>3.0229432168223993</v>
      </c>
      <c r="CU8" s="17">
        <f>CT8*VLOOKUP('Données projet'!$B$13,Paramètres!$A$1:$I$89,3,0)*VLOOKUP('Données projet'!$B$13,Paramètres!$A$1:$I$89,5,0)</f>
        <v>1.8077200436597949</v>
      </c>
      <c r="CV8" s="13">
        <f t="shared" si="41"/>
        <v>0.77759448135197551</v>
      </c>
      <c r="CW8" s="20">
        <f t="shared" si="13"/>
        <v>4.5027561310621662</v>
      </c>
      <c r="CX8" s="59">
        <f t="shared" si="14"/>
        <v>267.28053390883991</v>
      </c>
      <c r="CY8" s="59">
        <f ca="1">AVERAGE(OFFSET($CX$3,0,0,'Données projet'!$E$13+1,1))-AVERAGE(OFFSET($H$3,0,0,'Données projet'!$E$13+1,1))</f>
        <v>237.036496933921</v>
      </c>
      <c r="CZ8" s="59">
        <f t="shared" si="42"/>
        <v>191.04289413665344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2.5784615383333334</v>
      </c>
      <c r="DO8" s="12">
        <f>IF('Données projet'!$A$166&gt;35,DO7+DN8-DW7,IF(A8&lt;'Données projet'!$A$166,$DL$205^A8,IF(A8='Données projet'!$A$166,'Données projet'!$B$166,DO7+DN8-DW7)))</f>
        <v>2.0641772412424717</v>
      </c>
      <c r="DP8" s="17">
        <f>DO8*VLOOKUP('Données projet'!$B$14,Paramètres!$A$1:$I$89,3,0)*VLOOKUP('Données projet'!$B$14,Paramètres!$A$1:$I$89,5,0)</f>
        <v>1.2343779902629981</v>
      </c>
      <c r="DQ8" s="13">
        <f t="shared" si="43"/>
        <v>0.55508011211147057</v>
      </c>
      <c r="DR8" s="20">
        <f t="shared" si="16"/>
        <v>3.1166395283021995</v>
      </c>
      <c r="DS8" s="59">
        <f t="shared" si="17"/>
        <v>265.89441730607996</v>
      </c>
      <c r="DT8" s="59">
        <f ca="1">AVERAGE(OFFSET($DS$3,0,0,'Données projet'!$E$14+1,1))-AVERAGE(OFFSET($H$3,0,0,'Données projet'!$E$14+1,1))</f>
        <v>148.22129593028302</v>
      </c>
      <c r="DU8" s="59">
        <f t="shared" si="44"/>
        <v>102.97015482019975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2.4317492962885807</v>
      </c>
      <c r="EL8" s="13">
        <f t="shared" si="45"/>
        <v>1.010531639108154</v>
      </c>
      <c r="EM8" s="20">
        <f t="shared" si="19"/>
        <v>5.9953059624826457</v>
      </c>
      <c r="EN8" s="59">
        <f t="shared" si="20"/>
        <v>268.7730837402604</v>
      </c>
      <c r="EO8" s="59">
        <f ca="1">AVERAGE(OFFSET($EN$3,0,0,'Données projet'!$E$15+1,1))-AVERAGE(OFFSET($H$3,0,0,'Données projet'!$E$15+1,1))</f>
        <v>278.53123771916404</v>
      </c>
      <c r="EP8" s="59">
        <f t="shared" si="46"/>
        <v>283.79094702030869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2.5115384615384619</v>
      </c>
      <c r="FE8" s="12">
        <f>IF('Données projet'!$A$218&gt;35,FE7+FD8-FM7,IF(A8&lt;'Données projet'!$A$218,$FB$205^A8,IF(A8='Données projet'!$A$218,'Données projet'!$B$218,FE7+FD8-FM7)))</f>
        <v>2.055149949310588</v>
      </c>
      <c r="FF8" s="17">
        <f>FE8*VLOOKUP('Données projet'!$B$16,Paramètres!$A$1:$I$89,3,0)*VLOOKUP('Données projet'!$B$16,Paramètres!$A$1:$I$89,5,0)</f>
        <v>1.85949967413622</v>
      </c>
      <c r="FG8" s="13">
        <f t="shared" si="47"/>
        <v>0.79724254095458524</v>
      </c>
      <c r="FH8" s="20">
        <f t="shared" si="22"/>
        <v>4.6271593579498189</v>
      </c>
      <c r="FI8" s="59">
        <f t="shared" si="23"/>
        <v>267.40493713572761</v>
      </c>
      <c r="FJ8" s="59">
        <f ca="1">AVERAGE(OFFSET($FI$3,0,0,'Données projet'!$E$16+1,1))-AVERAGE(OFFSET($H$3,0,0,'Données projet'!$E$16+1,1))</f>
        <v>335.99493768537013</v>
      </c>
      <c r="FK8" s="59">
        <f t="shared" si="48"/>
        <v>150.85164849522778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3.5</v>
      </c>
      <c r="FZ8" s="12">
        <f>IF('Données projet'!$A$244&gt;35,FZ7+FY8-GH7,IF(A8&lt;'Données projet'!$A$244,$FW$205^A8,IF(A8='Données projet'!$A$244,'Données projet'!$B$244,FZ7+FY8-GH7)))</f>
        <v>5.9160797830996152</v>
      </c>
      <c r="GA8" s="17">
        <f>FZ8*VLOOKUP('Données projet'!$B$17,Paramètres!$A$1:$I$89,3,0)*VLOOKUP('Données projet'!$B$17,Paramètres!$A$1:$I$89,5,0)</f>
        <v>5.1682872985158239</v>
      </c>
      <c r="GB8" s="13">
        <f t="shared" si="49"/>
        <v>1.967275406006004</v>
      </c>
      <c r="GC8" s="20">
        <f t="shared" si="25"/>
        <v>12.427771710375517</v>
      </c>
      <c r="GD8" s="59">
        <f t="shared" si="26"/>
        <v>275.20554948815328</v>
      </c>
      <c r="GE8" s="59">
        <f ca="1">AVERAGE(OFFSET($GD$3,0,0,'Données projet'!$E$17+1,1))-AVERAGE(OFFSET($H$3,0,0,'Données projet'!$E$17+1,1))</f>
        <v>319.57811113658374</v>
      </c>
      <c r="GF8" s="59">
        <f t="shared" si="50"/>
        <v>322.03572137403245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10.26553846</v>
      </c>
      <c r="N9" s="13">
        <f>IF('Données projet'!$A$36&gt;35,N8+M9-V8,IF(A9&lt;'Données projet'!$A$36,$K$205^A9,IF(A9='Données projet'!$A$36,'Données projet'!$B$36,N8+M9-V8)))</f>
        <v>3.7864935235752579</v>
      </c>
      <c r="O9" s="13">
        <f>N9*VLOOKUP('Données projet'!$B$9,Paramètres!$A$1:$I$89,3,0)*VLOOKUP('Données projet'!$B$9,Paramètres!$A$1:$I$89,5,0)</f>
        <v>1.8213033848396991</v>
      </c>
      <c r="P9" s="13">
        <f t="shared" si="33"/>
        <v>0.78275501810144521</v>
      </c>
      <c r="Q9" s="20">
        <f t="shared" si="2"/>
        <v>4.5354017184558257</v>
      </c>
      <c r="R9" s="59">
        <f t="shared" si="0"/>
        <v>268.53540171845583</v>
      </c>
      <c r="S9" s="59">
        <f ca="1">AVERAGE(OFFSET($R$3,0,0,'Données projet'!$E$9+1,1))-AVERAGE(OFFSET($H$3,0,0,'Données projet'!$E$9+1,1))</f>
        <v>226.41956082453015</v>
      </c>
      <c r="T9" s="59">
        <f t="shared" si="34"/>
        <v>317.95076157570446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3.2427350426666668</v>
      </c>
      <c r="AI9" s="13">
        <f>IF('Données projet'!$A$62&gt;35,AI8+AH9-AQ8,IF(A9&lt;'Données projet'!$A$62,$AF$205^A9,IF(A9='Données projet'!$A$62,'Données projet'!$B$62,AI8+AH9-AQ8)))</f>
        <v>2.4980811592537089</v>
      </c>
      <c r="AJ9" s="13">
        <f>AI9*VLOOKUP('Données projet'!$B$10,Paramètres!$A$1:$I$89,3,0)*VLOOKUP('Données projet'!$B$10,Paramètres!$A$1:$I$89,5,0)</f>
        <v>2.1433536346396824</v>
      </c>
      <c r="AK9" s="13">
        <f t="shared" si="35"/>
        <v>0.9038712538921132</v>
      </c>
      <c r="AL9" s="20">
        <f t="shared" si="4"/>
        <v>5.3072500141928769</v>
      </c>
      <c r="AM9" s="59">
        <f t="shared" si="5"/>
        <v>269.3072500141929</v>
      </c>
      <c r="AN9" s="59">
        <f ca="1">AVERAGE(OFFSET($AM$3,0,0,'Données projet'!$E$10+1,1))-AVERAGE(OFFSET($H$3,0,0,'Données projet'!$E$10+1,1))</f>
        <v>257.80662231827404</v>
      </c>
      <c r="AO9" s="59">
        <f t="shared" si="36"/>
        <v>184.04558520039876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10.160683761111111</v>
      </c>
      <c r="BD9" s="12">
        <f>IF('Données projet'!$A$88&gt;35,BD8+BC9-BL8,IF(A9&lt;'Données projet'!$A$88,$BA$205^A9,IF(A9='Données projet'!$A$88,'Données projet'!$B$88,BD8+BC9-BL8)))</f>
        <v>5.6762974665409125</v>
      </c>
      <c r="BE9" s="13">
        <f>BD9*VLOOKUP('Données projet'!$B$11,Paramètres!$A$1:$I$89,3,0)*VLOOKUP('Données projet'!$B$11,Paramètres!$A$1:$I$89,5,0)</f>
        <v>3.1730502837963703</v>
      </c>
      <c r="BF9" s="13">
        <f t="shared" si="37"/>
        <v>1.2783715645518967</v>
      </c>
      <c r="BG9" s="20">
        <f t="shared" si="7"/>
        <v>7.7528930525398989</v>
      </c>
      <c r="BH9" s="59">
        <f t="shared" si="8"/>
        <v>271.75289305253989</v>
      </c>
      <c r="BI9" s="59">
        <f ca="1">AVERAGE(OFFSET($BH$3,0,0,'Données projet'!$E$11+1,1))-AVERAGE(OFFSET($H$3,0,0,'Données projet'!$E$11+1,1))</f>
        <v>300.90952915835157</v>
      </c>
      <c r="BJ9" s="59">
        <f t="shared" si="38"/>
        <v>402.81783992925256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4.7456410266666662</v>
      </c>
      <c r="BY9" s="12">
        <f>IF('Données projet'!$A$114&gt;35,BY8+BX9-CG8,IF(A9&lt;'Données projet'!$A$114,$BV$205^A9,IF(A9='Données projet'!$A$114,'Données projet'!$B$114,BY8+BX9-CG8)))</f>
        <v>2.6957724319074163</v>
      </c>
      <c r="BZ9" s="13">
        <f>BY9*VLOOKUP('Données projet'!$B$12,Paramètres!$A$1:$I$89,3,0)*VLOOKUP('Données projet'!$B$12,Paramètres!$A$1:$I$89,5,0)</f>
        <v>1.331711581362264</v>
      </c>
      <c r="CA9" s="13">
        <f t="shared" si="39"/>
        <v>0.59358223807862509</v>
      </c>
      <c r="CB9" s="20">
        <f t="shared" si="10"/>
        <v>3.3532200688595482</v>
      </c>
      <c r="CC9" s="59">
        <f t="shared" si="11"/>
        <v>267.35322006885957</v>
      </c>
      <c r="CD9" s="59">
        <f ca="1">AVERAGE(OFFSET($CC$3,0,0,'Données projet'!$E$12+1,1))-AVERAGE(OFFSET($H$3,0,0,'Données projet'!$E$12+1,1))</f>
        <v>246.05217890269194</v>
      </c>
      <c r="CE9" s="59">
        <f t="shared" si="40"/>
        <v>155.54297071424327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5.9083916090909092</v>
      </c>
      <c r="CT9" s="12">
        <f>IF('Données projet'!$A$140&gt;35,CT8+CS9-DB8,IF(A9&lt;'Données projet'!$A$140,$CQ$205^A9,IF(A9='Données projet'!$A$140,'Données projet'!$B$140,CT8+CS9-DB8)))</f>
        <v>3.7715162852691853</v>
      </c>
      <c r="CU9" s="17">
        <f>CT9*VLOOKUP('Données projet'!$B$13,Paramètres!$A$1:$I$89,3,0)*VLOOKUP('Données projet'!$B$13,Paramètres!$A$1:$I$89,5,0)</f>
        <v>2.2553667385909728</v>
      </c>
      <c r="CV9" s="13">
        <f t="shared" si="41"/>
        <v>0.9454852486904638</v>
      </c>
      <c r="CW9" s="20">
        <f t="shared" si="13"/>
        <v>5.574817211181835</v>
      </c>
      <c r="CX9" s="59">
        <f t="shared" si="14"/>
        <v>269.57481721118182</v>
      </c>
      <c r="CY9" s="59">
        <f ca="1">AVERAGE(OFFSET($CX$3,0,0,'Données projet'!$E$13+1,1))-AVERAGE(OFFSET($H$3,0,0,'Données projet'!$E$13+1,1))</f>
        <v>237.036496933921</v>
      </c>
      <c r="CZ9" s="59">
        <f t="shared" si="42"/>
        <v>191.04289413665344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2.5784615383333334</v>
      </c>
      <c r="DO9" s="12">
        <f>IF('Données projet'!$A$166&gt;35,DO8+DN9-DW8,IF(A9&lt;'Données projet'!$A$166,$DL$205^A9,IF(A9='Données projet'!$A$166,'Données projet'!$B$166,DO8+DN9-DW8)))</f>
        <v>2.3861425350146885</v>
      </c>
      <c r="DP9" s="17">
        <f>DO9*VLOOKUP('Données projet'!$B$14,Paramètres!$A$1:$I$89,3,0)*VLOOKUP('Données projet'!$B$14,Paramètres!$A$1:$I$89,5,0)</f>
        <v>1.4269132359387839</v>
      </c>
      <c r="DQ9" s="13">
        <f t="shared" si="43"/>
        <v>0.63092502644575477</v>
      </c>
      <c r="DR9" s="20">
        <f t="shared" si="16"/>
        <v>3.584068306986405</v>
      </c>
      <c r="DS9" s="59">
        <f t="shared" si="17"/>
        <v>267.58406830698641</v>
      </c>
      <c r="DT9" s="59">
        <f ca="1">AVERAGE(OFFSET($DS$3,0,0,'Données projet'!$E$14+1,1))-AVERAGE(OFFSET($H$3,0,0,'Données projet'!$E$14+1,1))</f>
        <v>148.22129593028302</v>
      </c>
      <c r="DU9" s="59">
        <f t="shared" si="44"/>
        <v>102.97015482019975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3.0907086483829831</v>
      </c>
      <c r="EL9" s="13">
        <f t="shared" si="45"/>
        <v>1.2490141923201104</v>
      </c>
      <c r="EM9" s="20">
        <f t="shared" si="19"/>
        <v>7.5583506142245538</v>
      </c>
      <c r="EN9" s="59">
        <f t="shared" si="20"/>
        <v>271.55835061422454</v>
      </c>
      <c r="EO9" s="59">
        <f ca="1">AVERAGE(OFFSET($EN$3,0,0,'Données projet'!$E$15+1,1))-AVERAGE(OFFSET($H$3,0,0,'Données projet'!$E$15+1,1))</f>
        <v>278.53123771916404</v>
      </c>
      <c r="EP9" s="59">
        <f t="shared" si="46"/>
        <v>283.79094702030869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2.5115384615384619</v>
      </c>
      <c r="FE9" s="12">
        <f>IF('Données projet'!$A$218&gt;35,FE8+FD9-FM8,IF(A9&lt;'Données projet'!$A$218,$FB$205^A9,IF(A9='Données projet'!$A$218,'Données projet'!$B$218,FE8+FD9-FM8)))</f>
        <v>2.3736256017642585</v>
      </c>
      <c r="FF9" s="17">
        <f>FE9*VLOOKUP('Données projet'!$B$16,Paramètres!$A$1:$I$89,3,0)*VLOOKUP('Données projet'!$B$16,Paramètres!$A$1:$I$89,5,0)</f>
        <v>2.1476564444763011</v>
      </c>
      <c r="FG9" s="13">
        <f t="shared" si="47"/>
        <v>0.90547438815438841</v>
      </c>
      <c r="FH9" s="20">
        <f t="shared" si="22"/>
        <v>5.3175362001651179</v>
      </c>
      <c r="FI9" s="59">
        <f t="shared" si="23"/>
        <v>269.31753620016514</v>
      </c>
      <c r="FJ9" s="59">
        <f ca="1">AVERAGE(OFFSET($FI$3,0,0,'Données projet'!$E$16+1,1))-AVERAGE(OFFSET($H$3,0,0,'Données projet'!$E$16+1,1))</f>
        <v>335.99493768537013</v>
      </c>
      <c r="FK9" s="59">
        <f t="shared" si="48"/>
        <v>150.85164849522778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3.5</v>
      </c>
      <c r="FZ9" s="12">
        <f>IF('Données projet'!$A$244&gt;35,FZ8+FY9-GH8,IF(A9&lt;'Données projet'!$A$244,$FW$205^A9,IF(A9='Données projet'!$A$244,'Données projet'!$B$244,FZ8+FY9-GH8)))</f>
        <v>8.4419121152979262</v>
      </c>
      <c r="GA9" s="17">
        <f>FZ9*VLOOKUP('Données projet'!$B$17,Paramètres!$A$1:$I$89,3,0)*VLOOKUP('Données projet'!$B$17,Paramètres!$A$1:$I$89,5,0)</f>
        <v>7.3748544239242699</v>
      </c>
      <c r="GB9" s="13">
        <f t="shared" si="49"/>
        <v>2.6933885840659002</v>
      </c>
      <c r="GC9" s="20">
        <f t="shared" si="25"/>
        <v>17.535523238916209</v>
      </c>
      <c r="GD9" s="59">
        <f t="shared" si="26"/>
        <v>281.5355232389162</v>
      </c>
      <c r="GE9" s="59">
        <f ca="1">AVERAGE(OFFSET($GD$3,0,0,'Données projet'!$E$17+1,1))-AVERAGE(OFFSET($H$3,0,0,'Données projet'!$E$17+1,1))</f>
        <v>319.57811113658374</v>
      </c>
      <c r="GF9" s="59">
        <f t="shared" si="50"/>
        <v>322.03572137403245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10.26553846</v>
      </c>
      <c r="N10" s="13">
        <f>IF('Données projet'!$A$36&gt;35,N9+M10-V9,IF(A10&lt;'Données projet'!$A$36,$K$205^A10,IF(A10='Données projet'!$A$36,'Données projet'!$B$36,N9+M10-V9)))</f>
        <v>4.7272665184000511</v>
      </c>
      <c r="O10" s="13">
        <f>N10*VLOOKUP('Données projet'!$B$9,Paramètres!$A$1:$I$89,3,0)*VLOOKUP('Données projet'!$B$9,Paramètres!$A$1:$I$89,5,0)</f>
        <v>2.2738151953504246</v>
      </c>
      <c r="P10" s="13">
        <f t="shared" si="33"/>
        <v>0.95231566479560215</v>
      </c>
      <c r="Q10" s="20">
        <f t="shared" si="2"/>
        <v>5.6188445814209969</v>
      </c>
      <c r="R10" s="59">
        <f t="shared" si="0"/>
        <v>270.84106680364323</v>
      </c>
      <c r="S10" s="59">
        <f ca="1">AVERAGE(OFFSET($R$3,0,0,'Données projet'!$E$9+1,1))-AVERAGE(OFFSET($H$3,0,0,'Données projet'!$E$9+1,1))</f>
        <v>226.41956082453015</v>
      </c>
      <c r="T10" s="59">
        <f t="shared" si="34"/>
        <v>317.95076157570446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3.2427350426666668</v>
      </c>
      <c r="AI10" s="13">
        <f>IF('Données projet'!$A$62&gt;35,AI9+AH10-AQ9,IF(A10&lt;'Données projet'!$A$62,$AF$205^A10,IF(A10='Données projet'!$A$62,'Données projet'!$B$62,AI9+AH10-AQ9)))</f>
        <v>2.9098747849000661</v>
      </c>
      <c r="AJ10" s="13">
        <f>AI10*VLOOKUP('Données projet'!$B$10,Paramètres!$A$1:$I$89,3,0)*VLOOKUP('Données projet'!$B$10,Paramètres!$A$1:$I$89,5,0)</f>
        <v>2.496672565444257</v>
      </c>
      <c r="AK10" s="13">
        <f t="shared" si="35"/>
        <v>1.0343339147079336</v>
      </c>
      <c r="AL10" s="20">
        <f t="shared" si="4"/>
        <v>6.1498362862650646</v>
      </c>
      <c r="AM10" s="59">
        <f t="shared" si="5"/>
        <v>271.37205850848727</v>
      </c>
      <c r="AN10" s="59">
        <f ca="1">AVERAGE(OFFSET($AM$3,0,0,'Données projet'!$E$10+1,1))-AVERAGE(OFFSET($H$3,0,0,'Données projet'!$E$10+1,1))</f>
        <v>257.80662231827404</v>
      </c>
      <c r="AO10" s="59">
        <f t="shared" si="36"/>
        <v>184.04558520039876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10.160683761111111</v>
      </c>
      <c r="BD10" s="12">
        <f>IF('Données projet'!$A$88&gt;35,BD9+BC10-BL9,IF(A10&lt;'Données projet'!$A$88,$BA$205^A10,IF(A10='Données projet'!$A$88,'Données projet'!$B$88,BD9+BC10-BL9)))</f>
        <v>7.5812823437636911</v>
      </c>
      <c r="BE10" s="13">
        <f>BD10*VLOOKUP('Données projet'!$B$11,Paramètres!$A$1:$I$89,3,0)*VLOOKUP('Données projet'!$B$11,Paramètres!$A$1:$I$89,5,0)</f>
        <v>4.2379368301639033</v>
      </c>
      <c r="BF10" s="13">
        <f t="shared" si="37"/>
        <v>1.6508429615685052</v>
      </c>
      <c r="BG10" s="20">
        <f t="shared" si="7"/>
        <v>10.25629147060061</v>
      </c>
      <c r="BH10" s="59">
        <f t="shared" si="8"/>
        <v>275.47851369282284</v>
      </c>
      <c r="BI10" s="59">
        <f ca="1">AVERAGE(OFFSET($BH$3,0,0,'Données projet'!$E$11+1,1))-AVERAGE(OFFSET($H$3,0,0,'Données projet'!$E$11+1,1))</f>
        <v>300.90952915835157</v>
      </c>
      <c r="BJ10" s="59">
        <f t="shared" si="38"/>
        <v>402.81783992925256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4.7456410266666662</v>
      </c>
      <c r="BY10" s="12">
        <f>IF('Données projet'!$A$114&gt;35,BY9+BX10-CG9,IF(A10&lt;'Données projet'!$A$114,$BV$205^A10,IF(A10='Données projet'!$A$114,'Données projet'!$B$114,BY9+BX10-CG9)))</f>
        <v>3.180268339164487</v>
      </c>
      <c r="BZ10" s="13">
        <f>BY10*VLOOKUP('Données projet'!$B$12,Paramètres!$A$1:$I$89,3,0)*VLOOKUP('Données projet'!$B$12,Paramètres!$A$1:$I$89,5,0)</f>
        <v>1.5710525595472569</v>
      </c>
      <c r="CA10" s="13">
        <f t="shared" si="39"/>
        <v>0.68692003011728542</v>
      </c>
      <c r="CB10" s="20">
        <f t="shared" si="10"/>
        <v>3.932635593665744</v>
      </c>
      <c r="CC10" s="59">
        <f t="shared" si="11"/>
        <v>269.15485781588796</v>
      </c>
      <c r="CD10" s="59">
        <f ca="1">AVERAGE(OFFSET($CC$3,0,0,'Données projet'!$E$12+1,1))-AVERAGE(OFFSET($H$3,0,0,'Données projet'!$E$12+1,1))</f>
        <v>246.05217890269194</v>
      </c>
      <c r="CE10" s="59">
        <f t="shared" si="40"/>
        <v>155.54297071424327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5.9083916090909092</v>
      </c>
      <c r="CT10" s="12">
        <f>IF('Données projet'!$A$140&gt;35,CT9+CS10-DB9,IF(A10&lt;'Données projet'!$A$140,$CQ$205^A10,IF(A10='Données projet'!$A$140,'Données projet'!$B$140,CT9+CS10-DB9)))</f>
        <v>4.7054589086865963</v>
      </c>
      <c r="CU10" s="17">
        <f>CT10*VLOOKUP('Données projet'!$B$13,Paramètres!$A$1:$I$89,3,0)*VLOOKUP('Données projet'!$B$13,Paramètres!$A$1:$I$89,5,0)</f>
        <v>2.8138644273945848</v>
      </c>
      <c r="CV10" s="13">
        <f t="shared" si="41"/>
        <v>1.1496253856341716</v>
      </c>
      <c r="CW10" s="20">
        <f t="shared" si="13"/>
        <v>6.9030780910250833</v>
      </c>
      <c r="CX10" s="59">
        <f t="shared" si="14"/>
        <v>272.12530031324729</v>
      </c>
      <c r="CY10" s="59">
        <f ca="1">AVERAGE(OFFSET($CX$3,0,0,'Données projet'!$E$13+1,1))-AVERAGE(OFFSET($H$3,0,0,'Données projet'!$E$13+1,1))</f>
        <v>237.036496933921</v>
      </c>
      <c r="CZ10" s="59">
        <f t="shared" si="42"/>
        <v>191.04289413665344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2.5784615383333334</v>
      </c>
      <c r="DO10" s="12">
        <f>IF('Données projet'!$A$166&gt;35,DO9+DN10-DW9,IF(A10&lt;'Données projet'!$A$166,$DL$205^A10,IF(A10='Données projet'!$A$166,'Données projet'!$B$166,DO9+DN10-DW9)))</f>
        <v>2.7583271841419874</v>
      </c>
      <c r="DP10" s="17">
        <f>DO10*VLOOKUP('Données projet'!$B$14,Paramètres!$A$1:$I$89,3,0)*VLOOKUP('Données projet'!$B$14,Paramètres!$A$1:$I$89,5,0)</f>
        <v>1.6494796561169087</v>
      </c>
      <c r="DQ10" s="13">
        <f t="shared" si="43"/>
        <v>0.71713322151170322</v>
      </c>
      <c r="DR10" s="20">
        <f t="shared" si="16"/>
        <v>4.1218507618698323</v>
      </c>
      <c r="DS10" s="59">
        <f t="shared" si="17"/>
        <v>269.34407298409207</v>
      </c>
      <c r="DT10" s="59">
        <f ca="1">AVERAGE(OFFSET($DS$3,0,0,'Données projet'!$E$14+1,1))-AVERAGE(OFFSET($H$3,0,0,'Données projet'!$E$14+1,1))</f>
        <v>148.22129593028302</v>
      </c>
      <c r="DU10" s="59">
        <f t="shared" si="44"/>
        <v>102.97015482019975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3.9282338700657551</v>
      </c>
      <c r="EL10" s="13">
        <f t="shared" si="45"/>
        <v>1.5437779404847436</v>
      </c>
      <c r="EM10" s="20">
        <f t="shared" si="19"/>
        <v>9.5304205700421178</v>
      </c>
      <c r="EN10" s="59">
        <f t="shared" si="20"/>
        <v>274.75264279226434</v>
      </c>
      <c r="EO10" s="59">
        <f ca="1">AVERAGE(OFFSET($EN$3,0,0,'Données projet'!$E$15+1,1))-AVERAGE(OFFSET($H$3,0,0,'Données projet'!$E$15+1,1))</f>
        <v>278.53123771916404</v>
      </c>
      <c r="EP10" s="59">
        <f t="shared" si="46"/>
        <v>283.79094702030869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2.5115384615384619</v>
      </c>
      <c r="FE10" s="12">
        <f>IF('Données projet'!$A$218&gt;35,FE9+FD10-FM9,IF(A10&lt;'Données projet'!$A$218,$FB$205^A10,IF(A10='Données projet'!$A$218,'Données projet'!$B$218,FE9+FD10-FM9)))</f>
        <v>2.7414537315103114</v>
      </c>
      <c r="FF10" s="17">
        <f>FE10*VLOOKUP('Données projet'!$B$16,Paramètres!$A$1:$I$89,3,0)*VLOOKUP('Données projet'!$B$16,Paramètres!$A$1:$I$89,5,0)</f>
        <v>2.4804673362705296</v>
      </c>
      <c r="FG10" s="13">
        <f t="shared" si="47"/>
        <v>1.0283995465443541</v>
      </c>
      <c r="FH10" s="20">
        <f t="shared" si="22"/>
        <v>6.1112764875692553</v>
      </c>
      <c r="FI10" s="59">
        <f t="shared" si="23"/>
        <v>271.33349870979146</v>
      </c>
      <c r="FJ10" s="59">
        <f ca="1">AVERAGE(OFFSET($FI$3,0,0,'Données projet'!$E$16+1,1))-AVERAGE(OFFSET($H$3,0,0,'Données projet'!$E$16+1,1))</f>
        <v>335.99493768537013</v>
      </c>
      <c r="FK10" s="59">
        <f t="shared" si="48"/>
        <v>150.85164849522778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3.5</v>
      </c>
      <c r="FZ10" s="12">
        <f>IF('Données projet'!$A$244&gt;35,FZ9+FY10-GH9,IF(A10&lt;'Données projet'!$A$244,$FW$205^A10,IF(A10='Données projet'!$A$244,'Données projet'!$B$244,FZ9+FY10-GH9)))</f>
        <v>12.04613236724734</v>
      </c>
      <c r="GA10" s="17">
        <f>FZ10*VLOOKUP('Données projet'!$B$17,Paramètres!$A$1:$I$89,3,0)*VLOOKUP('Données projet'!$B$17,Paramètres!$A$1:$I$89,5,0)</f>
        <v>10.523501236027279</v>
      </c>
      <c r="GB10" s="13">
        <f t="shared" si="49"/>
        <v>3.6875071190486755</v>
      </c>
      <c r="GC10" s="20">
        <f t="shared" si="25"/>
        <v>24.750839551757284</v>
      </c>
      <c r="GD10" s="59">
        <f t="shared" si="26"/>
        <v>289.97306177397951</v>
      </c>
      <c r="GE10" s="59">
        <f ca="1">AVERAGE(OFFSET($GD$3,0,0,'Données projet'!$E$17+1,1))-AVERAGE(OFFSET($H$3,0,0,'Données projet'!$E$17+1,1))</f>
        <v>319.57811113658374</v>
      </c>
      <c r="GF10" s="59">
        <f t="shared" si="50"/>
        <v>322.03572137403245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10.26553846</v>
      </c>
      <c r="N11" s="13">
        <f>IF('Données projet'!$A$36&gt;35,N10+M11-V10,IF(A11&lt;'Données projet'!$A$36,$K$205^A11,IF(A11='Données projet'!$A$36,'Données projet'!$B$36,N10+M11-V10)))</f>
        <v>5.9017792046520556</v>
      </c>
      <c r="O11" s="13">
        <f>N11*VLOOKUP('Données projet'!$B$9,Paramètres!$A$1:$I$89,3,0)*VLOOKUP('Données projet'!$B$9,Paramètres!$A$1:$I$89,5,0)</f>
        <v>2.838755797437639</v>
      </c>
      <c r="P11" s="13">
        <f t="shared" si="33"/>
        <v>1.1586065939440007</v>
      </c>
      <c r="Q11" s="20">
        <f t="shared" si="2"/>
        <v>6.9620728316563563</v>
      </c>
      <c r="R11" s="59">
        <f t="shared" si="0"/>
        <v>273.40651727610083</v>
      </c>
      <c r="S11" s="59">
        <f ca="1">AVERAGE(OFFSET($R$3,0,0,'Données projet'!$E$9+1,1))-AVERAGE(OFFSET($H$3,0,0,'Données projet'!$E$9+1,1))</f>
        <v>226.41956082453015</v>
      </c>
      <c r="T11" s="59">
        <f t="shared" si="34"/>
        <v>317.95076157570446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3.2427350426666668</v>
      </c>
      <c r="AI11" s="13">
        <f>IF('Données projet'!$A$62&gt;35,AI10+AH11-AQ10,IF(A11&lt;'Données projet'!$A$62,$AF$205^A11,IF(A11='Données projet'!$A$62,'Données projet'!$B$62,AI10+AH11-AQ10)))</f>
        <v>3.3895501082626134</v>
      </c>
      <c r="AJ11" s="13">
        <f>AI11*VLOOKUP('Données projet'!$B$10,Paramètres!$A$1:$I$89,3,0)*VLOOKUP('Données projet'!$B$10,Paramètres!$A$1:$I$89,5,0)</f>
        <v>2.9082339928893224</v>
      </c>
      <c r="AK11" s="13">
        <f t="shared" si="35"/>
        <v>1.1836272505716132</v>
      </c>
      <c r="AL11" s="20">
        <f t="shared" si="4"/>
        <v>7.1266583323611288</v>
      </c>
      <c r="AM11" s="59">
        <f t="shared" si="5"/>
        <v>273.57110277680556</v>
      </c>
      <c r="AN11" s="59">
        <f ca="1">AVERAGE(OFFSET($AM$3,0,0,'Données projet'!$E$10+1,1))-AVERAGE(OFFSET($H$3,0,0,'Données projet'!$E$10+1,1))</f>
        <v>257.80662231827404</v>
      </c>
      <c r="AO11" s="59">
        <f t="shared" si="36"/>
        <v>184.04558520039876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10.160683761111111</v>
      </c>
      <c r="BD11" s="12">
        <f>IF('Données projet'!$A$88&gt;35,BD10+BC11-BL10,IF(A11&lt;'Données projet'!$A$88,$BA$205^A11,IF(A11='Données projet'!$A$88,'Données projet'!$B$88,BD10+BC11-BL10)))</f>
        <v>10.125586672413837</v>
      </c>
      <c r="BE11" s="13">
        <f>BD11*VLOOKUP('Données projet'!$B$11,Paramètres!$A$1:$I$89,3,0)*VLOOKUP('Données projet'!$B$11,Paramètres!$A$1:$I$89,5,0)</f>
        <v>5.6602029498793351</v>
      </c>
      <c r="BF11" s="13">
        <f t="shared" si="37"/>
        <v>2.1318390985296651</v>
      </c>
      <c r="BG11" s="20">
        <f t="shared" si="7"/>
        <v>13.571139900979007</v>
      </c>
      <c r="BH11" s="59">
        <f t="shared" si="8"/>
        <v>280.01558434542346</v>
      </c>
      <c r="BI11" s="59">
        <f ca="1">AVERAGE(OFFSET($BH$3,0,0,'Données projet'!$E$11+1,1))-AVERAGE(OFFSET($H$3,0,0,'Données projet'!$E$11+1,1))</f>
        <v>300.90952915835157</v>
      </c>
      <c r="BJ11" s="59">
        <f t="shared" si="38"/>
        <v>402.81783992925256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4.7456410266666662</v>
      </c>
      <c r="BY11" s="12">
        <f>IF('Données projet'!$A$114&gt;35,BY10+BX11-CG10,IF(A11&lt;'Données projet'!$A$114,$BV$205^A11,IF(A11='Données projet'!$A$114,'Données projet'!$B$114,BY10+BX11-CG10)))</f>
        <v>3.7518399510954725</v>
      </c>
      <c r="BZ11" s="13">
        <f>BY11*VLOOKUP('Données projet'!$B$12,Paramètres!$A$1:$I$89,3,0)*VLOOKUP('Données projet'!$B$12,Paramètres!$A$1:$I$89,5,0)</f>
        <v>1.8534089358411636</v>
      </c>
      <c r="CA11" s="13">
        <f t="shared" si="39"/>
        <v>0.7949347158764386</v>
      </c>
      <c r="CB11" s="20">
        <f t="shared" si="10"/>
        <v>4.6125318600748235</v>
      </c>
      <c r="CC11" s="59">
        <f t="shared" si="11"/>
        <v>271.05697630451925</v>
      </c>
      <c r="CD11" s="59">
        <f ca="1">AVERAGE(OFFSET($CC$3,0,0,'Données projet'!$E$12+1,1))-AVERAGE(OFFSET($H$3,0,0,'Données projet'!$E$12+1,1))</f>
        <v>246.05217890269194</v>
      </c>
      <c r="CE11" s="59">
        <f t="shared" si="40"/>
        <v>155.54297071424327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5.9083916090909092</v>
      </c>
      <c r="CT11" s="12">
        <f>IF('Données projet'!$A$140&gt;35,CT10+CS11-DB10,IF(A11&lt;'Données projet'!$A$140,$CQ$205^A11,IF(A11='Données projet'!$A$140,'Données projet'!$B$140,CT10+CS11-DB10)))</f>
        <v>5.8706742505177196</v>
      </c>
      <c r="CU11" s="17">
        <f>CT11*VLOOKUP('Données projet'!$B$13,Paramètres!$A$1:$I$89,3,0)*VLOOKUP('Données projet'!$B$13,Paramètres!$A$1:$I$89,5,0)</f>
        <v>3.5106632018095967</v>
      </c>
      <c r="CV11" s="13">
        <f t="shared" si="41"/>
        <v>1.3978415095582308</v>
      </c>
      <c r="CW11" s="20">
        <f t="shared" si="13"/>
        <v>8.5489790389656317</v>
      </c>
      <c r="CX11" s="59">
        <f t="shared" si="14"/>
        <v>274.99342348341008</v>
      </c>
      <c r="CY11" s="59">
        <f ca="1">AVERAGE(OFFSET($CX$3,0,0,'Données projet'!$E$13+1,1))-AVERAGE(OFFSET($H$3,0,0,'Données projet'!$E$13+1,1))</f>
        <v>237.036496933921</v>
      </c>
      <c r="CZ11" s="59">
        <f t="shared" si="42"/>
        <v>191.04289413665344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2.5784615383333334</v>
      </c>
      <c r="DO11" s="12">
        <f>IF('Données projet'!$A$166&gt;35,DO10+DN11-DW10,IF(A11&lt;'Données projet'!$A$166,$DL$205^A11,IF(A11='Données projet'!$A$166,'Données projet'!$B$166,DO10+DN11-DW10)))</f>
        <v>3.1885642802682916</v>
      </c>
      <c r="DP11" s="17">
        <f>DO11*VLOOKUP('Données projet'!$B$14,Paramètres!$A$1:$I$89,3,0)*VLOOKUP('Données projet'!$B$14,Paramètres!$A$1:$I$89,5,0)</f>
        <v>1.9067614396004384</v>
      </c>
      <c r="DQ11" s="13">
        <f t="shared" si="43"/>
        <v>0.81512071298374777</v>
      </c>
      <c r="DR11" s="20">
        <f t="shared" si="16"/>
        <v>4.7406114157507906</v>
      </c>
      <c r="DS11" s="59">
        <f t="shared" si="17"/>
        <v>271.18505586019523</v>
      </c>
      <c r="DT11" s="59">
        <f ca="1">AVERAGE(OFFSET($DS$3,0,0,'Données projet'!$E$14+1,1))-AVERAGE(OFFSET($H$3,0,0,'Données projet'!$E$14+1,1))</f>
        <v>148.22129593028302</v>
      </c>
      <c r="DU11" s="59">
        <f t="shared" si="44"/>
        <v>102.97015482019975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4.9927130290993551</v>
      </c>
      <c r="EL11" s="13">
        <f t="shared" si="45"/>
        <v>1.9081050833380053</v>
      </c>
      <c r="EM11" s="20">
        <f t="shared" si="19"/>
        <v>12.018924879161736</v>
      </c>
      <c r="EN11" s="59">
        <f t="shared" si="20"/>
        <v>278.46336932360617</v>
      </c>
      <c r="EO11" s="59">
        <f ca="1">AVERAGE(OFFSET($EN$3,0,0,'Données projet'!$E$15+1,1))-AVERAGE(OFFSET($H$3,0,0,'Données projet'!$E$15+1,1))</f>
        <v>278.53123771916404</v>
      </c>
      <c r="EP11" s="59">
        <f t="shared" si="46"/>
        <v>283.79094702030869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2.5115384615384619</v>
      </c>
      <c r="FE11" s="12">
        <f>IF('Données projet'!$A$218&gt;35,FE10+FD11-FM10,IF(A11&lt;'Données projet'!$A$218,$FB$205^A11,IF(A11='Données projet'!$A$218,'Données projet'!$B$218,FE10+FD11-FM10)))</f>
        <v>3.1662822293565043</v>
      </c>
      <c r="FF11" s="17">
        <f>FE11*VLOOKUP('Données projet'!$B$16,Paramètres!$A$1:$I$89,3,0)*VLOOKUP('Données projet'!$B$16,Paramètres!$A$1:$I$89,5,0)</f>
        <v>2.8648521611217652</v>
      </c>
      <c r="FG11" s="13">
        <f t="shared" si="47"/>
        <v>1.1680127468744104</v>
      </c>
      <c r="FH11" s="20">
        <f t="shared" si="22"/>
        <v>7.0239063814266727</v>
      </c>
      <c r="FI11" s="59">
        <f t="shared" si="23"/>
        <v>273.46835082587114</v>
      </c>
      <c r="FJ11" s="59">
        <f ca="1">AVERAGE(OFFSET($FI$3,0,0,'Données projet'!$E$16+1,1))-AVERAGE(OFFSET($H$3,0,0,'Données projet'!$E$16+1,1))</f>
        <v>335.99493768537013</v>
      </c>
      <c r="FK11" s="59">
        <f t="shared" si="48"/>
        <v>150.85164849522778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3.5</v>
      </c>
      <c r="FZ11" s="12">
        <f>IF('Données projet'!$A$244&gt;35,FZ10+FY11-GH10,IF(A11&lt;'Données projet'!$A$244,$FW$205^A11,IF(A11='Données projet'!$A$244,'Données projet'!$B$244,FZ10+FY11-GH10)))</f>
        <v>17.189151347155779</v>
      </c>
      <c r="GA11" s="17">
        <f>FZ11*VLOOKUP('Données projet'!$B$17,Paramètres!$A$1:$I$89,3,0)*VLOOKUP('Données projet'!$B$17,Paramètres!$A$1:$I$89,5,0)</f>
        <v>15.01644261687529</v>
      </c>
      <c r="GB11" s="13">
        <f t="shared" si="49"/>
        <v>5.0485506745958499</v>
      </c>
      <c r="GC11" s="20">
        <f t="shared" si="25"/>
        <v>34.946529982645565</v>
      </c>
      <c r="GD11" s="59">
        <f t="shared" si="26"/>
        <v>301.39097442709004</v>
      </c>
      <c r="GE11" s="59">
        <f ca="1">AVERAGE(OFFSET($GD$3,0,0,'Données projet'!$E$17+1,1))-AVERAGE(OFFSET($H$3,0,0,'Données projet'!$E$17+1,1))</f>
        <v>319.57811113658374</v>
      </c>
      <c r="GF11" s="59">
        <f t="shared" si="50"/>
        <v>322.03572137403245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10.26553846</v>
      </c>
      <c r="N12" s="13">
        <f>IF('Données projet'!$A$36&gt;35,N11+M12-V11,IF(A12&lt;'Données projet'!$A$36,$K$205^A12,IF(A12='Données projet'!$A$36,'Données projet'!$B$36,N11+M12-V11)))</f>
        <v>7.3681053617116641</v>
      </c>
      <c r="O12" s="13">
        <f>N12*VLOOKUP('Données projet'!$B$9,Paramètres!$A$1:$I$89,3,0)*VLOOKUP('Données projet'!$B$9,Paramètres!$A$1:$I$89,5,0)</f>
        <v>3.5440586789833106</v>
      </c>
      <c r="P12" s="13">
        <f t="shared" si="33"/>
        <v>1.4095843312822476</v>
      </c>
      <c r="Q12" s="20">
        <f t="shared" si="2"/>
        <v>8.6275949095458468</v>
      </c>
      <c r="R12" s="59">
        <f t="shared" si="0"/>
        <v>276.29426157621253</v>
      </c>
      <c r="S12" s="59">
        <f ca="1">AVERAGE(OFFSET($R$3,0,0,'Données projet'!$E$9+1,1))-AVERAGE(OFFSET($H$3,0,0,'Données projet'!$E$9+1,1))</f>
        <v>226.41956082453015</v>
      </c>
      <c r="T12" s="59">
        <f t="shared" si="34"/>
        <v>317.95076157570446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3.2427350426666668</v>
      </c>
      <c r="AI12" s="13">
        <f>IF('Données projet'!$A$62&gt;35,AI11+AH12-AQ11,IF(A12&lt;'Données projet'!$A$62,$AF$205^A12,IF(A12='Données projet'!$A$62,'Données projet'!$B$62,AI11+AH12-AQ11)))</f>
        <v>3.9482970181542241</v>
      </c>
      <c r="AJ12" s="13">
        <f>AI12*VLOOKUP('Données projet'!$B$10,Paramètres!$A$1:$I$89,3,0)*VLOOKUP('Données projet'!$B$10,Paramètres!$A$1:$I$89,5,0)</f>
        <v>3.3876388415763241</v>
      </c>
      <c r="AK12" s="13">
        <f t="shared" si="35"/>
        <v>1.3544692370367761</v>
      </c>
      <c r="AL12" s="20">
        <f t="shared" si="4"/>
        <v>8.2591715702511497</v>
      </c>
      <c r="AM12" s="59">
        <f t="shared" si="5"/>
        <v>275.92583823691785</v>
      </c>
      <c r="AN12" s="59">
        <f ca="1">AVERAGE(OFFSET($AM$3,0,0,'Données projet'!$E$10+1,1))-AVERAGE(OFFSET($H$3,0,0,'Données projet'!$E$10+1,1))</f>
        <v>257.80662231827404</v>
      </c>
      <c r="AO12" s="59">
        <f t="shared" si="36"/>
        <v>184.04558520039876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10.160683761111111</v>
      </c>
      <c r="BD12" s="12">
        <f>IF('Données projet'!$A$88&gt;35,BD11+BC12-BL11,IF(A12&lt;'Données projet'!$A$88,$BA$205^A12,IF(A12='Données projet'!$A$88,'Données projet'!$B$88,BD11+BC12-BL11)))</f>
        <v>13.523768250750232</v>
      </c>
      <c r="BE12" s="13">
        <f>BD12*VLOOKUP('Données projet'!$B$11,Paramètres!$A$1:$I$89,3,0)*VLOOKUP('Données projet'!$B$11,Paramètres!$A$1:$I$89,5,0)</f>
        <v>7.5597864521693792</v>
      </c>
      <c r="BF12" s="13">
        <f t="shared" si="37"/>
        <v>2.7529801730515375</v>
      </c>
      <c r="BG12" s="20">
        <f t="shared" si="7"/>
        <v>17.961401872259763</v>
      </c>
      <c r="BH12" s="59">
        <f t="shared" si="8"/>
        <v>285.62806853892647</v>
      </c>
      <c r="BI12" s="59">
        <f ca="1">AVERAGE(OFFSET($BH$3,0,0,'Données projet'!$E$11+1,1))-AVERAGE(OFFSET($H$3,0,0,'Données projet'!$E$11+1,1))</f>
        <v>300.90952915835157</v>
      </c>
      <c r="BJ12" s="59">
        <f t="shared" si="38"/>
        <v>402.81783992925256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4.7456410266666662</v>
      </c>
      <c r="BY12" s="12">
        <f>IF('Données projet'!$A$114&gt;35,BY11+BX12-CG11,IF(A12&lt;'Données projet'!$A$114,$BV$205^A12,IF(A12='Données projet'!$A$114,'Données projet'!$B$114,BY11+BX12-CG11)))</f>
        <v>4.4261368908053127</v>
      </c>
      <c r="BZ12" s="13">
        <f>BY12*VLOOKUP('Données projet'!$B$12,Paramètres!$A$1:$I$89,3,0)*VLOOKUP('Données projet'!$B$12,Paramètres!$A$1:$I$89,5,0)</f>
        <v>2.1865116240578248</v>
      </c>
      <c r="CA12" s="13">
        <f t="shared" si="39"/>
        <v>0.9199341623473396</v>
      </c>
      <c r="CB12" s="20">
        <f t="shared" si="10"/>
        <v>5.4103930779889948</v>
      </c>
      <c r="CC12" s="59">
        <f t="shared" si="11"/>
        <v>273.07705974465568</v>
      </c>
      <c r="CD12" s="59">
        <f ca="1">AVERAGE(OFFSET($CC$3,0,0,'Données projet'!$E$12+1,1))-AVERAGE(OFFSET($H$3,0,0,'Données projet'!$E$12+1,1))</f>
        <v>246.05217890269194</v>
      </c>
      <c r="CE12" s="59">
        <f t="shared" si="40"/>
        <v>155.54297071424327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5.9083916090909092</v>
      </c>
      <c r="CT12" s="12">
        <f>IF('Données projet'!$A$140&gt;35,CT11+CS12-DB11,IF(A12&lt;'Données projet'!$A$140,$CQ$205^A12,IF(A12='Données projet'!$A$140,'Données projet'!$B$140,CT11+CS12-DB11)))</f>
        <v>7.3244324994672478</v>
      </c>
      <c r="CU12" s="17">
        <f>CT12*VLOOKUP('Données projet'!$B$13,Paramètres!$A$1:$I$89,3,0)*VLOOKUP('Données projet'!$B$13,Paramètres!$A$1:$I$89,5,0)</f>
        <v>4.3800106346814145</v>
      </c>
      <c r="CV12" s="13">
        <f t="shared" si="41"/>
        <v>1.6996500862462813</v>
      </c>
      <c r="CW12" s="20">
        <f t="shared" si="13"/>
        <v>10.588742422282403</v>
      </c>
      <c r="CX12" s="59">
        <f t="shared" si="14"/>
        <v>278.25540908894908</v>
      </c>
      <c r="CY12" s="59">
        <f ca="1">AVERAGE(OFFSET($CX$3,0,0,'Données projet'!$E$13+1,1))-AVERAGE(OFFSET($H$3,0,0,'Données projet'!$E$13+1,1))</f>
        <v>237.036496933921</v>
      </c>
      <c r="CZ12" s="59">
        <f t="shared" si="42"/>
        <v>191.04289413665344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2.5784615383333334</v>
      </c>
      <c r="DO12" s="12">
        <f>IF('Données projet'!$A$166&gt;35,DO11+DN12-DW11,IF(A12&lt;'Données projet'!$A$166,$DL$205^A12,IF(A12='Données projet'!$A$166,'Données projet'!$B$166,DO11+DN12-DW11)))</f>
        <v>3.6859087014238319</v>
      </c>
      <c r="DP12" s="17">
        <f>DO12*VLOOKUP('Données projet'!$B$14,Paramètres!$A$1:$I$89,3,0)*VLOOKUP('Données projet'!$B$14,Paramètres!$A$1:$I$89,5,0)</f>
        <v>2.2041734034514517</v>
      </c>
      <c r="DQ12" s="13">
        <f t="shared" si="43"/>
        <v>0.92649699777475802</v>
      </c>
      <c r="DR12" s="20">
        <f t="shared" si="16"/>
        <v>5.4525842821356489</v>
      </c>
      <c r="DS12" s="59">
        <f t="shared" si="17"/>
        <v>273.11925094880235</v>
      </c>
      <c r="DT12" s="59">
        <f ca="1">AVERAGE(OFFSET($DS$3,0,0,'Données projet'!$E$14+1,1))-AVERAGE(OFFSET($H$3,0,0,'Données projet'!$E$14+1,1))</f>
        <v>148.22129593028302</v>
      </c>
      <c r="DU12" s="59">
        <f t="shared" si="44"/>
        <v>102.97015482019975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6.3456464700054127</v>
      </c>
      <c r="EL12" s="13">
        <f t="shared" si="45"/>
        <v>2.3584123814576028</v>
      </c>
      <c r="EM12" s="20">
        <f t="shared" si="19"/>
        <v>15.159569166298086</v>
      </c>
      <c r="EN12" s="59">
        <f t="shared" si="20"/>
        <v>282.82623583296476</v>
      </c>
      <c r="EO12" s="59">
        <f ca="1">AVERAGE(OFFSET($EN$3,0,0,'Données projet'!$E$15+1,1))-AVERAGE(OFFSET($H$3,0,0,'Données projet'!$E$15+1,1))</f>
        <v>278.53123771916404</v>
      </c>
      <c r="EP12" s="59">
        <f t="shared" si="46"/>
        <v>283.79094702030869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2.5115384615384619</v>
      </c>
      <c r="FE12" s="12">
        <f>IF('Données projet'!$A$218&gt;35,FE11+FD12-FM11,IF(A12&lt;'Données projet'!$A$218,$FB$205^A12,IF(A12='Données projet'!$A$218,'Données projet'!$B$218,FE11+FD12-FM11)))</f>
        <v>3.6569441390556205</v>
      </c>
      <c r="FF12" s="17">
        <f>FE12*VLOOKUP('Données projet'!$B$16,Paramètres!$A$1:$I$89,3,0)*VLOOKUP('Données projet'!$B$16,Paramètres!$A$1:$I$89,5,0)</f>
        <v>3.3088030570175251</v>
      </c>
      <c r="FG12" s="13">
        <f t="shared" si="47"/>
        <v>1.3265795200370261</v>
      </c>
      <c r="FH12" s="20">
        <f t="shared" si="22"/>
        <v>8.0732913217033442</v>
      </c>
      <c r="FI12" s="59">
        <f t="shared" si="23"/>
        <v>275.73995798837001</v>
      </c>
      <c r="FJ12" s="59">
        <f ca="1">AVERAGE(OFFSET($FI$3,0,0,'Données projet'!$E$16+1,1))-AVERAGE(OFFSET($H$3,0,0,'Données projet'!$E$16+1,1))</f>
        <v>335.99493768537013</v>
      </c>
      <c r="FK12" s="59">
        <f t="shared" si="48"/>
        <v>150.85164849522778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3.5</v>
      </c>
      <c r="FZ12" s="12">
        <f>IF('Données projet'!$A$244&gt;35,FZ11+FY12-GH11,IF(A12&lt;'Données projet'!$A$244,$FW$205^A12,IF(A12='Données projet'!$A$244,'Données projet'!$B$244,FZ11+FY12-GH11)))</f>
        <v>24.527949305852133</v>
      </c>
      <c r="GA12" s="17">
        <f>FZ12*VLOOKUP('Données projet'!$B$17,Paramètres!$A$1:$I$89,3,0)*VLOOKUP('Données projet'!$B$17,Paramètres!$A$1:$I$89,5,0)</f>
        <v>21.427616513592426</v>
      </c>
      <c r="GB12" s="13">
        <f t="shared" si="49"/>
        <v>6.9119497511743733</v>
      </c>
      <c r="GC12" s="20">
        <f t="shared" si="25"/>
        <v>49.358077911135503</v>
      </c>
      <c r="GD12" s="59">
        <f t="shared" si="26"/>
        <v>317.02474457780221</v>
      </c>
      <c r="GE12" s="59">
        <f ca="1">AVERAGE(OFFSET($GD$3,0,0,'Données projet'!$E$17+1,1))-AVERAGE(OFFSET($H$3,0,0,'Données projet'!$E$17+1,1))</f>
        <v>319.57811113658374</v>
      </c>
      <c r="GF12" s="59">
        <f t="shared" si="50"/>
        <v>322.03572137403245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10.26553846</v>
      </c>
      <c r="N13" s="13">
        <f>IF('Données projet'!$A$36&gt;35,N12+M13-V12,IF(A13&lt;'Données projet'!$A$36,$K$205^A13,IF(A13='Données projet'!$A$36,'Données projet'!$B$36,N12+M13-V12)))</f>
        <v>9.1987474859261233</v>
      </c>
      <c r="O13" s="13">
        <f>N13*VLOOKUP('Données projet'!$B$9,Paramètres!$A$1:$I$89,3,0)*VLOOKUP('Données projet'!$B$9,Paramètres!$A$1:$I$89,5,0)</f>
        <v>4.4245975407304652</v>
      </c>
      <c r="P13" s="13">
        <f t="shared" si="33"/>
        <v>1.7149289477394916</v>
      </c>
      <c r="Q13" s="20">
        <f t="shared" si="2"/>
        <v>10.693008634085174</v>
      </c>
      <c r="R13" s="59">
        <f t="shared" si="0"/>
        <v>279.58189752297403</v>
      </c>
      <c r="S13" s="59">
        <f ca="1">AVERAGE(OFFSET($R$3,0,0,'Données projet'!$E$9+1,1))-AVERAGE(OFFSET($H$3,0,0,'Données projet'!$E$9+1,1))</f>
        <v>226.41956082453015</v>
      </c>
      <c r="T13" s="59">
        <f t="shared" si="34"/>
        <v>317.95076157570446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3.2427350426666668</v>
      </c>
      <c r="AI13" s="13">
        <f>IF('Données projet'!$A$62&gt;35,AI12+AH13-AQ12,IF(A13&lt;'Données projet'!$A$62,$AF$205^A13,IF(A13='Données projet'!$A$62,'Données projet'!$B$62,AI12+AH13-AQ12)))</f>
        <v>4.5991499891282155</v>
      </c>
      <c r="AJ13" s="13">
        <f>AI13*VLOOKUP('Données projet'!$B$10,Paramètres!$A$1:$I$89,3,0)*VLOOKUP('Données projet'!$B$10,Paramètres!$A$1:$I$89,5,0)</f>
        <v>3.9460706906720096</v>
      </c>
      <c r="AK13" s="13">
        <f t="shared" si="35"/>
        <v>1.5499701558856505</v>
      </c>
      <c r="AL13" s="20">
        <f t="shared" si="4"/>
        <v>9.5722711410879242</v>
      </c>
      <c r="AM13" s="59">
        <f t="shared" si="5"/>
        <v>278.46116002997678</v>
      </c>
      <c r="AN13" s="59">
        <f ca="1">AVERAGE(OFFSET($AM$3,0,0,'Données projet'!$E$10+1,1))-AVERAGE(OFFSET($H$3,0,0,'Données projet'!$E$10+1,1))</f>
        <v>257.80662231827404</v>
      </c>
      <c r="AO13" s="59">
        <f t="shared" si="36"/>
        <v>184.04558520039876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10.160683761111111</v>
      </c>
      <c r="BD13" s="12">
        <f>IF('Données projet'!$A$88&gt;35,BD12+BC13-BL12,IF(A13&lt;'Données projet'!$A$88,$BA$205^A13,IF(A13='Données projet'!$A$88,'Données projet'!$B$88,BD12+BC13-BL12)))</f>
        <v>18.062391209219712</v>
      </c>
      <c r="BE13" s="13">
        <f>BD13*VLOOKUP('Données projet'!$B$11,Paramètres!$A$1:$I$89,3,0)*VLOOKUP('Données projet'!$B$11,Paramètres!$A$1:$I$89,5,0)</f>
        <v>10.09687668595382</v>
      </c>
      <c r="BF13" s="13">
        <f t="shared" si="37"/>
        <v>3.5550993686353061</v>
      </c>
      <c r="BG13" s="20">
        <f t="shared" si="7"/>
        <v>23.777191628409394</v>
      </c>
      <c r="BH13" s="59">
        <f t="shared" si="8"/>
        <v>292.66608051729827</v>
      </c>
      <c r="BI13" s="59">
        <f ca="1">AVERAGE(OFFSET($BH$3,0,0,'Données projet'!$E$11+1,1))-AVERAGE(OFFSET($H$3,0,0,'Données projet'!$E$11+1,1))</f>
        <v>300.90952915835157</v>
      </c>
      <c r="BJ13" s="59">
        <f t="shared" si="38"/>
        <v>402.81783992925256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4.7456410266666662</v>
      </c>
      <c r="BY13" s="12">
        <f>IF('Données projet'!$A$114&gt;35,BY12+BX13-CG12,IF(A13&lt;'Données projet'!$A$114,$BV$205^A13,IF(A13='Données projet'!$A$114,'Données projet'!$B$114,BY12+BX13-CG12)))</f>
        <v>5.2216213995022827</v>
      </c>
      <c r="BZ13" s="13">
        <f>BY13*VLOOKUP('Données projet'!$B$12,Paramètres!$A$1:$I$89,3,0)*VLOOKUP('Données projet'!$B$12,Paramètres!$A$1:$I$89,5,0)</f>
        <v>2.579480971354128</v>
      </c>
      <c r="CA13" s="13">
        <f t="shared" si="39"/>
        <v>1.0645891368835918</v>
      </c>
      <c r="CB13" s="20">
        <f t="shared" si="10"/>
        <v>6.3467554385140295</v>
      </c>
      <c r="CC13" s="59">
        <f t="shared" si="11"/>
        <v>275.23564432740289</v>
      </c>
      <c r="CD13" s="59">
        <f ca="1">AVERAGE(OFFSET($CC$3,0,0,'Données projet'!$E$12+1,1))-AVERAGE(OFFSET($H$3,0,0,'Données projet'!$E$12+1,1))</f>
        <v>246.05217890269194</v>
      </c>
      <c r="CE13" s="59">
        <f t="shared" si="40"/>
        <v>155.54297071424327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5.9083916090909092</v>
      </c>
      <c r="CT13" s="12">
        <f>IF('Données projet'!$A$140&gt;35,CT12+CS13-DB12,IF(A13&lt;'Données projet'!$A$140,$CQ$205^A13,IF(A13='Données projet'!$A$140,'Données projet'!$B$140,CT12+CS13-DB12)))</f>
        <v>9.1381856921325557</v>
      </c>
      <c r="CU13" s="17">
        <f>CT13*VLOOKUP('Données projet'!$B$13,Paramètres!$A$1:$I$89,3,0)*VLOOKUP('Données projet'!$B$13,Paramètres!$A$1:$I$89,5,0)</f>
        <v>5.4646350438952682</v>
      </c>
      <c r="CV13" s="13">
        <f t="shared" si="41"/>
        <v>2.0666222858054635</v>
      </c>
      <c r="CW13" s="20">
        <f t="shared" si="13"/>
        <v>13.116939849228773</v>
      </c>
      <c r="CX13" s="59">
        <f t="shared" si="14"/>
        <v>282.00582873811766</v>
      </c>
      <c r="CY13" s="59">
        <f ca="1">AVERAGE(OFFSET($CX$3,0,0,'Données projet'!$E$13+1,1))-AVERAGE(OFFSET($H$3,0,0,'Données projet'!$E$13+1,1))</f>
        <v>237.036496933921</v>
      </c>
      <c r="CZ13" s="59">
        <f t="shared" si="42"/>
        <v>191.04289413665344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2.5784615383333334</v>
      </c>
      <c r="DO13" s="12">
        <f>IF('Données projet'!$A$166&gt;35,DO12+DN13-DW12,IF(A13&lt;'Données projet'!$A$166,$DL$205^A13,IF(A13='Données projet'!$A$166,'Données projet'!$B$166,DO12+DN13-DW12)))</f>
        <v>4.2608276832633818</v>
      </c>
      <c r="DP13" s="17">
        <f>DO13*VLOOKUP('Données projet'!$B$14,Paramètres!$A$1:$I$89,3,0)*VLOOKUP('Données projet'!$B$14,Paramètres!$A$1:$I$89,5,0)</f>
        <v>2.5479749545915027</v>
      </c>
      <c r="DQ13" s="13">
        <f t="shared" si="43"/>
        <v>1.0530914908829641</v>
      </c>
      <c r="DR13" s="20">
        <f t="shared" si="16"/>
        <v>6.2718573925346961</v>
      </c>
      <c r="DS13" s="59">
        <f t="shared" si="17"/>
        <v>275.16074628142354</v>
      </c>
      <c r="DT13" s="59">
        <f ca="1">AVERAGE(OFFSET($DS$3,0,0,'Données projet'!$E$14+1,1))-AVERAGE(OFFSET($H$3,0,0,'Données projet'!$E$14+1,1))</f>
        <v>148.22129593028302</v>
      </c>
      <c r="DU13" s="59">
        <f t="shared" si="44"/>
        <v>102.97015482019975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8.0652000000000008</v>
      </c>
      <c r="EL13" s="13">
        <f t="shared" si="45"/>
        <v>2.9149909035839161</v>
      </c>
      <c r="EM13" s="20">
        <f t="shared" si="19"/>
        <v>19.123832490408656</v>
      </c>
      <c r="EN13" s="59">
        <f t="shared" si="20"/>
        <v>288.01272137929749</v>
      </c>
      <c r="EO13" s="59">
        <f ca="1">AVERAGE(OFFSET($EN$3,0,0,'Données projet'!$E$15+1,1))-AVERAGE(OFFSET($H$3,0,0,'Données projet'!$E$15+1,1))</f>
        <v>278.53123771916404</v>
      </c>
      <c r="EP13" s="59">
        <f t="shared" si="46"/>
        <v>283.79094702030869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2.5115384615384619</v>
      </c>
      <c r="FE13" s="12">
        <f>IF('Données projet'!$A$218&gt;35,FE12+FD13-FM12,IF(A13&lt;'Données projet'!$A$218,$FB$205^A13,IF(A13='Données projet'!$A$218,'Données projet'!$B$218,FE12+FD13-FM12)))</f>
        <v>4.2236413141513127</v>
      </c>
      <c r="FF13" s="17">
        <f>FE13*VLOOKUP('Données projet'!$B$16,Paramètres!$A$1:$I$89,3,0)*VLOOKUP('Données projet'!$B$16,Paramètres!$A$1:$I$89,5,0)</f>
        <v>3.8215506610441077</v>
      </c>
      <c r="FG13" s="13">
        <f t="shared" si="47"/>
        <v>1.5066729602831042</v>
      </c>
      <c r="FH13" s="20">
        <f t="shared" si="22"/>
        <v>9.2799894738115594</v>
      </c>
      <c r="FI13" s="59">
        <f t="shared" si="23"/>
        <v>278.16887836270041</v>
      </c>
      <c r="FJ13" s="59">
        <f ca="1">AVERAGE(OFFSET($FI$3,0,0,'Données projet'!$E$16+1,1))-AVERAGE(OFFSET($H$3,0,0,'Données projet'!$E$16+1,1))</f>
        <v>335.99493768537013</v>
      </c>
      <c r="FK13" s="59">
        <f t="shared" si="48"/>
        <v>150.85164849522778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35</v>
      </c>
      <c r="FX13" s="12">
        <f>VLOOKUP(A13,'Données projet'!$A$243:$I$263,9,0)</f>
        <v>3.5</v>
      </c>
      <c r="FY13" s="12">
        <f t="array" ref="FY13">INDEX(FX:FX,MIN(IF(ISNUMBER(FX13:FX209),ROW(FX13:FX209),"")))</f>
        <v>3.5</v>
      </c>
      <c r="FZ13" s="12">
        <f>IF('Données projet'!$A$244&gt;35,FZ12+FY13-GH12,IF(A13&lt;'Données projet'!$A$244,$FW$205^A13,IF(A13='Données projet'!$A$244,'Données projet'!$B$244,FZ12+FY13-GH12)))</f>
        <v>35</v>
      </c>
      <c r="GA13" s="17">
        <f>FZ13*VLOOKUP('Données projet'!$B$17,Paramètres!$A$1:$I$89,3,0)*VLOOKUP('Données projet'!$B$17,Paramètres!$A$1:$I$89,5,0)</f>
        <v>30.576000000000004</v>
      </c>
      <c r="GB13" s="13">
        <f t="shared" si="49"/>
        <v>9.4631216842413863</v>
      </c>
      <c r="GC13" s="20">
        <f t="shared" si="25"/>
        <v>69.734803600053766</v>
      </c>
      <c r="GD13" s="59">
        <f t="shared" si="26"/>
        <v>338.62369248894265</v>
      </c>
      <c r="GE13" s="59">
        <f ca="1">AVERAGE(OFFSET($GD$3,0,0,'Données projet'!$E$17+1,1))-AVERAGE(OFFSET($H$3,0,0,'Données projet'!$E$17+1,1))</f>
        <v>319.57811113658374</v>
      </c>
      <c r="GF13" s="59">
        <f t="shared" si="50"/>
        <v>322.03572137403245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10.26553846</v>
      </c>
      <c r="N14" s="13">
        <f>IF('Données projet'!$A$36&gt;35,N13+M14-V13,IF(A14&lt;'Données projet'!$A$36,$K$205^A14,IF(A14='Données projet'!$A$36,'Données projet'!$B$36,N13+M14-V13)))</f>
        <v>11.484221676517265</v>
      </c>
      <c r="O14" s="13">
        <f>N14*VLOOKUP('Données projet'!$B$9,Paramètres!$A$1:$I$89,3,0)*VLOOKUP('Données projet'!$B$9,Paramètres!$A$1:$I$89,5,0)</f>
        <v>5.5239106264048052</v>
      </c>
      <c r="P14" s="13">
        <f t="shared" si="33"/>
        <v>2.0864174143590097</v>
      </c>
      <c r="Q14" s="20">
        <f t="shared" si="2"/>
        <v>13.254654670996976</v>
      </c>
      <c r="R14" s="59">
        <f t="shared" si="0"/>
        <v>283.3657657821081</v>
      </c>
      <c r="S14" s="59">
        <f ca="1">AVERAGE(OFFSET($R$3,0,0,'Données projet'!$E$9+1,1))-AVERAGE(OFFSET($H$3,0,0,'Données projet'!$E$9+1,1))</f>
        <v>226.41956082453015</v>
      </c>
      <c r="T14" s="59">
        <f t="shared" si="34"/>
        <v>317.95076157570446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3.2427350426666668</v>
      </c>
      <c r="AI14" s="13">
        <f>IF('Données projet'!$A$62&gt;35,AI13+AH14-AQ13,IF(A14&lt;'Données projet'!$A$62,$AF$205^A14,IF(A14='Données projet'!$A$62,'Données projet'!$B$62,AI13+AH14-AQ13)))</f>
        <v>5.3572921503221718</v>
      </c>
      <c r="AJ14" s="13">
        <f>AI14*VLOOKUP('Données projet'!$B$10,Paramètres!$A$1:$I$89,3,0)*VLOOKUP('Données projet'!$B$10,Paramètres!$A$1:$I$89,5,0)</f>
        <v>4.5965566649764238</v>
      </c>
      <c r="AK14" s="13">
        <f t="shared" si="35"/>
        <v>1.7736892196917111</v>
      </c>
      <c r="AL14" s="20">
        <f t="shared" si="4"/>
        <v>11.094844915797003</v>
      </c>
      <c r="AM14" s="59">
        <f t="shared" si="5"/>
        <v>281.20595602690815</v>
      </c>
      <c r="AN14" s="59">
        <f ca="1">AVERAGE(OFFSET($AM$3,0,0,'Données projet'!$E$10+1,1))-AVERAGE(OFFSET($H$3,0,0,'Données projet'!$E$10+1,1))</f>
        <v>257.80662231827404</v>
      </c>
      <c r="AO14" s="59">
        <f t="shared" si="36"/>
        <v>184.04558520039876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10.160683761111111</v>
      </c>
      <c r="BD14" s="12">
        <f>IF('Données projet'!$A$88&gt;35,BD13+BC14-BL13,IF(A14&lt;'Données projet'!$A$88,$BA$205^A14,IF(A14='Données projet'!$A$88,'Données projet'!$B$88,BD13+BC14-BL13)))</f>
        <v>24.124191582238836</v>
      </c>
      <c r="BE14" s="13">
        <f>BD14*VLOOKUP('Données projet'!$B$11,Paramètres!$A$1:$I$89,3,0)*VLOOKUP('Données projet'!$B$11,Paramètres!$A$1:$I$89,5,0)</f>
        <v>13.485423094471511</v>
      </c>
      <c r="BF14" s="13">
        <f t="shared" si="37"/>
        <v>4.5909271866864776</v>
      </c>
      <c r="BG14" s="20">
        <f t="shared" si="7"/>
        <v>31.482976739683497</v>
      </c>
      <c r="BH14" s="59">
        <f t="shared" si="8"/>
        <v>301.59408785079466</v>
      </c>
      <c r="BI14" s="59">
        <f ca="1">AVERAGE(OFFSET($BH$3,0,0,'Données projet'!$E$11+1,1))-AVERAGE(OFFSET($H$3,0,0,'Données projet'!$E$11+1,1))</f>
        <v>300.90952915835157</v>
      </c>
      <c r="BJ14" s="59">
        <f t="shared" si="38"/>
        <v>402.81783992925256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4.7456410266666662</v>
      </c>
      <c r="BY14" s="12">
        <f>IF('Données projet'!$A$114&gt;35,BY13+BX14-CG13,IF(A14&lt;'Données projet'!$A$114,$BV$205^A14,IF(A14='Données projet'!$A$114,'Données projet'!$B$114,BY13+BX14-CG13)))</f>
        <v>6.1600738324158328</v>
      </c>
      <c r="BZ14" s="13">
        <f>BY14*VLOOKUP('Données projet'!$B$12,Paramètres!$A$1:$I$89,3,0)*VLOOKUP('Données projet'!$B$12,Paramètres!$A$1:$I$89,5,0)</f>
        <v>3.0430764732134219</v>
      </c>
      <c r="CA14" s="13">
        <f t="shared" si="39"/>
        <v>1.231990371439899</v>
      </c>
      <c r="CB14" s="20">
        <f t="shared" si="10"/>
        <v>7.4457414211045334</v>
      </c>
      <c r="CC14" s="59">
        <f t="shared" si="11"/>
        <v>277.55685253221566</v>
      </c>
      <c r="CD14" s="59">
        <f ca="1">AVERAGE(OFFSET($CC$3,0,0,'Données projet'!$E$12+1,1))-AVERAGE(OFFSET($H$3,0,0,'Données projet'!$E$12+1,1))</f>
        <v>246.05217890269194</v>
      </c>
      <c r="CE14" s="59">
        <f t="shared" si="40"/>
        <v>155.54297071424327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5.9083916090909092</v>
      </c>
      <c r="CT14" s="12">
        <f>IF('Données projet'!$A$140&gt;35,CT13+CS14-DB13,IF(A14&lt;'Données projet'!$A$140,$CQ$205^A14,IF(A14='Données projet'!$A$140,'Données projet'!$B$140,CT13+CS14-DB13)))</f>
        <v>11.401079571689696</v>
      </c>
      <c r="CU14" s="17">
        <f>CT14*VLOOKUP('Données projet'!$B$13,Paramètres!$A$1:$I$89,3,0)*VLOOKUP('Données projet'!$B$13,Paramètres!$A$1:$I$89,5,0)</f>
        <v>6.8178455838704384</v>
      </c>
      <c r="CV14" s="13">
        <f t="shared" si="41"/>
        <v>2.5128276147829034</v>
      </c>
      <c r="CW14" s="20">
        <f t="shared" si="13"/>
        <v>16.25092248765457</v>
      </c>
      <c r="CX14" s="59">
        <f t="shared" si="14"/>
        <v>286.36203359876572</v>
      </c>
      <c r="CY14" s="59">
        <f ca="1">AVERAGE(OFFSET($CX$3,0,0,'Données projet'!$E$13+1,1))-AVERAGE(OFFSET($H$3,0,0,'Données projet'!$E$13+1,1))</f>
        <v>237.036496933921</v>
      </c>
      <c r="CZ14" s="59">
        <f t="shared" si="42"/>
        <v>191.04289413665344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2.5784615383333334</v>
      </c>
      <c r="DO14" s="12">
        <f>IF('Données projet'!$A$166&gt;35,DO13+DN14-DW13,IF(A14&lt;'Données projet'!$A$166,$DL$205^A14,IF(A14='Données projet'!$A$166,'Données projet'!$B$166,DO13+DN14-DW13)))</f>
        <v>4.9254211151379375</v>
      </c>
      <c r="DP14" s="17">
        <f>DO14*VLOOKUP('Données projet'!$B$14,Paramètres!$A$1:$I$89,3,0)*VLOOKUP('Données projet'!$B$14,Paramètres!$A$1:$I$89,5,0)</f>
        <v>2.9454018268524864</v>
      </c>
      <c r="DQ14" s="13">
        <f t="shared" si="43"/>
        <v>1.1969835745109612</v>
      </c>
      <c r="DR14" s="20">
        <f t="shared" si="16"/>
        <v>7.2146545740413366</v>
      </c>
      <c r="DS14" s="59">
        <f t="shared" si="17"/>
        <v>277.32576568515248</v>
      </c>
      <c r="DT14" s="59">
        <f ca="1">AVERAGE(OFFSET($DS$3,0,0,'Données projet'!$E$14+1,1))-AVERAGE(OFFSET($H$3,0,0,'Données projet'!$E$14+1,1))</f>
        <v>148.22129593028302</v>
      </c>
      <c r="DU14" s="59">
        <f t="shared" si="44"/>
        <v>102.97015482019975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15.983760000000002</v>
      </c>
      <c r="EL14" s="13">
        <f t="shared" si="45"/>
        <v>5.3348570279475842</v>
      </c>
      <c r="EM14" s="20">
        <f t="shared" si="19"/>
        <v>37.129924657008708</v>
      </c>
      <c r="EN14" s="59">
        <f t="shared" si="20"/>
        <v>307.24103576811984</v>
      </c>
      <c r="EO14" s="59">
        <f ca="1">AVERAGE(OFFSET($EN$3,0,0,'Données projet'!$E$15+1,1))-AVERAGE(OFFSET($H$3,0,0,'Données projet'!$E$15+1,1))</f>
        <v>278.53123771916404</v>
      </c>
      <c r="EP14" s="59">
        <f t="shared" si="46"/>
        <v>283.79094702030869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2.5115384615384619</v>
      </c>
      <c r="FE14" s="12">
        <f>IF('Données projet'!$A$218&gt;35,FE13+FD14-FM13,IF(A14&lt;'Données projet'!$A$218,$FB$205^A14,IF(A14='Données projet'!$A$218,'Données projet'!$B$218,FE13+FD14-FM13)))</f>
        <v>4.8781565351481309</v>
      </c>
      <c r="FF14" s="17">
        <f>FE14*VLOOKUP('Données projet'!$B$16,Paramètres!$A$1:$I$89,3,0)*VLOOKUP('Données projet'!$B$16,Paramètres!$A$1:$I$89,5,0)</f>
        <v>4.413756033002028</v>
      </c>
      <c r="FG14" s="13">
        <f t="shared" si="47"/>
        <v>1.7112154793290431</v>
      </c>
      <c r="FH14" s="20">
        <f t="shared" si="22"/>
        <v>10.66765871730995</v>
      </c>
      <c r="FI14" s="59">
        <f t="shared" si="23"/>
        <v>280.7787698284211</v>
      </c>
      <c r="FJ14" s="59">
        <f ca="1">AVERAGE(OFFSET($FI$3,0,0,'Données projet'!$E$16+1,1))-AVERAGE(OFFSET($H$3,0,0,'Données projet'!$E$16+1,1))</f>
        <v>335.99493768537013</v>
      </c>
      <c r="FK14" s="59">
        <f t="shared" si="48"/>
        <v>150.85164849522778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10.6</v>
      </c>
      <c r="FZ14" s="12">
        <f>IF('Données projet'!$A$244&gt;35,FZ13+FY14-GH13,IF(A14&lt;'Données projet'!$A$244,$FW$205^A14,IF(A14='Données projet'!$A$244,'Données projet'!$B$244,FZ13+FY14-GH13)))</f>
        <v>45.6</v>
      </c>
      <c r="GA14" s="17">
        <f>FZ14*VLOOKUP('Données projet'!$B$17,Paramètres!$A$1:$I$89,3,0)*VLOOKUP('Données projet'!$B$17,Paramètres!$A$1:$I$89,5,0)</f>
        <v>39.836160000000007</v>
      </c>
      <c r="GB14" s="13">
        <f t="shared" si="49"/>
        <v>11.955210728675533</v>
      </c>
      <c r="GC14" s="20">
        <f t="shared" si="25"/>
        <v>90.203304019109893</v>
      </c>
      <c r="GD14" s="59">
        <f t="shared" si="26"/>
        <v>360.31441513022105</v>
      </c>
      <c r="GE14" s="59">
        <f ca="1">AVERAGE(OFFSET($GD$3,0,0,'Données projet'!$E$17+1,1))-AVERAGE(OFFSET($H$3,0,0,'Données projet'!$E$17+1,1))</f>
        <v>319.57811113658374</v>
      </c>
      <c r="GF14" s="59">
        <f t="shared" si="50"/>
        <v>322.03572137403245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10.26553846</v>
      </c>
      <c r="N15" s="13">
        <f>IF('Données projet'!$A$36&gt;35,N14+M15-V14,IF(A15&lt;'Données projet'!$A$36,$K$205^A15,IF(A15='Données projet'!$A$36,'Données projet'!$B$36,N14+M15-V14)))</f>
        <v>14.337533204077371</v>
      </c>
      <c r="O15" s="13">
        <f>N15*VLOOKUP('Données projet'!$B$9,Paramètres!$A$1:$I$89,3,0)*VLOOKUP('Données projet'!$B$9,Paramètres!$A$1:$I$89,5,0)</f>
        <v>6.8963534711612153</v>
      </c>
      <c r="P15" s="13">
        <f t="shared" si="33"/>
        <v>2.5383778334831644</v>
      </c>
      <c r="Q15" s="20">
        <f t="shared" si="2"/>
        <v>16.432157022255627</v>
      </c>
      <c r="R15" s="59">
        <f t="shared" si="0"/>
        <v>287.76549035558895</v>
      </c>
      <c r="S15" s="59">
        <f ca="1">AVERAGE(OFFSET($R$3,0,0,'Données projet'!$E$9+1,1))-AVERAGE(OFFSET($H$3,0,0,'Données projet'!$E$9+1,1))</f>
        <v>226.41956082453015</v>
      </c>
      <c r="T15" s="59">
        <f t="shared" si="34"/>
        <v>317.95076157570446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3.2427350426666668</v>
      </c>
      <c r="AI15" s="13">
        <f>IF('Données projet'!$A$62&gt;35,AI14+AH15-AQ14,IF(A15&lt;'Données projet'!$A$62,$AF$205^A15,IF(A15='Données projet'!$A$62,'Données projet'!$B$62,AI14+AH15-AQ14)))</f>
        <v>6.2404094782183543</v>
      </c>
      <c r="AJ15" s="13">
        <f>AI15*VLOOKUP('Données projet'!$B$10,Paramètres!$A$1:$I$89,3,0)*VLOOKUP('Données projet'!$B$10,Paramètres!$A$1:$I$89,5,0)</f>
        <v>5.3542713323113489</v>
      </c>
      <c r="AK15" s="13">
        <f t="shared" si="35"/>
        <v>2.0296993694391405</v>
      </c>
      <c r="AL15" s="20">
        <f t="shared" si="4"/>
        <v>12.860415638882102</v>
      </c>
      <c r="AM15" s="59">
        <f t="shared" si="5"/>
        <v>284.19374897221542</v>
      </c>
      <c r="AN15" s="59">
        <f ca="1">AVERAGE(OFFSET($AM$3,0,0,'Données projet'!$E$10+1,1))-AVERAGE(OFFSET($H$3,0,0,'Données projet'!$E$10+1,1))</f>
        <v>257.80662231827404</v>
      </c>
      <c r="AO15" s="59">
        <f t="shared" si="36"/>
        <v>184.04558520039876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10.160683761111111</v>
      </c>
      <c r="BD15" s="12">
        <f>IF('Données projet'!$A$88&gt;35,BD14+BC15-BL14,IF(A15&lt;'Données projet'!$A$88,$BA$205^A15,IF(A15='Données projet'!$A$88,'Données projet'!$B$88,BD14+BC15-BL14)))</f>
        <v>32.220352928658791</v>
      </c>
      <c r="BE15" s="13">
        <f>BD15*VLOOKUP('Données projet'!$B$11,Paramètres!$A$1:$I$89,3,0)*VLOOKUP('Données projet'!$B$11,Paramètres!$A$1:$I$89,5,0)</f>
        <v>18.011177287120265</v>
      </c>
      <c r="BF15" s="13">
        <f t="shared" si="37"/>
        <v>5.928557896132082</v>
      </c>
      <c r="BG15" s="20">
        <f t="shared" si="7"/>
        <v>41.695038777497835</v>
      </c>
      <c r="BH15" s="59">
        <f t="shared" si="8"/>
        <v>313.02837211083113</v>
      </c>
      <c r="BI15" s="59">
        <f ca="1">AVERAGE(OFFSET($BH$3,0,0,'Données projet'!$E$11+1,1))-AVERAGE(OFFSET($H$3,0,0,'Données projet'!$E$11+1,1))</f>
        <v>300.90952915835157</v>
      </c>
      <c r="BJ15" s="59">
        <f t="shared" si="38"/>
        <v>402.81783992925256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4.7456410266666662</v>
      </c>
      <c r="BY15" s="12">
        <f>IF('Données projet'!$A$114&gt;35,BY14+BX15-CG14,IF(A15&lt;'Données projet'!$A$114,$BV$205^A15,IF(A15='Données projet'!$A$114,'Données projet'!$B$114,BY14+BX15-CG14)))</f>
        <v>7.2671890046320273</v>
      </c>
      <c r="BZ15" s="13">
        <f>BY15*VLOOKUP('Données projet'!$B$12,Paramètres!$A$1:$I$89,3,0)*VLOOKUP('Données projet'!$B$12,Paramètres!$A$1:$I$89,5,0)</f>
        <v>3.5899913682882216</v>
      </c>
      <c r="CA15" s="13">
        <f t="shared" si="39"/>
        <v>1.4257145998725187</v>
      </c>
      <c r="CB15" s="20">
        <f t="shared" si="10"/>
        <v>8.7356878945466221</v>
      </c>
      <c r="CC15" s="59">
        <f t="shared" si="11"/>
        <v>280.06902122787994</v>
      </c>
      <c r="CD15" s="59">
        <f ca="1">AVERAGE(OFFSET($CC$3,0,0,'Données projet'!$E$12+1,1))-AVERAGE(OFFSET($H$3,0,0,'Données projet'!$E$12+1,1))</f>
        <v>246.05217890269194</v>
      </c>
      <c r="CE15" s="59">
        <f t="shared" si="40"/>
        <v>155.54297071424327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5.9083916090909092</v>
      </c>
      <c r="CT15" s="12">
        <f>IF('Données projet'!$A$140&gt;35,CT14+CS15-DB14,IF(A15&lt;'Données projet'!$A$140,$CQ$205^A15,IF(A15='Données projet'!$A$140,'Données projet'!$B$140,CT14+CS15-DB14)))</f>
        <v>14.224335090050673</v>
      </c>
      <c r="CU15" s="17">
        <f>CT15*VLOOKUP('Données projet'!$B$13,Paramètres!$A$1:$I$89,3,0)*VLOOKUP('Données projet'!$B$13,Paramètres!$A$1:$I$89,5,0)</f>
        <v>8.5061523838503028</v>
      </c>
      <c r="CV15" s="13">
        <f t="shared" si="41"/>
        <v>3.0553733330880752</v>
      </c>
      <c r="CW15" s="20">
        <f t="shared" si="13"/>
        <v>20.136323957001007</v>
      </c>
      <c r="CX15" s="59">
        <f t="shared" si="14"/>
        <v>291.46965729033434</v>
      </c>
      <c r="CY15" s="59">
        <f ca="1">AVERAGE(OFFSET($CX$3,0,0,'Données projet'!$E$13+1,1))-AVERAGE(OFFSET($H$3,0,0,'Données projet'!$E$13+1,1))</f>
        <v>237.036496933921</v>
      </c>
      <c r="CZ15" s="59">
        <f t="shared" si="42"/>
        <v>191.04289413665344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2.5784615383333334</v>
      </c>
      <c r="DO15" s="12">
        <f>IF('Données projet'!$A$166&gt;35,DO14+DN15-DW14,IF(A15&lt;'Données projet'!$A$166,$DL$205^A15,IF(A15='Données projet'!$A$166,'Données projet'!$B$166,DO14+DN15-DW14)))</f>
        <v>5.6936761974063241</v>
      </c>
      <c r="DP15" s="17">
        <f>DO15*VLOOKUP('Données projet'!$B$14,Paramètres!$A$1:$I$89,3,0)*VLOOKUP('Données projet'!$B$14,Paramètres!$A$1:$I$89,5,0)</f>
        <v>3.4048183660489824</v>
      </c>
      <c r="DQ15" s="13">
        <f t="shared" si="43"/>
        <v>1.3605367530296288</v>
      </c>
      <c r="DR15" s="20">
        <f t="shared" si="16"/>
        <v>8.2996601657285805</v>
      </c>
      <c r="DS15" s="59">
        <f t="shared" si="17"/>
        <v>279.63299349906191</v>
      </c>
      <c r="DT15" s="59">
        <f ca="1">AVERAGE(OFFSET($DS$3,0,0,'Données projet'!$E$14+1,1))-AVERAGE(OFFSET($H$3,0,0,'Données projet'!$E$14+1,1))</f>
        <v>148.22129593028302</v>
      </c>
      <c r="DU15" s="59">
        <f t="shared" si="44"/>
        <v>102.97015482019975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23.90232</v>
      </c>
      <c r="EL15" s="13">
        <f t="shared" si="45"/>
        <v>7.6127522913266521</v>
      </c>
      <c r="EM15" s="20">
        <f t="shared" si="19"/>
        <v>54.88875090739392</v>
      </c>
      <c r="EN15" s="59">
        <f t="shared" si="20"/>
        <v>326.22208424072721</v>
      </c>
      <c r="EO15" s="59">
        <f ca="1">AVERAGE(OFFSET($EN$3,0,0,'Données projet'!$E$15+1,1))-AVERAGE(OFFSET($H$3,0,0,'Données projet'!$E$15+1,1))</f>
        <v>278.53123771916404</v>
      </c>
      <c r="EP15" s="59">
        <f t="shared" si="46"/>
        <v>283.79094702030869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2.5115384615384619</v>
      </c>
      <c r="FE15" s="12">
        <f>IF('Données projet'!$A$218&gt;35,FE14+FD15-FM14,IF(A15&lt;'Données projet'!$A$218,$FB$205^A15,IF(A15='Données projet'!$A$218,'Données projet'!$B$218,FE14+FD15-FM14)))</f>
        <v>5.6340984973507391</v>
      </c>
      <c r="FF15" s="17">
        <f>FE15*VLOOKUP('Données projet'!$B$16,Paramètres!$A$1:$I$89,3,0)*VLOOKUP('Données projet'!$B$16,Paramètres!$A$1:$I$89,5,0)</f>
        <v>5.0977323204029483</v>
      </c>
      <c r="FG15" s="13">
        <f t="shared" si="47"/>
        <v>1.9435262289071051</v>
      </c>
      <c r="FH15" s="20">
        <f t="shared" si="22"/>
        <v>12.26352530671501</v>
      </c>
      <c r="FI15" s="59">
        <f t="shared" si="23"/>
        <v>283.59685864004831</v>
      </c>
      <c r="FJ15" s="59">
        <f ca="1">AVERAGE(OFFSET($FI$3,0,0,'Données projet'!$E$16+1,1))-AVERAGE(OFFSET($H$3,0,0,'Données projet'!$E$16+1,1))</f>
        <v>335.99493768537013</v>
      </c>
      <c r="FK15" s="59">
        <f t="shared" si="48"/>
        <v>150.85164849522778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10.6</v>
      </c>
      <c r="FZ15" s="12">
        <f>IF('Données projet'!$A$244&gt;35,FZ14+FY15-GH14,IF(A15&lt;'Données projet'!$A$244,$FW$205^A15,IF(A15='Données projet'!$A$244,'Données projet'!$B$244,FZ14+FY15-GH14)))</f>
        <v>56.2</v>
      </c>
      <c r="GA15" s="17">
        <f>FZ15*VLOOKUP('Données projet'!$B$17,Paramètres!$A$1:$I$89,3,0)*VLOOKUP('Données projet'!$B$17,Paramètres!$A$1:$I$89,5,0)</f>
        <v>49.096320000000006</v>
      </c>
      <c r="GB15" s="13">
        <f t="shared" si="49"/>
        <v>14.380133207801931</v>
      </c>
      <c r="GC15" s="20">
        <f t="shared" si="25"/>
        <v>110.55482267025504</v>
      </c>
      <c r="GD15" s="59">
        <f t="shared" si="26"/>
        <v>381.88815600358834</v>
      </c>
      <c r="GE15" s="59">
        <f ca="1">AVERAGE(OFFSET($GD$3,0,0,'Données projet'!$E$17+1,1))-AVERAGE(OFFSET($H$3,0,0,'Données projet'!$E$17+1,1))</f>
        <v>319.57811113658374</v>
      </c>
      <c r="GF15" s="59">
        <f t="shared" si="50"/>
        <v>322.03572137403245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10.26553846</v>
      </c>
      <c r="N16" s="13">
        <f>IF('Données projet'!$A$36&gt;35,N15+M16-V15,IF(A16&lt;'Données projet'!$A$36,$K$205^A16,IF(A16='Données projet'!$A$36,'Données projet'!$B$36,N15+M16-V15)))</f>
        <v>17.89976405613595</v>
      </c>
      <c r="O16" s="13">
        <f>N16*VLOOKUP('Données projet'!$B$9,Paramètres!$A$1:$I$89,3,0)*VLOOKUP('Données projet'!$B$9,Paramètres!$A$1:$I$89,5,0)</f>
        <v>8.609786511001392</v>
      </c>
      <c r="P16" s="13">
        <f t="shared" si="33"/>
        <v>3.0882420656454386</v>
      </c>
      <c r="Q16" s="20">
        <f t="shared" si="2"/>
        <v>20.374066437659895</v>
      </c>
      <c r="R16" s="59">
        <f t="shared" si="0"/>
        <v>292.92962199321545</v>
      </c>
      <c r="S16" s="59">
        <f ca="1">AVERAGE(OFFSET($R$3,0,0,'Données projet'!$E$9+1,1))-AVERAGE(OFFSET($H$3,0,0,'Données projet'!$E$9+1,1))</f>
        <v>226.41956082453015</v>
      </c>
      <c r="T16" s="59">
        <f t="shared" si="34"/>
        <v>317.95076157570446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3.2427350426666668</v>
      </c>
      <c r="AI16" s="13">
        <f>IF('Données projet'!$A$62&gt;35,AI15+AH16-AQ15,IF(A16&lt;'Données projet'!$A$62,$AF$205^A16,IF(A16='Données projet'!$A$62,'Données projet'!$B$62,AI15+AH16-AQ15)))</f>
        <v>7.2691033759462931</v>
      </c>
      <c r="AJ16" s="13">
        <f>AI16*VLOOKUP('Données projet'!$B$10,Paramètres!$A$1:$I$89,3,0)*VLOOKUP('Données projet'!$B$10,Paramètres!$A$1:$I$89,5,0)</f>
        <v>6.23689069656192</v>
      </c>
      <c r="AK16" s="13">
        <f t="shared" si="35"/>
        <v>2.3226614248789845</v>
      </c>
      <c r="AL16" s="20">
        <f t="shared" si="4"/>
        <v>14.907886611509575</v>
      </c>
      <c r="AM16" s="59">
        <f t="shared" si="5"/>
        <v>287.46344216706512</v>
      </c>
      <c r="AN16" s="59">
        <f ca="1">AVERAGE(OFFSET($AM$3,0,0,'Données projet'!$E$10+1,1))-AVERAGE(OFFSET($H$3,0,0,'Données projet'!$E$10+1,1))</f>
        <v>257.80662231827404</v>
      </c>
      <c r="AO16" s="59">
        <f t="shared" si="36"/>
        <v>184.04558520039876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10.160683761111111</v>
      </c>
      <c r="BD16" s="12">
        <f>IF('Données projet'!$A$88&gt;35,BD15+BC16-BL15,IF(A16&lt;'Données projet'!$A$88,$BA$205^A16,IF(A16='Données projet'!$A$88,'Données projet'!$B$88,BD15+BC16-BL15)))</f>
        <v>43.033613761037195</v>
      </c>
      <c r="BE16" s="13">
        <f>BD16*VLOOKUP('Données projet'!$B$11,Paramètres!$A$1:$I$89,3,0)*VLOOKUP('Données projet'!$B$11,Paramètres!$A$1:$I$89,5,0)</f>
        <v>24.055790092419791</v>
      </c>
      <c r="BF16" s="13">
        <f t="shared" si="37"/>
        <v>7.6559259815135805</v>
      </c>
      <c r="BG16" s="20">
        <f t="shared" si="7"/>
        <v>55.231238828767289</v>
      </c>
      <c r="BH16" s="59">
        <f t="shared" si="8"/>
        <v>327.78679438432283</v>
      </c>
      <c r="BI16" s="59">
        <f ca="1">AVERAGE(OFFSET($BH$3,0,0,'Données projet'!$E$11+1,1))-AVERAGE(OFFSET($H$3,0,0,'Données projet'!$E$11+1,1))</f>
        <v>300.90952915835157</v>
      </c>
      <c r="BJ16" s="59">
        <f t="shared" si="38"/>
        <v>402.81783992925256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4.7456410266666662</v>
      </c>
      <c r="BY16" s="12">
        <f>IF('Données projet'!$A$114&gt;35,BY15+BX16-CG15,IF(A16&lt;'Données projet'!$A$114,$BV$205^A16,IF(A16='Données projet'!$A$114,'Données projet'!$B$114,BY15+BX16-CG15)))</f>
        <v>8.5732797147876099</v>
      </c>
      <c r="BZ16" s="13">
        <f>BY16*VLOOKUP('Données projet'!$B$12,Paramètres!$A$1:$I$89,3,0)*VLOOKUP('Données projet'!$B$12,Paramètres!$A$1:$I$89,5,0)</f>
        <v>4.2352001791050791</v>
      </c>
      <c r="CA16" s="13">
        <f t="shared" si="39"/>
        <v>1.6499009792698014</v>
      </c>
      <c r="CB16" s="20">
        <f t="shared" si="10"/>
        <v>10.249884517502915</v>
      </c>
      <c r="CC16" s="59">
        <f t="shared" si="11"/>
        <v>282.80544007305843</v>
      </c>
      <c r="CD16" s="59">
        <f ca="1">AVERAGE(OFFSET($CC$3,0,0,'Données projet'!$E$12+1,1))-AVERAGE(OFFSET($H$3,0,0,'Données projet'!$E$12+1,1))</f>
        <v>246.05217890269194</v>
      </c>
      <c r="CE16" s="59">
        <f t="shared" si="40"/>
        <v>155.54297071424327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5.9083916090909092</v>
      </c>
      <c r="CT16" s="12">
        <f>IF('Données projet'!$A$140&gt;35,CT15+CS16-DB15,IF(A16&lt;'Données projet'!$A$140,$CQ$205^A16,IF(A16='Données projet'!$A$140,'Données projet'!$B$140,CT15+CS16-DB15)))</f>
        <v>17.746714903776464</v>
      </c>
      <c r="CU16" s="17">
        <f>CT16*VLOOKUP('Données projet'!$B$13,Paramètres!$A$1:$I$89,3,0)*VLOOKUP('Données projet'!$B$13,Paramètres!$A$1:$I$89,5,0)</f>
        <v>10.612535512458328</v>
      </c>
      <c r="CV16" s="13">
        <f t="shared" si="41"/>
        <v>3.7150603366607236</v>
      </c>
      <c r="CW16" s="20">
        <f t="shared" si="13"/>
        <v>24.953896103882347</v>
      </c>
      <c r="CX16" s="59">
        <f t="shared" si="14"/>
        <v>297.5094516594379</v>
      </c>
      <c r="CY16" s="59">
        <f ca="1">AVERAGE(OFFSET($CX$3,0,0,'Données projet'!$E$13+1,1))-AVERAGE(OFFSET($H$3,0,0,'Données projet'!$E$13+1,1))</f>
        <v>237.036496933921</v>
      </c>
      <c r="CZ16" s="59">
        <f t="shared" si="42"/>
        <v>191.04289413665344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2.5784615383333334</v>
      </c>
      <c r="DO16" s="12">
        <f>IF('Données projet'!$A$166&gt;35,DO15+DN16-DW15,IF(A16&lt;'Données projet'!$A$166,$DL$205^A16,IF(A16='Données projet'!$A$166,'Données projet'!$B$166,DO15+DN16-DW15)))</f>
        <v>6.5817618195684897</v>
      </c>
      <c r="DP16" s="17">
        <f>DO16*VLOOKUP('Données projet'!$B$14,Paramètres!$A$1:$I$89,3,0)*VLOOKUP('Données projet'!$B$14,Paramètres!$A$1:$I$89,5,0)</f>
        <v>3.9358935681019571</v>
      </c>
      <c r="DQ16" s="13">
        <f t="shared" si="43"/>
        <v>1.5464374748004974</v>
      </c>
      <c r="DR16" s="20">
        <f t="shared" si="16"/>
        <v>9.5483932330551085</v>
      </c>
      <c r="DS16" s="59">
        <f t="shared" si="17"/>
        <v>282.10394878861064</v>
      </c>
      <c r="DT16" s="59">
        <f ca="1">AVERAGE(OFFSET($DS$3,0,0,'Données projet'!$E$14+1,1))-AVERAGE(OFFSET($H$3,0,0,'Données projet'!$E$14+1,1))</f>
        <v>148.22129593028302</v>
      </c>
      <c r="DU16" s="59">
        <f t="shared" si="44"/>
        <v>102.97015482019975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31.820880000000006</v>
      </c>
      <c r="EL16" s="13">
        <f t="shared" si="45"/>
        <v>9.8027641140385384</v>
      </c>
      <c r="EM16" s="20">
        <f t="shared" si="19"/>
        <v>72.494513498617124</v>
      </c>
      <c r="EN16" s="59">
        <f t="shared" si="20"/>
        <v>345.0500690541727</v>
      </c>
      <c r="EO16" s="59">
        <f ca="1">AVERAGE(OFFSET($EN$3,0,0,'Données projet'!$E$15+1,1))-AVERAGE(OFFSET($H$3,0,0,'Données projet'!$E$15+1,1))</f>
        <v>278.53123771916404</v>
      </c>
      <c r="EP16" s="59">
        <f t="shared" si="46"/>
        <v>283.79094702030869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2.5115384615384619</v>
      </c>
      <c r="FE16" s="12">
        <f>IF('Données projet'!$A$218&gt;35,FE15+FD16-FM15,IF(A16&lt;'Données projet'!$A$218,$FB$205^A16,IF(A16='Données projet'!$A$218,'Données projet'!$B$218,FE15+FD16-FM15)))</f>
        <v>6.5071847631650357</v>
      </c>
      <c r="FF16" s="17">
        <f>FE16*VLOOKUP('Données projet'!$B$16,Paramètres!$A$1:$I$89,3,0)*VLOOKUP('Données projet'!$B$16,Paramètres!$A$1:$I$89,5,0)</f>
        <v>5.8877007737117237</v>
      </c>
      <c r="FG16" s="13">
        <f t="shared" si="47"/>
        <v>2.2073749612941369</v>
      </c>
      <c r="FH16" s="20">
        <f t="shared" si="22"/>
        <v>14.098923571801871</v>
      </c>
      <c r="FI16" s="59">
        <f t="shared" si="23"/>
        <v>286.65447912735743</v>
      </c>
      <c r="FJ16" s="59">
        <f ca="1">AVERAGE(OFFSET($FI$3,0,0,'Données projet'!$E$16+1,1))-AVERAGE(OFFSET($H$3,0,0,'Données projet'!$E$16+1,1))</f>
        <v>335.99493768537013</v>
      </c>
      <c r="FK16" s="59">
        <f t="shared" si="48"/>
        <v>150.85164849522778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10.6</v>
      </c>
      <c r="FZ16" s="12">
        <f>IF('Données projet'!$A$244&gt;35,FZ15+FY16-GH15,IF(A16&lt;'Données projet'!$A$244,$FW$205^A16,IF(A16='Données projet'!$A$244,'Données projet'!$B$244,FZ15+FY16-GH15)))</f>
        <v>66.8</v>
      </c>
      <c r="GA16" s="17">
        <f>FZ16*VLOOKUP('Données projet'!$B$17,Paramètres!$A$1:$I$89,3,0)*VLOOKUP('Données projet'!$B$17,Paramètres!$A$1:$I$89,5,0)</f>
        <v>58.356480000000005</v>
      </c>
      <c r="GB16" s="13">
        <f t="shared" si="49"/>
        <v>16.75206628947662</v>
      </c>
      <c r="GC16" s="20">
        <f t="shared" si="25"/>
        <v>130.81405145417179</v>
      </c>
      <c r="GD16" s="59">
        <f t="shared" si="26"/>
        <v>403.36960700972736</v>
      </c>
      <c r="GE16" s="59">
        <f ca="1">AVERAGE(OFFSET($GD$3,0,0,'Données projet'!$E$17+1,1))-AVERAGE(OFFSET($H$3,0,0,'Données projet'!$E$17+1,1))</f>
        <v>319.57811113658374</v>
      </c>
      <c r="GF16" s="59">
        <f t="shared" si="50"/>
        <v>322.03572137403245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10.26553846</v>
      </c>
      <c r="N17" s="13">
        <f>IF('Données projet'!$A$36&gt;35,N16+M17-V16,IF(A17&lt;'Données projet'!$A$36,$K$205^A17,IF(A17='Données projet'!$A$36,'Données projet'!$B$36,N16+M17-V16)))</f>
        <v>22.347048735986146</v>
      </c>
      <c r="O17" s="13">
        <f>N17*VLOOKUP('Données projet'!$B$9,Paramètres!$A$1:$I$89,3,0)*VLOOKUP('Données projet'!$B$9,Paramètres!$A$1:$I$89,5,0)</f>
        <v>10.748930442009335</v>
      </c>
      <c r="P17" s="13">
        <f t="shared" si="33"/>
        <v>3.7572180666796173</v>
      </c>
      <c r="Q17" s="20">
        <f t="shared" si="2"/>
        <v>25.264875319299922</v>
      </c>
      <c r="R17" s="59">
        <f t="shared" si="0"/>
        <v>299.04265309707768</v>
      </c>
      <c r="S17" s="59">
        <f ca="1">AVERAGE(OFFSET($R$3,0,0,'Données projet'!$E$9+1,1))-AVERAGE(OFFSET($H$3,0,0,'Données projet'!$E$9+1,1))</f>
        <v>226.41956082453015</v>
      </c>
      <c r="T17" s="59">
        <f t="shared" si="34"/>
        <v>317.95076157570446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3.2427350426666668</v>
      </c>
      <c r="AI17" s="13">
        <f>IF('Données projet'!$A$62&gt;35,AI16+AH17-AQ16,IF(A17&lt;'Données projet'!$A$62,$AF$205^A17,IF(A17='Données projet'!$A$62,'Données projet'!$B$62,AI16+AH17-AQ16)))</f>
        <v>8.4673712637972045</v>
      </c>
      <c r="AJ17" s="13">
        <f>AI17*VLOOKUP('Données projet'!$B$10,Paramètres!$A$1:$I$89,3,0)*VLOOKUP('Données projet'!$B$10,Paramètres!$A$1:$I$89,5,0)</f>
        <v>7.2650045443380025</v>
      </c>
      <c r="AK17" s="13">
        <f t="shared" si="35"/>
        <v>2.6579089375741347</v>
      </c>
      <c r="AL17" s="20">
        <f t="shared" si="4"/>
        <v>17.282407647663636</v>
      </c>
      <c r="AM17" s="59">
        <f t="shared" si="5"/>
        <v>291.06018542544143</v>
      </c>
      <c r="AN17" s="59">
        <f ca="1">AVERAGE(OFFSET($AM$3,0,0,'Données projet'!$E$10+1,1))-AVERAGE(OFFSET($H$3,0,0,'Données projet'!$E$10+1,1))</f>
        <v>257.80662231827404</v>
      </c>
      <c r="AO17" s="59">
        <f t="shared" si="36"/>
        <v>184.04558520039876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10.160683761111111</v>
      </c>
      <c r="BD17" s="12">
        <f>IF('Données projet'!$A$88&gt;35,BD16+BC17-BL16,IF(A17&lt;'Données projet'!$A$88,$BA$205^A17,IF(A17='Données projet'!$A$88,'Données projet'!$B$88,BD16+BC17-BL16)))</f>
        <v>57.475841975863091</v>
      </c>
      <c r="BE17" s="13">
        <f>BD17*VLOOKUP('Données projet'!$B$11,Paramètres!$A$1:$I$89,3,0)*VLOOKUP('Données projet'!$B$11,Paramètres!$A$1:$I$89,5,0)</f>
        <v>32.128995664507464</v>
      </c>
      <c r="BF17" s="13">
        <f t="shared" si="37"/>
        <v>9.8865868667075354</v>
      </c>
      <c r="BG17" s="20">
        <f t="shared" si="7"/>
        <v>73.177139575199462</v>
      </c>
      <c r="BH17" s="59">
        <f t="shared" si="8"/>
        <v>346.95491735297725</v>
      </c>
      <c r="BI17" s="59">
        <f ca="1">AVERAGE(OFFSET($BH$3,0,0,'Données projet'!$E$11+1,1))-AVERAGE(OFFSET($H$3,0,0,'Données projet'!$E$11+1,1))</f>
        <v>300.90952915835157</v>
      </c>
      <c r="BJ17" s="59">
        <f t="shared" si="38"/>
        <v>402.81783992925256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4.7456410266666662</v>
      </c>
      <c r="BY17" s="12">
        <f>IF('Données projet'!$A$114&gt;35,BY16+BX17-CG16,IF(A17&lt;'Données projet'!$A$114,$BV$205^A17,IF(A17='Données projet'!$A$114,'Données projet'!$B$114,BY16+BX17-CG16)))</f>
        <v>10.114106709092043</v>
      </c>
      <c r="BZ17" s="13">
        <f>BY17*VLOOKUP('Données projet'!$B$12,Paramètres!$A$1:$I$89,3,0)*VLOOKUP('Données projet'!$B$12,Paramètres!$A$1:$I$89,5,0)</f>
        <v>4.9963687142914699</v>
      </c>
      <c r="CA17" s="13">
        <f t="shared" si="39"/>
        <v>1.9093395281488004</v>
      </c>
      <c r="CB17" s="20">
        <f t="shared" si="10"/>
        <v>12.02744185558347</v>
      </c>
      <c r="CC17" s="59">
        <f t="shared" si="11"/>
        <v>285.80521963336122</v>
      </c>
      <c r="CD17" s="59">
        <f ca="1">AVERAGE(OFFSET($CC$3,0,0,'Données projet'!$E$12+1,1))-AVERAGE(OFFSET($H$3,0,0,'Données projet'!$E$12+1,1))</f>
        <v>246.05217890269194</v>
      </c>
      <c r="CE17" s="59">
        <f t="shared" si="40"/>
        <v>155.54297071424327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5.9083916090909092</v>
      </c>
      <c r="CT17" s="12">
        <f>IF('Données projet'!$A$140&gt;35,CT16+CS17-DB16,IF(A17&lt;'Données projet'!$A$140,$CQ$205^A17,IF(A17='Données projet'!$A$140,'Données projet'!$B$140,CT16+CS17-DB16)))</f>
        <v>22.141343541338049</v>
      </c>
      <c r="CU17" s="17">
        <f>CT17*VLOOKUP('Données projet'!$B$13,Paramètres!$A$1:$I$89,3,0)*VLOOKUP('Données projet'!$B$13,Paramètres!$A$1:$I$89,5,0)</f>
        <v>13.240523437720153</v>
      </c>
      <c r="CV17" s="13">
        <f t="shared" si="41"/>
        <v>4.5171806520548161</v>
      </c>
      <c r="CW17" s="20">
        <f t="shared" si="13"/>
        <v>30.928001289691398</v>
      </c>
      <c r="CX17" s="59">
        <f t="shared" si="14"/>
        <v>304.70577906746917</v>
      </c>
      <c r="CY17" s="59">
        <f ca="1">AVERAGE(OFFSET($CX$3,0,0,'Données projet'!$E$13+1,1))-AVERAGE(OFFSET($H$3,0,0,'Données projet'!$E$13+1,1))</f>
        <v>237.036496933921</v>
      </c>
      <c r="CZ17" s="59">
        <f t="shared" si="42"/>
        <v>191.04289413665344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2.5784615383333334</v>
      </c>
      <c r="DO17" s="12">
        <f>IF('Données projet'!$A$166&gt;35,DO16+DN17-DW16,IF(A17&lt;'Données projet'!$A$166,$DL$205^A17,IF(A17='Données projet'!$A$166,'Données projet'!$B$166,DO16+DN17-DW16)))</f>
        <v>7.6083688547766668</v>
      </c>
      <c r="DP17" s="17">
        <f>DO17*VLOOKUP('Données projet'!$B$14,Paramètres!$A$1:$I$89,3,0)*VLOOKUP('Données projet'!$B$14,Paramètres!$A$1:$I$89,5,0)</f>
        <v>4.5498045751564469</v>
      </c>
      <c r="DQ17" s="13">
        <f t="shared" si="43"/>
        <v>1.7577392585257561</v>
      </c>
      <c r="DR17" s="20">
        <f t="shared" si="16"/>
        <v>10.985638843663169</v>
      </c>
      <c r="DS17" s="59">
        <f t="shared" si="17"/>
        <v>284.76341662144097</v>
      </c>
      <c r="DT17" s="59">
        <f ca="1">AVERAGE(OFFSET($DS$3,0,0,'Données projet'!$E$14+1,1))-AVERAGE(OFFSET($H$3,0,0,'Données projet'!$E$14+1,1))</f>
        <v>148.22129593028302</v>
      </c>
      <c r="DU17" s="59">
        <f t="shared" si="44"/>
        <v>102.97015482019975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39.739440000000002</v>
      </c>
      <c r="EL17" s="13">
        <f t="shared" si="45"/>
        <v>11.929559204083212</v>
      </c>
      <c r="EM17" s="20">
        <f t="shared" si="19"/>
        <v>89.990173613778268</v>
      </c>
      <c r="EN17" s="59">
        <f t="shared" si="20"/>
        <v>363.76795139155604</v>
      </c>
      <c r="EO17" s="59">
        <f ca="1">AVERAGE(OFFSET($EN$3,0,0,'Données projet'!$E$15+1,1))-AVERAGE(OFFSET($H$3,0,0,'Données projet'!$E$15+1,1))</f>
        <v>278.53123771916404</v>
      </c>
      <c r="EP17" s="59">
        <f t="shared" si="46"/>
        <v>283.79094702030869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2.5115384615384619</v>
      </c>
      <c r="FE17" s="12">
        <f>IF('Données projet'!$A$218&gt;35,FE16+FD17-FM16,IF(A17&lt;'Données projet'!$A$218,$FB$205^A17,IF(A17='Données projet'!$A$218,'Données projet'!$B$218,FE16+FD17-FM16)))</f>
        <v>7.5155685620118104</v>
      </c>
      <c r="FF17" s="17">
        <f>FE17*VLOOKUP('Données projet'!$B$16,Paramètres!$A$1:$I$89,3,0)*VLOOKUP('Données projet'!$B$16,Paramètres!$A$1:$I$89,5,0)</f>
        <v>6.8000864349082857</v>
      </c>
      <c r="FG17" s="13">
        <f t="shared" si="47"/>
        <v>2.5070432018240512</v>
      </c>
      <c r="FH17" s="20">
        <f t="shared" si="22"/>
        <v>16.209917450642156</v>
      </c>
      <c r="FI17" s="59">
        <f t="shared" si="23"/>
        <v>289.98769522841991</v>
      </c>
      <c r="FJ17" s="59">
        <f ca="1">AVERAGE(OFFSET($FI$3,0,0,'Données projet'!$E$16+1,1))-AVERAGE(OFFSET($H$3,0,0,'Données projet'!$E$16+1,1))</f>
        <v>335.99493768537013</v>
      </c>
      <c r="FK17" s="59">
        <f t="shared" si="48"/>
        <v>150.85164849522778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10.6</v>
      </c>
      <c r="FZ17" s="12">
        <f>IF('Données projet'!$A$244&gt;35,FZ16+FY17-GH16,IF(A17&lt;'Données projet'!$A$244,$FW$205^A17,IF(A17='Données projet'!$A$244,'Données projet'!$B$244,FZ16+FY17-GH16)))</f>
        <v>77.399999999999991</v>
      </c>
      <c r="GA17" s="17">
        <f>FZ17*VLOOKUP('Données projet'!$B$17,Paramètres!$A$1:$I$89,3,0)*VLOOKUP('Données projet'!$B$17,Paramètres!$A$1:$I$89,5,0)</f>
        <v>67.616640000000004</v>
      </c>
      <c r="GB17" s="13">
        <f t="shared" si="49"/>
        <v>19.080397298873443</v>
      </c>
      <c r="GC17" s="20">
        <f t="shared" si="25"/>
        <v>150.99733996220459</v>
      </c>
      <c r="GD17" s="59">
        <f t="shared" si="26"/>
        <v>424.77511773998236</v>
      </c>
      <c r="GE17" s="59">
        <f ca="1">AVERAGE(OFFSET($GD$3,0,0,'Données projet'!$E$17+1,1))-AVERAGE(OFFSET($H$3,0,0,'Données projet'!$E$17+1,1))</f>
        <v>319.57811113658374</v>
      </c>
      <c r="GF17" s="59">
        <f t="shared" si="50"/>
        <v>322.03572137403245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10.26553846</v>
      </c>
      <c r="N18" s="13">
        <f>IF('Données projet'!$A$36&gt;35,N17+M18-V17,IF(A18&lt;'Données projet'!$A$36,$K$205^A18,IF(A18='Données projet'!$A$36,'Données projet'!$B$36,N17+M18-V17)))</f>
        <v>27.899283233141347</v>
      </c>
      <c r="O18" s="13">
        <f>N18*VLOOKUP('Données projet'!$B$9,Paramètres!$A$1:$I$89,3,0)*VLOOKUP('Données projet'!$B$9,Paramètres!$A$1:$I$89,5,0)</f>
        <v>13.419555235140987</v>
      </c>
      <c r="P18" s="13">
        <f t="shared" si="33"/>
        <v>4.5711078667123042</v>
      </c>
      <c r="Q18" s="20">
        <f t="shared" si="2"/>
        <v>31.333738235727811</v>
      </c>
      <c r="R18" s="59">
        <f t="shared" si="0"/>
        <v>306.33373823572782</v>
      </c>
      <c r="S18" s="59">
        <f ca="1">AVERAGE(OFFSET($R$3,0,0,'Données projet'!$E$9+1,1))-AVERAGE(OFFSET($H$3,0,0,'Données projet'!$E$9+1,1))</f>
        <v>226.41956082453015</v>
      </c>
      <c r="T18" s="59">
        <f t="shared" si="34"/>
        <v>317.95076157570446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3.2427350426666668</v>
      </c>
      <c r="AI18" s="13">
        <f>IF('Données projet'!$A$62&gt;35,AI17+AH18-AQ17,IF(A18&lt;'Données projet'!$A$62,$AF$205^A18,IF(A18='Données projet'!$A$62,'Données projet'!$B$62,AI17+AH18-AQ17)))</f>
        <v>9.8631663921886688</v>
      </c>
      <c r="AJ18" s="13">
        <f>AI18*VLOOKUP('Données projet'!$B$10,Paramètres!$A$1:$I$89,3,0)*VLOOKUP('Données projet'!$B$10,Paramètres!$A$1:$I$89,5,0)</f>
        <v>8.4625967644978797</v>
      </c>
      <c r="AK18" s="13">
        <f t="shared" si="35"/>
        <v>3.0415452914341738</v>
      </c>
      <c r="AL18" s="20">
        <f t="shared" si="4"/>
        <v>20.036380747414992</v>
      </c>
      <c r="AM18" s="59">
        <f t="shared" si="5"/>
        <v>295.03638074741497</v>
      </c>
      <c r="AN18" s="59">
        <f ca="1">AVERAGE(OFFSET($AM$3,0,0,'Données projet'!$E$10+1,1))-AVERAGE(OFFSET($H$3,0,0,'Données projet'!$E$10+1,1))</f>
        <v>257.80662231827404</v>
      </c>
      <c r="AO18" s="59">
        <f t="shared" si="36"/>
        <v>184.04558520039876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10.160683761111111</v>
      </c>
      <c r="BD18" s="12">
        <f>IF('Données projet'!$A$88&gt;35,BD17+BC18-BL17,IF(A18&lt;'Données projet'!$A$88,$BA$205^A18,IF(A18='Données projet'!$A$88,'Données projet'!$B$88,BD17+BC18-BL17)))</f>
        <v>76.764931459819962</v>
      </c>
      <c r="BE18" s="13">
        <f>BD18*VLOOKUP('Données projet'!$B$11,Paramètres!$A$1:$I$89,3,0)*VLOOKUP('Données projet'!$B$11,Paramètres!$A$1:$I$89,5,0)</f>
        <v>42.911596686039353</v>
      </c>
      <c r="BF18" s="13">
        <f t="shared" si="37"/>
        <v>12.767181933181348</v>
      </c>
      <c r="BG18" s="20">
        <f t="shared" si="7"/>
        <v>96.973872761809389</v>
      </c>
      <c r="BH18" s="59">
        <f t="shared" si="8"/>
        <v>371.97387276180939</v>
      </c>
      <c r="BI18" s="59">
        <f ca="1">AVERAGE(OFFSET($BH$3,0,0,'Données projet'!$E$11+1,1))-AVERAGE(OFFSET($H$3,0,0,'Données projet'!$E$11+1,1))</f>
        <v>300.90952915835157</v>
      </c>
      <c r="BJ18" s="59">
        <f t="shared" si="38"/>
        <v>402.81783992925256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4.7456410266666662</v>
      </c>
      <c r="BY18" s="12">
        <f>IF('Données projet'!$A$114&gt;35,BY17+BX18-CG17,IF(A18&lt;'Données projet'!$A$114,$BV$205^A18,IF(A18='Données projet'!$A$114,'Données projet'!$B$114,BY17+BX18-CG17)))</f>
        <v>11.931857810081368</v>
      </c>
      <c r="BZ18" s="13">
        <f>BY18*VLOOKUP('Données projet'!$B$12,Paramètres!$A$1:$I$89,3,0)*VLOOKUP('Données projet'!$B$12,Paramètres!$A$1:$I$89,5,0)</f>
        <v>5.8943377581801961</v>
      </c>
      <c r="CA18" s="13">
        <f t="shared" si="39"/>
        <v>2.2095734711091026</v>
      </c>
      <c r="CB18" s="20">
        <f t="shared" si="10"/>
        <v>14.114312057678861</v>
      </c>
      <c r="CC18" s="59">
        <f t="shared" si="11"/>
        <v>289.11431205767889</v>
      </c>
      <c r="CD18" s="59">
        <f ca="1">AVERAGE(OFFSET($CC$3,0,0,'Données projet'!$E$12+1,1))-AVERAGE(OFFSET($H$3,0,0,'Données projet'!$E$12+1,1))</f>
        <v>246.05217890269194</v>
      </c>
      <c r="CE18" s="59">
        <f t="shared" si="40"/>
        <v>155.54297071424327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5.9083916090909092</v>
      </c>
      <c r="CT18" s="12">
        <f>IF('Données projet'!$A$140&gt;35,CT17+CS18-DB17,IF(A18&lt;'Données projet'!$A$140,$CQ$205^A18,IF(A18='Données projet'!$A$140,'Données projet'!$B$140,CT17+CS18-DB17)))</f>
        <v>27.624216452095609</v>
      </c>
      <c r="CU18" s="17">
        <f>CT18*VLOOKUP('Données projet'!$B$13,Paramètres!$A$1:$I$89,3,0)*VLOOKUP('Données projet'!$B$13,Paramètres!$A$1:$I$89,5,0)</f>
        <v>16.519281438353175</v>
      </c>
      <c r="CV18" s="13">
        <f t="shared" si="41"/>
        <v>5.4924871184297643</v>
      </c>
      <c r="CW18" s="20">
        <f t="shared" si="13"/>
        <v>38.337163569730286</v>
      </c>
      <c r="CX18" s="59">
        <f t="shared" si="14"/>
        <v>313.33716356973031</v>
      </c>
      <c r="CY18" s="59">
        <f ca="1">AVERAGE(OFFSET($CX$3,0,0,'Données projet'!$E$13+1,1))-AVERAGE(OFFSET($H$3,0,0,'Données projet'!$E$13+1,1))</f>
        <v>237.036496933921</v>
      </c>
      <c r="CZ18" s="59">
        <f t="shared" si="42"/>
        <v>191.04289413665344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2.5784615383333334</v>
      </c>
      <c r="DO18" s="12">
        <f>IF('Données projet'!$A$166&gt;35,DO17+DN18-DW17,IF(A18&lt;'Données projet'!$A$166,$DL$205^A18,IF(A18='Données projet'!$A$166,'Données projet'!$B$166,DO17+DN18-DW17)))</f>
        <v>8.7951035326481595</v>
      </c>
      <c r="DP18" s="17">
        <f>DO18*VLOOKUP('Données projet'!$B$14,Paramètres!$A$1:$I$89,3,0)*VLOOKUP('Données projet'!$B$14,Paramètres!$A$1:$I$89,5,0)</f>
        <v>5.2594719125235994</v>
      </c>
      <c r="DQ18" s="13">
        <f t="shared" si="43"/>
        <v>1.9979128489247608</v>
      </c>
      <c r="DR18" s="20">
        <f t="shared" si="16"/>
        <v>12.639945126189227</v>
      </c>
      <c r="DS18" s="59">
        <f t="shared" si="17"/>
        <v>287.63994512618922</v>
      </c>
      <c r="DT18" s="59">
        <f ca="1">AVERAGE(OFFSET($DS$3,0,0,'Données projet'!$E$14+1,1))-AVERAGE(OFFSET($H$3,0,0,'Données projet'!$E$14+1,1))</f>
        <v>148.22129593028302</v>
      </c>
      <c r="DU18" s="59">
        <f t="shared" si="44"/>
        <v>102.97015482019975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47.657999999999994</v>
      </c>
      <c r="EL18" s="13">
        <f t="shared" si="45"/>
        <v>14.007249652087213</v>
      </c>
      <c r="EM18" s="20">
        <f t="shared" si="19"/>
        <v>107.40030981071855</v>
      </c>
      <c r="EN18" s="59">
        <f t="shared" si="20"/>
        <v>382.40030981071857</v>
      </c>
      <c r="EO18" s="59">
        <f ca="1">AVERAGE(OFFSET($EN$3,0,0,'Données projet'!$E$15+1,1))-AVERAGE(OFFSET($H$3,0,0,'Données projet'!$E$15+1,1))</f>
        <v>278.53123771916404</v>
      </c>
      <c r="EP18" s="59">
        <f t="shared" si="46"/>
        <v>283.79094702030869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2.5115384615384619</v>
      </c>
      <c r="FE18" s="12">
        <f>IF('Données projet'!$A$218&gt;35,FE17+FD18-FM17,IF(A18&lt;'Données projet'!$A$218,$FB$205^A18,IF(A18='Données projet'!$A$218,'Données projet'!$B$218,FE17+FD18-FM17)))</f>
        <v>8.6802162326841756</v>
      </c>
      <c r="FF18" s="17">
        <f>FE18*VLOOKUP('Données projet'!$B$16,Paramètres!$A$1:$I$89,3,0)*VLOOKUP('Données projet'!$B$16,Paramètres!$A$1:$I$89,5,0)</f>
        <v>7.8538596473326416</v>
      </c>
      <c r="FG18" s="13">
        <f t="shared" si="47"/>
        <v>2.8473937260424811</v>
      </c>
      <c r="FH18" s="20">
        <f t="shared" si="22"/>
        <v>18.638016291961673</v>
      </c>
      <c r="FI18" s="59">
        <f t="shared" si="23"/>
        <v>293.63801629196166</v>
      </c>
      <c r="FJ18" s="59">
        <f ca="1">AVERAGE(OFFSET($FI$3,0,0,'Données projet'!$E$16+1,1))-AVERAGE(OFFSET($H$3,0,0,'Données projet'!$E$16+1,1))</f>
        <v>335.99493768537013</v>
      </c>
      <c r="FK18" s="59">
        <f t="shared" si="48"/>
        <v>150.85164849522778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88</v>
      </c>
      <c r="FX18" s="12">
        <f>VLOOKUP(A18,'Données projet'!$A$243:$I$263,9,0)</f>
        <v>10.6</v>
      </c>
      <c r="FY18" s="12">
        <f t="array" ref="FY18">INDEX(FX:FX,MIN(IF(ISNUMBER(FX18:FX214),ROW(FX18:FX214),"")))</f>
        <v>10.6</v>
      </c>
      <c r="FZ18" s="12">
        <f>IF('Données projet'!$A$244&gt;35,FZ17+FY18-GH17,IF(A18&lt;'Données projet'!$A$244,$FW$205^A18,IF(A18='Données projet'!$A$244,'Données projet'!$B$244,FZ17+FY18-GH17)))</f>
        <v>87.999999999999986</v>
      </c>
      <c r="GA18" s="17">
        <f>FZ18*VLOOKUP('Données projet'!$B$17,Paramètres!$A$1:$I$89,3,0)*VLOOKUP('Données projet'!$B$17,Paramètres!$A$1:$I$89,5,0)</f>
        <v>76.876799999999989</v>
      </c>
      <c r="GB18" s="13">
        <f t="shared" si="49"/>
        <v>21.371784666185118</v>
      </c>
      <c r="GC18" s="20">
        <f t="shared" si="25"/>
        <v>171.1162849602724</v>
      </c>
      <c r="GD18" s="59">
        <f t="shared" si="26"/>
        <v>446.11628496027242</v>
      </c>
      <c r="GE18" s="59">
        <f ca="1">AVERAGE(OFFSET($GD$3,0,0,'Données projet'!$E$17+1,1))-AVERAGE(OFFSET($H$3,0,0,'Données projet'!$E$17+1,1))</f>
        <v>319.57811113658374</v>
      </c>
      <c r="GF18" s="59">
        <f t="shared" si="50"/>
        <v>322.03572137403245</v>
      </c>
      <c r="GG18" s="15">
        <f>IF(ISNA(VLOOKUP(A18,'Données projet'!$A$243:$I$263,3,0)),0,VLOOKUP(A18,'Données projet'!$A$243:$I$263,3,0))</f>
        <v>0</v>
      </c>
      <c r="GH18" s="15" t="str">
        <f>IF(ISNA(VLOOKUP(A18,'Données projet'!$A$243:$I$263,4,0)),0,VLOOKUP(A18,'Données projet'!$A$243:$I$263,4,0))</f>
        <v>30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10.26553846</v>
      </c>
      <c r="N19" s="13">
        <f>IF('Données projet'!$A$36&gt;35,N18+M19-V18,IF(A19&lt;'Données projet'!$A$36,$K$205^A19,IF(A19='Données projet'!$A$36,'Données projet'!$B$36,N18+M19-V18)))</f>
        <v>34.830997780463449</v>
      </c>
      <c r="O19" s="13">
        <f>N19*VLOOKUP('Données projet'!$B$9,Paramètres!$A$1:$I$89,3,0)*VLOOKUP('Données projet'!$B$9,Paramètres!$A$1:$I$89,5,0)</f>
        <v>16.75370993240292</v>
      </c>
      <c r="P19" s="13">
        <f t="shared" si="33"/>
        <v>5.5613027400309409</v>
      </c>
      <c r="Q19" s="20">
        <f t="shared" si="2"/>
        <v>38.865313737822305</v>
      </c>
      <c r="R19" s="59">
        <f t="shared" si="0"/>
        <v>315.08753596004453</v>
      </c>
      <c r="S19" s="59">
        <f ca="1">AVERAGE(OFFSET($R$3,0,0,'Données projet'!$E$9+1,1))-AVERAGE(OFFSET($H$3,0,0,'Données projet'!$E$9+1,1))</f>
        <v>226.41956082453015</v>
      </c>
      <c r="T19" s="59">
        <f t="shared" si="34"/>
        <v>317.95076157570446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3.2427350426666668</v>
      </c>
      <c r="AI19" s="13">
        <f>IF('Données projet'!$A$62&gt;35,AI18+AH19-AQ18,IF(A19&lt;'Données projet'!$A$62,$AF$205^A19,IF(A19='Données projet'!$A$62,'Données projet'!$B$62,AI18+AH19-AQ18)))</f>
        <v>11.489049936423093</v>
      </c>
      <c r="AJ19" s="13">
        <f>AI19*VLOOKUP('Données projet'!$B$10,Paramètres!$A$1:$I$89,3,0)*VLOOKUP('Données projet'!$B$10,Paramètres!$A$1:$I$89,5,0)</f>
        <v>9.8576048454510143</v>
      </c>
      <c r="AK19" s="13">
        <f t="shared" si="35"/>
        <v>3.4805548185141166</v>
      </c>
      <c r="AL19" s="20">
        <f t="shared" si="4"/>
        <v>23.230628081405936</v>
      </c>
      <c r="AM19" s="59">
        <f t="shared" si="5"/>
        <v>299.45285030362817</v>
      </c>
      <c r="AN19" s="59">
        <f ca="1">AVERAGE(OFFSET($AM$3,0,0,'Données projet'!$E$10+1,1))-AVERAGE(OFFSET($H$3,0,0,'Données projet'!$E$10+1,1))</f>
        <v>257.80662231827404</v>
      </c>
      <c r="AO19" s="59">
        <f t="shared" si="36"/>
        <v>184.04558520039876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10.160683761111111</v>
      </c>
      <c r="BD19" s="12">
        <f>IF('Données projet'!$A$88&gt;35,BD18+BC19-BL18,IF(A19&lt;'Données projet'!$A$88,$BA$205^A19,IF(A19='Données projet'!$A$88,'Données projet'!$B$88,BD18+BC19-BL18)))</f>
        <v>102.52750546056471</v>
      </c>
      <c r="BE19" s="13">
        <f>BD19*VLOOKUP('Données projet'!$B$11,Paramètres!$A$1:$I$89,3,0)*VLOOKUP('Données projet'!$B$11,Paramètres!$A$1:$I$89,5,0)</f>
        <v>57.312875552455672</v>
      </c>
      <c r="BF19" s="13">
        <f t="shared" si="37"/>
        <v>16.487078575503936</v>
      </c>
      <c r="BG19" s="20">
        <f t="shared" si="7"/>
        <v>128.5349201061963</v>
      </c>
      <c r="BH19" s="59">
        <f t="shared" si="8"/>
        <v>404.75714232841852</v>
      </c>
      <c r="BI19" s="59">
        <f ca="1">AVERAGE(OFFSET($BH$3,0,0,'Données projet'!$E$11+1,1))-AVERAGE(OFFSET($H$3,0,0,'Données projet'!$E$11+1,1))</f>
        <v>300.90952915835157</v>
      </c>
      <c r="BJ19" s="59">
        <f t="shared" si="38"/>
        <v>402.81783992925256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4.7456410266666662</v>
      </c>
      <c r="BY19" s="12">
        <f>IF('Données projet'!$A$114&gt;35,BY18+BX19-CG18,IF(A19&lt;'Données projet'!$A$114,$BV$205^A19,IF(A19='Données projet'!$A$114,'Données projet'!$B$114,BY18+BX19-CG18)))</f>
        <v>14.076303018636077</v>
      </c>
      <c r="BZ19" s="13">
        <f>BY19*VLOOKUP('Données projet'!$B$12,Paramètres!$A$1:$I$89,3,0)*VLOOKUP('Données projet'!$B$12,Paramètres!$A$1:$I$89,5,0)</f>
        <v>6.9536936912062215</v>
      </c>
      <c r="CA19" s="13">
        <f t="shared" si="39"/>
        <v>2.5570176766636572</v>
      </c>
      <c r="CB19" s="20">
        <f t="shared" si="10"/>
        <v>16.564488965706705</v>
      </c>
      <c r="CC19" s="59">
        <f t="shared" si="11"/>
        <v>292.78671118792892</v>
      </c>
      <c r="CD19" s="59">
        <f ca="1">AVERAGE(OFFSET($CC$3,0,0,'Données projet'!$E$12+1,1))-AVERAGE(OFFSET($H$3,0,0,'Données projet'!$E$12+1,1))</f>
        <v>246.05217890269194</v>
      </c>
      <c r="CE19" s="59">
        <f t="shared" si="40"/>
        <v>155.54297071424327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5.9083916090909092</v>
      </c>
      <c r="CT19" s="12">
        <f>IF('Données projet'!$A$140&gt;35,CT18+CS19-DB18,IF(A19&lt;'Données projet'!$A$140,$CQ$205^A19,IF(A19='Données projet'!$A$140,'Données projet'!$B$140,CT18+CS19-DB18)))</f>
        <v>34.464816155691786</v>
      </c>
      <c r="CU19" s="17">
        <f>CT19*VLOOKUP('Données projet'!$B$13,Paramètres!$A$1:$I$89,3,0)*VLOOKUP('Données projet'!$B$13,Paramètres!$A$1:$I$89,5,0)</f>
        <v>20.609960061103692</v>
      </c>
      <c r="CV19" s="13">
        <f t="shared" si="41"/>
        <v>6.6783724340079402</v>
      </c>
      <c r="CW19" s="20">
        <f t="shared" si="13"/>
        <v>47.527179095652748</v>
      </c>
      <c r="CX19" s="59">
        <f t="shared" si="14"/>
        <v>323.74940131787497</v>
      </c>
      <c r="CY19" s="59">
        <f ca="1">AVERAGE(OFFSET($CX$3,0,0,'Données projet'!$E$13+1,1))-AVERAGE(OFFSET($H$3,0,0,'Données projet'!$E$13+1,1))</f>
        <v>237.036496933921</v>
      </c>
      <c r="CZ19" s="59">
        <f t="shared" si="42"/>
        <v>191.04289413665344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2.5784615383333334</v>
      </c>
      <c r="DO19" s="12">
        <f>IF('Données projet'!$A$166&gt;35,DO18+DN19-DW18,IF(A19&lt;'Données projet'!$A$166,$DL$205^A19,IF(A19='Données projet'!$A$166,'Données projet'!$B$166,DO18+DN19-DW18)))</f>
        <v>10.166942169402848</v>
      </c>
      <c r="DP19" s="17">
        <f>DO19*VLOOKUP('Données projet'!$B$14,Paramètres!$A$1:$I$89,3,0)*VLOOKUP('Données projet'!$B$14,Paramètres!$A$1:$I$89,5,0)</f>
        <v>6.0798314173029038</v>
      </c>
      <c r="DQ19" s="13">
        <f t="shared" si="43"/>
        <v>2.2709032255708506</v>
      </c>
      <c r="DR19" s="20">
        <f t="shared" si="16"/>
        <v>14.544196169671787</v>
      </c>
      <c r="DS19" s="59">
        <f t="shared" si="17"/>
        <v>290.76641839189404</v>
      </c>
      <c r="DT19" s="59">
        <f ca="1">AVERAGE(OFFSET($DS$3,0,0,'Données projet'!$E$14+1,1))-AVERAGE(OFFSET($H$3,0,0,'Données projet'!$E$14+1,1))</f>
        <v>148.22129593028302</v>
      </c>
      <c r="DU19" s="59">
        <f t="shared" si="44"/>
        <v>102.97015482019975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34.313760000000002</v>
      </c>
      <c r="EL19" s="13">
        <f t="shared" si="45"/>
        <v>10.478324962562111</v>
      </c>
      <c r="EM19" s="20">
        <f t="shared" si="19"/>
        <v>78.012881309795674</v>
      </c>
      <c r="EN19" s="59">
        <f t="shared" si="20"/>
        <v>354.23510353201789</v>
      </c>
      <c r="EO19" s="59">
        <f ca="1">AVERAGE(OFFSET($EN$3,0,0,'Données projet'!$E$15+1,1))-AVERAGE(OFFSET($H$3,0,0,'Données projet'!$E$15+1,1))</f>
        <v>278.53123771916404</v>
      </c>
      <c r="EP19" s="59">
        <f t="shared" si="46"/>
        <v>283.79094702030869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2.5115384615384619</v>
      </c>
      <c r="FE19" s="12">
        <f>IF('Données projet'!$A$218&gt;35,FE18+FD19-FM18,IF(A19&lt;'Données projet'!$A$218,$FB$205^A19,IF(A19='Données projet'!$A$218,'Données projet'!$B$218,FE18+FD19-FM18)))</f>
        <v>10.025343155938796</v>
      </c>
      <c r="FF19" s="17">
        <f>FE19*VLOOKUP('Données projet'!$B$16,Paramètres!$A$1:$I$89,3,0)*VLOOKUP('Données projet'!$B$16,Paramètres!$A$1:$I$89,5,0)</f>
        <v>9.0709304874934222</v>
      </c>
      <c r="FG19" s="13">
        <f t="shared" si="47"/>
        <v>3.2339494689230706</v>
      </c>
      <c r="FH19" s="20">
        <f t="shared" si="22"/>
        <v>21.430999257425388</v>
      </c>
      <c r="FI19" s="59">
        <f t="shared" si="23"/>
        <v>297.65322147964764</v>
      </c>
      <c r="FJ19" s="59">
        <f ca="1">AVERAGE(OFFSET($FI$3,0,0,'Données projet'!$E$16+1,1))-AVERAGE(OFFSET($H$3,0,0,'Données projet'!$E$16+1,1))</f>
        <v>335.99493768537013</v>
      </c>
      <c r="FK19" s="59">
        <f t="shared" si="48"/>
        <v>150.85164849522778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11.8</v>
      </c>
      <c r="FZ19" s="12">
        <f>IF('Données projet'!$A$244&gt;35,FZ18+FY19-GH18,IF(A19&lt;'Données projet'!$A$244,$FW$205^A19,IF(A19='Données projet'!$A$244,'Données projet'!$B$244,FZ18+FY19-GH18)))</f>
        <v>69.799999999999983</v>
      </c>
      <c r="GA19" s="17">
        <f>FZ19*VLOOKUP('Données projet'!$B$17,Paramètres!$A$1:$I$89,3,0)*VLOOKUP('Données projet'!$B$17,Paramètres!$A$1:$I$89,5,0)</f>
        <v>60.977279999999993</v>
      </c>
      <c r="GB19" s="13">
        <f t="shared" si="49"/>
        <v>17.415123237238468</v>
      </c>
      <c r="GC19" s="20">
        <f t="shared" si="25"/>
        <v>136.5334356381903</v>
      </c>
      <c r="GD19" s="59">
        <f t="shared" si="26"/>
        <v>412.7556578604125</v>
      </c>
      <c r="GE19" s="59">
        <f ca="1">AVERAGE(OFFSET($GD$3,0,0,'Données projet'!$E$17+1,1))-AVERAGE(OFFSET($H$3,0,0,'Données projet'!$E$17+1,1))</f>
        <v>319.57811113658374</v>
      </c>
      <c r="GF19" s="59">
        <f t="shared" si="50"/>
        <v>322.03572137403245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10.26553846</v>
      </c>
      <c r="N20" s="13">
        <f>IF('Données projet'!$A$36&gt;35,N19+M20-V19,IF(A20&lt;'Données projet'!$A$36,$K$205^A20,IF(A20='Données projet'!$A$36,'Données projet'!$B$36,N19+M20-V19)))</f>
        <v>43.484931001435207</v>
      </c>
      <c r="O20" s="13">
        <f>N20*VLOOKUP('Données projet'!$B$9,Paramètres!$A$1:$I$89,3,0)*VLOOKUP('Données projet'!$B$9,Paramètres!$A$1:$I$89,5,0)</f>
        <v>20.916251811690334</v>
      </c>
      <c r="P20" s="13">
        <f t="shared" si="33"/>
        <v>6.7659939489724081</v>
      </c>
      <c r="Q20" s="20">
        <f t="shared" si="2"/>
        <v>48.21324469982094</v>
      </c>
      <c r="R20" s="59">
        <f t="shared" si="0"/>
        <v>325.65768914426542</v>
      </c>
      <c r="S20" s="59">
        <f ca="1">AVERAGE(OFFSET($R$3,0,0,'Données projet'!$E$9+1,1))-AVERAGE(OFFSET($H$3,0,0,'Données projet'!$E$9+1,1))</f>
        <v>226.41956082453015</v>
      </c>
      <c r="T20" s="59">
        <f t="shared" si="34"/>
        <v>317.95076157570446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3.2427350426666668</v>
      </c>
      <c r="AI20" s="13">
        <f>IF('Données projet'!$A$62&gt;35,AI19+AH20-AQ19,IF(A20&lt;'Données projet'!$A$62,$AF$205^A20,IF(A20='Données projet'!$A$62,'Données projet'!$B$62,AI19+AH20-AQ19)))</f>
        <v>13.382950585337603</v>
      </c>
      <c r="AJ20" s="13">
        <f>AI20*VLOOKUP('Données projet'!$B$10,Paramètres!$A$1:$I$89,3,0)*VLOOKUP('Données projet'!$B$10,Paramètres!$A$1:$I$89,5,0)</f>
        <v>11.482571602219664</v>
      </c>
      <c r="AK20" s="13">
        <f t="shared" si="35"/>
        <v>3.9829299530074138</v>
      </c>
      <c r="AL20" s="20">
        <f t="shared" si="4"/>
        <v>26.935748542020491</v>
      </c>
      <c r="AM20" s="59">
        <f t="shared" si="5"/>
        <v>304.38019298646498</v>
      </c>
      <c r="AN20" s="59">
        <f ca="1">AVERAGE(OFFSET($AM$3,0,0,'Données projet'!$E$10+1,1))-AVERAGE(OFFSET($H$3,0,0,'Données projet'!$E$10+1,1))</f>
        <v>257.80662231827404</v>
      </c>
      <c r="AO20" s="59">
        <f t="shared" si="36"/>
        <v>184.04558520039876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10.160683761111111</v>
      </c>
      <c r="BD20" s="12">
        <f>IF('Données projet'!$A$88&gt;35,BD19+BC20-BL19,IF(A20&lt;'Données projet'!$A$88,$BA$205^A20,IF(A20='Données projet'!$A$88,'Données projet'!$B$88,BD19+BC20-BL19)))</f>
        <v>136.93608756060991</v>
      </c>
      <c r="BE20" s="13">
        <f>BD20*VLOOKUP('Données projet'!$B$11,Paramètres!$A$1:$I$89,3,0)*VLOOKUP('Données projet'!$B$11,Paramètres!$A$1:$I$89,5,0)</f>
        <v>76.547272946380943</v>
      </c>
      <c r="BF20" s="13">
        <f t="shared" si="37"/>
        <v>21.290819021571426</v>
      </c>
      <c r="BG20" s="20">
        <f t="shared" si="7"/>
        <v>170.40134351085038</v>
      </c>
      <c r="BH20" s="59">
        <f t="shared" si="8"/>
        <v>447.84578795529484</v>
      </c>
      <c r="BI20" s="59">
        <f ca="1">AVERAGE(OFFSET($BH$3,0,0,'Données projet'!$E$11+1,1))-AVERAGE(OFFSET($H$3,0,0,'Données projet'!$E$11+1,1))</f>
        <v>300.90952915835157</v>
      </c>
      <c r="BJ20" s="59">
        <f t="shared" si="38"/>
        <v>402.81783992925256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4.7456410266666662</v>
      </c>
      <c r="BY20" s="12">
        <f>IF('Données projet'!$A$114&gt;35,BY19+BX20-CG19,IF(A20&lt;'Données projet'!$A$114,$BV$205^A20,IF(A20='Données projet'!$A$114,'Données projet'!$B$114,BY19+BX20-CG19)))</f>
        <v>16.606157215940868</v>
      </c>
      <c r="BZ20" s="13">
        <f>BY20*VLOOKUP('Données projet'!$B$12,Paramètres!$A$1:$I$89,3,0)*VLOOKUP('Données projet'!$B$12,Paramètres!$A$1:$I$89,5,0)</f>
        <v>8.2034416646747896</v>
      </c>
      <c r="CA20" s="13">
        <f t="shared" si="39"/>
        <v>2.9590957188169305</v>
      </c>
      <c r="CB20" s="20">
        <f t="shared" si="10"/>
        <v>19.44141927624808</v>
      </c>
      <c r="CC20" s="59">
        <f t="shared" si="11"/>
        <v>296.88586372069256</v>
      </c>
      <c r="CD20" s="59">
        <f ca="1">AVERAGE(OFFSET($CC$3,0,0,'Données projet'!$E$12+1,1))-AVERAGE(OFFSET($H$3,0,0,'Données projet'!$E$12+1,1))</f>
        <v>246.05217890269194</v>
      </c>
      <c r="CE20" s="59">
        <f t="shared" si="40"/>
        <v>155.54297071424327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5.9083916090909092</v>
      </c>
      <c r="CT20" s="12">
        <f>IF('Données projet'!$A$140&gt;35,CT19+CS20-DB19,IF(A20&lt;'Données projet'!$A$140,$CQ$205^A20,IF(A20='Données projet'!$A$140,'Données projet'!$B$140,CT19+CS20-DB19)))</f>
        <v>42.999357274277507</v>
      </c>
      <c r="CU20" s="17">
        <f>CT20*VLOOKUP('Données projet'!$B$13,Paramètres!$A$1:$I$89,3,0)*VLOOKUP('Données projet'!$B$13,Paramètres!$A$1:$I$89,5,0)</f>
        <v>25.713615650017953</v>
      </c>
      <c r="CV20" s="13">
        <f t="shared" si="41"/>
        <v>8.1203027709727085</v>
      </c>
      <c r="CW20" s="20">
        <f t="shared" si="13"/>
        <v>58.927407916558735</v>
      </c>
      <c r="CX20" s="59">
        <f t="shared" si="14"/>
        <v>336.37185236100322</v>
      </c>
      <c r="CY20" s="59">
        <f ca="1">AVERAGE(OFFSET($CX$3,0,0,'Données projet'!$E$13+1,1))-AVERAGE(OFFSET($H$3,0,0,'Données projet'!$E$13+1,1))</f>
        <v>237.036496933921</v>
      </c>
      <c r="CZ20" s="59">
        <f t="shared" si="42"/>
        <v>191.04289413665344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2.5784615383333334</v>
      </c>
      <c r="DO20" s="12">
        <f>IF('Données projet'!$A$166&gt;35,DO19+DN20-DW19,IF(A20&lt;'Données projet'!$A$166,$DL$205^A20,IF(A20='Données projet'!$A$166,'Données projet'!$B$166,DO19+DN20-DW19)))</f>
        <v>11.752756825690112</v>
      </c>
      <c r="DP20" s="17">
        <f>DO20*VLOOKUP('Données projet'!$B$14,Paramètres!$A$1:$I$89,3,0)*VLOOKUP('Données projet'!$B$14,Paramètres!$A$1:$I$89,5,0)</f>
        <v>7.0281485817626876</v>
      </c>
      <c r="DQ20" s="13">
        <f t="shared" si="43"/>
        <v>2.5811944012890722</v>
      </c>
      <c r="DR20" s="20">
        <f t="shared" si="16"/>
        <v>16.736272362148483</v>
      </c>
      <c r="DS20" s="59">
        <f t="shared" si="17"/>
        <v>294.18071680659295</v>
      </c>
      <c r="DT20" s="59">
        <f ca="1">AVERAGE(OFFSET($DS$3,0,0,'Données projet'!$E$14+1,1))-AVERAGE(OFFSET($H$3,0,0,'Données projet'!$E$14+1,1))</f>
        <v>148.22129593028302</v>
      </c>
      <c r="DU20" s="59">
        <f t="shared" si="44"/>
        <v>102.97015482019975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44.431919999999998</v>
      </c>
      <c r="EL20" s="13">
        <f t="shared" si="45"/>
        <v>13.166048117528</v>
      </c>
      <c r="EM20" s="20">
        <f t="shared" si="19"/>
        <v>100.31646113802792</v>
      </c>
      <c r="EN20" s="59">
        <f t="shared" si="20"/>
        <v>377.76090558247239</v>
      </c>
      <c r="EO20" s="59">
        <f ca="1">AVERAGE(OFFSET($EN$3,0,0,'Données projet'!$E$15+1,1))-AVERAGE(OFFSET($H$3,0,0,'Données projet'!$E$15+1,1))</f>
        <v>278.53123771916404</v>
      </c>
      <c r="EP20" s="59">
        <f t="shared" si="46"/>
        <v>283.79094702030869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2.5115384615384619</v>
      </c>
      <c r="FE20" s="12">
        <f>IF('Données projet'!$A$218&gt;35,FE19+FD20-FM19,IF(A20&lt;'Données projet'!$A$218,$FB$205^A20,IF(A20='Données projet'!$A$218,'Données projet'!$B$218,FE19+FD20-FM19)))</f>
        <v>11.578917241241234</v>
      </c>
      <c r="FF20" s="17">
        <f>FE20*VLOOKUP('Données projet'!$B$16,Paramètres!$A$1:$I$89,3,0)*VLOOKUP('Données projet'!$B$16,Paramètres!$A$1:$I$89,5,0)</f>
        <v>10.476604319875069</v>
      </c>
      <c r="FG20" s="13">
        <f t="shared" si="47"/>
        <v>3.6729831466207905</v>
      </c>
      <c r="FH20" s="20">
        <f t="shared" si="22"/>
        <v>24.643864837480283</v>
      </c>
      <c r="FI20" s="59">
        <f t="shared" si="23"/>
        <v>302.08830928192475</v>
      </c>
      <c r="FJ20" s="59">
        <f ca="1">AVERAGE(OFFSET($FI$3,0,0,'Données projet'!$E$16+1,1))-AVERAGE(OFFSET($H$3,0,0,'Données projet'!$E$16+1,1))</f>
        <v>335.99493768537013</v>
      </c>
      <c r="FK20" s="59">
        <f t="shared" si="48"/>
        <v>150.85164849522778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11.8</v>
      </c>
      <c r="FZ20" s="12">
        <f>IF('Données projet'!$A$244&gt;35,FZ19+FY20-GH19,IF(A20&lt;'Données projet'!$A$244,$FW$205^A20,IF(A20='Données projet'!$A$244,'Données projet'!$B$244,FZ19+FY20-GH19)))</f>
        <v>81.59999999999998</v>
      </c>
      <c r="GA20" s="17">
        <f>FZ20*VLOOKUP('Données projet'!$B$17,Paramètres!$A$1:$I$89,3,0)*VLOOKUP('Données projet'!$B$17,Paramètres!$A$1:$I$89,5,0)</f>
        <v>71.285759999999982</v>
      </c>
      <c r="GB20" s="13">
        <f t="shared" si="49"/>
        <v>19.992418069182566</v>
      </c>
      <c r="GC20" s="20">
        <f t="shared" si="25"/>
        <v>158.97616013715958</v>
      </c>
      <c r="GD20" s="59">
        <f t="shared" si="26"/>
        <v>436.42060458160404</v>
      </c>
      <c r="GE20" s="59">
        <f ca="1">AVERAGE(OFFSET($GD$3,0,0,'Données projet'!$E$17+1,1))-AVERAGE(OFFSET($H$3,0,0,'Données projet'!$E$17+1,1))</f>
        <v>319.57811113658374</v>
      </c>
      <c r="GF20" s="59">
        <f t="shared" si="50"/>
        <v>322.03572137403245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10.26553846</v>
      </c>
      <c r="N21" s="13">
        <f>IF('Données projet'!$A$36&gt;35,N20+M21-V20,IF(A21&lt;'Données projet'!$A$36,$K$205^A21,IF(A21='Données projet'!$A$36,'Données projet'!$B$36,N20+M21-V20)))</f>
        <v>54.288976621284171</v>
      </c>
      <c r="O21" s="13">
        <f>N21*VLOOKUP('Données projet'!$B$9,Paramètres!$A$1:$I$89,3,0)*VLOOKUP('Données projet'!$B$9,Paramètres!$A$1:$I$89,5,0)</f>
        <v>26.112997754837689</v>
      </c>
      <c r="P21" s="13">
        <f t="shared" si="33"/>
        <v>8.2316457595467245</v>
      </c>
      <c r="Q21" s="20">
        <f t="shared" si="2"/>
        <v>59.816920787552846</v>
      </c>
      <c r="R21" s="59">
        <f t="shared" si="0"/>
        <v>338.48358745421956</v>
      </c>
      <c r="S21" s="59">
        <f ca="1">AVERAGE(OFFSET($R$3,0,0,'Données projet'!$E$9+1,1))-AVERAGE(OFFSET($H$3,0,0,'Données projet'!$E$9+1,1))</f>
        <v>226.41956082453015</v>
      </c>
      <c r="T21" s="59">
        <f t="shared" si="34"/>
        <v>317.95076157570446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3.2427350426666668</v>
      </c>
      <c r="AI21" s="13">
        <f>IF('Données projet'!$A$62&gt;35,AI20+AH21-AQ20,IF(A21&lt;'Données projet'!$A$62,$AF$205^A21,IF(A21='Données projet'!$A$62,'Données projet'!$B$62,AI20+AH21-AQ20)))</f>
        <v>15.589049343565538</v>
      </c>
      <c r="AJ21" s="13">
        <f>AI21*VLOOKUP('Données projet'!$B$10,Paramètres!$A$1:$I$89,3,0)*VLOOKUP('Données projet'!$B$10,Paramètres!$A$1:$I$89,5,0)</f>
        <v>13.375404336779233</v>
      </c>
      <c r="AK21" s="13">
        <f t="shared" si="35"/>
        <v>4.5578167383486354</v>
      </c>
      <c r="AL21" s="20">
        <f t="shared" si="4"/>
        <v>31.23369337251437</v>
      </c>
      <c r="AM21" s="59">
        <f t="shared" si="5"/>
        <v>309.90036003918107</v>
      </c>
      <c r="AN21" s="59">
        <f ca="1">AVERAGE(OFFSET($AM$3,0,0,'Données projet'!$E$10+1,1))-AVERAGE(OFFSET($H$3,0,0,'Données projet'!$E$10+1,1))</f>
        <v>257.80662231827404</v>
      </c>
      <c r="AO21" s="59">
        <f t="shared" si="36"/>
        <v>184.04558520039876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182.8923077</v>
      </c>
      <c r="BB21" s="12">
        <f>VLOOKUP(A21,'Données projet'!$A$87:$I$107,9,0)</f>
        <v>10.160683761111111</v>
      </c>
      <c r="BC21" s="12">
        <f t="array" ref="BC21">INDEX(BB:BB,MIN(IF(ISNUMBER(BB21:BB217),ROW(BB21:BB217),"")))</f>
        <v>10.160683761111111</v>
      </c>
      <c r="BD21" s="12">
        <f>IF('Données projet'!$A$88&gt;35,BD20+BC21-BL20,IF(A21&lt;'Données projet'!$A$88,$BA$205^A21,IF(A21='Données projet'!$A$88,'Données projet'!$B$88,BD20+BC21-BL20)))</f>
        <v>182.8923077</v>
      </c>
      <c r="BE21" s="13">
        <f>BD21*VLOOKUP('Données projet'!$B$11,Paramètres!$A$1:$I$89,3,0)*VLOOKUP('Données projet'!$B$11,Paramètres!$A$1:$I$89,5,0)</f>
        <v>102.23680000429999</v>
      </c>
      <c r="BF21" s="13">
        <f t="shared" si="37"/>
        <v>27.494196290348714</v>
      </c>
      <c r="BG21" s="20">
        <f t="shared" si="7"/>
        <v>225.94815187984651</v>
      </c>
      <c r="BH21" s="59">
        <f t="shared" si="8"/>
        <v>504.61481854651322</v>
      </c>
      <c r="BI21" s="59">
        <f ca="1">AVERAGE(OFFSET($BH$3,0,0,'Données projet'!$E$11+1,1))-AVERAGE(OFFSET($H$3,0,0,'Données projet'!$E$11+1,1))</f>
        <v>300.90952915835157</v>
      </c>
      <c r="BJ21" s="59">
        <f t="shared" si="38"/>
        <v>402.81783992925256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69.284615380000005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0.30800000000000005</v>
      </c>
      <c r="BO21" s="16">
        <f>IF(ISNA(VLOOKUP(A21,'Données projet'!$A$87:$I$107,7,0)),0%,VLOOKUP(A21,'Données projet'!$A$87:$I$107,7,0))</f>
        <v>0.44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15.762109240405996</v>
      </c>
      <c r="BR21" s="21">
        <f>EXP(-LN(2)/2)*BR20+(1-EXP(-LN(2)/2))/(LN(2)/2)*BL21*BO21*VLOOKUP('Données projet'!$B$11,Paramètres!$A$1:$I$89,3,0)*0.475*44/12</f>
        <v>19.294646845543795</v>
      </c>
      <c r="BS21" s="22">
        <f t="shared" si="9"/>
        <v>35.056756085949793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4.7456410266666662</v>
      </c>
      <c r="BY21" s="12">
        <f>IF('Données projet'!$A$114&gt;35,BY20+BX21-CG20,IF(A21&lt;'Données projet'!$A$114,$BV$205^A21,IF(A21='Données projet'!$A$114,'Données projet'!$B$114,BY20+BX21-CG20)))</f>
        <v>19.590687776147718</v>
      </c>
      <c r="BZ21" s="13">
        <f>BY21*VLOOKUP('Données projet'!$B$12,Paramètres!$A$1:$I$89,3,0)*VLOOKUP('Données projet'!$B$12,Paramètres!$A$1:$I$89,5,0)</f>
        <v>9.6777997614169724</v>
      </c>
      <c r="CA21" s="13">
        <f t="shared" si="39"/>
        <v>3.4243984908800651</v>
      </c>
      <c r="CB21" s="20">
        <f t="shared" si="10"/>
        <v>22.819661956084005</v>
      </c>
      <c r="CC21" s="59">
        <f t="shared" si="11"/>
        <v>301.4863286227507</v>
      </c>
      <c r="CD21" s="59">
        <f ca="1">AVERAGE(OFFSET($CC$3,0,0,'Données projet'!$E$12+1,1))-AVERAGE(OFFSET($H$3,0,0,'Données projet'!$E$12+1,1))</f>
        <v>246.05217890269194</v>
      </c>
      <c r="CE21" s="59">
        <f t="shared" si="40"/>
        <v>155.54297071424327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5.9083916090909092</v>
      </c>
      <c r="CT21" s="12">
        <f>IF('Données projet'!$A$140&gt;35,CT20+CS21-DB20,IF(A21&lt;'Données projet'!$A$140,$CQ$205^A21,IF(A21='Données projet'!$A$140,'Données projet'!$B$140,CT20+CS21-DB20)))</f>
        <v>53.647311439252029</v>
      </c>
      <c r="CU21" s="17">
        <f>CT21*VLOOKUP('Données projet'!$B$13,Paramètres!$A$1:$I$89,3,0)*VLOOKUP('Données projet'!$B$13,Paramètres!$A$1:$I$89,5,0)</f>
        <v>32.081092240672717</v>
      </c>
      <c r="CV21" s="13">
        <f t="shared" si="41"/>
        <v>9.8735609227912526</v>
      </c>
      <c r="CW21" s="20">
        <f t="shared" si="13"/>
        <v>73.071020926366415</v>
      </c>
      <c r="CX21" s="59">
        <f t="shared" si="14"/>
        <v>351.73768759303312</v>
      </c>
      <c r="CY21" s="59">
        <f ca="1">AVERAGE(OFFSET($CX$3,0,0,'Données projet'!$E$13+1,1))-AVERAGE(OFFSET($H$3,0,0,'Données projet'!$E$13+1,1))</f>
        <v>237.036496933921</v>
      </c>
      <c r="CZ21" s="59">
        <f t="shared" si="42"/>
        <v>191.04289413665344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2.5784615383333334</v>
      </c>
      <c r="DO21" s="12">
        <f>IF('Données projet'!$A$166&gt;35,DO20+DN21-DW20,IF(A21&lt;'Données projet'!$A$166,$DL$205^A21,IF(A21='Données projet'!$A$166,'Données projet'!$B$166,DO20+DN21-DW20)))</f>
        <v>13.585922955231917</v>
      </c>
      <c r="DP21" s="17">
        <f>DO21*VLOOKUP('Données projet'!$B$14,Paramètres!$A$1:$I$89,3,0)*VLOOKUP('Données projet'!$B$14,Paramètres!$A$1:$I$89,5,0)</f>
        <v>8.1243819272286864</v>
      </c>
      <c r="DQ21" s="13">
        <f t="shared" si="43"/>
        <v>2.9338830744631337</v>
      </c>
      <c r="DR21" s="20">
        <f t="shared" si="16"/>
        <v>19.259811544613253</v>
      </c>
      <c r="DS21" s="59">
        <f t="shared" si="17"/>
        <v>297.92647821127991</v>
      </c>
      <c r="DT21" s="59">
        <f ca="1">AVERAGE(OFFSET($DS$3,0,0,'Données projet'!$E$14+1,1))-AVERAGE(OFFSET($H$3,0,0,'Données projet'!$E$14+1,1))</f>
        <v>148.22129593028302</v>
      </c>
      <c r="DU21" s="59">
        <f t="shared" si="44"/>
        <v>102.97015482019975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54.550079999999994</v>
      </c>
      <c r="EL21" s="13">
        <f t="shared" si="45"/>
        <v>15.782815260920117</v>
      </c>
      <c r="EM21" s="20">
        <f t="shared" si="19"/>
        <v>122.49645924610253</v>
      </c>
      <c r="EN21" s="59">
        <f t="shared" si="20"/>
        <v>401.1631259127692</v>
      </c>
      <c r="EO21" s="59">
        <f ca="1">AVERAGE(OFFSET($EN$3,0,0,'Données projet'!$E$15+1,1))-AVERAGE(OFFSET($H$3,0,0,'Données projet'!$E$15+1,1))</f>
        <v>278.53123771916404</v>
      </c>
      <c r="EP21" s="59">
        <f t="shared" si="46"/>
        <v>283.79094702030869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2.5115384615384619</v>
      </c>
      <c r="FE21" s="12">
        <f>IF('Données projet'!$A$218&gt;35,FE20+FD21-FM20,IF(A21&lt;'Données projet'!$A$218,$FB$205^A21,IF(A21='Données projet'!$A$218,'Données projet'!$B$218,FE20+FD21-FM20)))</f>
        <v>13.373240436173255</v>
      </c>
      <c r="FF21" s="17">
        <f>FE21*VLOOKUP('Données projet'!$B$16,Paramètres!$A$1:$I$89,3,0)*VLOOKUP('Données projet'!$B$16,Paramètres!$A$1:$I$89,5,0)</f>
        <v>12.10010794664956</v>
      </c>
      <c r="FG21" s="13">
        <f t="shared" si="47"/>
        <v>4.1716190450721236</v>
      </c>
      <c r="FH21" s="20">
        <f t="shared" si="22"/>
        <v>28.339924510581934</v>
      </c>
      <c r="FI21" s="59">
        <f t="shared" si="23"/>
        <v>307.00659117724859</v>
      </c>
      <c r="FJ21" s="59">
        <f ca="1">AVERAGE(OFFSET($FI$3,0,0,'Données projet'!$E$16+1,1))-AVERAGE(OFFSET($H$3,0,0,'Données projet'!$E$16+1,1))</f>
        <v>335.99493768537013</v>
      </c>
      <c r="FK21" s="59">
        <f t="shared" si="48"/>
        <v>150.85164849522778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11.8</v>
      </c>
      <c r="FZ21" s="12">
        <f>IF('Données projet'!$A$244&gt;35,FZ20+FY21-GH20,IF(A21&lt;'Données projet'!$A$244,$FW$205^A21,IF(A21='Données projet'!$A$244,'Données projet'!$B$244,FZ20+FY21-GH20)))</f>
        <v>93.399999999999977</v>
      </c>
      <c r="GA21" s="17">
        <f>FZ21*VLOOKUP('Données projet'!$B$17,Paramètres!$A$1:$I$89,3,0)*VLOOKUP('Données projet'!$B$17,Paramètres!$A$1:$I$89,5,0)</f>
        <v>81.594239999999999</v>
      </c>
      <c r="GB21" s="13">
        <f t="shared" si="49"/>
        <v>22.526535320646335</v>
      </c>
      <c r="GC21" s="20">
        <f t="shared" si="25"/>
        <v>181.34368368345903</v>
      </c>
      <c r="GD21" s="59">
        <f t="shared" si="26"/>
        <v>460.01035035012569</v>
      </c>
      <c r="GE21" s="59">
        <f ca="1">AVERAGE(OFFSET($GD$3,0,0,'Données projet'!$E$17+1,1))-AVERAGE(OFFSET($H$3,0,0,'Données projet'!$E$17+1,1))</f>
        <v>319.57811113658374</v>
      </c>
      <c r="GF21" s="59">
        <f t="shared" si="50"/>
        <v>322.03572137403245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10.26553846</v>
      </c>
      <c r="N22" s="13">
        <f>IF('Données projet'!$A$36&gt;35,N21+M22-V21,IF(A22&lt;'Données projet'!$A$36,$K$205^A22,IF(A22='Données projet'!$A$36,'Données projet'!$B$36,N21+M22-V21)))</f>
        <v>67.777340672083952</v>
      </c>
      <c r="O22" s="13">
        <f>N22*VLOOKUP('Données projet'!$B$9,Paramètres!$A$1:$I$89,3,0)*VLOOKUP('Données projet'!$B$9,Paramètres!$A$1:$I$89,5,0)</f>
        <v>32.600900863272379</v>
      </c>
      <c r="P22" s="13">
        <f t="shared" si="33"/>
        <v>10.014787542184349</v>
      </c>
      <c r="Q22" s="20">
        <f t="shared" si="2"/>
        <v>74.222323972837131</v>
      </c>
      <c r="R22" s="59">
        <f t="shared" si="0"/>
        <v>354.11121286172602</v>
      </c>
      <c r="S22" s="59">
        <f ca="1">AVERAGE(OFFSET($R$3,0,0,'Données projet'!$E$9+1,1))-AVERAGE(OFFSET($H$3,0,0,'Données projet'!$E$9+1,1))</f>
        <v>226.41956082453015</v>
      </c>
      <c r="T22" s="59">
        <f t="shared" si="34"/>
        <v>317.95076157570446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3.2427350426666668</v>
      </c>
      <c r="AI22" s="13">
        <f>IF('Données projet'!$A$62&gt;35,AI21+AH22-AQ21,IF(A22&lt;'Données projet'!$A$62,$AF$205^A22,IF(A22='Données projet'!$A$62,'Données projet'!$B$62,AI21+AH22-AQ21)))</f>
        <v>18.158810188118967</v>
      </c>
      <c r="AJ22" s="13">
        <f>AI22*VLOOKUP('Données projet'!$B$10,Paramètres!$A$1:$I$89,3,0)*VLOOKUP('Données projet'!$B$10,Paramètres!$A$1:$I$89,5,0)</f>
        <v>15.580259141406074</v>
      </c>
      <c r="AK22" s="13">
        <f t="shared" si="35"/>
        <v>5.2156813364707295</v>
      </c>
      <c r="AL22" s="20">
        <f t="shared" si="4"/>
        <v>36.219596332302103</v>
      </c>
      <c r="AM22" s="59">
        <f t="shared" si="5"/>
        <v>316.10848522119096</v>
      </c>
      <c r="AN22" s="59">
        <f ca="1">AVERAGE(OFFSET($AM$3,0,0,'Données projet'!$E$10+1,1))-AVERAGE(OFFSET($H$3,0,0,'Données projet'!$E$10+1,1))</f>
        <v>257.80662231827404</v>
      </c>
      <c r="AO22" s="59">
        <f t="shared" si="36"/>
        <v>184.04558520039876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20.658974363333336</v>
      </c>
      <c r="BD22" s="12">
        <f>IF('Données projet'!$A$88&gt;35,BD21+BC22-BL21,IF(A22&lt;'Données projet'!$A$88,$BA$205^A22,IF(A22='Données projet'!$A$88,'Données projet'!$B$88,BD21+BC22-BL21)))</f>
        <v>134.26666668333331</v>
      </c>
      <c r="BE22" s="13">
        <f>BD22*VLOOKUP('Données projet'!$B$11,Paramètres!$A$1:$I$89,3,0)*VLOOKUP('Données projet'!$B$11,Paramètres!$A$1:$I$89,5,0)</f>
        <v>75.055066675983326</v>
      </c>
      <c r="BF22" s="13">
        <f t="shared" si="37"/>
        <v>20.923669244967723</v>
      </c>
      <c r="BG22" s="20">
        <f t="shared" si="7"/>
        <v>167.16296506232308</v>
      </c>
      <c r="BH22" s="59">
        <f t="shared" si="8"/>
        <v>447.05185395121191</v>
      </c>
      <c r="BI22" s="59">
        <f ca="1">AVERAGE(OFFSET($BH$3,0,0,'Données projet'!$E$11+1,1))-AVERAGE(OFFSET($H$3,0,0,'Données projet'!$E$11+1,1))</f>
        <v>300.90952915835157</v>
      </c>
      <c r="BJ22" s="59">
        <f t="shared" si="38"/>
        <v>402.81783992925256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15.331093534333794</v>
      </c>
      <c r="BR22" s="21">
        <f>EXP(-LN(2)/2)*BR21+(1-EXP(-LN(2)/2))/(LN(2)/2)*BL22*BO22*VLOOKUP('Données projet'!$B$11,Paramètres!$A$1:$I$89,3,0)*0.475*44/12</f>
        <v>13.643375625083646</v>
      </c>
      <c r="BS22" s="22">
        <f t="shared" si="9"/>
        <v>28.974469159417438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4.7456410266666662</v>
      </c>
      <c r="BY22" s="12">
        <f>IF('Données projet'!$A$114&gt;35,BY21+BX22-CG21,IF(A22&lt;'Données projet'!$A$114,$BV$205^A22,IF(A22='Données projet'!$A$114,'Données projet'!$B$114,BY21+BX22-CG21)))</f>
        <v>23.111611106155518</v>
      </c>
      <c r="BZ22" s="13">
        <f>BY22*VLOOKUP('Données projet'!$B$12,Paramètres!$A$1:$I$89,3,0)*VLOOKUP('Données projet'!$B$12,Paramètres!$A$1:$I$89,5,0)</f>
        <v>11.417135886440827</v>
      </c>
      <c r="CA22" s="13">
        <f t="shared" si="39"/>
        <v>3.9628677605028693</v>
      </c>
      <c r="CB22" s="20">
        <f t="shared" si="10"/>
        <v>26.7868396850936</v>
      </c>
      <c r="CC22" s="59">
        <f t="shared" si="11"/>
        <v>306.67572857398244</v>
      </c>
      <c r="CD22" s="59">
        <f ca="1">AVERAGE(OFFSET($CC$3,0,0,'Données projet'!$E$12+1,1))-AVERAGE(OFFSET($H$3,0,0,'Données projet'!$E$12+1,1))</f>
        <v>246.05217890269194</v>
      </c>
      <c r="CE22" s="59">
        <f t="shared" si="40"/>
        <v>155.54297071424327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5.9083916090909092</v>
      </c>
      <c r="CT22" s="12">
        <f>IF('Données projet'!$A$140&gt;35,CT21+CS22-DB21,IF(A22&lt;'Données projet'!$A$140,$CQ$205^A22,IF(A22='Données projet'!$A$140,'Données projet'!$B$140,CT21+CS22-DB21)))</f>
        <v>66.932024269622289</v>
      </c>
      <c r="CU22" s="17">
        <f>CT22*VLOOKUP('Données projet'!$B$13,Paramètres!$A$1:$I$89,3,0)*VLOOKUP('Données projet'!$B$13,Paramètres!$A$1:$I$89,5,0)</f>
        <v>40.025350513234137</v>
      </c>
      <c r="CV22" s="13">
        <f t="shared" si="41"/>
        <v>12.005365815244433</v>
      </c>
      <c r="CW22" s="20">
        <f t="shared" si="13"/>
        <v>90.620164272100169</v>
      </c>
      <c r="CX22" s="59">
        <f t="shared" si="14"/>
        <v>370.50905316098903</v>
      </c>
      <c r="CY22" s="59">
        <f ca="1">AVERAGE(OFFSET($CX$3,0,0,'Données projet'!$E$13+1,1))-AVERAGE(OFFSET($H$3,0,0,'Données projet'!$E$13+1,1))</f>
        <v>237.036496933921</v>
      </c>
      <c r="CZ22" s="59">
        <f t="shared" si="42"/>
        <v>191.04289413665344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2.5784615383333334</v>
      </c>
      <c r="DO22" s="12">
        <f>IF('Données projet'!$A$166&gt;35,DO21+DN22-DW21,IF(A22&lt;'Données projet'!$A$166,$DL$205^A22,IF(A22='Données projet'!$A$166,'Données projet'!$B$166,DO21+DN22-DW21)))</f>
        <v>15.705021833008043</v>
      </c>
      <c r="DP22" s="17">
        <f>DO22*VLOOKUP('Données projet'!$B$14,Paramètres!$A$1:$I$89,3,0)*VLOOKUP('Données projet'!$B$14,Paramètres!$A$1:$I$89,5,0)</f>
        <v>9.3916030561388109</v>
      </c>
      <c r="DQ22" s="13">
        <f t="shared" si="43"/>
        <v>3.3347623450300738</v>
      </c>
      <c r="DR22" s="20">
        <f t="shared" si="16"/>
        <v>22.165086407035805</v>
      </c>
      <c r="DS22" s="59">
        <f t="shared" si="17"/>
        <v>302.05397529592466</v>
      </c>
      <c r="DT22" s="59">
        <f ca="1">AVERAGE(OFFSET($DS$3,0,0,'Données projet'!$E$14+1,1))-AVERAGE(OFFSET($H$3,0,0,'Données projet'!$E$14+1,1))</f>
        <v>148.22129593028302</v>
      </c>
      <c r="DU22" s="59">
        <f t="shared" si="44"/>
        <v>102.97015482019975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64.668239999999997</v>
      </c>
      <c r="EL22" s="13">
        <f t="shared" si="45"/>
        <v>18.34335069187722</v>
      </c>
      <c r="EM22" s="20">
        <f t="shared" si="19"/>
        <v>144.57852045501949</v>
      </c>
      <c r="EN22" s="59">
        <f t="shared" si="20"/>
        <v>424.46740934390834</v>
      </c>
      <c r="EO22" s="59">
        <f ca="1">AVERAGE(OFFSET($EN$3,0,0,'Données projet'!$E$15+1,1))-AVERAGE(OFFSET($H$3,0,0,'Données projet'!$E$15+1,1))</f>
        <v>278.53123771916404</v>
      </c>
      <c r="EP22" s="59">
        <f t="shared" si="46"/>
        <v>283.79094702030869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2.5115384615384619</v>
      </c>
      <c r="FE22" s="12">
        <f>IF('Données projet'!$A$218&gt;35,FE21+FD22-FM21,IF(A22&lt;'Données projet'!$A$218,$FB$205^A22,IF(A22='Données projet'!$A$218,'Données projet'!$B$218,FE21+FD22-FM21)))</f>
        <v>15.445620349258824</v>
      </c>
      <c r="FF22" s="17">
        <f>FE22*VLOOKUP('Données projet'!$B$16,Paramètres!$A$1:$I$89,3,0)*VLOOKUP('Données projet'!$B$16,Paramètres!$A$1:$I$89,5,0)</f>
        <v>13.975197292009385</v>
      </c>
      <c r="FG22" s="13">
        <f t="shared" si="47"/>
        <v>4.7379486271857729</v>
      </c>
      <c r="FH22" s="20">
        <f t="shared" si="22"/>
        <v>32.592062475931563</v>
      </c>
      <c r="FI22" s="59">
        <f t="shared" si="23"/>
        <v>312.48095136482044</v>
      </c>
      <c r="FJ22" s="59">
        <f ca="1">AVERAGE(OFFSET($FI$3,0,0,'Données projet'!$E$16+1,1))-AVERAGE(OFFSET($H$3,0,0,'Données projet'!$E$16+1,1))</f>
        <v>335.99493768537013</v>
      </c>
      <c r="FK22" s="59">
        <f t="shared" si="48"/>
        <v>150.85164849522778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11.8</v>
      </c>
      <c r="FZ22" s="12">
        <f>IF('Données projet'!$A$244&gt;35,FZ21+FY22-GH21,IF(A22&lt;'Données projet'!$A$244,$FW$205^A22,IF(A22='Données projet'!$A$244,'Données projet'!$B$244,FZ21+FY22-GH21)))</f>
        <v>105.19999999999997</v>
      </c>
      <c r="GA22" s="17">
        <f>FZ22*VLOOKUP('Données projet'!$B$17,Paramètres!$A$1:$I$89,3,0)*VLOOKUP('Données projet'!$B$17,Paramètres!$A$1:$I$89,5,0)</f>
        <v>91.902719999999988</v>
      </c>
      <c r="GB22" s="13">
        <f t="shared" si="49"/>
        <v>25.023555003327861</v>
      </c>
      <c r="GC22" s="20">
        <f t="shared" si="25"/>
        <v>203.64659563079599</v>
      </c>
      <c r="GD22" s="59">
        <f t="shared" si="26"/>
        <v>483.53548451968481</v>
      </c>
      <c r="GE22" s="59">
        <f ca="1">AVERAGE(OFFSET($GD$3,0,0,'Données projet'!$E$17+1,1))-AVERAGE(OFFSET($H$3,0,0,'Données projet'!$E$17+1,1))</f>
        <v>319.57811113658374</v>
      </c>
      <c r="GF22" s="59">
        <f t="shared" si="50"/>
        <v>322.03572137403245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10.26553846</v>
      </c>
      <c r="N23" s="13">
        <f>IF('Données projet'!$A$36&gt;35,N22+M23-V22,IF(A23&lt;'Données projet'!$A$36,$K$205^A23,IF(A23='Données projet'!$A$36,'Données projet'!$B$36,N22+M23-V22)))</f>
        <v>84.616955309832179</v>
      </c>
      <c r="O23" s="13">
        <f>N23*VLOOKUP('Données projet'!$B$9,Paramètres!$A$1:$I$89,3,0)*VLOOKUP('Données projet'!$B$9,Paramètres!$A$1:$I$89,5,0)</f>
        <v>40.700755504029281</v>
      </c>
      <c r="P23" s="13">
        <f t="shared" si="33"/>
        <v>12.184194077930496</v>
      </c>
      <c r="Q23" s="20">
        <f t="shared" si="2"/>
        <v>92.107953855246592</v>
      </c>
      <c r="R23" s="59">
        <f t="shared" si="0"/>
        <v>373.21906496635773</v>
      </c>
      <c r="S23" s="59">
        <f ca="1">AVERAGE(OFFSET($R$3,0,0,'Données projet'!$E$9+1,1))-AVERAGE(OFFSET($H$3,0,0,'Données projet'!$E$9+1,1))</f>
        <v>226.41956082453015</v>
      </c>
      <c r="T23" s="59">
        <f t="shared" si="34"/>
        <v>317.95076157570446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3.2427350426666668</v>
      </c>
      <c r="AI23" s="13">
        <f>IF('Données projet'!$A$62&gt;35,AI22+AH23-AQ22,IF(A23&lt;'Données projet'!$A$62,$AF$205^A23,IF(A23='Données projet'!$A$62,'Données projet'!$B$62,AI22+AH23-AQ22)))</f>
        <v>21.152180622498062</v>
      </c>
      <c r="AJ23" s="13">
        <f>AI23*VLOOKUP('Données projet'!$B$10,Paramètres!$A$1:$I$89,3,0)*VLOOKUP('Données projet'!$B$10,Paramètres!$A$1:$I$89,5,0)</f>
        <v>18.14857097410334</v>
      </c>
      <c r="AK23" s="13">
        <f t="shared" si="35"/>
        <v>5.9685005706186551</v>
      </c>
      <c r="AL23" s="20">
        <f t="shared" si="4"/>
        <v>42.00389960705747</v>
      </c>
      <c r="AM23" s="59">
        <f t="shared" si="5"/>
        <v>323.11501071816861</v>
      </c>
      <c r="AN23" s="59">
        <f ca="1">AVERAGE(OFFSET($AM$3,0,0,'Données projet'!$E$10+1,1))-AVERAGE(OFFSET($H$3,0,0,'Données projet'!$E$10+1,1))</f>
        <v>257.80662231827404</v>
      </c>
      <c r="AO23" s="59">
        <f t="shared" si="36"/>
        <v>184.04558520039876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20.658974363333336</v>
      </c>
      <c r="BD23" s="12">
        <f>IF('Données projet'!$A$88&gt;35,BD22+BC23-BL22,IF(A23&lt;'Données projet'!$A$88,$BA$205^A23,IF(A23='Données projet'!$A$88,'Données projet'!$B$88,BD22+BC23-BL22)))</f>
        <v>154.92564104666664</v>
      </c>
      <c r="BE23" s="13">
        <f>BD23*VLOOKUP('Données projet'!$B$11,Paramètres!$A$1:$I$89,3,0)*VLOOKUP('Données projet'!$B$11,Paramètres!$A$1:$I$89,5,0)</f>
        <v>86.603433345086657</v>
      </c>
      <c r="BF23" s="13">
        <f t="shared" si="37"/>
        <v>23.744229856747626</v>
      </c>
      <c r="BG23" s="20">
        <f t="shared" si="7"/>
        <v>192.18884674319466</v>
      </c>
      <c r="BH23" s="59">
        <f t="shared" si="8"/>
        <v>473.29995785430583</v>
      </c>
      <c r="BI23" s="59">
        <f ca="1">AVERAGE(OFFSET($BH$3,0,0,'Données projet'!$E$11+1,1))-AVERAGE(OFFSET($H$3,0,0,'Données projet'!$E$11+1,1))</f>
        <v>300.90952915835157</v>
      </c>
      <c r="BJ23" s="59">
        <f t="shared" si="38"/>
        <v>402.81783992925256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14.911863975410267</v>
      </c>
      <c r="BR23" s="21">
        <f>EXP(-LN(2)/2)*BR22+(1-EXP(-LN(2)/2))/(LN(2)/2)*BL23*BO23*VLOOKUP('Données projet'!$B$11,Paramètres!$A$1:$I$89,3,0)*0.475*44/12</f>
        <v>9.6473234227718976</v>
      </c>
      <c r="BS23" s="22">
        <f t="shared" si="9"/>
        <v>24.559187398182164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4.7456410266666662</v>
      </c>
      <c r="BY23" s="12">
        <f>IF('Données projet'!$A$114&gt;35,BY22+BX23-CG22,IF(A23&lt;'Données projet'!$A$114,$BV$205^A23,IF(A23='Données projet'!$A$114,'Données projet'!$B$114,BY22+BX23-CG22)))</f>
        <v>27.265330039740178</v>
      </c>
      <c r="BZ23" s="13">
        <f>BY23*VLOOKUP('Données projet'!$B$12,Paramètres!$A$1:$I$89,3,0)*VLOOKUP('Données projet'!$B$12,Paramètres!$A$1:$I$89,5,0)</f>
        <v>13.469073039631647</v>
      </c>
      <c r="CA23" s="13">
        <f t="shared" si="39"/>
        <v>4.5860085878022439</v>
      </c>
      <c r="CB23" s="20">
        <f t="shared" si="10"/>
        <v>31.445933834447359</v>
      </c>
      <c r="CC23" s="59">
        <f t="shared" si="11"/>
        <v>312.55704494555852</v>
      </c>
      <c r="CD23" s="59">
        <f ca="1">AVERAGE(OFFSET($CC$3,0,0,'Données projet'!$E$12+1,1))-AVERAGE(OFFSET($H$3,0,0,'Données projet'!$E$12+1,1))</f>
        <v>246.05217890269194</v>
      </c>
      <c r="CE23" s="59">
        <f t="shared" si="40"/>
        <v>155.54297071424327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5.9083916090909092</v>
      </c>
      <c r="CT23" s="12">
        <f>IF('Données projet'!$A$140&gt;35,CT22+CS23-DB22,IF(A23&lt;'Données projet'!$A$140,$CQ$205^A23,IF(A23='Données projet'!$A$140,'Données projet'!$B$140,CT22+CS23-DB22)))</f>
        <v>83.506437743896129</v>
      </c>
      <c r="CU23" s="17">
        <f>CT23*VLOOKUP('Données projet'!$B$13,Paramètres!$A$1:$I$89,3,0)*VLOOKUP('Données projet'!$B$13,Paramètres!$A$1:$I$89,5,0)</f>
        <v>49.936849770849889</v>
      </c>
      <c r="CV23" s="13">
        <f t="shared" si="41"/>
        <v>14.597449642017759</v>
      </c>
      <c r="CW23" s="20">
        <f t="shared" si="13"/>
        <v>112.39723814407783</v>
      </c>
      <c r="CX23" s="59">
        <f t="shared" si="14"/>
        <v>393.50834925518899</v>
      </c>
      <c r="CY23" s="59">
        <f ca="1">AVERAGE(OFFSET($CX$3,0,0,'Données projet'!$E$13+1,1))-AVERAGE(OFFSET($H$3,0,0,'Données projet'!$E$13+1,1))</f>
        <v>237.036496933921</v>
      </c>
      <c r="CZ23" s="59">
        <f t="shared" si="42"/>
        <v>191.04289413665344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2.5784615383333334</v>
      </c>
      <c r="DO23" s="12">
        <f>IF('Données projet'!$A$166&gt;35,DO22+DN23-DW22,IF(A23&lt;'Données projet'!$A$166,$DL$205^A23,IF(A23='Données projet'!$A$166,'Données projet'!$B$166,DO22+DN23-DW22)))</f>
        <v>18.154652546463598</v>
      </c>
      <c r="DP23" s="17">
        <f>DO23*VLOOKUP('Données projet'!$B$14,Paramètres!$A$1:$I$89,3,0)*VLOOKUP('Données projet'!$B$14,Paramètres!$A$1:$I$89,5,0)</f>
        <v>10.856482222785234</v>
      </c>
      <c r="DQ23" s="13">
        <f t="shared" si="43"/>
        <v>3.7904168692426277</v>
      </c>
      <c r="DR23" s="20">
        <f t="shared" si="16"/>
        <v>25.510015918615196</v>
      </c>
      <c r="DS23" s="59">
        <f t="shared" si="17"/>
        <v>306.62112702972632</v>
      </c>
      <c r="DT23" s="59">
        <f ca="1">AVERAGE(OFFSET($DS$3,0,0,'Données projet'!$E$14+1,1))-AVERAGE(OFFSET($H$3,0,0,'Données projet'!$E$14+1,1))</f>
        <v>148.22129593028302</v>
      </c>
      <c r="DU23" s="59">
        <f t="shared" si="44"/>
        <v>102.97015482019975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74.786399999999986</v>
      </c>
      <c r="EL23" s="13">
        <f t="shared" si="45"/>
        <v>20.857475351088951</v>
      </c>
      <c r="EM23" s="20">
        <f t="shared" si="19"/>
        <v>166.57974956981323</v>
      </c>
      <c r="EN23" s="59">
        <f t="shared" si="20"/>
        <v>447.6908606809244</v>
      </c>
      <c r="EO23" s="59">
        <f ca="1">AVERAGE(OFFSET($EN$3,0,0,'Données projet'!$E$15+1,1))-AVERAGE(OFFSET($H$3,0,0,'Données projet'!$E$15+1,1))</f>
        <v>278.53123771916404</v>
      </c>
      <c r="EP23" s="59">
        <f t="shared" si="46"/>
        <v>283.79094702030869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1.29E-2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0.36451379027913661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0.36451379027913661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2.5115384615384619</v>
      </c>
      <c r="FE23" s="12">
        <f>IF('Données projet'!$A$218&gt;35,FE22+FD23-FM22,IF(A23&lt;'Données projet'!$A$218,$FB$205^A23,IF(A23='Données projet'!$A$218,'Données projet'!$B$218,FE22+FD23-FM22)))</f>
        <v>17.839145950605833</v>
      </c>
      <c r="FF23" s="17">
        <f>FE23*VLOOKUP('Données projet'!$B$16,Paramètres!$A$1:$I$89,3,0)*VLOOKUP('Données projet'!$B$16,Paramètres!$A$1:$I$89,5,0)</f>
        <v>16.140859256108158</v>
      </c>
      <c r="FG23" s="13">
        <f t="shared" si="47"/>
        <v>5.3811618346045424</v>
      </c>
      <c r="FH23" s="20">
        <f t="shared" si="22"/>
        <v>37.484186732991283</v>
      </c>
      <c r="FI23" s="59">
        <f t="shared" si="23"/>
        <v>318.59529784410245</v>
      </c>
      <c r="FJ23" s="59">
        <f ca="1">AVERAGE(OFFSET($FI$3,0,0,'Données projet'!$E$16+1,1))-AVERAGE(OFFSET($H$3,0,0,'Données projet'!$E$16+1,1))</f>
        <v>335.99493768537013</v>
      </c>
      <c r="FK23" s="59">
        <f t="shared" si="48"/>
        <v>150.85164849522778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117</v>
      </c>
      <c r="FX23" s="12">
        <f>VLOOKUP(A23,'Données projet'!$A$243:$I$263,9,0)</f>
        <v>11.8</v>
      </c>
      <c r="FY23" s="12">
        <f t="array" ref="FY23">INDEX(FX:FX,MIN(IF(ISNUMBER(FX23:FX219),ROW(FX23:FX219),"")))</f>
        <v>11.8</v>
      </c>
      <c r="FZ23" s="12">
        <f>IF('Données projet'!$A$244&gt;35,FZ22+FY23-GH22,IF(A23&lt;'Données projet'!$A$244,$FW$205^A23,IF(A23='Données projet'!$A$244,'Données projet'!$B$244,FZ22+FY23-GH22)))</f>
        <v>116.99999999999997</v>
      </c>
      <c r="GA23" s="17">
        <f>FZ23*VLOOKUP('Données projet'!$B$17,Paramètres!$A$1:$I$89,3,0)*VLOOKUP('Données projet'!$B$17,Paramètres!$A$1:$I$89,5,0)</f>
        <v>102.21119999999999</v>
      </c>
      <c r="GB23" s="13">
        <f t="shared" si="49"/>
        <v>27.488113037666018</v>
      </c>
      <c r="GC23" s="20">
        <f t="shared" si="25"/>
        <v>225.89297020726829</v>
      </c>
      <c r="GD23" s="59">
        <f t="shared" si="26"/>
        <v>507.00408131837946</v>
      </c>
      <c r="GE23" s="59">
        <f ca="1">AVERAGE(OFFSET($GD$3,0,0,'Données projet'!$E$17+1,1))-AVERAGE(OFFSET($H$3,0,0,'Données projet'!$E$17+1,1))</f>
        <v>319.57811113658374</v>
      </c>
      <c r="GF23" s="59">
        <f t="shared" si="50"/>
        <v>322.03572137403245</v>
      </c>
      <c r="GG23" s="15">
        <f>IF(ISNA(VLOOKUP(A23,'Données projet'!$A$243:$I$263,3,0)),0,VLOOKUP(A23,'Données projet'!$A$243:$I$263,3,0))</f>
        <v>1</v>
      </c>
      <c r="GH23" s="15" t="str">
        <f>IF(ISNA(VLOOKUP(A23,'Données projet'!$A$243:$I$263,4,0)),0,VLOOKUP(A23,'Données projet'!$A$243:$I$263,4,0))</f>
        <v>29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10.26553846</v>
      </c>
      <c r="N24" s="13">
        <f>IF('Données projet'!$A$36&gt;35,N23+M24-V23,IF(A24&lt;'Données projet'!$A$36,$K$205^A24,IF(A24='Données projet'!$A$36,'Données projet'!$B$36,N23+M24-V23)))</f>
        <v>105.64045527468149</v>
      </c>
      <c r="O24" s="13">
        <f>N24*VLOOKUP('Données projet'!$B$9,Paramètres!$A$1:$I$89,3,0)*VLOOKUP('Données projet'!$B$9,Paramètres!$A$1:$I$89,5,0)</f>
        <v>50.813058987121799</v>
      </c>
      <c r="P24" s="13">
        <f t="shared" si="33"/>
        <v>14.823538163276579</v>
      </c>
      <c r="Q24" s="20">
        <f t="shared" si="2"/>
        <v>114.31707337027716</v>
      </c>
      <c r="R24" s="59">
        <f t="shared" si="0"/>
        <v>396.65040670361049</v>
      </c>
      <c r="S24" s="59">
        <f ca="1">AVERAGE(OFFSET($R$3,0,0,'Données projet'!$E$9+1,1))-AVERAGE(OFFSET($H$3,0,0,'Données projet'!$E$9+1,1))</f>
        <v>226.41956082453015</v>
      </c>
      <c r="T24" s="59">
        <f t="shared" si="34"/>
        <v>317.95076157570446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3.2427350426666668</v>
      </c>
      <c r="AI24" s="13">
        <f>IF('Données projet'!$A$62&gt;35,AI23+AH24-AQ23,IF(A24&lt;'Données projet'!$A$62,$AF$205^A24,IF(A24='Données projet'!$A$62,'Données projet'!$B$62,AI23+AH24-AQ23)))</f>
        <v>24.638990134910884</v>
      </c>
      <c r="AJ24" s="13">
        <f>AI24*VLOOKUP('Données projet'!$B$10,Paramètres!$A$1:$I$89,3,0)*VLOOKUP('Données projet'!$B$10,Paramètres!$A$1:$I$89,5,0)</f>
        <v>21.140253535753541</v>
      </c>
      <c r="AK24" s="13">
        <f t="shared" si="35"/>
        <v>6.8299799706666988</v>
      </c>
      <c r="AL24" s="20">
        <f t="shared" si="4"/>
        <v>48.714823357015241</v>
      </c>
      <c r="AM24" s="59">
        <f t="shared" si="5"/>
        <v>331.04815669034855</v>
      </c>
      <c r="AN24" s="59">
        <f ca="1">AVERAGE(OFFSET($AM$3,0,0,'Données projet'!$E$10+1,1))-AVERAGE(OFFSET($H$3,0,0,'Données projet'!$E$10+1,1))</f>
        <v>257.80662231827404</v>
      </c>
      <c r="AO24" s="59">
        <f t="shared" si="36"/>
        <v>184.04558520039876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20.658974363333336</v>
      </c>
      <c r="BD24" s="12">
        <f>IF('Données projet'!$A$88&gt;35,BD23+BC24-BL23,IF(A24&lt;'Données projet'!$A$88,$BA$205^A24,IF(A24='Données projet'!$A$88,'Données projet'!$B$88,BD23+BC24-BL23)))</f>
        <v>175.58461540999997</v>
      </c>
      <c r="BE24" s="13">
        <f>BD24*VLOOKUP('Données projet'!$B$11,Paramètres!$A$1:$I$89,3,0)*VLOOKUP('Données projet'!$B$11,Paramètres!$A$1:$I$89,5,0)</f>
        <v>98.151800014189973</v>
      </c>
      <c r="BF24" s="13">
        <f t="shared" si="37"/>
        <v>26.521212479596233</v>
      </c>
      <c r="BG24" s="20">
        <f t="shared" si="7"/>
        <v>217.1388300933443</v>
      </c>
      <c r="BH24" s="59">
        <f t="shared" si="8"/>
        <v>499.47216342667764</v>
      </c>
      <c r="BI24" s="59">
        <f ca="1">AVERAGE(OFFSET($BH$3,0,0,'Données projet'!$E$11+1,1))-AVERAGE(OFFSET($H$3,0,0,'Données projet'!$E$11+1,1))</f>
        <v>300.90952915835157</v>
      </c>
      <c r="BJ24" s="59">
        <f t="shared" si="38"/>
        <v>402.81783992925256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14.504098270821828</v>
      </c>
      <c r="BR24" s="21">
        <f>EXP(-LN(2)/2)*BR23+(1-EXP(-LN(2)/2))/(LN(2)/2)*BL24*BO24*VLOOKUP('Données projet'!$B$11,Paramètres!$A$1:$I$89,3,0)*0.475*44/12</f>
        <v>6.821687812541823</v>
      </c>
      <c r="BS24" s="22">
        <f t="shared" si="9"/>
        <v>21.325786083363653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4.7456410266666662</v>
      </c>
      <c r="BY24" s="12">
        <f>IF('Données projet'!$A$114&gt;35,BY23+BX24-CG23,IF(A24&lt;'Données projet'!$A$114,$BV$205^A24,IF(A24='Données projet'!$A$114,'Données projet'!$B$114,BY23+BX24-CG23)))</f>
        <v>32.165573345856551</v>
      </c>
      <c r="BZ24" s="13">
        <f>BY24*VLOOKUP('Données projet'!$B$12,Paramètres!$A$1:$I$89,3,0)*VLOOKUP('Données projet'!$B$12,Paramètres!$A$1:$I$89,5,0)</f>
        <v>15.889793232853137</v>
      </c>
      <c r="CA24" s="13">
        <f t="shared" si="39"/>
        <v>5.3071351451624365</v>
      </c>
      <c r="CB24" s="20">
        <f t="shared" si="10"/>
        <v>36.91798359171046</v>
      </c>
      <c r="CC24" s="59">
        <f t="shared" si="11"/>
        <v>319.2513169250438</v>
      </c>
      <c r="CD24" s="59">
        <f ca="1">AVERAGE(OFFSET($CC$3,0,0,'Données projet'!$E$12+1,1))-AVERAGE(OFFSET($H$3,0,0,'Données projet'!$E$12+1,1))</f>
        <v>246.05217890269194</v>
      </c>
      <c r="CE24" s="59">
        <f t="shared" si="40"/>
        <v>155.54297071424327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5.9083916090909092</v>
      </c>
      <c r="CT24" s="12">
        <f>IF('Données projet'!$A$140&gt;35,CT23+CS24-DB23,IF(A24&lt;'Données projet'!$A$140,$CQ$205^A24,IF(A24='Données projet'!$A$140,'Données projet'!$B$140,CT23+CS24-DB23)))</f>
        <v>104.18518221687953</v>
      </c>
      <c r="CU24" s="17">
        <f>CT24*VLOOKUP('Données projet'!$B$13,Paramètres!$A$1:$I$89,3,0)*VLOOKUP('Données projet'!$B$13,Paramètres!$A$1:$I$89,5,0)</f>
        <v>62.302738965693962</v>
      </c>
      <c r="CV24" s="13">
        <f t="shared" si="41"/>
        <v>17.749191430774051</v>
      </c>
      <c r="CW24" s="20">
        <f t="shared" si="13"/>
        <v>139.42377877384845</v>
      </c>
      <c r="CX24" s="59">
        <f t="shared" si="14"/>
        <v>421.7571121071818</v>
      </c>
      <c r="CY24" s="59">
        <f ca="1">AVERAGE(OFFSET($CX$3,0,0,'Données projet'!$E$13+1,1))-AVERAGE(OFFSET($H$3,0,0,'Données projet'!$E$13+1,1))</f>
        <v>237.036496933921</v>
      </c>
      <c r="CZ24" s="59">
        <f t="shared" si="42"/>
        <v>191.04289413665344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2.5784615383333334</v>
      </c>
      <c r="DO24" s="12">
        <f>IF('Données projet'!$A$166&gt;35,DO23+DN24-DW23,IF(A24&lt;'Données projet'!$A$166,$DL$205^A24,IF(A24='Données projet'!$A$166,'Données projet'!$B$166,DO23+DN24-DW23)))</f>
        <v>20.986370639109722</v>
      </c>
      <c r="DP24" s="17">
        <f>DO24*VLOOKUP('Données projet'!$B$14,Paramètres!$A$1:$I$89,3,0)*VLOOKUP('Données projet'!$B$14,Paramètres!$A$1:$I$89,5,0)</f>
        <v>12.549849642187615</v>
      </c>
      <c r="DQ24" s="13">
        <f t="shared" si="43"/>
        <v>4.3083310161670614</v>
      </c>
      <c r="DR24" s="20">
        <f t="shared" si="16"/>
        <v>29.361331313301061</v>
      </c>
      <c r="DS24" s="59">
        <f t="shared" si="17"/>
        <v>311.69466464663435</v>
      </c>
      <c r="DT24" s="59">
        <f ca="1">AVERAGE(OFFSET($DS$3,0,0,'Données projet'!$E$14+1,1))-AVERAGE(OFFSET($H$3,0,0,'Données projet'!$E$14+1,1))</f>
        <v>148.22129593028302</v>
      </c>
      <c r="DU24" s="59">
        <f t="shared" si="44"/>
        <v>102.97015482019975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59.975759999999987</v>
      </c>
      <c r="EL24" s="13">
        <f t="shared" si="45"/>
        <v>17.162140235844557</v>
      </c>
      <c r="EM24" s="20">
        <f t="shared" si="19"/>
        <v>134.34850957742924</v>
      </c>
      <c r="EN24" s="59">
        <f t="shared" si="20"/>
        <v>416.68184291076255</v>
      </c>
      <c r="EO24" s="59">
        <f ca="1">AVERAGE(OFFSET($EN$3,0,0,'Données projet'!$E$15+1,1))-AVERAGE(OFFSET($H$3,0,0,'Données projet'!$E$15+1,1))</f>
        <v>278.53123771916404</v>
      </c>
      <c r="EP24" s="59">
        <f t="shared" si="46"/>
        <v>283.79094702030869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0.35454614151500652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0.35454614151500652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2.5115384615384619</v>
      </c>
      <c r="FE24" s="12">
        <f>IF('Données projet'!$A$218&gt;35,FE23+FD24-FM23,IF(A24&lt;'Données projet'!$A$218,$FB$205^A24,IF(A24='Données projet'!$A$218,'Données projet'!$B$218,FE23+FD24-FM23)))</f>
        <v>20.603583478748867</v>
      </c>
      <c r="FF24" s="17">
        <f>FE24*VLOOKUP('Données projet'!$B$16,Paramètres!$A$1:$I$89,3,0)*VLOOKUP('Données projet'!$B$16,Paramètres!$A$1:$I$89,5,0)</f>
        <v>18.642122331571976</v>
      </c>
      <c r="FG24" s="13">
        <f t="shared" si="47"/>
        <v>6.1116962146979272</v>
      </c>
      <c r="FH24" s="20">
        <f t="shared" si="22"/>
        <v>43.112900634753409</v>
      </c>
      <c r="FI24" s="59">
        <f t="shared" si="23"/>
        <v>325.44623396808674</v>
      </c>
      <c r="FJ24" s="59">
        <f ca="1">AVERAGE(OFFSET($FI$3,0,0,'Données projet'!$E$16+1,1))-AVERAGE(OFFSET($H$3,0,0,'Données projet'!$E$16+1,1))</f>
        <v>335.99493768537013</v>
      </c>
      <c r="FK24" s="59">
        <f t="shared" si="48"/>
        <v>150.85164849522778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11.4</v>
      </c>
      <c r="FZ24" s="12">
        <f>IF('Données projet'!$A$244&gt;35,FZ23+FY24-GH23,IF(A24&lt;'Données projet'!$A$244,$FW$205^A24,IF(A24='Données projet'!$A$244,'Données projet'!$B$244,FZ23+FY24-GH23)))</f>
        <v>99.399999999999977</v>
      </c>
      <c r="GA24" s="17">
        <f>FZ24*VLOOKUP('Données projet'!$B$17,Paramètres!$A$1:$I$89,3,0)*VLOOKUP('Données projet'!$B$17,Paramètres!$A$1:$I$89,5,0)</f>
        <v>86.83583999999999</v>
      </c>
      <c r="GB24" s="13">
        <f t="shared" si="49"/>
        <v>23.800523515695954</v>
      </c>
      <c r="GC24" s="20">
        <f t="shared" si="25"/>
        <v>192.69166645650375</v>
      </c>
      <c r="GD24" s="59">
        <f t="shared" si="26"/>
        <v>475.02499978983707</v>
      </c>
      <c r="GE24" s="59">
        <f ca="1">AVERAGE(OFFSET($GD$3,0,0,'Données projet'!$E$17+1,1))-AVERAGE(OFFSET($H$3,0,0,'Données projet'!$E$17+1,1))</f>
        <v>319.57811113658374</v>
      </c>
      <c r="GF24" s="59">
        <f t="shared" si="50"/>
        <v>322.03572137403245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10.26553846</v>
      </c>
      <c r="N25" s="13">
        <f>IF('Données projet'!$A$36&gt;35,N24+M25-V24,IF(A25&lt;'Données projet'!$A$36,$K$205^A25,IF(A25='Données projet'!$A$36,'Données projet'!$B$36,N24+M25-V24)))</f>
        <v>131.88734751538902</v>
      </c>
      <c r="O25" s="13">
        <f>N25*VLOOKUP('Données projet'!$B$9,Paramètres!$A$1:$I$89,3,0)*VLOOKUP('Données projet'!$B$9,Paramètres!$A$1:$I$89,5,0)</f>
        <v>63.437814154902121</v>
      </c>
      <c r="P25" s="13">
        <f t="shared" si="33"/>
        <v>18.034617823113322</v>
      </c>
      <c r="Q25" s="20">
        <f t="shared" si="2"/>
        <v>141.89781902837689</v>
      </c>
      <c r="R25" s="59">
        <f t="shared" si="0"/>
        <v>425.45337458393243</v>
      </c>
      <c r="S25" s="59">
        <f ca="1">AVERAGE(OFFSET($R$3,0,0,'Données projet'!$E$9+1,1))-AVERAGE(OFFSET($H$3,0,0,'Données projet'!$E$9+1,1))</f>
        <v>226.41956082453015</v>
      </c>
      <c r="T25" s="59">
        <f t="shared" si="34"/>
        <v>317.95076157570446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3.2427350426666668</v>
      </c>
      <c r="AI25" s="13">
        <f>IF('Données projet'!$A$62&gt;35,AI24+AH25-AQ24,IF(A25&lt;'Données projet'!$A$62,$AF$205^A25,IF(A25='Données projet'!$A$62,'Données projet'!$B$62,AI24+AH25-AQ24)))</f>
        <v>28.700579183903553</v>
      </c>
      <c r="AJ25" s="13">
        <f>AI25*VLOOKUP('Données projet'!$B$10,Paramètres!$A$1:$I$89,3,0)*VLOOKUP('Données projet'!$B$10,Paramètres!$A$1:$I$89,5,0)</f>
        <v>24.625096939789252</v>
      </c>
      <c r="AK25" s="13">
        <f t="shared" si="35"/>
        <v>7.8158032905864303</v>
      </c>
      <c r="AL25" s="20">
        <f t="shared" si="4"/>
        <v>56.501234567904305</v>
      </c>
      <c r="AM25" s="59">
        <f t="shared" si="5"/>
        <v>340.05679012345985</v>
      </c>
      <c r="AN25" s="59">
        <f ca="1">AVERAGE(OFFSET($AM$3,0,0,'Données projet'!$E$10+1,1))-AVERAGE(OFFSET($H$3,0,0,'Données projet'!$E$10+1,1))</f>
        <v>257.80662231827404</v>
      </c>
      <c r="AO25" s="59">
        <f t="shared" si="36"/>
        <v>184.04558520039876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20.658974363333336</v>
      </c>
      <c r="BD25" s="12">
        <f>IF('Données projet'!$A$88&gt;35,BD24+BC25-BL24,IF(A25&lt;'Données projet'!$A$88,$BA$205^A25,IF(A25='Données projet'!$A$88,'Données projet'!$B$88,BD24+BC25-BL24)))</f>
        <v>196.2435897733333</v>
      </c>
      <c r="BE25" s="13">
        <f>BD25*VLOOKUP('Données projet'!$B$11,Paramètres!$A$1:$I$89,3,0)*VLOOKUP('Données projet'!$B$11,Paramètres!$A$1:$I$89,5,0)</f>
        <v>109.70016668329332</v>
      </c>
      <c r="BF25" s="13">
        <f t="shared" si="37"/>
        <v>29.260330286394048</v>
      </c>
      <c r="BG25" s="20">
        <f t="shared" si="7"/>
        <v>242.02286555553883</v>
      </c>
      <c r="BH25" s="59">
        <f t="shared" si="8"/>
        <v>525.57842111109437</v>
      </c>
      <c r="BI25" s="59">
        <f ca="1">AVERAGE(OFFSET($BH$3,0,0,'Données projet'!$E$11+1,1))-AVERAGE(OFFSET($H$3,0,0,'Données projet'!$E$11+1,1))</f>
        <v>300.90952915835157</v>
      </c>
      <c r="BJ25" s="59">
        <f t="shared" si="38"/>
        <v>402.81783992925256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14.107482940868827</v>
      </c>
      <c r="BR25" s="21">
        <f>EXP(-LN(2)/2)*BR24+(1-EXP(-LN(2)/2))/(LN(2)/2)*BL25*BO25*VLOOKUP('Données projet'!$B$11,Paramètres!$A$1:$I$89,3,0)*0.475*44/12</f>
        <v>4.8236617113859488</v>
      </c>
      <c r="BS25" s="22">
        <f t="shared" si="9"/>
        <v>18.931144652254776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4.7456410266666662</v>
      </c>
      <c r="BY25" s="12">
        <f>IF('Données projet'!$A$114&gt;35,BY24+BX25-CG24,IF(A25&lt;'Données projet'!$A$114,$BV$205^A25,IF(A25='Données projet'!$A$114,'Données projet'!$B$114,BY24+BX25-CG24)))</f>
        <v>37.946509620814282</v>
      </c>
      <c r="BZ25" s="13">
        <f>BY25*VLOOKUP('Données projet'!$B$12,Paramètres!$A$1:$I$89,3,0)*VLOOKUP('Données projet'!$B$12,Paramètres!$A$1:$I$89,5,0)</f>
        <v>18.745575752682257</v>
      </c>
      <c r="CA25" s="13">
        <f t="shared" si="39"/>
        <v>6.1416551909502974</v>
      </c>
      <c r="CB25" s="20">
        <f t="shared" si="10"/>
        <v>43.345260560160028</v>
      </c>
      <c r="CC25" s="59">
        <f t="shared" si="11"/>
        <v>326.90081611571554</v>
      </c>
      <c r="CD25" s="59">
        <f ca="1">AVERAGE(OFFSET($CC$3,0,0,'Données projet'!$E$12+1,1))-AVERAGE(OFFSET($H$3,0,0,'Données projet'!$E$12+1,1))</f>
        <v>246.05217890269194</v>
      </c>
      <c r="CE25" s="59">
        <f t="shared" si="40"/>
        <v>155.54297071424327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129.9846154</v>
      </c>
      <c r="CR25" s="12">
        <f>VLOOKUP(A25,'Données projet'!$A$139:$I$159,9,0)</f>
        <v>5.9083916090909092</v>
      </c>
      <c r="CS25" s="12">
        <f t="array" ref="CS25">INDEX(CR:CR,MIN(IF(ISNUMBER(CR25:CR221),ROW(CR25:CR221),"")))</f>
        <v>5.9083916090909092</v>
      </c>
      <c r="CT25" s="12">
        <f>IF('Données projet'!$A$140&gt;35,CT24+CS25-DB24,IF(A25&lt;'Données projet'!$A$140,$CQ$205^A25,IF(A25='Données projet'!$A$140,'Données projet'!$B$140,CT24+CS25-DB24)))</f>
        <v>129.9846154</v>
      </c>
      <c r="CU25" s="17">
        <f>CT25*VLOOKUP('Données projet'!$B$13,Paramètres!$A$1:$I$89,3,0)*VLOOKUP('Données projet'!$B$13,Paramètres!$A$1:$I$89,5,0)</f>
        <v>77.73080000920001</v>
      </c>
      <c r="CV25" s="13">
        <f t="shared" si="41"/>
        <v>21.581427178858689</v>
      </c>
      <c r="CW25" s="20">
        <f t="shared" si="13"/>
        <v>172.96879568586891</v>
      </c>
      <c r="CX25" s="59">
        <f t="shared" si="14"/>
        <v>456.52435124142448</v>
      </c>
      <c r="CY25" s="59">
        <f ca="1">AVERAGE(OFFSET($CX$3,0,0,'Données projet'!$E$13+1,1))-AVERAGE(OFFSET($H$3,0,0,'Données projet'!$E$13+1,1))</f>
        <v>237.036496933921</v>
      </c>
      <c r="CZ25" s="59">
        <f t="shared" si="42"/>
        <v>191.04289413665344</v>
      </c>
      <c r="DA25" s="15">
        <f>IF(ISNA(VLOOKUP(A25,'Données projet'!$A$139:$I$159,3,0)),0,VLOOKUP(A25,'Données projet'!$A$139:$I$159,3,0))</f>
        <v>1</v>
      </c>
      <c r="DB25" s="15">
        <f>IF(ISNA(VLOOKUP(A25,'Données projet'!$A$139:$I$159,4,0)),0,VLOOKUP(A25,'Données projet'!$A$139:$I$159,4,0))</f>
        <v>52.746153849999999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0.25200000000000006</v>
      </c>
      <c r="DE25" s="16">
        <f>IF(ISNA(VLOOKUP(A25,'Données projet'!$A$139:$I$159,7,0)),0%,VLOOKUP(A25,'Données projet'!$A$139:$I$159,7,0))</f>
        <v>0.44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10.502858639589817</v>
      </c>
      <c r="DH25" s="21">
        <f>EXP(-LN(2)/2)*DH24+(1-EXP(-LN(2)/2))/(LN(2)/2)*DB25*DE25*VLOOKUP('Données projet'!$B$13,Paramètres!$A$1:$I$89,3,0)*0.475*44/12</f>
        <v>15.713762934163107</v>
      </c>
      <c r="DI25" s="22">
        <f t="shared" si="15"/>
        <v>26.216621573752924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2.5784615383333334</v>
      </c>
      <c r="DO25" s="12">
        <f>IF('Données projet'!$A$166&gt;35,DO24+DN25-DW24,IF(A25&lt;'Données projet'!$A$166,$DL$205^A25,IF(A25='Données projet'!$A$166,'Données projet'!$B$166,DO24+DN25-DW24)))</f>
        <v>24.259773161446649</v>
      </c>
      <c r="DP25" s="17">
        <f>DO25*VLOOKUP('Données projet'!$B$14,Paramètres!$A$1:$I$89,3,0)*VLOOKUP('Données projet'!$B$14,Paramètres!$A$1:$I$89,5,0)</f>
        <v>14.507344350545097</v>
      </c>
      <c r="DQ25" s="13">
        <f t="shared" si="43"/>
        <v>4.897011802444827</v>
      </c>
      <c r="DR25" s="20">
        <f t="shared" si="16"/>
        <v>33.795920299790779</v>
      </c>
      <c r="DS25" s="59">
        <f t="shared" si="17"/>
        <v>317.35147585534634</v>
      </c>
      <c r="DT25" s="59">
        <f ca="1">AVERAGE(OFFSET($DS$3,0,0,'Données projet'!$E$14+1,1))-AVERAGE(OFFSET($H$3,0,0,'Données projet'!$E$14+1,1))</f>
        <v>148.22129593028302</v>
      </c>
      <c r="DU25" s="59">
        <f t="shared" si="44"/>
        <v>102.97015482019975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70.827119999999979</v>
      </c>
      <c r="EL25" s="13">
        <f t="shared" si="45"/>
        <v>19.878719982140016</v>
      </c>
      <c r="EM25" s="20">
        <f t="shared" si="19"/>
        <v>157.97933796889382</v>
      </c>
      <c r="EN25" s="59">
        <f t="shared" si="20"/>
        <v>441.53489352444933</v>
      </c>
      <c r="EO25" s="59">
        <f ca="1">AVERAGE(OFFSET($EN$3,0,0,'Données projet'!$E$15+1,1))-AVERAGE(OFFSET($H$3,0,0,'Données projet'!$E$15+1,1))</f>
        <v>278.53123771916404</v>
      </c>
      <c r="EP25" s="59">
        <f t="shared" si="46"/>
        <v>283.79094702030869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0.34485105863050741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0.34485105863050741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2.5115384615384619</v>
      </c>
      <c r="FE25" s="12">
        <f>IF('Données projet'!$A$218&gt;35,FE24+FD25-FM24,IF(A25&lt;'Données projet'!$A$218,$FB$205^A25,IF(A25='Données projet'!$A$218,'Données projet'!$B$218,FE24+FD25-FM24)))</f>
        <v>23.796411181408413</v>
      </c>
      <c r="FF25" s="17">
        <f>FE25*VLOOKUP('Données projet'!$B$16,Paramètres!$A$1:$I$89,3,0)*VLOOKUP('Données projet'!$B$16,Paramètres!$A$1:$I$89,5,0)</f>
        <v>21.530992836938331</v>
      </c>
      <c r="FG25" s="13">
        <f t="shared" si="47"/>
        <v>6.9414062926984936</v>
      </c>
      <c r="FH25" s="20">
        <f t="shared" si="22"/>
        <v>49.58942848411747</v>
      </c>
      <c r="FI25" s="59">
        <f t="shared" si="23"/>
        <v>333.14498403967303</v>
      </c>
      <c r="FJ25" s="59">
        <f ca="1">AVERAGE(OFFSET($FI$3,0,0,'Données projet'!$E$16+1,1))-AVERAGE(OFFSET($H$3,0,0,'Données projet'!$E$16+1,1))</f>
        <v>335.99493768537013</v>
      </c>
      <c r="FK25" s="59">
        <f t="shared" si="48"/>
        <v>150.85164849522778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11.4</v>
      </c>
      <c r="FZ25" s="12">
        <f>IF('Données projet'!$A$244&gt;35,FZ24+FY25-GH24,IF(A25&lt;'Données projet'!$A$244,$FW$205^A25,IF(A25='Données projet'!$A$244,'Données projet'!$B$244,FZ24+FY25-GH24)))</f>
        <v>110.79999999999998</v>
      </c>
      <c r="GA25" s="17">
        <f>FZ25*VLOOKUP('Données projet'!$B$17,Paramètres!$A$1:$I$89,3,0)*VLOOKUP('Données projet'!$B$17,Paramètres!$A$1:$I$89,5,0)</f>
        <v>96.794879999999992</v>
      </c>
      <c r="GB25" s="13">
        <f t="shared" si="49"/>
        <v>26.196980264498734</v>
      </c>
      <c r="GC25" s="20">
        <f t="shared" si="25"/>
        <v>214.21082329400193</v>
      </c>
      <c r="GD25" s="59">
        <f t="shared" si="26"/>
        <v>497.76637884955744</v>
      </c>
      <c r="GE25" s="59">
        <f ca="1">AVERAGE(OFFSET($GD$3,0,0,'Données projet'!$E$17+1,1))-AVERAGE(OFFSET($H$3,0,0,'Données projet'!$E$17+1,1))</f>
        <v>319.57811113658374</v>
      </c>
      <c r="GF25" s="59">
        <f t="shared" si="50"/>
        <v>322.03572137403245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10.26553846</v>
      </c>
      <c r="N26" s="13">
        <f>IF('Données projet'!$A$36&gt;35,N25+M26-V25,IF(A26&lt;'Données projet'!$A$36,$K$205^A26,IF(A26='Données projet'!$A$36,'Données projet'!$B$36,N25+M26-V25)))</f>
        <v>164.65540961005135</v>
      </c>
      <c r="O26" s="13">
        <f>N26*VLOOKUP('Données projet'!$B$9,Paramètres!$A$1:$I$89,3,0)*VLOOKUP('Données projet'!$B$9,Paramètres!$A$1:$I$89,5,0)</f>
        <v>79.199252022434706</v>
      </c>
      <c r="P26" s="13">
        <f t="shared" si="33"/>
        <v>21.941282603603767</v>
      </c>
      <c r="Q26" s="20">
        <f t="shared" si="2"/>
        <v>176.15309780701702</v>
      </c>
      <c r="R26" s="59">
        <f t="shared" si="0"/>
        <v>460.93087558479476</v>
      </c>
      <c r="S26" s="59">
        <f ca="1">AVERAGE(OFFSET($R$3,0,0,'Données projet'!$E$9+1,1))-AVERAGE(OFFSET($H$3,0,0,'Données projet'!$E$9+1,1))</f>
        <v>226.41956082453015</v>
      </c>
      <c r="T26" s="59">
        <f t="shared" si="34"/>
        <v>317.95076157570446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3.2427350426666668</v>
      </c>
      <c r="AI26" s="13">
        <f>IF('Données projet'!$A$62&gt;35,AI25+AH26-AQ25,IF(A26&lt;'Données projet'!$A$62,$AF$205^A26,IF(A26='Données projet'!$A$62,'Données projet'!$B$62,AI25+AH26-AQ25)))</f>
        <v>33.43169671245527</v>
      </c>
      <c r="AJ26" s="13">
        <f>AI26*VLOOKUP('Données projet'!$B$10,Paramètres!$A$1:$I$89,3,0)*VLOOKUP('Données projet'!$B$10,Paramètres!$A$1:$I$89,5,0)</f>
        <v>28.684395779286628</v>
      </c>
      <c r="AK26" s="13">
        <f t="shared" si="35"/>
        <v>8.9439180406818686</v>
      </c>
      <c r="AL26" s="20">
        <f t="shared" si="4"/>
        <v>65.535979903111794</v>
      </c>
      <c r="AM26" s="59">
        <f t="shared" si="5"/>
        <v>350.31375768088958</v>
      </c>
      <c r="AN26" s="59">
        <f ca="1">AVERAGE(OFFSET($AM$3,0,0,'Données projet'!$E$10+1,1))-AVERAGE(OFFSET($H$3,0,0,'Données projet'!$E$10+1,1))</f>
        <v>257.80662231827404</v>
      </c>
      <c r="AO26" s="59">
        <f t="shared" si="36"/>
        <v>184.04558520039876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20.658974363333336</v>
      </c>
      <c r="BD26" s="12">
        <f>IF('Données projet'!$A$88&gt;35,BD25+BC26-BL25,IF(A26&lt;'Données projet'!$A$88,$BA$205^A26,IF(A26='Données projet'!$A$88,'Données projet'!$B$88,BD25+BC26-BL25)))</f>
        <v>216.90256413666663</v>
      </c>
      <c r="BE26" s="13">
        <f>BD26*VLOOKUP('Données projet'!$B$11,Paramètres!$A$1:$I$89,3,0)*VLOOKUP('Données projet'!$B$11,Paramètres!$A$1:$I$89,5,0)</f>
        <v>121.24853335239663</v>
      </c>
      <c r="BF26" s="13">
        <f t="shared" si="37"/>
        <v>31.966023541519977</v>
      </c>
      <c r="BG26" s="20">
        <f t="shared" si="7"/>
        <v>266.84868659023806</v>
      </c>
      <c r="BH26" s="59">
        <f t="shared" si="8"/>
        <v>551.62646436801583</v>
      </c>
      <c r="BI26" s="59">
        <f ca="1">AVERAGE(OFFSET($BH$3,0,0,'Données projet'!$E$11+1,1))-AVERAGE(OFFSET($H$3,0,0,'Données projet'!$E$11+1,1))</f>
        <v>300.90952915835157</v>
      </c>
      <c r="BJ26" s="59">
        <f t="shared" si="38"/>
        <v>402.81783992925256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13.721713077970485</v>
      </c>
      <c r="BR26" s="21">
        <f>EXP(-LN(2)/2)*BR25+(1-EXP(-LN(2)/2))/(LN(2)/2)*BL26*BO26*VLOOKUP('Données projet'!$B$11,Paramètres!$A$1:$I$89,3,0)*0.475*44/12</f>
        <v>3.4108439062709115</v>
      </c>
      <c r="BS26" s="22">
        <f t="shared" si="9"/>
        <v>17.132556984241397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4.7456410266666662</v>
      </c>
      <c r="BY26" s="12">
        <f>IF('Données projet'!$A$114&gt;35,BY25+BX26-CG25,IF(A26&lt;'Données projet'!$A$114,$BV$205^A26,IF(A26='Données projet'!$A$114,'Données projet'!$B$114,BY25+BX26-CG25)))</f>
        <v>44.766420822653814</v>
      </c>
      <c r="BZ26" s="13">
        <f>BY26*VLOOKUP('Données projet'!$B$12,Paramètres!$A$1:$I$89,3,0)*VLOOKUP('Données projet'!$B$12,Paramètres!$A$1:$I$89,5,0)</f>
        <v>22.114611886390986</v>
      </c>
      <c r="CA26" s="13">
        <f t="shared" si="39"/>
        <v>7.1073992752774098</v>
      </c>
      <c r="CB26" s="20">
        <f t="shared" si="10"/>
        <v>50.895002773239121</v>
      </c>
      <c r="CC26" s="59">
        <f t="shared" si="11"/>
        <v>335.6727805510169</v>
      </c>
      <c r="CD26" s="59">
        <f ca="1">AVERAGE(OFFSET($CC$3,0,0,'Données projet'!$E$12+1,1))-AVERAGE(OFFSET($H$3,0,0,'Données projet'!$E$12+1,1))</f>
        <v>246.05217890269194</v>
      </c>
      <c r="CE26" s="59">
        <f t="shared" si="40"/>
        <v>155.54297071424327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12.69538461</v>
      </c>
      <c r="CT26" s="12">
        <f>IF('Données projet'!$A$140&gt;35,CT25+CS26-DB25,IF(A26&lt;'Données projet'!$A$140,$CQ$205^A26,IF(A26='Données projet'!$A$140,'Données projet'!$B$140,CT25+CS26-DB25)))</f>
        <v>89.933846159999987</v>
      </c>
      <c r="CU26" s="17">
        <f>CT26*VLOOKUP('Données projet'!$B$13,Paramètres!$A$1:$I$89,3,0)*VLOOKUP('Données projet'!$B$13,Paramètres!$A$1:$I$89,5,0)</f>
        <v>53.780440003679999</v>
      </c>
      <c r="CV26" s="13">
        <f t="shared" si="41"/>
        <v>15.585894833012437</v>
      </c>
      <c r="CW26" s="20">
        <f t="shared" si="13"/>
        <v>120.81303317390598</v>
      </c>
      <c r="CX26" s="59">
        <f t="shared" si="14"/>
        <v>405.59081095168375</v>
      </c>
      <c r="CY26" s="59">
        <f ca="1">AVERAGE(OFFSET($CX$3,0,0,'Données projet'!$E$13+1,1))-AVERAGE(OFFSET($H$3,0,0,'Données projet'!$E$13+1,1))</f>
        <v>237.036496933921</v>
      </c>
      <c r="CZ26" s="59">
        <f t="shared" si="42"/>
        <v>191.04289413665344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10.215657417768902</v>
      </c>
      <c r="DH26" s="21">
        <f>EXP(-LN(2)/2)*DH25+(1-EXP(-LN(2)/2))/(LN(2)/2)*DB26*DE26*VLOOKUP('Données projet'!$B$13,Paramètres!$A$1:$I$89,3,0)*0.475*44/12</f>
        <v>11.111308328704554</v>
      </c>
      <c r="DI26" s="22">
        <f t="shared" si="15"/>
        <v>21.326965746473455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2.5784615383333334</v>
      </c>
      <c r="DO26" s="12">
        <f>IF('Données projet'!$A$166&gt;35,DO25+DN26-DW25,IF(A26&lt;'Données projet'!$A$166,$DL$205^A26,IF(A26='Données projet'!$A$166,'Données projet'!$B$166,DO25+DN26-DW25)))</f>
        <v>28.043752965463387</v>
      </c>
      <c r="DP26" s="17">
        <f>DO26*VLOOKUP('Données projet'!$B$14,Paramètres!$A$1:$I$89,3,0)*VLOOKUP('Données projet'!$B$14,Paramètres!$A$1:$I$89,5,0)</f>
        <v>16.770164273347106</v>
      </c>
      <c r="DQ26" s="13">
        <f t="shared" si="43"/>
        <v>5.5661286245871038</v>
      </c>
      <c r="DR26" s="20">
        <f t="shared" si="16"/>
        <v>38.902376797235419</v>
      </c>
      <c r="DS26" s="59">
        <f t="shared" si="17"/>
        <v>323.6801545750132</v>
      </c>
      <c r="DT26" s="59">
        <f ca="1">AVERAGE(OFFSET($DS$3,0,0,'Données projet'!$E$14+1,1))-AVERAGE(OFFSET($H$3,0,0,'Données projet'!$E$14+1,1))</f>
        <v>148.22129593028302</v>
      </c>
      <c r="DU26" s="59">
        <f t="shared" si="44"/>
        <v>102.97015482019975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81.678479999999993</v>
      </c>
      <c r="EL26" s="13">
        <f t="shared" si="45"/>
        <v>22.547083950915322</v>
      </c>
      <c r="EM26" s="20">
        <f t="shared" si="19"/>
        <v>181.52619054784418</v>
      </c>
      <c r="EN26" s="59">
        <f t="shared" si="20"/>
        <v>466.30396832562195</v>
      </c>
      <c r="EO26" s="59">
        <f ca="1">AVERAGE(OFFSET($EN$3,0,0,'Données projet'!$E$15+1,1))-AVERAGE(OFFSET($H$3,0,0,'Données projet'!$E$15+1,1))</f>
        <v>278.53123771916404</v>
      </c>
      <c r="EP26" s="59">
        <f t="shared" si="46"/>
        <v>283.79094702030869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0.3354210882973272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0.3354210882973272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2.5115384615384619</v>
      </c>
      <c r="FE26" s="12">
        <f>IF('Données projet'!$A$218&gt;35,FE25+FD26-FM25,IF(A26&lt;'Données projet'!$A$218,$FB$205^A26,IF(A26='Données projet'!$A$218,'Données projet'!$B$218,FE25+FD26-FM25)))</f>
        <v>27.484014404519773</v>
      </c>
      <c r="FF26" s="17">
        <f>FE26*VLOOKUP('Données projet'!$B$16,Paramètres!$A$1:$I$89,3,0)*VLOOKUP('Données projet'!$B$16,Paramètres!$A$1:$I$89,5,0)</f>
        <v>24.867536233209488</v>
      </c>
      <c r="FG26" s="13">
        <f t="shared" si="47"/>
        <v>7.8837559374170789</v>
      </c>
      <c r="FH26" s="20">
        <f t="shared" si="22"/>
        <v>57.041833863841269</v>
      </c>
      <c r="FI26" s="59">
        <f t="shared" si="23"/>
        <v>341.81961164161902</v>
      </c>
      <c r="FJ26" s="59">
        <f ca="1">AVERAGE(OFFSET($FI$3,0,0,'Données projet'!$E$16+1,1))-AVERAGE(OFFSET($H$3,0,0,'Données projet'!$E$16+1,1))</f>
        <v>335.99493768537013</v>
      </c>
      <c r="FK26" s="59">
        <f t="shared" si="48"/>
        <v>150.85164849522778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11.4</v>
      </c>
      <c r="FZ26" s="12">
        <f>IF('Données projet'!$A$244&gt;35,FZ25+FY26-GH25,IF(A26&lt;'Données projet'!$A$244,$FW$205^A26,IF(A26='Données projet'!$A$244,'Données projet'!$B$244,FZ25+FY26-GH25)))</f>
        <v>122.19999999999999</v>
      </c>
      <c r="GA26" s="17">
        <f>FZ26*VLOOKUP('Données projet'!$B$17,Paramètres!$A$1:$I$89,3,0)*VLOOKUP('Données projet'!$B$17,Paramètres!$A$1:$I$89,5,0)</f>
        <v>106.75392000000001</v>
      </c>
      <c r="GB26" s="13">
        <f t="shared" si="49"/>
        <v>28.564854626855976</v>
      </c>
      <c r="GC26" s="20">
        <f t="shared" si="25"/>
        <v>235.68019914177421</v>
      </c>
      <c r="GD26" s="59">
        <f t="shared" si="26"/>
        <v>520.45797691955204</v>
      </c>
      <c r="GE26" s="59">
        <f ca="1">AVERAGE(OFFSET($GD$3,0,0,'Données projet'!$E$17+1,1))-AVERAGE(OFFSET($H$3,0,0,'Données projet'!$E$17+1,1))</f>
        <v>319.57811113658374</v>
      </c>
      <c r="GF26" s="59">
        <f t="shared" si="50"/>
        <v>322.03572137403245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10.26553846</v>
      </c>
      <c r="N27" s="13">
        <f>IF('Données projet'!$A$36&gt;35,N26+M27-V26,IF(A27&lt;'Données projet'!$A$36,$K$205^A27,IF(A27='Données projet'!$A$36,'Données projet'!$B$36,N26+M27-V26)))</f>
        <v>205.56485837802109</v>
      </c>
      <c r="O27" s="13">
        <f>N27*VLOOKUP('Données projet'!$B$9,Paramètres!$A$1:$I$89,3,0)*VLOOKUP('Données projet'!$B$9,Paramètres!$A$1:$I$89,5,0)</f>
        <v>98.876696879828131</v>
      </c>
      <c r="P27" s="13">
        <f t="shared" si="33"/>
        <v>26.694210379895768</v>
      </c>
      <c r="Q27" s="20">
        <f t="shared" si="2"/>
        <v>218.70266347735244</v>
      </c>
      <c r="R27" s="59">
        <f t="shared" si="0"/>
        <v>504.70266347735242</v>
      </c>
      <c r="S27" s="59">
        <f ca="1">AVERAGE(OFFSET($R$3,0,0,'Données projet'!$E$9+1,1))-AVERAGE(OFFSET($H$3,0,0,'Données projet'!$E$9+1,1))</f>
        <v>226.41956082453015</v>
      </c>
      <c r="T27" s="59">
        <f t="shared" si="34"/>
        <v>317.95076157570446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3.2427350426666668</v>
      </c>
      <c r="AI27" s="13">
        <f>IF('Données projet'!$A$62&gt;35,AI26+AH27-AQ26,IF(A27&lt;'Données projet'!$A$62,$AF$205^A27,IF(A27='Données projet'!$A$62,'Données projet'!$B$62,AI26+AH27-AQ26)))</f>
        <v>38.942710455837471</v>
      </c>
      <c r="AJ27" s="13">
        <f>AI27*VLOOKUP('Données projet'!$B$10,Paramètres!$A$1:$I$89,3,0)*VLOOKUP('Données projet'!$B$10,Paramètres!$A$1:$I$89,5,0)</f>
        <v>33.412845571108555</v>
      </c>
      <c r="AK27" s="13">
        <f t="shared" si="35"/>
        <v>10.234862232879012</v>
      </c>
      <c r="AL27" s="20">
        <f t="shared" si="4"/>
        <v>76.019757758611675</v>
      </c>
      <c r="AM27" s="59">
        <f t="shared" si="5"/>
        <v>362.01975775861166</v>
      </c>
      <c r="AN27" s="59">
        <f ca="1">AVERAGE(OFFSET($AM$3,0,0,'Données projet'!$E$10+1,1))-AVERAGE(OFFSET($H$3,0,0,'Données projet'!$E$10+1,1))</f>
        <v>257.80662231827404</v>
      </c>
      <c r="AO27" s="59">
        <f t="shared" si="36"/>
        <v>184.04558520039876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237.56153850000001</v>
      </c>
      <c r="BB27" s="12">
        <f>VLOOKUP(A27,'Données projet'!$A$87:$I$107,9,0)</f>
        <v>20.658974363333336</v>
      </c>
      <c r="BC27" s="12">
        <f t="array" ref="BC27">INDEX(BB:BB,MIN(IF(ISNUMBER(BB27:BB223),ROW(BB27:BB223),"")))</f>
        <v>20.658974363333336</v>
      </c>
      <c r="BD27" s="12">
        <f>IF('Données projet'!$A$88&gt;35,BD26+BC27-BL26,IF(A27&lt;'Données projet'!$A$88,$BA$205^A27,IF(A27='Données projet'!$A$88,'Données projet'!$B$88,BD26+BC27-BL26)))</f>
        <v>237.56153849999995</v>
      </c>
      <c r="BE27" s="13">
        <f>BD27*VLOOKUP('Données projet'!$B$11,Paramètres!$A$1:$I$89,3,0)*VLOOKUP('Données projet'!$B$11,Paramètres!$A$1:$I$89,5,0)</f>
        <v>132.79690002149999</v>
      </c>
      <c r="BF27" s="13">
        <f t="shared" si="37"/>
        <v>34.641837972816802</v>
      </c>
      <c r="BG27" s="20">
        <f t="shared" si="7"/>
        <v>291.62246867343509</v>
      </c>
      <c r="BH27" s="59">
        <f t="shared" si="8"/>
        <v>577.62246867343515</v>
      </c>
      <c r="BI27" s="59">
        <f ca="1">AVERAGE(OFFSET($BH$3,0,0,'Données projet'!$E$11+1,1))-AVERAGE(OFFSET($H$3,0,0,'Données projet'!$E$11+1,1))</f>
        <v>300.90952915835157</v>
      </c>
      <c r="BJ27" s="59">
        <f t="shared" si="38"/>
        <v>402.81783992925256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42.661538460000003</v>
      </c>
      <c r="BM27" s="16">
        <f>IF(ISNA(VLOOKUP(A27,'Données projet'!$A$87:$I$107,5,0)),0%,VLOOKUP(A27,'Données projet'!$A$87:$I$107,5,0)*VLOOKUP('Données projet'!$B$11,Paramètres!$A$1:$I$89,7,0))</f>
        <v>0.38500000000000001</v>
      </c>
      <c r="BN27" s="16">
        <f>IF(ISNA(VLOOKUP(A27,'Données projet'!$A$87:$I$107,6,0)),0%,VLOOKUP(A27,'Données projet'!$A$87:$I$107,6,0)*VLOOKUP('Données projet'!$B$11,Paramètres!$A$1:$I$89,7,0))</f>
        <v>9.3500000000000014E-2</v>
      </c>
      <c r="BO27" s="16">
        <f>IF(ISNA(VLOOKUP(A27,'Données projet'!$A$87:$I$107,7,0)),0%,VLOOKUP(A27,'Données projet'!$A$87:$I$107,7,0))</f>
        <v>0.13</v>
      </c>
      <c r="BP27" s="21">
        <f>EXP(-LN(2)/35)*BP26+(1-EXP(-LN(2)/35))/(LN(2)/35)*BL27*BM27*VLOOKUP('Données projet'!$B$11,Paramètres!$A$1:$I$89,3,0)*0.475*44/12</f>
        <v>12.179722870426735</v>
      </c>
      <c r="BQ27" s="21">
        <f>EXP(-LN(2)/25)*BQ26+(1-EXP(-LN(2)/25))/(LN(2)/25)*Calculateur!BL27*Calculateur!BN27*VLOOKUP('Données projet'!$B$11,Paramètres!$A$1:$I$89,3,0)*0.475*44/12</f>
        <v>16.292778301274275</v>
      </c>
      <c r="BR27" s="21">
        <f>EXP(-LN(2)/2)*BR26+(1-EXP(-LN(2)/2))/(LN(2)/2)*BL27*BO27*VLOOKUP('Données projet'!$B$11,Paramètres!$A$1:$I$89,3,0)*0.475*44/12</f>
        <v>5.9219932756101059</v>
      </c>
      <c r="BS27" s="22">
        <f t="shared" si="9"/>
        <v>34.394494447311118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4.7456410266666662</v>
      </c>
      <c r="BY27" s="12">
        <f>IF('Données projet'!$A$114&gt;35,BY26+BX27-CG26,IF(A27&lt;'Données projet'!$A$114,$BV$205^A27,IF(A27='Données projet'!$A$114,'Données projet'!$B$114,BY26+BX27-CG26)))</f>
        <v>52.812036029044634</v>
      </c>
      <c r="BZ27" s="13">
        <f>BY27*VLOOKUP('Données projet'!$B$12,Paramètres!$A$1:$I$89,3,0)*VLOOKUP('Données projet'!$B$12,Paramètres!$A$1:$I$89,5,0)</f>
        <v>26.089145798348049</v>
      </c>
      <c r="CA27" s="13">
        <f t="shared" si="39"/>
        <v>8.2250017116961605</v>
      </c>
      <c r="CB27" s="20">
        <f t="shared" si="10"/>
        <v>59.763806913326988</v>
      </c>
      <c r="CC27" s="59">
        <f t="shared" si="11"/>
        <v>345.76380691332702</v>
      </c>
      <c r="CD27" s="59">
        <f ca="1">AVERAGE(OFFSET($CC$3,0,0,'Données projet'!$E$12+1,1))-AVERAGE(OFFSET($H$3,0,0,'Données projet'!$E$12+1,1))</f>
        <v>246.05217890269194</v>
      </c>
      <c r="CE27" s="59">
        <f t="shared" si="40"/>
        <v>155.54297071424327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12.69538461</v>
      </c>
      <c r="CT27" s="12">
        <f>IF('Données projet'!$A$140&gt;35,CT26+CS27-DB26,IF(A27&lt;'Données projet'!$A$140,$CQ$205^A27,IF(A27='Données projet'!$A$140,'Données projet'!$B$140,CT26+CS27-DB26)))</f>
        <v>102.62923076999999</v>
      </c>
      <c r="CU27" s="17">
        <f>CT27*VLOOKUP('Données projet'!$B$13,Paramètres!$A$1:$I$89,3,0)*VLOOKUP('Données projet'!$B$13,Paramètres!$A$1:$I$89,5,0)</f>
        <v>61.372280000460002</v>
      </c>
      <c r="CV27" s="13">
        <f t="shared" si="41"/>
        <v>17.514766499351449</v>
      </c>
      <c r="CW27" s="20">
        <f t="shared" si="13"/>
        <v>137.39493932050493</v>
      </c>
      <c r="CX27" s="59">
        <f t="shared" si="14"/>
        <v>423.39493932050493</v>
      </c>
      <c r="CY27" s="59">
        <f ca="1">AVERAGE(OFFSET($CX$3,0,0,'Données projet'!$E$13+1,1))-AVERAGE(OFFSET($H$3,0,0,'Données projet'!$E$13+1,1))</f>
        <v>237.036496933921</v>
      </c>
      <c r="CZ27" s="59">
        <f t="shared" si="42"/>
        <v>191.04289413665344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9.9363097284619357</v>
      </c>
      <c r="DH27" s="21">
        <f>EXP(-LN(2)/2)*DH26+(1-EXP(-LN(2)/2))/(LN(2)/2)*DB27*DE27*VLOOKUP('Données projet'!$B$13,Paramètres!$A$1:$I$89,3,0)*0.475*44/12</f>
        <v>7.8568814670815552</v>
      </c>
      <c r="DI27" s="22">
        <f t="shared" si="15"/>
        <v>17.793191195543493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2.5784615383333334</v>
      </c>
      <c r="DO27" s="12">
        <f>IF('Données projet'!$A$166&gt;35,DO26+DN27-DW26,IF(A27&lt;'Données projet'!$A$166,$DL$205^A27,IF(A27='Données projet'!$A$166,'Données projet'!$B$166,DO26+DN27-DW26)))</f>
        <v>32.417948640911334</v>
      </c>
      <c r="DP27" s="17">
        <f>DO27*VLOOKUP('Données projet'!$B$14,Paramètres!$A$1:$I$89,3,0)*VLOOKUP('Données projet'!$B$14,Paramètres!$A$1:$I$89,5,0)</f>
        <v>19.385933287264979</v>
      </c>
      <c r="DQ27" s="13">
        <f t="shared" si="43"/>
        <v>6.3266720839799291</v>
      </c>
      <c r="DR27" s="20">
        <f t="shared" si="16"/>
        <v>44.782787688251545</v>
      </c>
      <c r="DS27" s="59">
        <f t="shared" si="17"/>
        <v>330.78278768825157</v>
      </c>
      <c r="DT27" s="59">
        <f ca="1">AVERAGE(OFFSET($DS$3,0,0,'Données projet'!$E$14+1,1))-AVERAGE(OFFSET($H$3,0,0,'Données projet'!$E$14+1,1))</f>
        <v>148.22129593028302</v>
      </c>
      <c r="DU27" s="59">
        <f t="shared" si="44"/>
        <v>102.97015482019975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92.529839999999979</v>
      </c>
      <c r="EL27" s="13">
        <f t="shared" si="45"/>
        <v>25.174373611210889</v>
      </c>
      <c r="EM27" s="20">
        <f t="shared" si="19"/>
        <v>205.0015053728589</v>
      </c>
      <c r="EN27" s="59">
        <f t="shared" si="20"/>
        <v>491.0015053728589</v>
      </c>
      <c r="EO27" s="59">
        <f ca="1">AVERAGE(OFFSET($EN$3,0,0,'Données projet'!$E$15+1,1))-AVERAGE(OFFSET($H$3,0,0,'Données projet'!$E$15+1,1))</f>
        <v>278.53123771916404</v>
      </c>
      <c r="EP27" s="59">
        <f t="shared" si="46"/>
        <v>283.79094702030869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0.32624898099880839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0.32624898099880839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2.5115384615384619</v>
      </c>
      <c r="FE27" s="12">
        <f>IF('Données projet'!$A$218&gt;35,FE26+FD27-FM26,IF(A27&lt;'Données projet'!$A$218,$FB$205^A27,IF(A27='Données projet'!$A$218,'Données projet'!$B$218,FE26+FD27-FM26)))</f>
        <v>31.743065877849862</v>
      </c>
      <c r="FF27" s="17">
        <f>FE27*VLOOKUP('Données projet'!$B$16,Paramètres!$A$1:$I$89,3,0)*VLOOKUP('Données projet'!$B$16,Paramètres!$A$1:$I$89,5,0)</f>
        <v>28.721126006278556</v>
      </c>
      <c r="FG27" s="13">
        <f t="shared" si="47"/>
        <v>8.9540368420930783</v>
      </c>
      <c r="FH27" s="20">
        <f t="shared" si="22"/>
        <v>65.61757529424726</v>
      </c>
      <c r="FI27" s="59">
        <f t="shared" si="23"/>
        <v>351.61757529424727</v>
      </c>
      <c r="FJ27" s="59">
        <f ca="1">AVERAGE(OFFSET($FI$3,0,0,'Données projet'!$E$16+1,1))-AVERAGE(OFFSET($H$3,0,0,'Données projet'!$E$16+1,1))</f>
        <v>335.99493768537013</v>
      </c>
      <c r="FK27" s="59">
        <f t="shared" si="48"/>
        <v>150.85164849522778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11.4</v>
      </c>
      <c r="FZ27" s="12">
        <f>IF('Données projet'!$A$244&gt;35,FZ26+FY27-GH26,IF(A27&lt;'Données projet'!$A$244,$FW$205^A27,IF(A27='Données projet'!$A$244,'Données projet'!$B$244,FZ26+FY27-GH26)))</f>
        <v>133.6</v>
      </c>
      <c r="GA27" s="17">
        <f>FZ27*VLOOKUP('Données projet'!$B$17,Paramètres!$A$1:$I$89,3,0)*VLOOKUP('Données projet'!$B$17,Paramètres!$A$1:$I$89,5,0)</f>
        <v>116.71296000000001</v>
      </c>
      <c r="GB27" s="13">
        <f t="shared" si="49"/>
        <v>30.90711634982064</v>
      </c>
      <c r="GC27" s="20">
        <f t="shared" si="25"/>
        <v>257.10496630927094</v>
      </c>
      <c r="GD27" s="59">
        <f t="shared" si="26"/>
        <v>543.10496630927094</v>
      </c>
      <c r="GE27" s="59">
        <f ca="1">AVERAGE(OFFSET($GD$3,0,0,'Données projet'!$E$17+1,1))-AVERAGE(OFFSET($H$3,0,0,'Données projet'!$E$17+1,1))</f>
        <v>319.57811113658374</v>
      </c>
      <c r="GF27" s="59">
        <f t="shared" si="50"/>
        <v>322.03572137403245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256.63846150000001</v>
      </c>
      <c r="L28" s="12">
        <f>VLOOKUP(A28,'Données projet'!$A$35:$I$55,9,0)</f>
        <v>10.26553846</v>
      </c>
      <c r="M28" s="12">
        <f t="array" ref="M28">INDEX(L:L,MIN(IF(ISNUMBER(L28:L224),ROW(L28:L224),"")))</f>
        <v>10.26553846</v>
      </c>
      <c r="N28" s="13">
        <f>IF('Données projet'!$A$36&gt;35,N27+M28-V27,IF(A28&lt;'Données projet'!$A$36,$K$205^A28,IF(A28='Données projet'!$A$36,'Données projet'!$B$36,N27+M28-V27)))</f>
        <v>256.63846150000001</v>
      </c>
      <c r="O28" s="13">
        <f>N28*VLOOKUP('Données projet'!$B$9,Paramètres!$A$1:$I$89,3,0)*VLOOKUP('Données projet'!$B$9,Paramètres!$A$1:$I$89,5,0)</f>
        <v>123.44309998150001</v>
      </c>
      <c r="P28" s="13">
        <f t="shared" si="33"/>
        <v>32.476718917475552</v>
      </c>
      <c r="Q28" s="20">
        <f t="shared" si="2"/>
        <v>271.56035124904912</v>
      </c>
      <c r="R28" s="59">
        <f t="shared" si="0"/>
        <v>558.78257347127135</v>
      </c>
      <c r="S28" s="59">
        <f ca="1">AVERAGE(OFFSET($R$3,0,0,'Données projet'!$E$9+1,1))-AVERAGE(OFFSET($H$3,0,0,'Données projet'!$E$9+1,1))</f>
        <v>226.41956082453015</v>
      </c>
      <c r="T28" s="59">
        <f t="shared" si="34"/>
        <v>317.95076157570446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67.207692309999999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3.2427350426666668</v>
      </c>
      <c r="AI28" s="13">
        <f>IF('Données projet'!$A$62&gt;35,AI27+AH28-AQ27,IF(A28&lt;'Données projet'!$A$62,$AF$205^A28,IF(A28='Données projet'!$A$62,'Données projet'!$B$62,AI27+AH28-AQ27)))</f>
        <v>45.362181605404274</v>
      </c>
      <c r="AJ28" s="13">
        <f>AI28*VLOOKUP('Données projet'!$B$10,Paramètres!$A$1:$I$89,3,0)*VLOOKUP('Données projet'!$B$10,Paramètres!$A$1:$I$89,5,0)</f>
        <v>38.920751817436873</v>
      </c>
      <c r="AK28" s="13">
        <f t="shared" si="35"/>
        <v>11.712138287665594</v>
      </c>
      <c r="AL28" s="20">
        <f t="shared" si="4"/>
        <v>88.185616933053481</v>
      </c>
      <c r="AM28" s="59">
        <f t="shared" si="5"/>
        <v>375.40783915527572</v>
      </c>
      <c r="AN28" s="59">
        <f ca="1">AVERAGE(OFFSET($AM$3,0,0,'Données projet'!$E$10+1,1))-AVERAGE(OFFSET($H$3,0,0,'Données projet'!$E$10+1,1))</f>
        <v>257.80662231827404</v>
      </c>
      <c r="AO28" s="59">
        <f t="shared" si="36"/>
        <v>184.04558520039876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22.828205126666671</v>
      </c>
      <c r="BD28" s="12">
        <f>IF('Données projet'!$A$88&gt;35,BD27+BC28-BL27,IF(A28&lt;'Données projet'!$A$88,$BA$205^A28,IF(A28='Données projet'!$A$88,'Données projet'!$B$88,BD27+BC28-BL27)))</f>
        <v>217.72820516666664</v>
      </c>
      <c r="BE28" s="13">
        <f>BD28*VLOOKUP('Données projet'!$B$11,Paramètres!$A$1:$I$89,3,0)*VLOOKUP('Données projet'!$B$11,Paramètres!$A$1:$I$89,5,0)</f>
        <v>121.71006668816665</v>
      </c>
      <c r="BF28" s="13">
        <f t="shared" si="37"/>
        <v>32.073515212807251</v>
      </c>
      <c r="BG28" s="20">
        <f t="shared" si="7"/>
        <v>267.83973847752952</v>
      </c>
      <c r="BH28" s="59">
        <f t="shared" si="8"/>
        <v>555.06196069975181</v>
      </c>
      <c r="BI28" s="59">
        <f ca="1">AVERAGE(OFFSET($BH$3,0,0,'Données projet'!$E$11+1,1))-AVERAGE(OFFSET($H$3,0,0,'Données projet'!$E$11+1,1))</f>
        <v>300.90952915835157</v>
      </c>
      <c r="BJ28" s="59">
        <f t="shared" si="38"/>
        <v>402.81783992925256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11.940885933835075</v>
      </c>
      <c r="BQ28" s="21">
        <f>EXP(-LN(2)/25)*BQ27+(1-EXP(-LN(2)/25))/(LN(2)/25)*Calculateur!BL28*Calculateur!BN28*VLOOKUP('Données projet'!$B$11,Paramètres!$A$1:$I$89,3,0)*0.475*44/12</f>
        <v>15.847251421825957</v>
      </c>
      <c r="BR28" s="21">
        <f>EXP(-LN(2)/2)*BR27+(1-EXP(-LN(2)/2))/(LN(2)/2)*BL28*BO28*VLOOKUP('Données projet'!$B$11,Paramètres!$A$1:$I$89,3,0)*0.475*44/12</f>
        <v>4.1874816033250415</v>
      </c>
      <c r="BS28" s="22">
        <f t="shared" si="9"/>
        <v>31.975618958986075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4.7456410266666662</v>
      </c>
      <c r="BY28" s="12">
        <f>IF('Données projet'!$A$114&gt;35,BY27+BX28-CG27,IF(A28&lt;'Données projet'!$A$114,$BV$205^A28,IF(A28='Données projet'!$A$114,'Données projet'!$B$114,BY27+BX28-CG27)))</f>
        <v>62.303644076939321</v>
      </c>
      <c r="BZ28" s="13">
        <f>BY28*VLOOKUP('Données projet'!$B$12,Paramètres!$A$1:$I$89,3,0)*VLOOKUP('Données projet'!$B$12,Paramètres!$A$1:$I$89,5,0)</f>
        <v>30.778000174008028</v>
      </c>
      <c r="CA28" s="13">
        <f t="shared" si="39"/>
        <v>9.5183414547600922</v>
      </c>
      <c r="CB28" s="20">
        <f t="shared" si="10"/>
        <v>70.182795003437803</v>
      </c>
      <c r="CC28" s="59">
        <f t="shared" si="11"/>
        <v>357.40501722566</v>
      </c>
      <c r="CD28" s="59">
        <f ca="1">AVERAGE(OFFSET($CC$3,0,0,'Données projet'!$E$12+1,1))-AVERAGE(OFFSET($H$3,0,0,'Données projet'!$E$12+1,1))</f>
        <v>246.05217890269194</v>
      </c>
      <c r="CE28" s="59">
        <f t="shared" si="40"/>
        <v>155.54297071424327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12.69538461</v>
      </c>
      <c r="CT28" s="12">
        <f>IF('Données projet'!$A$140&gt;35,CT27+CS28-DB27,IF(A28&lt;'Données projet'!$A$140,$CQ$205^A28,IF(A28='Données projet'!$A$140,'Données projet'!$B$140,CT27+CS28-DB27)))</f>
        <v>115.32461538</v>
      </c>
      <c r="CU28" s="17">
        <f>CT28*VLOOKUP('Données projet'!$B$13,Paramètres!$A$1:$I$89,3,0)*VLOOKUP('Données projet'!$B$13,Paramètres!$A$1:$I$89,5,0)</f>
        <v>68.964119997240005</v>
      </c>
      <c r="CV28" s="13">
        <f t="shared" si="41"/>
        <v>19.415989272630458</v>
      </c>
      <c r="CW28" s="20">
        <f t="shared" si="13"/>
        <v>153.92869031169104</v>
      </c>
      <c r="CX28" s="59">
        <f t="shared" si="14"/>
        <v>441.15091253391324</v>
      </c>
      <c r="CY28" s="59">
        <f ca="1">AVERAGE(OFFSET($CX$3,0,0,'Données projet'!$E$13+1,1))-AVERAGE(OFFSET($H$3,0,0,'Données projet'!$E$13+1,1))</f>
        <v>237.036496933921</v>
      </c>
      <c r="CZ28" s="59">
        <f t="shared" si="42"/>
        <v>191.04289413665344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9.664600816409326</v>
      </c>
      <c r="DH28" s="21">
        <f>EXP(-LN(2)/2)*DH27+(1-EXP(-LN(2)/2))/(LN(2)/2)*DB28*DE28*VLOOKUP('Données projet'!$B$13,Paramètres!$A$1:$I$89,3,0)*0.475*44/12</f>
        <v>5.5556541643522781</v>
      </c>
      <c r="DI28" s="22">
        <f t="shared" si="15"/>
        <v>15.220254980761604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2.5784615383333334</v>
      </c>
      <c r="DO28" s="12">
        <f>IF('Données projet'!$A$166&gt;35,DO27+DN28-DW27,IF(A28&lt;'Données projet'!$A$166,$DL$205^A28,IF(A28='Données projet'!$A$166,'Données projet'!$B$166,DO27+DN28-DW27)))</f>
        <v>37.474420609074848</v>
      </c>
      <c r="DP28" s="17">
        <f>DO28*VLOOKUP('Données projet'!$B$14,Paramètres!$A$1:$I$89,3,0)*VLOOKUP('Données projet'!$B$14,Paramètres!$A$1:$I$89,5,0)</f>
        <v>22.40970352422676</v>
      </c>
      <c r="DQ28" s="13">
        <f t="shared" si="43"/>
        <v>7.1911345133854381</v>
      </c>
      <c r="DR28" s="20">
        <f t="shared" si="16"/>
        <v>51.55479291550791</v>
      </c>
      <c r="DS28" s="59">
        <f t="shared" si="17"/>
        <v>338.77701513773013</v>
      </c>
      <c r="DT28" s="59">
        <f ca="1">AVERAGE(OFFSET($DS$3,0,0,'Données projet'!$E$14+1,1))-AVERAGE(OFFSET($H$3,0,0,'Données projet'!$E$14+1,1))</f>
        <v>148.22129593028302</v>
      </c>
      <c r="DU28" s="59">
        <f t="shared" si="44"/>
        <v>102.97015482019975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103.38119999999998</v>
      </c>
      <c r="EL28" s="13">
        <f t="shared" si="45"/>
        <v>27.765956260923325</v>
      </c>
      <c r="EM28" s="20">
        <f t="shared" si="19"/>
        <v>228.41463048777476</v>
      </c>
      <c r="EN28" s="59">
        <f t="shared" si="20"/>
        <v>515.63685270999702</v>
      </c>
      <c r="EO28" s="59">
        <f ca="1">AVERAGE(OFFSET($EN$3,0,0,'Données projet'!$E$15+1,1))-AVERAGE(OFFSET($H$3,0,0,'Données projet'!$E$15+1,1))</f>
        <v>278.53123771916404</v>
      </c>
      <c r="EP28" s="59">
        <f t="shared" si="46"/>
        <v>283.79094702030869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1.29E-2</v>
      </c>
      <c r="ET28" s="16">
        <f>IF(ISNA(VLOOKUP(A28,'Données projet'!$A$191:$I$211,6,0)),0%,VLOOKUP(A28,'Données projet'!$A$191:$I$211,6,0)*VLOOKUP('Données projet'!$B$15,Paramètres!$A$1:$I$89,7,0))</f>
        <v>9.8900000000000002E-2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0.36595469334651187</v>
      </c>
      <c r="EW28" s="21">
        <f>EXP(-LN(2)/25)*EW27+(1-EXP(-LN(2)/25))/(LN(2)/25)*Calculateur!ER28*Calculateur!ET28*VLOOKUP('Données projet'!$B$15,Paramètres!$A$1:$I$89,3,0)*0.475*44/12</f>
        <v>3.1119334109300878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3.4778881042765999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2.5115384615384619</v>
      </c>
      <c r="FE28" s="12">
        <f>IF('Données projet'!$A$218&gt;35,FE27+FD28-FM27,IF(A28&lt;'Données projet'!$A$218,$FB$205^A28,IF(A28='Données projet'!$A$218,'Données projet'!$B$218,FE27+FD28-FM27)))</f>
        <v>36.662119896131756</v>
      </c>
      <c r="FF28" s="17">
        <f>FE28*VLOOKUP('Données projet'!$B$16,Paramètres!$A$1:$I$89,3,0)*VLOOKUP('Données projet'!$B$16,Paramètres!$A$1:$I$89,5,0)</f>
        <v>33.171886082020016</v>
      </c>
      <c r="FG28" s="13">
        <f t="shared" si="47"/>
        <v>10.16961666571169</v>
      </c>
      <c r="FH28" s="20">
        <f t="shared" si="22"/>
        <v>75.48645061896606</v>
      </c>
      <c r="FI28" s="59">
        <f t="shared" si="23"/>
        <v>362.70867284118827</v>
      </c>
      <c r="FJ28" s="59">
        <f ca="1">AVERAGE(OFFSET($FI$3,0,0,'Données projet'!$E$16+1,1))-AVERAGE(OFFSET($H$3,0,0,'Données projet'!$E$16+1,1))</f>
        <v>335.99493768537013</v>
      </c>
      <c r="FK28" s="59">
        <f t="shared" si="48"/>
        <v>150.85164849522778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145</v>
      </c>
      <c r="FX28" s="12">
        <f>VLOOKUP(A28,'Données projet'!$A$243:$I$263,9,0)</f>
        <v>11.4</v>
      </c>
      <c r="FY28" s="12">
        <f t="array" ref="FY28">INDEX(FX:FX,MIN(IF(ISNUMBER(FX28:FX224),ROW(FX28:FX224),"")))</f>
        <v>11.4</v>
      </c>
      <c r="FZ28" s="12">
        <f>IF('Données projet'!$A$244&gt;35,FZ27+FY28-GH27,IF(A28&lt;'Données projet'!$A$244,$FW$205^A28,IF(A28='Données projet'!$A$244,'Données projet'!$B$244,FZ27+FY28-GH27)))</f>
        <v>145</v>
      </c>
      <c r="GA28" s="17">
        <f>FZ28*VLOOKUP('Données projet'!$B$17,Paramètres!$A$1:$I$89,3,0)*VLOOKUP('Données projet'!$B$17,Paramètres!$A$1:$I$89,5,0)</f>
        <v>126.67200000000001</v>
      </c>
      <c r="GB28" s="13">
        <f t="shared" si="49"/>
        <v>33.226199426361347</v>
      </c>
      <c r="GC28" s="20">
        <f t="shared" si="25"/>
        <v>278.48936400091276</v>
      </c>
      <c r="GD28" s="59">
        <f t="shared" si="26"/>
        <v>565.71158622313499</v>
      </c>
      <c r="GE28" s="59">
        <f ca="1">AVERAGE(OFFSET($GD$3,0,0,'Données projet'!$E$17+1,1))-AVERAGE(OFFSET($H$3,0,0,'Données projet'!$E$17+1,1))</f>
        <v>319.57811113658374</v>
      </c>
      <c r="GF28" s="59">
        <f t="shared" si="50"/>
        <v>322.03572137403245</v>
      </c>
      <c r="GG28" s="15">
        <f>IF(ISNA(VLOOKUP(A28,'Données projet'!$A$243:$I$263,3,0)),0,VLOOKUP(A28,'Données projet'!$A$243:$I$263,3,0))</f>
        <v>2</v>
      </c>
      <c r="GH28" s="15" t="str">
        <f>IF(ISNA(VLOOKUP(A28,'Données projet'!$A$243:$I$263,4,0)),0,VLOOKUP(A28,'Données projet'!$A$243:$I$263,4,0))</f>
        <v>31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22.707692321999996</v>
      </c>
      <c r="N29" s="13">
        <f>IF('Données projet'!$A$36&gt;35,N28+M29-V28,IF(A29&lt;'Données projet'!$A$36,$K$205^A29,IF(A29='Données projet'!$A$36,'Données projet'!$B$36,N28+M29-V28)))</f>
        <v>212.13846151200002</v>
      </c>
      <c r="O29" s="13">
        <f>N29*VLOOKUP('Données projet'!$B$9,Paramètres!$A$1:$I$89,3,0)*VLOOKUP('Données projet'!$B$9,Paramètres!$A$1:$I$89,5,0)</f>
        <v>102.03859998727201</v>
      </c>
      <c r="P29" s="13">
        <f t="shared" si="33"/>
        <v>27.44709398002518</v>
      </c>
      <c r="Q29" s="20">
        <f t="shared" si="2"/>
        <v>225.52091699304256</v>
      </c>
      <c r="R29" s="59">
        <f t="shared" si="0"/>
        <v>513.96536143748699</v>
      </c>
      <c r="S29" s="59">
        <f ca="1">AVERAGE(OFFSET($R$3,0,0,'Données projet'!$E$9+1,1))-AVERAGE(OFFSET($H$3,0,0,'Données projet'!$E$9+1,1))</f>
        <v>226.41956082453015</v>
      </c>
      <c r="T29" s="59">
        <f t="shared" si="34"/>
        <v>317.95076157570446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3.2427350426666668</v>
      </c>
      <c r="AI29" s="13">
        <f>IF('Données projet'!$A$62&gt;35,AI28+AH29-AQ28,IF(A29&lt;'Données projet'!$A$62,$AF$205^A29,IF(A29='Données projet'!$A$62,'Données projet'!$B$62,AI28+AH29-AQ28)))</f>
        <v>52.839863890193797</v>
      </c>
      <c r="AJ29" s="13">
        <f>AI29*VLOOKUP('Données projet'!$B$10,Paramètres!$A$1:$I$89,3,0)*VLOOKUP('Données projet'!$B$10,Paramètres!$A$1:$I$89,5,0)</f>
        <v>45.336603217786283</v>
      </c>
      <c r="AK29" s="13">
        <f t="shared" si="35"/>
        <v>13.402640909883166</v>
      </c>
      <c r="AL29" s="20">
        <f t="shared" si="4"/>
        <v>102.30418352235762</v>
      </c>
      <c r="AM29" s="59">
        <f t="shared" si="5"/>
        <v>390.74862796680208</v>
      </c>
      <c r="AN29" s="59">
        <f ca="1">AVERAGE(OFFSET($AM$3,0,0,'Données projet'!$E$10+1,1))-AVERAGE(OFFSET($H$3,0,0,'Données projet'!$E$10+1,1))</f>
        <v>257.80662231827404</v>
      </c>
      <c r="AO29" s="59">
        <f t="shared" si="36"/>
        <v>184.04558520039876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22.828205126666671</v>
      </c>
      <c r="BD29" s="12">
        <f>IF('Données projet'!$A$88&gt;35,BD28+BC29-BL28,IF(A29&lt;'Données projet'!$A$88,$BA$205^A29,IF(A29='Données projet'!$A$88,'Données projet'!$B$88,BD28+BC29-BL28)))</f>
        <v>240.5564102933333</v>
      </c>
      <c r="BE29" s="13">
        <f>BD29*VLOOKUP('Données projet'!$B$11,Paramètres!$A$1:$I$89,3,0)*VLOOKUP('Données projet'!$B$11,Paramètres!$A$1:$I$89,5,0)</f>
        <v>134.4710333539733</v>
      </c>
      <c r="BF29" s="13">
        <f t="shared" si="37"/>
        <v>35.027441912190071</v>
      </c>
      <c r="BG29" s="20">
        <f t="shared" si="7"/>
        <v>295.20984442190121</v>
      </c>
      <c r="BH29" s="59">
        <f t="shared" si="8"/>
        <v>583.65428886634572</v>
      </c>
      <c r="BI29" s="59">
        <f ca="1">AVERAGE(OFFSET($BH$3,0,0,'Données projet'!$E$11+1,1))-AVERAGE(OFFSET($H$3,0,0,'Données projet'!$E$11+1,1))</f>
        <v>300.90952915835157</v>
      </c>
      <c r="BJ29" s="59">
        <f t="shared" si="38"/>
        <v>402.81783992925256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11.706732443893831</v>
      </c>
      <c r="BQ29" s="21">
        <f>EXP(-LN(2)/25)*BQ28+(1-EXP(-LN(2)/25))/(LN(2)/25)*Calculateur!BL29*Calculateur!BN29*VLOOKUP('Données projet'!$B$11,Paramètres!$A$1:$I$89,3,0)*0.475*44/12</f>
        <v>15.413907498325393</v>
      </c>
      <c r="BR29" s="21">
        <f>EXP(-LN(2)/2)*BR28+(1-EXP(-LN(2)/2))/(LN(2)/2)*BL29*BO29*VLOOKUP('Données projet'!$B$11,Paramètres!$A$1:$I$89,3,0)*0.475*44/12</f>
        <v>2.9609966378050534</v>
      </c>
      <c r="BS29" s="22">
        <f t="shared" si="9"/>
        <v>30.081636580024277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4.7456410266666662</v>
      </c>
      <c r="BY29" s="12">
        <f>IF('Données projet'!$A$114&gt;35,BY28+BX29-CG28,IF(A29&lt;'Données projet'!$A$114,$BV$205^A29,IF(A29='Données projet'!$A$114,'Données projet'!$B$114,BY28+BX29-CG28)))</f>
        <v>73.501125067988724</v>
      </c>
      <c r="BZ29" s="13">
        <f>BY29*VLOOKUP('Données projet'!$B$12,Paramètres!$A$1:$I$89,3,0)*VLOOKUP('Données projet'!$B$12,Paramètres!$A$1:$I$89,5,0)</f>
        <v>36.309555783586433</v>
      </c>
      <c r="CA29" s="13">
        <f t="shared" si="39"/>
        <v>11.015052303341246</v>
      </c>
      <c r="CB29" s="20">
        <f t="shared" si="10"/>
        <v>82.423692418065698</v>
      </c>
      <c r="CC29" s="59">
        <f t="shared" si="11"/>
        <v>370.86813686251014</v>
      </c>
      <c r="CD29" s="59">
        <f ca="1">AVERAGE(OFFSET($CC$3,0,0,'Données projet'!$E$12+1,1))-AVERAGE(OFFSET($H$3,0,0,'Données projet'!$E$12+1,1))</f>
        <v>246.05217890269194</v>
      </c>
      <c r="CE29" s="59">
        <f t="shared" si="40"/>
        <v>155.54297071424327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12.69538461</v>
      </c>
      <c r="CT29" s="12">
        <f>IF('Données projet'!$A$140&gt;35,CT28+CS29-DB28,IF(A29&lt;'Données projet'!$A$140,$CQ$205^A29,IF(A29='Données projet'!$A$140,'Données projet'!$B$140,CT28+CS29-DB28)))</f>
        <v>128.01999999</v>
      </c>
      <c r="CU29" s="17">
        <f>CT29*VLOOKUP('Données projet'!$B$13,Paramètres!$A$1:$I$89,3,0)*VLOOKUP('Données projet'!$B$13,Paramètres!$A$1:$I$89,5,0)</f>
        <v>76.555959994020014</v>
      </c>
      <c r="CV29" s="13">
        <f t="shared" si="41"/>
        <v>21.292953971466602</v>
      </c>
      <c r="CW29" s="20">
        <f t="shared" si="13"/>
        <v>170.42019182322252</v>
      </c>
      <c r="CX29" s="59">
        <f t="shared" si="14"/>
        <v>458.86463626766698</v>
      </c>
      <c r="CY29" s="59">
        <f ca="1">AVERAGE(OFFSET($CX$3,0,0,'Données projet'!$E$13+1,1))-AVERAGE(OFFSET($H$3,0,0,'Données projet'!$E$13+1,1))</f>
        <v>237.036496933921</v>
      </c>
      <c r="CZ29" s="59">
        <f t="shared" si="42"/>
        <v>191.04289413665344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9.4003217988453454</v>
      </c>
      <c r="DH29" s="21">
        <f>EXP(-LN(2)/2)*DH28+(1-EXP(-LN(2)/2))/(LN(2)/2)*DB29*DE29*VLOOKUP('Données projet'!$B$13,Paramètres!$A$1:$I$89,3,0)*0.475*44/12</f>
        <v>3.9284407335407781</v>
      </c>
      <c r="DI29" s="22">
        <f t="shared" si="15"/>
        <v>13.328762532386124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2.5784615383333334</v>
      </c>
      <c r="DO29" s="12">
        <f>IF('Données projet'!$A$166&gt;35,DO28+DN29-DW28,IF(A29&lt;'Données projet'!$A$166,$DL$205^A29,IF(A29='Données projet'!$A$166,'Données projet'!$B$166,DO28+DN29-DW28)))</f>
        <v>43.319588649529514</v>
      </c>
      <c r="DP29" s="17">
        <f>DO29*VLOOKUP('Données projet'!$B$14,Paramètres!$A$1:$I$89,3,0)*VLOOKUP('Données projet'!$B$14,Paramètres!$A$1:$I$89,5,0)</f>
        <v>25.905114012418654</v>
      </c>
      <c r="DQ29" s="13">
        <f t="shared" si="43"/>
        <v>8.1737151701835007</v>
      </c>
      <c r="DR29" s="20">
        <f t="shared" si="16"/>
        <v>59.35396082636543</v>
      </c>
      <c r="DS29" s="59">
        <f t="shared" si="17"/>
        <v>347.79840527080989</v>
      </c>
      <c r="DT29" s="59">
        <f ca="1">AVERAGE(OFFSET($DS$3,0,0,'Données projet'!$E$14+1,1))-AVERAGE(OFFSET($H$3,0,0,'Données projet'!$E$14+1,1))</f>
        <v>148.22129593028302</v>
      </c>
      <c r="DU29" s="59">
        <f t="shared" si="44"/>
        <v>102.97015482019975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88.130639999999971</v>
      </c>
      <c r="EL29" s="13">
        <f t="shared" si="45"/>
        <v>24.113831111728981</v>
      </c>
      <c r="EM29" s="20">
        <f t="shared" si="19"/>
        <v>195.49245385292792</v>
      </c>
      <c r="EN29" s="59">
        <f t="shared" si="20"/>
        <v>483.93689829737241</v>
      </c>
      <c r="EO29" s="59">
        <f ca="1">AVERAGE(OFFSET($EN$3,0,0,'Données projet'!$E$15+1,1))-AVERAGE(OFFSET($H$3,0,0,'Données projet'!$E$15+1,1))</f>
        <v>278.53123771916404</v>
      </c>
      <c r="EP29" s="59">
        <f t="shared" si="46"/>
        <v>283.79094702030869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0.35877854502030954</v>
      </c>
      <c r="EW29" s="21">
        <f>EXP(-LN(2)/25)*EW28+(1-EXP(-LN(2)/25))/(LN(2)/25)*Calculateur!ER29*Calculateur!ET29*VLOOKUP('Données projet'!$B$15,Paramètres!$A$1:$I$89,3,0)*0.475*44/12</f>
        <v>3.0268374281587387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3.3856159731790481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2.5115384615384619</v>
      </c>
      <c r="FE29" s="12">
        <f>IF('Données projet'!$A$218&gt;35,FE28+FD29-FM28,IF(A29&lt;'Données projet'!$A$218,$FB$205^A29,IF(A29='Données projet'!$A$218,'Données projet'!$B$218,FE28+FD29-FM28)))</f>
        <v>42.3434535419672</v>
      </c>
      <c r="FF29" s="17">
        <f>FE29*VLOOKUP('Données projet'!$B$16,Paramètres!$A$1:$I$89,3,0)*VLOOKUP('Données projet'!$B$16,Paramètres!$A$1:$I$89,5,0)</f>
        <v>38.31235676477192</v>
      </c>
      <c r="FG29" s="13">
        <f t="shared" si="47"/>
        <v>11.55022086142605</v>
      </c>
      <c r="FH29" s="20">
        <f t="shared" si="22"/>
        <v>86.843989365628133</v>
      </c>
      <c r="FI29" s="59">
        <f t="shared" si="23"/>
        <v>375.2884338100726</v>
      </c>
      <c r="FJ29" s="59">
        <f ca="1">AVERAGE(OFFSET($FI$3,0,0,'Données projet'!$E$16+1,1))-AVERAGE(OFFSET($H$3,0,0,'Données projet'!$E$16+1,1))</f>
        <v>335.99493768537013</v>
      </c>
      <c r="FK29" s="59">
        <f t="shared" si="48"/>
        <v>150.85164849522778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</v>
      </c>
      <c r="FZ29" s="12">
        <f>IF('Données projet'!$A$244&gt;35,FZ28+FY29-GH28,IF(A29&lt;'Données projet'!$A$244,$FW$205^A29,IF(A29='Données projet'!$A$244,'Données projet'!$B$244,FZ28+FY29-GH28)))</f>
        <v>125</v>
      </c>
      <c r="GA29" s="17">
        <f>FZ29*VLOOKUP('Données projet'!$B$17,Paramètres!$A$1:$I$89,3,0)*VLOOKUP('Données projet'!$B$17,Paramètres!$A$1:$I$89,5,0)</f>
        <v>109.2</v>
      </c>
      <c r="GB29" s="13">
        <f t="shared" si="49"/>
        <v>29.142418334948612</v>
      </c>
      <c r="GC29" s="20">
        <f t="shared" si="25"/>
        <v>240.94637860003544</v>
      </c>
      <c r="GD29" s="59">
        <f t="shared" si="26"/>
        <v>529.39082304447993</v>
      </c>
      <c r="GE29" s="59">
        <f ca="1">AVERAGE(OFFSET($GD$3,0,0,'Données projet'!$E$17+1,1))-AVERAGE(OFFSET($H$3,0,0,'Données projet'!$E$17+1,1))</f>
        <v>319.57811113658374</v>
      </c>
      <c r="GF29" s="59">
        <f t="shared" si="50"/>
        <v>322.03572137403245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22.707692321999996</v>
      </c>
      <c r="N30" s="13">
        <f>IF('Données projet'!$A$36&gt;35,N29+M30-V29,IF(A30&lt;'Données projet'!$A$36,$K$205^A30,IF(A30='Données projet'!$A$36,'Données projet'!$B$36,N29+M30-V29)))</f>
        <v>234.84615383400001</v>
      </c>
      <c r="O30" s="13">
        <f>N30*VLOOKUP('Données projet'!$B$9,Paramètres!$A$1:$I$89,3,0)*VLOOKUP('Données projet'!$B$9,Paramètres!$A$1:$I$89,5,0)</f>
        <v>112.96099999415401</v>
      </c>
      <c r="P30" s="13">
        <f t="shared" si="33"/>
        <v>30.027537119781879</v>
      </c>
      <c r="Q30" s="20">
        <f t="shared" si="2"/>
        <v>249.03836880677167</v>
      </c>
      <c r="R30" s="59">
        <f t="shared" si="0"/>
        <v>538.70503547343833</v>
      </c>
      <c r="S30" s="59">
        <f ca="1">AVERAGE(OFFSET($R$3,0,0,'Données projet'!$E$9+1,1))-AVERAGE(OFFSET($H$3,0,0,'Données projet'!$E$9+1,1))</f>
        <v>226.41956082453015</v>
      </c>
      <c r="T30" s="59">
        <f t="shared" si="34"/>
        <v>317.95076157570446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3.2427350426666668</v>
      </c>
      <c r="AI30" s="13">
        <f>IF('Données projet'!$A$62&gt;35,AI29+AH30-AQ29,IF(A30&lt;'Données projet'!$A$62,$AF$205^A30,IF(A30='Données projet'!$A$62,'Données projet'!$B$62,AI29+AH30-AQ29)))</f>
        <v>61.550197039058887</v>
      </c>
      <c r="AJ30" s="13">
        <f>AI30*VLOOKUP('Données projet'!$B$10,Paramètres!$A$1:$I$89,3,0)*VLOOKUP('Données projet'!$B$10,Paramètres!$A$1:$I$89,5,0)</f>
        <v>52.810069059512529</v>
      </c>
      <c r="AK30" s="13">
        <f t="shared" si="35"/>
        <v>15.337146723109338</v>
      </c>
      <c r="AL30" s="20">
        <f t="shared" si="4"/>
        <v>118.6897341547331</v>
      </c>
      <c r="AM30" s="59">
        <f t="shared" si="5"/>
        <v>408.3564008213998</v>
      </c>
      <c r="AN30" s="59">
        <f ca="1">AVERAGE(OFFSET($AM$3,0,0,'Données projet'!$E$10+1,1))-AVERAGE(OFFSET($H$3,0,0,'Données projet'!$E$10+1,1))</f>
        <v>257.80662231827404</v>
      </c>
      <c r="AO30" s="59">
        <f t="shared" si="36"/>
        <v>184.04558520039876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22.828205126666671</v>
      </c>
      <c r="BD30" s="12">
        <f>IF('Données projet'!$A$88&gt;35,BD29+BC30-BL29,IF(A30&lt;'Données projet'!$A$88,$BA$205^A30,IF(A30='Données projet'!$A$88,'Données projet'!$B$88,BD29+BC30-BL29)))</f>
        <v>263.38461541999999</v>
      </c>
      <c r="BE30" s="13">
        <f>BD30*VLOOKUP('Données projet'!$B$11,Paramètres!$A$1:$I$89,3,0)*VLOOKUP('Données projet'!$B$11,Paramètres!$A$1:$I$89,5,0)</f>
        <v>147.23200001978</v>
      </c>
      <c r="BF30" s="13">
        <f t="shared" si="37"/>
        <v>37.948867431015593</v>
      </c>
      <c r="BG30" s="20">
        <f t="shared" si="7"/>
        <v>322.52334414346899</v>
      </c>
      <c r="BH30" s="59">
        <f t="shared" si="8"/>
        <v>612.19001081013562</v>
      </c>
      <c r="BI30" s="59">
        <f ca="1">AVERAGE(OFFSET($BH$3,0,0,'Données projet'!$E$11+1,1))-AVERAGE(OFFSET($H$3,0,0,'Données projet'!$E$11+1,1))</f>
        <v>300.90952915835157</v>
      </c>
      <c r="BJ30" s="59">
        <f t="shared" si="38"/>
        <v>402.81783992925256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11.477170561070807</v>
      </c>
      <c r="BQ30" s="21">
        <f>EXP(-LN(2)/25)*BQ29+(1-EXP(-LN(2)/25))/(LN(2)/25)*Calculateur!BL30*Calculateur!BN30*VLOOKUP('Données projet'!$B$11,Paramètres!$A$1:$I$89,3,0)*0.475*44/12</f>
        <v>14.99241338720152</v>
      </c>
      <c r="BR30" s="21">
        <f>EXP(-LN(2)/2)*BR29+(1-EXP(-LN(2)/2))/(LN(2)/2)*BL30*BO30*VLOOKUP('Données projet'!$B$11,Paramètres!$A$1:$I$89,3,0)*0.475*44/12</f>
        <v>2.0937408016625207</v>
      </c>
      <c r="BS30" s="22">
        <f t="shared" si="9"/>
        <v>28.563324749934846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4.7456410266666662</v>
      </c>
      <c r="BY30" s="12">
        <f>IF('Données projet'!$A$114&gt;35,BY29+BX30-CG29,IF(A30&lt;'Données projet'!$A$114,$BV$205^A30,IF(A30='Données projet'!$A$114,'Données projet'!$B$114,BY29+BX30-CG29)))</f>
        <v>86.711065882256094</v>
      </c>
      <c r="BZ30" s="13">
        <f>BY30*VLOOKUP('Données projet'!$B$12,Paramètres!$A$1:$I$89,3,0)*VLOOKUP('Données projet'!$B$12,Paramètres!$A$1:$I$89,5,0)</f>
        <v>42.835266545834514</v>
      </c>
      <c r="CA30" s="13">
        <f t="shared" si="39"/>
        <v>12.747113330827794</v>
      </c>
      <c r="CB30" s="20">
        <f t="shared" si="10"/>
        <v>96.805978285186868</v>
      </c>
      <c r="CC30" s="59">
        <f t="shared" si="11"/>
        <v>386.47264495185357</v>
      </c>
      <c r="CD30" s="59">
        <f ca="1">AVERAGE(OFFSET($CC$3,0,0,'Données projet'!$E$12+1,1))-AVERAGE(OFFSET($H$3,0,0,'Données projet'!$E$12+1,1))</f>
        <v>246.05217890269194</v>
      </c>
      <c r="CE30" s="59">
        <f t="shared" si="40"/>
        <v>155.54297071424327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>
        <f>VLOOKUP(A30,'Données projet'!$A$139:$I$159,2,0)</f>
        <v>140.71538459999999</v>
      </c>
      <c r="CR30" s="12">
        <f>VLOOKUP(A30,'Données projet'!$A$139:$I$159,9,0)</f>
        <v>12.69538461</v>
      </c>
      <c r="CS30" s="12">
        <f t="array" ref="CS30">INDEX(CR:CR,MIN(IF(ISNUMBER(CR30:CR226),ROW(CR30:CR226),"")))</f>
        <v>12.69538461</v>
      </c>
      <c r="CT30" s="12">
        <f>IF('Données projet'!$A$140&gt;35,CT29+CS30-DB29,IF(A30&lt;'Données projet'!$A$140,$CQ$205^A30,IF(A30='Données projet'!$A$140,'Données projet'!$B$140,CT29+CS30-DB29)))</f>
        <v>140.71538459999999</v>
      </c>
      <c r="CU30" s="17">
        <f>CT30*VLOOKUP('Données projet'!$B$13,Paramètres!$A$1:$I$89,3,0)*VLOOKUP('Données projet'!$B$13,Paramètres!$A$1:$I$89,5,0)</f>
        <v>84.147799990799996</v>
      </c>
      <c r="CV30" s="13">
        <f t="shared" si="41"/>
        <v>23.148340016777635</v>
      </c>
      <c r="CW30" s="20">
        <f t="shared" si="13"/>
        <v>186.87411051319771</v>
      </c>
      <c r="CX30" s="59">
        <f t="shared" si="14"/>
        <v>476.54077717986439</v>
      </c>
      <c r="CY30" s="59">
        <f ca="1">AVERAGE(OFFSET($CX$3,0,0,'Données projet'!$E$13+1,1))-AVERAGE(OFFSET($H$3,0,0,'Données projet'!$E$13+1,1))</f>
        <v>237.036496933921</v>
      </c>
      <c r="CZ30" s="59">
        <f t="shared" si="42"/>
        <v>191.04289413665344</v>
      </c>
      <c r="DA30" s="15">
        <f>IF(ISNA(VLOOKUP(A30,'Données projet'!$A$139:$I$159,3,0)),0,VLOOKUP(A30,'Données projet'!$A$139:$I$159,3,0))</f>
        <v>2</v>
      </c>
      <c r="DB30" s="15">
        <f>IF(ISNA(VLOOKUP(A30,'Données projet'!$A$139:$I$159,4,0)),0,VLOOKUP(A30,'Données projet'!$A$139:$I$159,4,0))</f>
        <v>34.646153849999997</v>
      </c>
      <c r="DC30" s="16">
        <f>IF(ISNA(VLOOKUP(A30,'Données projet'!$A$139:$I$159,5,0)),0%,VLOOKUP(A30,'Données projet'!$A$139:$I$159,5,0)*VLOOKUP('Données projet'!$B$13,Paramètres!$A$1:$I$89,7,0))</f>
        <v>0.315</v>
      </c>
      <c r="DD30" s="16">
        <f>IF(ISNA(VLOOKUP(A30,'Données projet'!$A$139:$I$159,6,0)),0%,VLOOKUP(A30,'Données projet'!$A$139:$I$159,6,0)*VLOOKUP('Données projet'!$B$13,Paramètres!$A$1:$I$89,7,0))</f>
        <v>7.6500000000000012E-2</v>
      </c>
      <c r="DE30" s="16">
        <f>IF(ISNA(VLOOKUP(A30,'Données projet'!$A$139:$I$159,7,0)),0%,VLOOKUP(A30,'Données projet'!$A$139:$I$159,7,0))</f>
        <v>0.13</v>
      </c>
      <c r="DF30" s="21">
        <f>EXP(-LN(2)/35)*DF29+(1-EXP(-LN(2)/35))/(LN(2)/35)*DB30*DC30*VLOOKUP('Données projet'!$B$13,Paramètres!$A$1:$I$89,3,0)*0.475*44/12</f>
        <v>8.6575523002383434</v>
      </c>
      <c r="DG30" s="21">
        <f>EXP(-LN(2)/25)*DG29+(1-EXP(-LN(2)/25))/(LN(2)/25)*Calculateur!DB30*Calculateur!DD30*VLOOKUP('Données projet'!$B$13,Paramètres!$A$1:$I$89,3,0)*0.475*44/12</f>
        <v>11.237539386440002</v>
      </c>
      <c r="DH30" s="21">
        <f>EXP(-LN(2)/2)*DH29+(1-EXP(-LN(2)/2))/(LN(2)/2)*DB30*DE30*VLOOKUP('Données projet'!$B$13,Paramètres!$A$1:$I$89,3,0)*0.475*44/12</f>
        <v>5.8273724948140799</v>
      </c>
      <c r="DI30" s="22">
        <f t="shared" si="15"/>
        <v>25.722464181492427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2.5784615383333334</v>
      </c>
      <c r="DO30" s="12">
        <f>IF('Données projet'!$A$166&gt;35,DO29+DN30-DW29,IF(A30&lt;'Données projet'!$A$166,$DL$205^A30,IF(A30='Données projet'!$A$166,'Données projet'!$B$166,DO29+DN30-DW29)))</f>
        <v>50.076471637563095</v>
      </c>
      <c r="DP30" s="17">
        <f>DO30*VLOOKUP('Données projet'!$B$14,Paramètres!$A$1:$I$89,3,0)*VLOOKUP('Données projet'!$B$14,Paramètres!$A$1:$I$89,5,0)</f>
        <v>29.945730039262731</v>
      </c>
      <c r="DQ30" s="13">
        <f t="shared" si="43"/>
        <v>9.290553466762411</v>
      </c>
      <c r="DR30" s="20">
        <f t="shared" si="16"/>
        <v>68.336527106327125</v>
      </c>
      <c r="DS30" s="59">
        <f t="shared" si="17"/>
        <v>358.00319377299382</v>
      </c>
      <c r="DT30" s="59">
        <f ca="1">AVERAGE(OFFSET($DS$3,0,0,'Données projet'!$E$14+1,1))-AVERAGE(OFFSET($H$3,0,0,'Données projet'!$E$14+1,1))</f>
        <v>148.22129593028302</v>
      </c>
      <c r="DU30" s="59">
        <f t="shared" si="44"/>
        <v>102.97015482019975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98.542079999999956</v>
      </c>
      <c r="EL30" s="13">
        <f t="shared" si="45"/>
        <v>26.614371888975242</v>
      </c>
      <c r="EM30" s="20">
        <f t="shared" si="19"/>
        <v>217.98082037329846</v>
      </c>
      <c r="EN30" s="59">
        <f t="shared" si="20"/>
        <v>507.64748703996514</v>
      </c>
      <c r="EO30" s="59">
        <f ca="1">AVERAGE(OFFSET($EN$3,0,0,'Données projet'!$E$15+1,1))-AVERAGE(OFFSET($H$3,0,0,'Données projet'!$E$15+1,1))</f>
        <v>278.53123771916404</v>
      </c>
      <c r="EP30" s="59">
        <f t="shared" si="46"/>
        <v>283.79094702030869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0.35174311658576574</v>
      </c>
      <c r="EW30" s="21">
        <f>EXP(-LN(2)/25)*EW29+(1-EXP(-LN(2)/25))/(LN(2)/25)*Calculateur!ER30*Calculateur!ET30*VLOOKUP('Données projet'!$B$15,Paramètres!$A$1:$I$89,3,0)*0.475*44/12</f>
        <v>2.9440683995112757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3.2958115160970416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2.5115384615384619</v>
      </c>
      <c r="FE30" s="12">
        <f>IF('Données projet'!$A$218&gt;35,FE29+FD30-FM29,IF(A30&lt;'Données projet'!$A$218,$FB$205^A30,IF(A30='Données projet'!$A$218,'Données projet'!$B$218,FE29+FD30-FM29)))</f>
        <v>48.90519323324542</v>
      </c>
      <c r="FF30" s="17">
        <f>FE30*VLOOKUP('Données projet'!$B$16,Paramètres!$A$1:$I$89,3,0)*VLOOKUP('Données projet'!$B$16,Paramètres!$A$1:$I$89,5,0)</f>
        <v>44.249418837440452</v>
      </c>
      <c r="FG30" s="13">
        <f t="shared" si="47"/>
        <v>13.118252765369638</v>
      </c>
      <c r="FH30" s="20">
        <f t="shared" si="22"/>
        <v>99.915361374894232</v>
      </c>
      <c r="FI30" s="59">
        <f t="shared" si="23"/>
        <v>389.58202804156093</v>
      </c>
      <c r="FJ30" s="59">
        <f ca="1">AVERAGE(OFFSET($FI$3,0,0,'Données projet'!$E$16+1,1))-AVERAGE(OFFSET($H$3,0,0,'Données projet'!$E$16+1,1))</f>
        <v>335.99493768537013</v>
      </c>
      <c r="FK30" s="59">
        <f t="shared" si="48"/>
        <v>150.85164849522778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</v>
      </c>
      <c r="FZ30" s="12">
        <f>IF('Données projet'!$A$244&gt;35,FZ29+FY30-GH29,IF(A30&lt;'Données projet'!$A$244,$FW$205^A30,IF(A30='Données projet'!$A$244,'Données projet'!$B$244,FZ29+FY30-GH29)))</f>
        <v>136</v>
      </c>
      <c r="GA30" s="17">
        <f>FZ30*VLOOKUP('Données projet'!$B$17,Paramètres!$A$1:$I$89,3,0)*VLOOKUP('Données projet'!$B$17,Paramètres!$A$1:$I$89,5,0)</f>
        <v>118.80960000000002</v>
      </c>
      <c r="GB30" s="13">
        <f t="shared" si="49"/>
        <v>31.39719715333722</v>
      </c>
      <c r="GC30" s="20">
        <f t="shared" si="25"/>
        <v>261.61017170872901</v>
      </c>
      <c r="GD30" s="59">
        <f t="shared" si="26"/>
        <v>551.27683837539576</v>
      </c>
      <c r="GE30" s="59">
        <f ca="1">AVERAGE(OFFSET($GD$3,0,0,'Données projet'!$E$17+1,1))-AVERAGE(OFFSET($H$3,0,0,'Données projet'!$E$17+1,1))</f>
        <v>319.57811113658374</v>
      </c>
      <c r="GF30" s="59">
        <f t="shared" si="50"/>
        <v>322.03572137403245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22.707692321999996</v>
      </c>
      <c r="N31" s="13">
        <f>IF('Données projet'!$A$36&gt;35,N30+M31-V30,IF(A31&lt;'Données projet'!$A$36,$K$205^A31,IF(A31='Données projet'!$A$36,'Données projet'!$B$36,N30+M31-V30)))</f>
        <v>257.55384615600002</v>
      </c>
      <c r="O31" s="13">
        <f>N31*VLOOKUP('Données projet'!$B$9,Paramètres!$A$1:$I$89,3,0)*VLOOKUP('Données projet'!$B$9,Paramètres!$A$1:$I$89,5,0)</f>
        <v>123.88340000103601</v>
      </c>
      <c r="P31" s="13">
        <f t="shared" si="33"/>
        <v>32.579052857205802</v>
      </c>
      <c r="Q31" s="20">
        <f t="shared" si="2"/>
        <v>272.50543872810448</v>
      </c>
      <c r="R31" s="59">
        <f t="shared" si="0"/>
        <v>563.39432761699334</v>
      </c>
      <c r="S31" s="59">
        <f ca="1">AVERAGE(OFFSET($R$3,0,0,'Données projet'!$E$9+1,1))-AVERAGE(OFFSET($H$3,0,0,'Données projet'!$E$9+1,1))</f>
        <v>226.41956082453015</v>
      </c>
      <c r="T31" s="59">
        <f t="shared" si="34"/>
        <v>317.95076157570446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3.2427350426666668</v>
      </c>
      <c r="AI31" s="13">
        <f>IF('Données projet'!$A$62&gt;35,AI30+AH31-AQ30,IF(A31&lt;'Données projet'!$A$62,$AF$205^A31,IF(A31='Données projet'!$A$62,'Données projet'!$B$62,AI30+AH31-AQ30)))</f>
        <v>71.696376118978648</v>
      </c>
      <c r="AJ31" s="13">
        <f>AI31*VLOOKUP('Données projet'!$B$10,Paramètres!$A$1:$I$89,3,0)*VLOOKUP('Données projet'!$B$10,Paramètres!$A$1:$I$89,5,0)</f>
        <v>61.515490710083682</v>
      </c>
      <c r="AK31" s="13">
        <f t="shared" si="35"/>
        <v>17.550874576720577</v>
      </c>
      <c r="AL31" s="20">
        <f t="shared" si="4"/>
        <v>137.70725287451742</v>
      </c>
      <c r="AM31" s="59">
        <f t="shared" si="5"/>
        <v>428.59614176340631</v>
      </c>
      <c r="AN31" s="59">
        <f ca="1">AVERAGE(OFFSET($AM$3,0,0,'Données projet'!$E$10+1,1))-AVERAGE(OFFSET($H$3,0,0,'Données projet'!$E$10+1,1))</f>
        <v>257.80662231827404</v>
      </c>
      <c r="AO31" s="59">
        <f t="shared" si="36"/>
        <v>184.04558520039876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22.828205126666671</v>
      </c>
      <c r="BD31" s="12">
        <f>IF('Données projet'!$A$88&gt;35,BD30+BC31-BL30,IF(A31&lt;'Données projet'!$A$88,$BA$205^A31,IF(A31='Données projet'!$A$88,'Données projet'!$B$88,BD30+BC31-BL30)))</f>
        <v>286.21282054666665</v>
      </c>
      <c r="BE31" s="13">
        <f>BD31*VLOOKUP('Données projet'!$B$11,Paramètres!$A$1:$I$89,3,0)*VLOOKUP('Données projet'!$B$11,Paramètres!$A$1:$I$89,5,0)</f>
        <v>159.99296668558665</v>
      </c>
      <c r="BF31" s="13">
        <f t="shared" si="37"/>
        <v>40.840929018938944</v>
      </c>
      <c r="BG31" s="20">
        <f t="shared" si="7"/>
        <v>349.78570168538204</v>
      </c>
      <c r="BH31" s="59">
        <f t="shared" si="8"/>
        <v>640.67459057427095</v>
      </c>
      <c r="BI31" s="59">
        <f ca="1">AVERAGE(OFFSET($BH$3,0,0,'Données projet'!$E$11+1,1))-AVERAGE(OFFSET($H$3,0,0,'Données projet'!$E$11+1,1))</f>
        <v>300.90952915835157</v>
      </c>
      <c r="BJ31" s="59">
        <f t="shared" si="38"/>
        <v>402.81783992925256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11.25211024675102</v>
      </c>
      <c r="BQ31" s="21">
        <f>EXP(-LN(2)/25)*BQ30+(1-EXP(-LN(2)/25))/(LN(2)/25)*Calculateur!BL31*Calculateur!BN31*VLOOKUP('Données projet'!$B$11,Paramètres!$A$1:$I$89,3,0)*0.475*44/12</f>
        <v>14.582445054711739</v>
      </c>
      <c r="BR31" s="21">
        <f>EXP(-LN(2)/2)*BR30+(1-EXP(-LN(2)/2))/(LN(2)/2)*BL31*BO31*VLOOKUP('Données projet'!$B$11,Paramètres!$A$1:$I$89,3,0)*0.475*44/12</f>
        <v>1.4804983189025267</v>
      </c>
      <c r="BS31" s="22">
        <f t="shared" si="9"/>
        <v>27.315053620365283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4.7456410266666662</v>
      </c>
      <c r="BY31" s="12">
        <f>IF('Données projet'!$A$114&gt;35,BY30+BX31-CG30,IF(A31&lt;'Données projet'!$A$114,$BV$205^A31,IF(A31='Données projet'!$A$114,'Données projet'!$B$114,BY30+BX31-CG30)))</f>
        <v>102.29515452290072</v>
      </c>
      <c r="BZ31" s="13">
        <f>BY31*VLOOKUP('Données projet'!$B$12,Paramètres!$A$1:$I$89,3,0)*VLOOKUP('Données projet'!$B$12,Paramètres!$A$1:$I$89,5,0)</f>
        <v>50.533806334312956</v>
      </c>
      <c r="CA31" s="13">
        <f t="shared" si="39"/>
        <v>14.7515321574714</v>
      </c>
      <c r="CB31" s="20">
        <f t="shared" si="10"/>
        <v>113.70529787319107</v>
      </c>
      <c r="CC31" s="59">
        <f t="shared" si="11"/>
        <v>404.59418676207991</v>
      </c>
      <c r="CD31" s="59">
        <f ca="1">AVERAGE(OFFSET($CC$3,0,0,'Données projet'!$E$12+1,1))-AVERAGE(OFFSET($H$3,0,0,'Données projet'!$E$12+1,1))</f>
        <v>246.05217890269194</v>
      </c>
      <c r="CE31" s="59">
        <f t="shared" si="40"/>
        <v>155.54297071424327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12.971794883333331</v>
      </c>
      <c r="CT31" s="12">
        <f>IF('Données projet'!$A$140&gt;35,CT30+CS31-DB30,IF(A31&lt;'Données projet'!$A$140,$CQ$205^A31,IF(A31='Données projet'!$A$140,'Données projet'!$B$140,CT30+CS31-DB30)))</f>
        <v>119.04102563333333</v>
      </c>
      <c r="CU31" s="17">
        <f>CT31*VLOOKUP('Données projet'!$B$13,Paramètres!$A$1:$I$89,3,0)*VLOOKUP('Données projet'!$B$13,Paramètres!$A$1:$I$89,5,0)</f>
        <v>71.186533328733333</v>
      </c>
      <c r="CV31" s="13">
        <f t="shared" si="41"/>
        <v>19.967826747537906</v>
      </c>
      <c r="CW31" s="20">
        <f t="shared" si="13"/>
        <v>158.76051046617241</v>
      </c>
      <c r="CX31" s="59">
        <f t="shared" si="14"/>
        <v>449.64939935506129</v>
      </c>
      <c r="CY31" s="59">
        <f ca="1">AVERAGE(OFFSET($CX$3,0,0,'Données projet'!$E$13+1,1))-AVERAGE(OFFSET($H$3,0,0,'Données projet'!$E$13+1,1))</f>
        <v>237.036496933921</v>
      </c>
      <c r="CZ31" s="59">
        <f t="shared" si="42"/>
        <v>191.04289413665344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8.4877829802161582</v>
      </c>
      <c r="DG31" s="21">
        <f>EXP(-LN(2)/25)*DG30+(1-EXP(-LN(2)/25))/(LN(2)/25)*Calculateur!DB31*Calculateur!DD31*VLOOKUP('Données projet'!$B$13,Paramètres!$A$1:$I$89,3,0)*0.475*44/12</f>
        <v>10.930248280961287</v>
      </c>
      <c r="DH31" s="21">
        <f>EXP(-LN(2)/2)*DH30+(1-EXP(-LN(2)/2))/(LN(2)/2)*DB31*DE31*VLOOKUP('Données projet'!$B$13,Paramètres!$A$1:$I$89,3,0)*0.475*44/12</f>
        <v>4.1205746075830056</v>
      </c>
      <c r="DI31" s="22">
        <f t="shared" si="15"/>
        <v>23.538605868760452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2.5784615383333334</v>
      </c>
      <c r="DO31" s="12">
        <f>IF('Données projet'!$A$166&gt;35,DO30+DN31-DW30,IF(A31&lt;'Données projet'!$A$166,$DL$205^A31,IF(A31='Données projet'!$A$166,'Données projet'!$B$166,DO30+DN31-DW30)))</f>
        <v>57.887276630335613</v>
      </c>
      <c r="DP31" s="17">
        <f>DO31*VLOOKUP('Données projet'!$B$14,Paramètres!$A$1:$I$89,3,0)*VLOOKUP('Données projet'!$B$14,Paramètres!$A$1:$I$89,5,0)</f>
        <v>34.616591424940701</v>
      </c>
      <c r="DQ31" s="13">
        <f t="shared" si="43"/>
        <v>10.559994068992417</v>
      </c>
      <c r="DR31" s="20">
        <f t="shared" si="16"/>
        <v>78.682553068600171</v>
      </c>
      <c r="DS31" s="59">
        <f t="shared" si="17"/>
        <v>369.57144195748901</v>
      </c>
      <c r="DT31" s="59">
        <f ca="1">AVERAGE(OFFSET($DS$3,0,0,'Données projet'!$E$14+1,1))-AVERAGE(OFFSET($H$3,0,0,'Données projet'!$E$14+1,1))</f>
        <v>148.22129593028302</v>
      </c>
      <c r="DU31" s="59">
        <f t="shared" si="44"/>
        <v>102.97015482019975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108.95351999999995</v>
      </c>
      <c r="EL31" s="13">
        <f t="shared" si="45"/>
        <v>29.084288721109843</v>
      </c>
      <c r="EM31" s="20">
        <f t="shared" si="19"/>
        <v>240.41585018926619</v>
      </c>
      <c r="EN31" s="59">
        <f t="shared" si="20"/>
        <v>531.30473907815508</v>
      </c>
      <c r="EO31" s="59">
        <f ca="1">AVERAGE(OFFSET($EN$3,0,0,'Données projet'!$E$15+1,1))-AVERAGE(OFFSET($H$3,0,0,'Données projet'!$E$15+1,1))</f>
        <v>278.53123771916404</v>
      </c>
      <c r="EP31" s="59">
        <f t="shared" si="46"/>
        <v>283.79094702030869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0.34484564861163569</v>
      </c>
      <c r="EW31" s="21">
        <f>EXP(-LN(2)/25)*EW30+(1-EXP(-LN(2)/25))/(LN(2)/25)*Calculateur!ER31*Calculateur!ET31*VLOOKUP('Données projet'!$B$15,Paramètres!$A$1:$I$89,3,0)*0.475*44/12</f>
        <v>2.8635626943048114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3.2084083429164472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2.5115384615384619</v>
      </c>
      <c r="FE31" s="12">
        <f>IF('Données projet'!$A$218&gt;35,FE30+FD31-FM30,IF(A31&lt;'Données projet'!$A$218,$FB$205^A31,IF(A31='Données projet'!$A$218,'Données projet'!$B$218,FE30+FD31-FM30)))</f>
        <v>56.483770810300285</v>
      </c>
      <c r="FF31" s="17">
        <f>FE31*VLOOKUP('Données projet'!$B$16,Paramètres!$A$1:$I$89,3,0)*VLOOKUP('Données projet'!$B$16,Paramètres!$A$1:$I$89,5,0)</f>
        <v>51.106515829159697</v>
      </c>
      <c r="FG31" s="13">
        <f t="shared" si="47"/>
        <v>14.899157140003059</v>
      </c>
      <c r="FH31" s="20">
        <f t="shared" si="22"/>
        <v>114.9598804212918</v>
      </c>
      <c r="FI31" s="59">
        <f t="shared" si="23"/>
        <v>405.84876931018067</v>
      </c>
      <c r="FJ31" s="59">
        <f ca="1">AVERAGE(OFFSET($FI$3,0,0,'Données projet'!$E$16+1,1))-AVERAGE(OFFSET($H$3,0,0,'Données projet'!$E$16+1,1))</f>
        <v>335.99493768537013</v>
      </c>
      <c r="FK31" s="59">
        <f t="shared" si="48"/>
        <v>150.85164849522778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11</v>
      </c>
      <c r="FZ31" s="12">
        <f>IF('Données projet'!$A$244&gt;35,FZ30+FY31-GH30,IF(A31&lt;'Données projet'!$A$244,$FW$205^A31,IF(A31='Données projet'!$A$244,'Données projet'!$B$244,FZ30+FY31-GH30)))</f>
        <v>147</v>
      </c>
      <c r="GA31" s="17">
        <f>FZ31*VLOOKUP('Données projet'!$B$17,Paramètres!$A$1:$I$89,3,0)*VLOOKUP('Données projet'!$B$17,Paramètres!$A$1:$I$89,5,0)</f>
        <v>128.41920000000002</v>
      </c>
      <c r="GB31" s="13">
        <f t="shared" si="49"/>
        <v>33.630823177860762</v>
      </c>
      <c r="GC31" s="20">
        <f t="shared" si="25"/>
        <v>282.23712370144091</v>
      </c>
      <c r="GD31" s="59">
        <f t="shared" si="26"/>
        <v>573.12601259032976</v>
      </c>
      <c r="GE31" s="59">
        <f ca="1">AVERAGE(OFFSET($GD$3,0,0,'Données projet'!$E$17+1,1))-AVERAGE(OFFSET($H$3,0,0,'Données projet'!$E$17+1,1))</f>
        <v>319.57811113658374</v>
      </c>
      <c r="GF31" s="59">
        <f t="shared" si="50"/>
        <v>322.03572137403245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22.707692321999996</v>
      </c>
      <c r="N32" s="13">
        <f>IF('Données projet'!$A$36&gt;35,N31+M32-V31,IF(A32&lt;'Données projet'!$A$36,$K$205^A32,IF(A32='Données projet'!$A$36,'Données projet'!$B$36,N31+M32-V31)))</f>
        <v>280.26153847800003</v>
      </c>
      <c r="O32" s="13">
        <f>N32*VLOOKUP('Données projet'!$B$9,Paramètres!$A$1:$I$89,3,0)*VLOOKUP('Données projet'!$B$9,Paramètres!$A$1:$I$89,5,0)</f>
        <v>134.80580000791801</v>
      </c>
      <c r="P32" s="13">
        <f t="shared" si="33"/>
        <v>35.104481634191842</v>
      </c>
      <c r="Q32" s="20">
        <f t="shared" si="2"/>
        <v>295.92707386000797</v>
      </c>
      <c r="R32" s="59">
        <f t="shared" si="0"/>
        <v>588.03818497111911</v>
      </c>
      <c r="S32" s="59">
        <f ca="1">AVERAGE(OFFSET($R$3,0,0,'Données projet'!$E$9+1,1))-AVERAGE(OFFSET($H$3,0,0,'Données projet'!$E$9+1,1))</f>
        <v>226.41956082453015</v>
      </c>
      <c r="T32" s="59">
        <f t="shared" si="34"/>
        <v>317.95076157570446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3.2427350426666668</v>
      </c>
      <c r="AI32" s="13">
        <f>IF('Données projet'!$A$62&gt;35,AI31+AH32-AQ31,IF(A32&lt;'Données projet'!$A$62,$AF$205^A32,IF(A32='Données projet'!$A$62,'Données projet'!$B$62,AI31+AH32-AQ31)))</f>
        <v>83.51509167926865</v>
      </c>
      <c r="AJ32" s="13">
        <f>AI32*VLOOKUP('Données projet'!$B$10,Paramètres!$A$1:$I$89,3,0)*VLOOKUP('Données projet'!$B$10,Paramètres!$A$1:$I$89,5,0)</f>
        <v>71.655948660812513</v>
      </c>
      <c r="AK32" s="13">
        <f t="shared" si="35"/>
        <v>20.084126726364669</v>
      </c>
      <c r="AL32" s="20">
        <f t="shared" si="4"/>
        <v>159.78063129933361</v>
      </c>
      <c r="AM32" s="59">
        <f t="shared" si="5"/>
        <v>451.89174241044475</v>
      </c>
      <c r="AN32" s="59">
        <f ca="1">AVERAGE(OFFSET($AM$3,0,0,'Données projet'!$E$10+1,1))-AVERAGE(OFFSET($H$3,0,0,'Données projet'!$E$10+1,1))</f>
        <v>257.80662231827404</v>
      </c>
      <c r="AO32" s="59">
        <f t="shared" si="36"/>
        <v>184.04558520039876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22.828205126666671</v>
      </c>
      <c r="BD32" s="12">
        <f>IF('Données projet'!$A$88&gt;35,BD31+BC32-BL31,IF(A32&lt;'Données projet'!$A$88,$BA$205^A32,IF(A32='Données projet'!$A$88,'Données projet'!$B$88,BD31+BC32-BL31)))</f>
        <v>309.04102567333331</v>
      </c>
      <c r="BE32" s="13">
        <f>BD32*VLOOKUP('Données projet'!$B$11,Paramètres!$A$1:$I$89,3,0)*VLOOKUP('Données projet'!$B$11,Paramètres!$A$1:$I$89,5,0)</f>
        <v>172.75393335139333</v>
      </c>
      <c r="BF32" s="13">
        <f t="shared" si="37"/>
        <v>43.70623500084271</v>
      </c>
      <c r="BG32" s="20">
        <f t="shared" si="7"/>
        <v>377.00145988014447</v>
      </c>
      <c r="BH32" s="59">
        <f t="shared" si="8"/>
        <v>669.11257099125555</v>
      </c>
      <c r="BI32" s="59">
        <f ca="1">AVERAGE(OFFSET($BH$3,0,0,'Données projet'!$E$11+1,1))-AVERAGE(OFFSET($H$3,0,0,'Données projet'!$E$11+1,1))</f>
        <v>300.90952915835157</v>
      </c>
      <c r="BJ32" s="59">
        <f t="shared" si="38"/>
        <v>402.81783992925256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11.031463227921806</v>
      </c>
      <c r="BQ32" s="21">
        <f>EXP(-LN(2)/25)*BQ31+(1-EXP(-LN(2)/25))/(LN(2)/25)*Calculateur!BL32*Calculateur!BN32*VLOOKUP('Données projet'!$B$11,Paramètres!$A$1:$I$89,3,0)*0.475*44/12</f>
        <v>14.183687327833189</v>
      </c>
      <c r="BR32" s="21">
        <f>EXP(-LN(2)/2)*BR31+(1-EXP(-LN(2)/2))/(LN(2)/2)*BL32*BO32*VLOOKUP('Données projet'!$B$11,Paramètres!$A$1:$I$89,3,0)*0.475*44/12</f>
        <v>1.0468704008312604</v>
      </c>
      <c r="BS32" s="22">
        <f t="shared" si="9"/>
        <v>26.262020956586255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4.7456410266666662</v>
      </c>
      <c r="BY32" s="12">
        <f>IF('Données projet'!$A$114&gt;35,BY31+BX32-CG31,IF(A32&lt;'Données projet'!$A$114,$BV$205^A32,IF(A32='Données projet'!$A$114,'Données projet'!$B$114,BY31+BX32-CG31)))</f>
        <v>120.68008312887628</v>
      </c>
      <c r="BZ32" s="13">
        <f>BY32*VLOOKUP('Données projet'!$B$12,Paramètres!$A$1:$I$89,3,0)*VLOOKUP('Données projet'!$B$12,Paramètres!$A$1:$I$89,5,0)</f>
        <v>59.615961065664884</v>
      </c>
      <c r="CA32" s="13">
        <f t="shared" si="39"/>
        <v>17.071135663840632</v>
      </c>
      <c r="CB32" s="20">
        <f t="shared" si="10"/>
        <v>133.56336013722208</v>
      </c>
      <c r="CC32" s="59">
        <f t="shared" si="11"/>
        <v>425.67447124833325</v>
      </c>
      <c r="CD32" s="59">
        <f ca="1">AVERAGE(OFFSET($CC$3,0,0,'Données projet'!$E$12+1,1))-AVERAGE(OFFSET($H$3,0,0,'Données projet'!$E$12+1,1))</f>
        <v>246.05217890269194</v>
      </c>
      <c r="CE32" s="59">
        <f t="shared" si="40"/>
        <v>155.54297071424327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12.971794883333331</v>
      </c>
      <c r="CT32" s="12">
        <f>IF('Données projet'!$A$140&gt;35,CT31+CS32-DB31,IF(A32&lt;'Données projet'!$A$140,$CQ$205^A32,IF(A32='Données projet'!$A$140,'Données projet'!$B$140,CT31+CS32-DB31)))</f>
        <v>132.01282051666666</v>
      </c>
      <c r="CU32" s="17">
        <f>CT32*VLOOKUP('Données projet'!$B$13,Paramètres!$A$1:$I$89,3,0)*VLOOKUP('Données projet'!$B$13,Paramètres!$A$1:$I$89,5,0)</f>
        <v>78.943666668966671</v>
      </c>
      <c r="CV32" s="13">
        <f t="shared" si="41"/>
        <v>21.878705672620505</v>
      </c>
      <c r="CW32" s="20">
        <f t="shared" si="13"/>
        <v>175.59896516159765</v>
      </c>
      <c r="CX32" s="59">
        <f t="shared" si="14"/>
        <v>467.71007627270876</v>
      </c>
      <c r="CY32" s="59">
        <f ca="1">AVERAGE(OFFSET($CX$3,0,0,'Données projet'!$E$13+1,1))-AVERAGE(OFFSET($H$3,0,0,'Données projet'!$E$13+1,1))</f>
        <v>237.036496933921</v>
      </c>
      <c r="CZ32" s="59">
        <f t="shared" si="42"/>
        <v>191.04289413665344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8.3213427330105478</v>
      </c>
      <c r="DG32" s="21">
        <f>EXP(-LN(2)/25)*DG31+(1-EXP(-LN(2)/25))/(LN(2)/25)*Calculateur!DB32*Calculateur!DD32*VLOOKUP('Données projet'!$B$13,Paramètres!$A$1:$I$89,3,0)*0.475*44/12</f>
        <v>10.631360066921625</v>
      </c>
      <c r="DH32" s="21">
        <f>EXP(-LN(2)/2)*DH31+(1-EXP(-LN(2)/2))/(LN(2)/2)*DB32*DE32*VLOOKUP('Données projet'!$B$13,Paramètres!$A$1:$I$89,3,0)*0.475*44/12</f>
        <v>2.9136862474070404</v>
      </c>
      <c r="DI32" s="22">
        <f t="shared" si="15"/>
        <v>21.866389047339212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2.5784615383333334</v>
      </c>
      <c r="DO32" s="12">
        <f>IF('Données projet'!$A$166&gt;35,DO31+DN32-DW31,IF(A32&lt;'Données projet'!$A$166,$DL$205^A32,IF(A32='Données projet'!$A$166,'Données projet'!$B$166,DO31+DN32-DW31)))</f>
        <v>66.916391792336498</v>
      </c>
      <c r="DP32" s="17">
        <f>DO32*VLOOKUP('Données projet'!$B$14,Paramètres!$A$1:$I$89,3,0)*VLOOKUP('Données projet'!$B$14,Paramètres!$A$1:$I$89,5,0)</f>
        <v>40.016002291817223</v>
      </c>
      <c r="DQ32" s="13">
        <f t="shared" si="43"/>
        <v>12.002888217166173</v>
      </c>
      <c r="DR32" s="20">
        <f t="shared" si="16"/>
        <v>90.599567636479421</v>
      </c>
      <c r="DS32" s="59">
        <f t="shared" si="17"/>
        <v>382.71067874759058</v>
      </c>
      <c r="DT32" s="59">
        <f ca="1">AVERAGE(OFFSET($DS$3,0,0,'Données projet'!$E$14+1,1))-AVERAGE(OFFSET($H$3,0,0,'Données projet'!$E$14+1,1))</f>
        <v>148.22129593028302</v>
      </c>
      <c r="DU32" s="59">
        <f t="shared" si="44"/>
        <v>102.97015482019975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119.36495999999994</v>
      </c>
      <c r="EL32" s="13">
        <f t="shared" si="45"/>
        <v>31.526840934707504</v>
      </c>
      <c r="EM32" s="20">
        <f t="shared" si="19"/>
        <v>262.80321996128214</v>
      </c>
      <c r="EN32" s="59">
        <f t="shared" si="20"/>
        <v>554.91433107239322</v>
      </c>
      <c r="EO32" s="59">
        <f ca="1">AVERAGE(OFFSET($EN$3,0,0,'Données projet'!$E$15+1,1))-AVERAGE(OFFSET($H$3,0,0,'Données projet'!$E$15+1,1))</f>
        <v>278.53123771916404</v>
      </c>
      <c r="EP32" s="59">
        <f t="shared" si="46"/>
        <v>283.79094702030869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0.33808343577743832</v>
      </c>
      <c r="EW32" s="21">
        <f>EXP(-LN(2)/25)*EW31+(1-EXP(-LN(2)/25))/(LN(2)/25)*Calculateur!ER32*Calculateur!ET32*VLOOKUP('Données projet'!$B$15,Paramètres!$A$1:$I$89,3,0)*0.475*44/12</f>
        <v>2.7852584218408292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3.1233418576182674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2.5115384615384619</v>
      </c>
      <c r="FE32" s="12">
        <f>IF('Données projet'!$A$218&gt;35,FE31+FD32-FM31,IF(A32&lt;'Données projet'!$A$218,$FB$205^A32,IF(A32='Données projet'!$A$218,'Données projet'!$B$218,FE31+FD32-FM31)))</f>
        <v>65.236760229825805</v>
      </c>
      <c r="FF32" s="17">
        <f>FE32*VLOOKUP('Données projet'!$B$16,Paramètres!$A$1:$I$89,3,0)*VLOOKUP('Données projet'!$B$16,Paramètres!$A$1:$I$89,5,0)</f>
        <v>59.026220655946382</v>
      </c>
      <c r="FG32" s="13">
        <f t="shared" si="47"/>
        <v>16.921833071284709</v>
      </c>
      <c r="FH32" s="20">
        <f t="shared" si="22"/>
        <v>132.27619357492748</v>
      </c>
      <c r="FI32" s="59">
        <f t="shared" si="23"/>
        <v>424.38730468603865</v>
      </c>
      <c r="FJ32" s="59">
        <f ca="1">AVERAGE(OFFSET($FI$3,0,0,'Données projet'!$E$16+1,1))-AVERAGE(OFFSET($H$3,0,0,'Données projet'!$E$16+1,1))</f>
        <v>335.99493768537013</v>
      </c>
      <c r="FK32" s="59">
        <f t="shared" si="48"/>
        <v>150.85164849522778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</v>
      </c>
      <c r="FZ32" s="12">
        <f>IF('Données projet'!$A$244&gt;35,FZ31+FY32-GH31,IF(A32&lt;'Données projet'!$A$244,$FW$205^A32,IF(A32='Données projet'!$A$244,'Données projet'!$B$244,FZ31+FY32-GH31)))</f>
        <v>158</v>
      </c>
      <c r="GA32" s="17">
        <f>FZ32*VLOOKUP('Données projet'!$B$17,Paramètres!$A$1:$I$89,3,0)*VLOOKUP('Données projet'!$B$17,Paramètres!$A$1:$I$89,5,0)</f>
        <v>138.02880000000002</v>
      </c>
      <c r="GB32" s="13">
        <f t="shared" si="49"/>
        <v>35.845059256813073</v>
      </c>
      <c r="GC32" s="20">
        <f t="shared" si="25"/>
        <v>302.8303048722828</v>
      </c>
      <c r="GD32" s="59">
        <f t="shared" si="26"/>
        <v>594.94141598339388</v>
      </c>
      <c r="GE32" s="59">
        <f ca="1">AVERAGE(OFFSET($GD$3,0,0,'Données projet'!$E$17+1,1))-AVERAGE(OFFSET($H$3,0,0,'Données projet'!$E$17+1,1))</f>
        <v>319.57811113658374</v>
      </c>
      <c r="GF32" s="59">
        <f t="shared" si="50"/>
        <v>322.03572137403245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302.96923079999999</v>
      </c>
      <c r="L33" s="12">
        <f>VLOOKUP(A33,'Données projet'!$A$35:$I$55,9,0)</f>
        <v>22.707692321999996</v>
      </c>
      <c r="M33" s="12">
        <f t="array" ref="M33">INDEX(L:L,MIN(IF(ISNUMBER(L33:L229),ROW(L33:L229),"")))</f>
        <v>22.707692321999996</v>
      </c>
      <c r="N33" s="13">
        <f>IF('Données projet'!$A$36&gt;35,N32+M33-V32,IF(A33&lt;'Données projet'!$A$36,$K$205^A33,IF(A33='Données projet'!$A$36,'Données projet'!$B$36,N32+M33-V32)))</f>
        <v>302.96923080000005</v>
      </c>
      <c r="O33" s="13">
        <f>N33*VLOOKUP('Données projet'!$B$9,Paramètres!$A$1:$I$89,3,0)*VLOOKUP('Données projet'!$B$9,Paramètres!$A$1:$I$89,5,0)</f>
        <v>145.72820001480002</v>
      </c>
      <c r="P33" s="13">
        <f t="shared" si="33"/>
        <v>37.606177400996515</v>
      </c>
      <c r="Q33" s="20">
        <f t="shared" si="2"/>
        <v>319.30737399917899</v>
      </c>
      <c r="R33" s="59">
        <f t="shared" si="0"/>
        <v>612.64070733251231</v>
      </c>
      <c r="S33" s="59">
        <f ca="1">AVERAGE(OFFSET($R$3,0,0,'Données projet'!$E$9+1,1))-AVERAGE(OFFSET($H$3,0,0,'Données projet'!$E$9+1,1))</f>
        <v>226.41956082453015</v>
      </c>
      <c r="T33" s="59">
        <f t="shared" si="34"/>
        <v>317.95076157570446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90.015384620000006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97.282051280000005</v>
      </c>
      <c r="AG33" s="12">
        <f>VLOOKUP(A33,'Données projet'!$A$61:$I$81,9,0)</f>
        <v>3.2427350426666668</v>
      </c>
      <c r="AH33" s="12">
        <f t="array" ref="AH33">INDEX(AG:AG,MIN(IF(ISNUMBER(AG33:AG229),ROW(AG33:AG229),"")))</f>
        <v>3.2427350426666668</v>
      </c>
      <c r="AI33" s="13">
        <f>IF('Données projet'!$A$62&gt;35,AI32+AH33-AQ32,IF(A33&lt;'Données projet'!$A$62,$AF$205^A33,IF(A33='Données projet'!$A$62,'Données projet'!$B$62,AI32+AH33-AQ32)))</f>
        <v>97.282051280000005</v>
      </c>
      <c r="AJ33" s="13">
        <f>AI33*VLOOKUP('Données projet'!$B$10,Paramètres!$A$1:$I$89,3,0)*VLOOKUP('Données projet'!$B$10,Paramètres!$A$1:$I$89,5,0)</f>
        <v>83.467999998240018</v>
      </c>
      <c r="AK33" s="13">
        <f t="shared" si="35"/>
        <v>22.983022560921693</v>
      </c>
      <c r="AL33" s="20">
        <f t="shared" si="4"/>
        <v>185.40219762387332</v>
      </c>
      <c r="AM33" s="59">
        <f t="shared" si="5"/>
        <v>478.73553095720661</v>
      </c>
      <c r="AN33" s="59">
        <f ca="1">AVERAGE(OFFSET($AM$3,0,0,'Données projet'!$E$10+1,1))-AVERAGE(OFFSET($H$3,0,0,'Données projet'!$E$10+1,1))</f>
        <v>257.80662231827404</v>
      </c>
      <c r="AO33" s="59">
        <f t="shared" si="36"/>
        <v>184.04558520039876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331.86923080000003</v>
      </c>
      <c r="BB33" s="12">
        <f>VLOOKUP(A33,'Données projet'!$A$87:$I$107,9,0)</f>
        <v>22.828205126666671</v>
      </c>
      <c r="BC33" s="12">
        <f t="array" ref="BC33">INDEX(BB:BB,MIN(IF(ISNUMBER(BB33:BB229),ROW(BB33:BB229),"")))</f>
        <v>22.828205126666671</v>
      </c>
      <c r="BD33" s="12">
        <f>IF('Données projet'!$A$88&gt;35,BD32+BC33-BL32,IF(A33&lt;'Données projet'!$A$88,$BA$205^A33,IF(A33='Données projet'!$A$88,'Données projet'!$B$88,BD32+BC33-BL32)))</f>
        <v>331.86923079999997</v>
      </c>
      <c r="BE33" s="13">
        <f>BD33*VLOOKUP('Données projet'!$B$11,Paramètres!$A$1:$I$89,3,0)*VLOOKUP('Données projet'!$B$11,Paramètres!$A$1:$I$89,5,0)</f>
        <v>185.51490001719998</v>
      </c>
      <c r="BF33" s="13">
        <f t="shared" si="37"/>
        <v>46.546986501112265</v>
      </c>
      <c r="BG33" s="20">
        <f t="shared" si="7"/>
        <v>404.17445235272709</v>
      </c>
      <c r="BH33" s="59">
        <f t="shared" si="8"/>
        <v>697.5077856860604</v>
      </c>
      <c r="BI33" s="59">
        <f ca="1">AVERAGE(OFFSET($BH$3,0,0,'Données projet'!$E$11+1,1))-AVERAGE(OFFSET($H$3,0,0,'Données projet'!$E$11+1,1))</f>
        <v>300.90952915835157</v>
      </c>
      <c r="BJ33" s="59">
        <f t="shared" si="38"/>
        <v>402.81783992925256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65.669230769999999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9.3500000000000014E-2</v>
      </c>
      <c r="BO33" s="16">
        <f>IF(ISNA(VLOOKUP(A33,'Données projet'!$A$87:$I$107,7,0)),0%,VLOOKUP(A33,'Données projet'!$A$87:$I$107,7,0))</f>
        <v>0.13</v>
      </c>
      <c r="BP33" s="21">
        <f>EXP(-LN(2)/35)*BP32+(1-EXP(-LN(2)/35))/(LN(2)/35)*BL33*BM33*VLOOKUP('Données projet'!$B$11,Paramètres!$A$1:$I$89,3,0)*0.475*44/12</f>
        <v>29.56348305447267</v>
      </c>
      <c r="BQ33" s="21">
        <f>EXP(-LN(2)/25)*BQ32+(1-EXP(-LN(2)/25))/(LN(2)/25)*Calculateur!BL33*Calculateur!BN33*VLOOKUP('Données projet'!$B$11,Paramètres!$A$1:$I$89,3,0)*0.475*44/12</f>
        <v>18.331074401482262</v>
      </c>
      <c r="BR33" s="21">
        <f>EXP(-LN(2)/2)*BR32+(1-EXP(-LN(2)/2))/(LN(2)/2)*BL33*BO33*VLOOKUP('Données projet'!$B$11,Paramètres!$A$1:$I$89,3,0)*0.475*44/12</f>
        <v>6.1434688818212981</v>
      </c>
      <c r="BS33" s="22">
        <f t="shared" si="9"/>
        <v>54.03802633777623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142.3692308</v>
      </c>
      <c r="BW33" s="12">
        <f>VLOOKUP(A33,'Données projet'!$A$113:$I$133,9,0)</f>
        <v>4.7456410266666662</v>
      </c>
      <c r="BX33" s="12">
        <f t="array" ref="BX33">INDEX(BW:BW,MIN(IF(ISNUMBER(BW33:BW229),ROW(BW33:BW229),"")))</f>
        <v>4.7456410266666662</v>
      </c>
      <c r="BY33" s="12">
        <f>IF('Données projet'!$A$114&gt;35,BY32+BX33-CG32,IF(A33&lt;'Données projet'!$A$114,$BV$205^A33,IF(A33='Données projet'!$A$114,'Données projet'!$B$114,BY32+BX33-CG32)))</f>
        <v>142.3692308</v>
      </c>
      <c r="BZ33" s="13">
        <f>BY33*VLOOKUP('Données projet'!$B$12,Paramètres!$A$1:$I$89,3,0)*VLOOKUP('Données projet'!$B$12,Paramètres!$A$1:$I$89,5,0)</f>
        <v>70.330400015199999</v>
      </c>
      <c r="CA33" s="13">
        <f t="shared" si="39"/>
        <v>19.755485039948951</v>
      </c>
      <c r="CB33" s="20">
        <f t="shared" si="10"/>
        <v>156.89958313771777</v>
      </c>
      <c r="CC33" s="59">
        <f t="shared" si="11"/>
        <v>450.23291647105111</v>
      </c>
      <c r="CD33" s="59">
        <f ca="1">AVERAGE(OFFSET($CC$3,0,0,'Données projet'!$E$12+1,1))-AVERAGE(OFFSET($H$3,0,0,'Données projet'!$E$12+1,1))</f>
        <v>246.05217890269194</v>
      </c>
      <c r="CE33" s="59">
        <f t="shared" si="40"/>
        <v>155.54297071424327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144.9846154</v>
      </c>
      <c r="CR33" s="12">
        <f>VLOOKUP(A33,'Données projet'!$A$139:$I$159,9,0)</f>
        <v>12.971794883333331</v>
      </c>
      <c r="CS33" s="12">
        <f t="array" ref="CS33">INDEX(CR:CR,MIN(IF(ISNUMBER(CR33:CR229),ROW(CR33:CR229),"")))</f>
        <v>12.971794883333331</v>
      </c>
      <c r="CT33" s="12">
        <f>IF('Données projet'!$A$140&gt;35,CT32+CS33-DB32,IF(A33&lt;'Données projet'!$A$140,$CQ$205^A33,IF(A33='Données projet'!$A$140,'Données projet'!$B$140,CT32+CS33-DB32)))</f>
        <v>144.9846154</v>
      </c>
      <c r="CU33" s="17">
        <f>CT33*VLOOKUP('Données projet'!$B$13,Paramètres!$A$1:$I$89,3,0)*VLOOKUP('Données projet'!$B$13,Paramètres!$A$1:$I$89,5,0)</f>
        <v>86.700800009200009</v>
      </c>
      <c r="CV33" s="13">
        <f t="shared" si="41"/>
        <v>23.767816197572049</v>
      </c>
      <c r="CW33" s="20">
        <f t="shared" si="13"/>
        <v>192.39950656012797</v>
      </c>
      <c r="CX33" s="59">
        <f t="shared" si="14"/>
        <v>485.73283989346129</v>
      </c>
      <c r="CY33" s="59">
        <f ca="1">AVERAGE(OFFSET($CX$3,0,0,'Données projet'!$E$13+1,1))-AVERAGE(OFFSET($H$3,0,0,'Données projet'!$E$13+1,1))</f>
        <v>237.036496933921</v>
      </c>
      <c r="CZ33" s="59">
        <f t="shared" si="42"/>
        <v>191.04289413665344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8.1581662775341126</v>
      </c>
      <c r="DG33" s="21">
        <f>EXP(-LN(2)/25)*DG32+(1-EXP(-LN(2)/25))/(LN(2)/25)*Calculateur!DB33*Calculateur!DD33*VLOOKUP('Données projet'!$B$13,Paramètres!$A$1:$I$89,3,0)*0.475*44/12</f>
        <v>10.340644966812725</v>
      </c>
      <c r="DH33" s="21">
        <f>EXP(-LN(2)/2)*DH32+(1-EXP(-LN(2)/2))/(LN(2)/2)*DB33*DE33*VLOOKUP('Données projet'!$B$13,Paramètres!$A$1:$I$89,3,0)*0.475*44/12</f>
        <v>2.0602873037915028</v>
      </c>
      <c r="DI33" s="22">
        <f t="shared" si="15"/>
        <v>20.559098548138344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77.353846149999995</v>
      </c>
      <c r="DM33" s="12">
        <f>VLOOKUP(A33,'Données projet'!$A$165:$I$185,9,0)</f>
        <v>2.5784615383333334</v>
      </c>
      <c r="DN33" s="12">
        <f t="array" ref="DN33">INDEX(DM:DM,MIN(IF(ISNUMBER(DM33:DM229),ROW(DM33:DM229),"")))</f>
        <v>2.5784615383333334</v>
      </c>
      <c r="DO33" s="12">
        <f>IF('Données projet'!$A$166&gt;35,DO32+DN33-DW32,IF(A33&lt;'Données projet'!$A$166,$DL$205^A33,IF(A33='Données projet'!$A$166,'Données projet'!$B$166,DO32+DN33-DW32)))</f>
        <v>77.353846149999995</v>
      </c>
      <c r="DP33" s="17">
        <f>DO33*VLOOKUP('Données projet'!$B$14,Paramètres!$A$1:$I$89,3,0)*VLOOKUP('Données projet'!$B$14,Paramètres!$A$1:$I$89,5,0)</f>
        <v>46.257599997700005</v>
      </c>
      <c r="DQ33" s="13">
        <f t="shared" si="43"/>
        <v>13.642936218763696</v>
      </c>
      <c r="DR33" s="20">
        <f t="shared" si="16"/>
        <v>104.32676724367427</v>
      </c>
      <c r="DS33" s="59">
        <f t="shared" si="17"/>
        <v>397.6601005770076</v>
      </c>
      <c r="DT33" s="59">
        <f ca="1">AVERAGE(OFFSET($DS$3,0,0,'Données projet'!$E$14+1,1))-AVERAGE(OFFSET($H$3,0,0,'Données projet'!$E$14+1,1))</f>
        <v>148.22129593028302</v>
      </c>
      <c r="DU33" s="59">
        <f t="shared" si="44"/>
        <v>102.97015482019975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129.77639999999994</v>
      </c>
      <c r="EL33" s="13">
        <f t="shared" si="45"/>
        <v>33.94468676198089</v>
      </c>
      <c r="EM33" s="20">
        <f t="shared" si="19"/>
        <v>285.14755944378322</v>
      </c>
      <c r="EN33" s="59">
        <f t="shared" si="20"/>
        <v>578.48089277711654</v>
      </c>
      <c r="EO33" s="59">
        <f ca="1">AVERAGE(OFFSET($EN$3,0,0,'Données projet'!$E$15+1,1))-AVERAGE(OFFSET($H$3,0,0,'Données projet'!$E$15+1,1))</f>
        <v>278.53123771916404</v>
      </c>
      <c r="EP33" s="59">
        <f t="shared" si="46"/>
        <v>283.79094702030869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8.6000000000000007E-2</v>
      </c>
      <c r="ET33" s="16">
        <f>IF(ISNA(VLOOKUP(A33,'Données projet'!$A$191:$I$211,6,0)),0%,VLOOKUP(A33,'Données projet'!$A$191:$I$211,6,0)*VLOOKUP('Données projet'!$B$15,Paramètres!$A$1:$I$89,7,0))</f>
        <v>0.18489999999999998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2.77115178145579</v>
      </c>
      <c r="EW33" s="21">
        <f>EXP(-LN(2)/25)*EW32+(1-EXP(-LN(2)/25))/(LN(2)/25)*Calculateur!ER33*Calculateur!ET33*VLOOKUP('Données projet'!$B$15,Paramètres!$A$1:$I$89,3,0)*0.475*44/12</f>
        <v>7.9337930444928411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10.704944825948632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75.346153846153854</v>
      </c>
      <c r="FC33" s="12">
        <f>VLOOKUP(A33,'Données projet'!$A$217:$I$237,9,0)</f>
        <v>2.5115384615384619</v>
      </c>
      <c r="FD33" s="12">
        <f t="array" ref="FD33">INDEX(FC:FC,MIN(IF(ISNUMBER(FC33:FC229),ROW(FC33:FC229),"")))</f>
        <v>2.5115384615384619</v>
      </c>
      <c r="FE33" s="12">
        <f>IF('Données projet'!$A$218&gt;35,FE32+FD33-FM32,IF(A33&lt;'Données projet'!$A$218,$FB$205^A33,IF(A33='Données projet'!$A$218,'Données projet'!$B$218,FE32+FD33-FM32)))</f>
        <v>75.346153846153854</v>
      </c>
      <c r="FF33" s="17">
        <f>FE33*VLOOKUP('Données projet'!$B$16,Paramètres!$A$1:$I$89,3,0)*VLOOKUP('Données projet'!$B$16,Paramètres!$A$1:$I$89,5,0)</f>
        <v>68.173200000000008</v>
      </c>
      <c r="FG33" s="13">
        <f t="shared" si="47"/>
        <v>19.219102919829069</v>
      </c>
      <c r="FH33" s="20">
        <f t="shared" si="22"/>
        <v>152.20826091870231</v>
      </c>
      <c r="FI33" s="59">
        <f t="shared" si="23"/>
        <v>445.54159425203562</v>
      </c>
      <c r="FJ33" s="59">
        <f ca="1">AVERAGE(OFFSET($FI$3,0,0,'Données projet'!$E$16+1,1))-AVERAGE(OFFSET($H$3,0,0,'Données projet'!$E$16+1,1))</f>
        <v>335.99493768537013</v>
      </c>
      <c r="FK33" s="59">
        <f t="shared" si="48"/>
        <v>150.85164849522778</v>
      </c>
      <c r="FL33" s="15" t="str">
        <f>IF(ISNA(VLOOKUP(A33,'Données projet'!$A$217:$I$237,3,0)),0,VLOOKUP(A33,'Données projet'!$A$217:$I$237,3,0))</f>
        <v>na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169</v>
      </c>
      <c r="FX33" s="12">
        <f>VLOOKUP(A33,'Données projet'!$A$243:$I$263,9,0)</f>
        <v>11</v>
      </c>
      <c r="FY33" s="12">
        <f t="array" ref="FY33">INDEX(FX:FX,MIN(IF(ISNUMBER(FX33:FX229),ROW(FX33:FX229),"")))</f>
        <v>11</v>
      </c>
      <c r="FZ33" s="12">
        <f>IF('Données projet'!$A$244&gt;35,FZ32+FY33-GH32,IF(A33&lt;'Données projet'!$A$244,$FW$205^A33,IF(A33='Données projet'!$A$244,'Données projet'!$B$244,FZ32+FY33-GH32)))</f>
        <v>169</v>
      </c>
      <c r="GA33" s="17">
        <f>FZ33*VLOOKUP('Données projet'!$B$17,Paramètres!$A$1:$I$89,3,0)*VLOOKUP('Données projet'!$B$17,Paramètres!$A$1:$I$89,5,0)</f>
        <v>147.63840000000002</v>
      </c>
      <c r="GB33" s="13">
        <f t="shared" si="49"/>
        <v>38.04140887895133</v>
      </c>
      <c r="GC33" s="20">
        <f t="shared" si="25"/>
        <v>323.39233379750692</v>
      </c>
      <c r="GD33" s="59">
        <f t="shared" si="26"/>
        <v>616.72566713084029</v>
      </c>
      <c r="GE33" s="59">
        <f ca="1">AVERAGE(OFFSET($GD$3,0,0,'Données projet'!$E$17+1,1))-AVERAGE(OFFSET($H$3,0,0,'Données projet'!$E$17+1,1))</f>
        <v>319.57811113658374</v>
      </c>
      <c r="GF33" s="59">
        <f t="shared" si="50"/>
        <v>322.03572137403245</v>
      </c>
      <c r="GG33" s="15">
        <f>IF(ISNA(VLOOKUP(A33,'Données projet'!$A$243:$I$263,3,0)),0,VLOOKUP(A33,'Données projet'!$A$243:$I$263,3,0))</f>
        <v>3</v>
      </c>
      <c r="GH33" s="15" t="str">
        <f>IF(ISNA(VLOOKUP(A33,'Données projet'!$A$243:$I$263,4,0)),0,VLOOKUP(A33,'Données projet'!$A$243:$I$263,4,0))</f>
        <v>32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0.215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6.6181227171247512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6.6181227171247512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21.615384603333336</v>
      </c>
      <c r="N34" s="13">
        <f>IF('Données projet'!$A$36&gt;35,N33+M34-V33,IF(A34&lt;'Données projet'!$A$36,$K$205^A34,IF(A34='Données projet'!$A$36,'Données projet'!$B$36,N33+M34-V33)))</f>
        <v>234.56923078333335</v>
      </c>
      <c r="O34" s="13">
        <f>N34*VLOOKUP('Données projet'!$B$9,Paramètres!$A$1:$I$89,3,0)*VLOOKUP('Données projet'!$B$9,Paramètres!$A$1:$I$89,5,0)</f>
        <v>112.82780000678333</v>
      </c>
      <c r="P34" s="13">
        <f t="shared" si="33"/>
        <v>29.996248897259452</v>
      </c>
      <c r="Q34" s="20">
        <f t="shared" si="2"/>
        <v>248.75188517454123</v>
      </c>
      <c r="R34" s="59">
        <f t="shared" si="0"/>
        <v>542.08521850787452</v>
      </c>
      <c r="S34" s="59">
        <f ca="1">AVERAGE(OFFSET($R$3,0,0,'Données projet'!$E$9+1,1))-AVERAGE(OFFSET($H$3,0,0,'Données projet'!$E$9+1,1))</f>
        <v>226.41956082453015</v>
      </c>
      <c r="T34" s="59">
        <f t="shared" si="34"/>
        <v>317.95076157570446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7.9818376100000004</v>
      </c>
      <c r="AI34" s="13">
        <f>IF('Données projet'!$A$62&gt;35,AI33+AH34-AQ33,IF(A34&lt;'Données projet'!$A$62,$AF$205^A34,IF(A34='Données projet'!$A$62,'Données projet'!$B$62,AI33+AH34-AQ33)))</f>
        <v>105.26388889</v>
      </c>
      <c r="AJ34" s="13">
        <f>AI34*VLOOKUP('Données projet'!$B$10,Paramètres!$A$1:$I$89,3,0)*VLOOKUP('Données projet'!$B$10,Paramètres!$A$1:$I$89,5,0)</f>
        <v>90.316416667620004</v>
      </c>
      <c r="AK34" s="13">
        <f t="shared" si="35"/>
        <v>24.641521480552143</v>
      </c>
      <c r="AL34" s="20">
        <f t="shared" si="4"/>
        <v>200.21840894139982</v>
      </c>
      <c r="AM34" s="59">
        <f t="shared" si="5"/>
        <v>493.5517422747331</v>
      </c>
      <c r="AN34" s="59">
        <f ca="1">AVERAGE(OFFSET($AM$3,0,0,'Données projet'!$E$10+1,1))-AVERAGE(OFFSET($H$3,0,0,'Données projet'!$E$10+1,1))</f>
        <v>257.80662231827404</v>
      </c>
      <c r="AO34" s="59">
        <f t="shared" si="36"/>
        <v>184.04558520039876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22.884615378333326</v>
      </c>
      <c r="BD34" s="12">
        <f>IF('Données projet'!$A$88&gt;35,BD33+BC34-BL33,IF(A34&lt;'Données projet'!$A$88,$BA$205^A34,IF(A34='Données projet'!$A$88,'Données projet'!$B$88,BD33+BC34-BL33)))</f>
        <v>289.08461540833326</v>
      </c>
      <c r="BE34" s="13">
        <f>BD34*VLOOKUP('Données projet'!$B$11,Paramètres!$A$1:$I$89,3,0)*VLOOKUP('Données projet'!$B$11,Paramètres!$A$1:$I$89,5,0)</f>
        <v>161.5983000132583</v>
      </c>
      <c r="BF34" s="13">
        <f t="shared" si="37"/>
        <v>41.20280762242669</v>
      </c>
      <c r="BG34" s="20">
        <f t="shared" si="7"/>
        <v>353.21192913215128</v>
      </c>
      <c r="BH34" s="59">
        <f t="shared" si="8"/>
        <v>646.5452624654846</v>
      </c>
      <c r="BI34" s="59">
        <f ca="1">AVERAGE(OFFSET($BH$3,0,0,'Données projet'!$E$11+1,1))-AVERAGE(OFFSET($H$3,0,0,'Données projet'!$E$11+1,1))</f>
        <v>300.90952915835157</v>
      </c>
      <c r="BJ34" s="59">
        <f t="shared" si="38"/>
        <v>402.81783992925256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28.983761183718617</v>
      </c>
      <c r="BQ34" s="21">
        <f>EXP(-LN(2)/25)*BQ33+(1-EXP(-LN(2)/25))/(LN(2)/25)*Calculateur!BL34*Calculateur!BN34*VLOOKUP('Données projet'!$B$11,Paramètres!$A$1:$I$89,3,0)*0.475*44/12</f>
        <v>17.829810207984423</v>
      </c>
      <c r="BR34" s="21">
        <f>EXP(-LN(2)/2)*BR33+(1-EXP(-LN(2)/2))/(LN(2)/2)*BL34*BO34*VLOOKUP('Données projet'!$B$11,Paramètres!$A$1:$I$89,3,0)*0.475*44/12</f>
        <v>4.3440885063443764</v>
      </c>
      <c r="BS34" s="22">
        <f t="shared" si="9"/>
        <v>51.157659898047413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13.410256406666665</v>
      </c>
      <c r="BY34" s="12">
        <f>IF('Données projet'!$A$114&gt;35,BY33+BX34-CG33,IF(A34&lt;'Données projet'!$A$114,$BV$205^A34,IF(A34='Données projet'!$A$114,'Données projet'!$B$114,BY33+BX34-CG33)))</f>
        <v>155.77948720666666</v>
      </c>
      <c r="BZ34" s="13">
        <f>BY34*VLOOKUP('Données projet'!$B$12,Paramètres!$A$1:$I$89,3,0)*VLOOKUP('Données projet'!$B$12,Paramètres!$A$1:$I$89,5,0)</f>
        <v>76.955066680093324</v>
      </c>
      <c r="CA34" s="13">
        <f t="shared" si="39"/>
        <v>21.391009048198224</v>
      </c>
      <c r="CB34" s="20">
        <f t="shared" si="10"/>
        <v>171.28608189344109</v>
      </c>
      <c r="CC34" s="59">
        <f t="shared" si="11"/>
        <v>464.61941522677444</v>
      </c>
      <c r="CD34" s="59">
        <f ca="1">AVERAGE(OFFSET($CC$3,0,0,'Données projet'!$E$12+1,1))-AVERAGE(OFFSET($H$3,0,0,'Données projet'!$E$12+1,1))</f>
        <v>246.05217890269194</v>
      </c>
      <c r="CE34" s="59">
        <f t="shared" si="40"/>
        <v>155.54297071424327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12.97179486666667</v>
      </c>
      <c r="CT34" s="12">
        <f>IF('Données projet'!$A$140&gt;35,CT33+CS34-DB33,IF(A34&lt;'Données projet'!$A$140,$CQ$205^A34,IF(A34='Données projet'!$A$140,'Données projet'!$B$140,CT33+CS34-DB33)))</f>
        <v>157.95641026666667</v>
      </c>
      <c r="CU34" s="17">
        <f>CT34*VLOOKUP('Données projet'!$B$13,Paramètres!$A$1:$I$89,3,0)*VLOOKUP('Données projet'!$B$13,Paramètres!$A$1:$I$89,5,0)</f>
        <v>94.457933339466678</v>
      </c>
      <c r="CV34" s="13">
        <f t="shared" si="41"/>
        <v>25.637327418886827</v>
      </c>
      <c r="CW34" s="20">
        <f t="shared" si="13"/>
        <v>209.16591248746568</v>
      </c>
      <c r="CX34" s="59">
        <f t="shared" si="14"/>
        <v>502.49924582079899</v>
      </c>
      <c r="CY34" s="59">
        <f ca="1">AVERAGE(OFFSET($CX$3,0,0,'Données projet'!$E$13+1,1))-AVERAGE(OFFSET($H$3,0,0,'Données projet'!$E$13+1,1))</f>
        <v>237.036496933921</v>
      </c>
      <c r="CZ34" s="59">
        <f t="shared" si="42"/>
        <v>191.04289413665344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7.9981896128217596</v>
      </c>
      <c r="DG34" s="21">
        <f>EXP(-LN(2)/25)*DG33+(1-EXP(-LN(2)/25))/(LN(2)/25)*Calculateur!DB34*Calculateur!DD34*VLOOKUP('Données projet'!$B$13,Paramètres!$A$1:$I$89,3,0)*0.475*44/12</f>
        <v>10.057879486404346</v>
      </c>
      <c r="DH34" s="21">
        <f>EXP(-LN(2)/2)*DH33+(1-EXP(-LN(2)/2))/(LN(2)/2)*DB34*DE34*VLOOKUP('Données projet'!$B$13,Paramètres!$A$1:$I$89,3,0)*0.475*44/12</f>
        <v>1.4568431237035202</v>
      </c>
      <c r="DI34" s="22">
        <f t="shared" si="15"/>
        <v>19.512912222929629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7.4779487166666678</v>
      </c>
      <c r="DO34" s="12">
        <f>IF('Données projet'!$A$166&gt;35,DO33+DN34-DW33,IF(A34&lt;'Données projet'!$A$166,$DL$205^A34,IF(A34='Données projet'!$A$166,'Données projet'!$B$166,DO33+DN34-DW33)))</f>
        <v>84.831794866666669</v>
      </c>
      <c r="DP34" s="17">
        <f>DO34*VLOOKUP('Données projet'!$B$14,Paramètres!$A$1:$I$89,3,0)*VLOOKUP('Données projet'!$B$14,Paramètres!$A$1:$I$89,5,0)</f>
        <v>50.729413330266667</v>
      </c>
      <c r="DQ34" s="13">
        <f t="shared" si="43"/>
        <v>14.80197476175538</v>
      </c>
      <c r="DR34" s="20">
        <f t="shared" si="16"/>
        <v>114.13383426027171</v>
      </c>
      <c r="DS34" s="59">
        <f t="shared" si="17"/>
        <v>407.46716759360504</v>
      </c>
      <c r="DT34" s="59">
        <f ca="1">AVERAGE(OFFSET($DS$3,0,0,'Données projet'!$E$14+1,1))-AVERAGE(OFFSET($H$3,0,0,'Données projet'!$E$14+1,1))</f>
        <v>148.22129593028302</v>
      </c>
      <c r="DU34" s="59">
        <f t="shared" si="44"/>
        <v>102.97015482019975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113.49935999999994</v>
      </c>
      <c r="EL34" s="13">
        <f t="shared" si="45"/>
        <v>30.153952354272999</v>
      </c>
      <c r="EM34" s="20">
        <f t="shared" si="19"/>
        <v>250.19618568369199</v>
      </c>
      <c r="EN34" s="59">
        <f t="shared" si="20"/>
        <v>543.52951901702534</v>
      </c>
      <c r="EO34" s="59">
        <f ca="1">AVERAGE(OFFSET($EN$3,0,0,'Données projet'!$E$15+1,1))-AVERAGE(OFFSET($H$3,0,0,'Données projet'!$E$15+1,1))</f>
        <v>278.53123771916404</v>
      </c>
      <c r="EP34" s="59">
        <f t="shared" si="46"/>
        <v>283.79094702030869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2.7168111852571317</v>
      </c>
      <c r="EW34" s="21">
        <f>EXP(-LN(2)/25)*EW33+(1-EXP(-LN(2)/25))/(LN(2)/25)*Calculateur!ER34*Calculateur!ET34*VLOOKUP('Données projet'!$B$15,Paramètres!$A$1:$I$89,3,0)*0.475*44/12</f>
        <v>7.7168430564711414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10.433654241728274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5.4791666666666652</v>
      </c>
      <c r="FE34" s="12">
        <f>IF('Données projet'!$A$218&gt;35,FE33+FD34-FM33,IF(A34&lt;'Données projet'!$A$218,$FB$205^A34,IF(A34='Données projet'!$A$218,'Données projet'!$B$218,FE33+FD34-FM33)))</f>
        <v>80.825320512820525</v>
      </c>
      <c r="FF34" s="17">
        <f>FE34*VLOOKUP('Données projet'!$B$16,Paramètres!$A$1:$I$89,3,0)*VLOOKUP('Données projet'!$B$16,Paramètres!$A$1:$I$89,5,0)</f>
        <v>73.130750000000006</v>
      </c>
      <c r="FG34" s="13">
        <f t="shared" si="47"/>
        <v>20.448942280216116</v>
      </c>
      <c r="FH34" s="20">
        <f t="shared" si="22"/>
        <v>162.98463072137639</v>
      </c>
      <c r="FI34" s="59">
        <f t="shared" si="23"/>
        <v>456.31796405470971</v>
      </c>
      <c r="FJ34" s="59">
        <f ca="1">AVERAGE(OFFSET($FI$3,0,0,'Données projet'!$E$16+1,1))-AVERAGE(OFFSET($H$3,0,0,'Données projet'!$E$16+1,1))</f>
        <v>335.99493768537013</v>
      </c>
      <c r="FK34" s="59">
        <f t="shared" si="48"/>
        <v>150.85164849522778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10.4</v>
      </c>
      <c r="FZ34" s="12">
        <f>IF('Données projet'!$A$244&gt;35,FZ33+FY34-GH33,IF(A34&lt;'Données projet'!$A$244,$FW$205^A34,IF(A34='Données projet'!$A$244,'Données projet'!$B$244,FZ33+FY34-GH33)))</f>
        <v>147.4</v>
      </c>
      <c r="GA34" s="17">
        <f>FZ34*VLOOKUP('Données projet'!$B$17,Paramètres!$A$1:$I$89,3,0)*VLOOKUP('Données projet'!$B$17,Paramètres!$A$1:$I$89,5,0)</f>
        <v>128.76864000000003</v>
      </c>
      <c r="GB34" s="13">
        <f t="shared" si="49"/>
        <v>33.711670780700224</v>
      </c>
      <c r="GC34" s="20">
        <f t="shared" si="25"/>
        <v>282.98654127638628</v>
      </c>
      <c r="GD34" s="59">
        <f t="shared" si="26"/>
        <v>576.31987460971959</v>
      </c>
      <c r="GE34" s="59">
        <f ca="1">AVERAGE(OFFSET($GD$3,0,0,'Données projet'!$E$17+1,1))-AVERAGE(OFFSET($H$3,0,0,'Données projet'!$E$17+1,1))</f>
        <v>319.57811113658374</v>
      </c>
      <c r="GF34" s="59">
        <f t="shared" si="50"/>
        <v>322.03572137403245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6.4371498033930274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6.4371498033930274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21.615384603333336</v>
      </c>
      <c r="N35" s="13">
        <f>IF('Données projet'!$A$36&gt;35,N34+M35-V34,IF(A35&lt;'Données projet'!$A$36,$K$205^A35,IF(A35='Données projet'!$A$36,'Données projet'!$B$36,N34+M35-V34)))</f>
        <v>256.18461538666668</v>
      </c>
      <c r="O35" s="13">
        <f>N35*VLOOKUP('Données projet'!$B$9,Paramètres!$A$1:$I$89,3,0)*VLOOKUP('Données projet'!$B$9,Paramètres!$A$1:$I$89,5,0)</f>
        <v>123.22480000098668</v>
      </c>
      <c r="P35" s="13">
        <f t="shared" si="33"/>
        <v>32.425966181750994</v>
      </c>
      <c r="Q35" s="20">
        <f t="shared" ref="Q35:Q66" si="53">(O35+P35)*0.475*44/12</f>
        <v>271.0917511016014</v>
      </c>
      <c r="R35" s="59">
        <f t="shared" si="0"/>
        <v>564.42508443493466</v>
      </c>
      <c r="S35" s="59">
        <f ca="1">AVERAGE(OFFSET($R$3,0,0,'Données projet'!$E$9+1,1))-AVERAGE(OFFSET($H$3,0,0,'Données projet'!$E$9+1,1))</f>
        <v>226.41956082453015</v>
      </c>
      <c r="T35" s="59">
        <f t="shared" si="34"/>
        <v>317.95076157570446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7.9818376100000004</v>
      </c>
      <c r="AI35" s="13">
        <f>IF('Données projet'!$A$62&gt;35,AI34+AH35-AQ34,IF(A35&lt;'Données projet'!$A$62,$AF$205^A35,IF(A35='Données projet'!$A$62,'Données projet'!$B$62,AI34+AH35-AQ34)))</f>
        <v>113.2457265</v>
      </c>
      <c r="AJ35" s="13">
        <f>AI35*VLOOKUP('Données projet'!$B$10,Paramètres!$A$1:$I$89,3,0)*VLOOKUP('Données projet'!$B$10,Paramètres!$A$1:$I$89,5,0)</f>
        <v>97.164833337000019</v>
      </c>
      <c r="AK35" s="13">
        <f t="shared" si="35"/>
        <v>26.285431728254956</v>
      </c>
      <c r="AL35" s="20">
        <f t="shared" si="4"/>
        <v>215.00921165531906</v>
      </c>
      <c r="AM35" s="59">
        <f t="shared" si="5"/>
        <v>508.34254498865238</v>
      </c>
      <c r="AN35" s="59">
        <f ca="1">AVERAGE(OFFSET($AM$3,0,0,'Données projet'!$E$10+1,1))-AVERAGE(OFFSET($H$3,0,0,'Données projet'!$E$10+1,1))</f>
        <v>257.80662231827404</v>
      </c>
      <c r="AO35" s="59">
        <f t="shared" si="36"/>
        <v>184.04558520039876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22.884615378333326</v>
      </c>
      <c r="BD35" s="12">
        <f>IF('Données projet'!$A$88&gt;35,BD34+BC35-BL34,IF(A35&lt;'Données projet'!$A$88,$BA$205^A35,IF(A35='Données projet'!$A$88,'Données projet'!$B$88,BD34+BC35-BL34)))</f>
        <v>311.96923078666657</v>
      </c>
      <c r="BE35" s="13">
        <f>BD35*VLOOKUP('Données projet'!$B$11,Paramètres!$A$1:$I$89,3,0)*VLOOKUP('Données projet'!$B$11,Paramètres!$A$1:$I$89,5,0)</f>
        <v>174.39080000974661</v>
      </c>
      <c r="BF35" s="13">
        <f t="shared" si="37"/>
        <v>44.071952501959998</v>
      </c>
      <c r="BG35" s="20">
        <f t="shared" si="7"/>
        <v>380.489293957889</v>
      </c>
      <c r="BH35" s="59">
        <f t="shared" si="8"/>
        <v>673.82262729122226</v>
      </c>
      <c r="BI35" s="59">
        <f ca="1">AVERAGE(OFFSET($BH$3,0,0,'Données projet'!$E$11+1,1))-AVERAGE(OFFSET($H$3,0,0,'Données projet'!$E$11+1,1))</f>
        <v>300.90952915835157</v>
      </c>
      <c r="BJ35" s="59">
        <f t="shared" si="38"/>
        <v>402.81783992925256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28.415407305254625</v>
      </c>
      <c r="BQ35" s="21">
        <f>EXP(-LN(2)/25)*BQ34+(1-EXP(-LN(2)/25))/(LN(2)/25)*Calculateur!BL35*Calculateur!BN35*VLOOKUP('Données projet'!$B$11,Paramètres!$A$1:$I$89,3,0)*0.475*44/12</f>
        <v>17.34225311021812</v>
      </c>
      <c r="BR35" s="21">
        <f>EXP(-LN(2)/2)*BR34+(1-EXP(-LN(2)/2))/(LN(2)/2)*BL35*BO35*VLOOKUP('Données projet'!$B$11,Paramètres!$A$1:$I$89,3,0)*0.475*44/12</f>
        <v>3.0717344409106491</v>
      </c>
      <c r="BS35" s="22">
        <f t="shared" si="9"/>
        <v>48.829394856383388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13.410256406666665</v>
      </c>
      <c r="BY35" s="12">
        <f>IF('Données projet'!$A$114&gt;35,BY34+BX35-CG34,IF(A35&lt;'Données projet'!$A$114,$BV$205^A35,IF(A35='Données projet'!$A$114,'Données projet'!$B$114,BY34+BX35-CG34)))</f>
        <v>169.18974361333332</v>
      </c>
      <c r="BZ35" s="13">
        <f>BY35*VLOOKUP('Données projet'!$B$12,Paramètres!$A$1:$I$89,3,0)*VLOOKUP('Données projet'!$B$12,Paramètres!$A$1:$I$89,5,0)</f>
        <v>83.579733344986664</v>
      </c>
      <c r="CA35" s="13">
        <f t="shared" si="39"/>
        <v>23.010205213272702</v>
      </c>
      <c r="CB35" s="20">
        <f t="shared" si="10"/>
        <v>185.64414298896838</v>
      </c>
      <c r="CC35" s="59">
        <f t="shared" si="11"/>
        <v>478.9774763223017</v>
      </c>
      <c r="CD35" s="59">
        <f ca="1">AVERAGE(OFFSET($CC$3,0,0,'Données projet'!$E$12+1,1))-AVERAGE(OFFSET($H$3,0,0,'Données projet'!$E$12+1,1))</f>
        <v>246.05217890269194</v>
      </c>
      <c r="CE35" s="59">
        <f t="shared" si="40"/>
        <v>155.54297071424327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12.97179486666667</v>
      </c>
      <c r="CT35" s="12">
        <f>IF('Données projet'!$A$140&gt;35,CT34+CS35-DB34,IF(A35&lt;'Données projet'!$A$140,$CQ$205^A35,IF(A35='Données projet'!$A$140,'Données projet'!$B$140,CT34+CS35-DB34)))</f>
        <v>170.92820513333334</v>
      </c>
      <c r="CU35" s="17">
        <f>CT35*VLOOKUP('Données projet'!$B$13,Paramètres!$A$1:$I$89,3,0)*VLOOKUP('Données projet'!$B$13,Paramètres!$A$1:$I$89,5,0)</f>
        <v>102.21506666973335</v>
      </c>
      <c r="CV35" s="13">
        <f t="shared" si="41"/>
        <v>27.489031874233913</v>
      </c>
      <c r="CW35" s="20">
        <f t="shared" si="13"/>
        <v>225.9013049640763</v>
      </c>
      <c r="CX35" s="59">
        <f t="shared" si="14"/>
        <v>519.23463829740967</v>
      </c>
      <c r="CY35" s="59">
        <f ca="1">AVERAGE(OFFSET($CX$3,0,0,'Données projet'!$E$13+1,1))-AVERAGE(OFFSET($H$3,0,0,'Données projet'!$E$13+1,1))</f>
        <v>237.036496933921</v>
      </c>
      <c r="CZ35" s="59">
        <f t="shared" si="42"/>
        <v>191.04289413665344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7.8413499929282855</v>
      </c>
      <c r="DG35" s="21">
        <f>EXP(-LN(2)/25)*DG34+(1-EXP(-LN(2)/25))/(LN(2)/25)*Calculateur!DB35*Calculateur!DD35*VLOOKUP('Données projet'!$B$13,Paramètres!$A$1:$I$89,3,0)*0.475*44/12</f>
        <v>9.7828462429277252</v>
      </c>
      <c r="DH35" s="21">
        <f>EXP(-LN(2)/2)*DH34+(1-EXP(-LN(2)/2))/(LN(2)/2)*DB35*DE35*VLOOKUP('Données projet'!$B$13,Paramètres!$A$1:$I$89,3,0)*0.475*44/12</f>
        <v>1.0301436518957514</v>
      </c>
      <c r="DI35" s="22">
        <f t="shared" si="15"/>
        <v>18.654339887751764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7.4779487166666678</v>
      </c>
      <c r="DO35" s="12">
        <f>IF('Données projet'!$A$166&gt;35,DO34+DN35-DW34,IF(A35&lt;'Données projet'!$A$166,$DL$205^A35,IF(A35='Données projet'!$A$166,'Données projet'!$B$166,DO34+DN35-DW34)))</f>
        <v>92.309743583333344</v>
      </c>
      <c r="DP35" s="17">
        <f>DO35*VLOOKUP('Données projet'!$B$14,Paramètres!$A$1:$I$89,3,0)*VLOOKUP('Données projet'!$B$14,Paramètres!$A$1:$I$89,5,0)</f>
        <v>55.201226662833349</v>
      </c>
      <c r="DQ35" s="13">
        <f t="shared" si="43"/>
        <v>15.949165383316183</v>
      </c>
      <c r="DR35" s="20">
        <f t="shared" si="16"/>
        <v>123.92026614704378</v>
      </c>
      <c r="DS35" s="59">
        <f t="shared" si="17"/>
        <v>417.25359948037709</v>
      </c>
      <c r="DT35" s="59">
        <f ca="1">AVERAGE(OFFSET($DS$3,0,0,'Données projet'!$E$14+1,1))-AVERAGE(OFFSET($H$3,0,0,'Données projet'!$E$14+1,1))</f>
        <v>148.22129593028302</v>
      </c>
      <c r="DU35" s="59">
        <f t="shared" si="44"/>
        <v>102.97015482019975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122.88431999999995</v>
      </c>
      <c r="EL35" s="13">
        <f t="shared" si="45"/>
        <v>32.346786815026803</v>
      </c>
      <c r="EM35" s="20">
        <f t="shared" si="19"/>
        <v>270.36084436950489</v>
      </c>
      <c r="EN35" s="59">
        <f t="shared" si="20"/>
        <v>563.69417770283826</v>
      </c>
      <c r="EO35" s="59">
        <f ca="1">AVERAGE(OFFSET($EN$3,0,0,'Données projet'!$E$15+1,1))-AVERAGE(OFFSET($H$3,0,0,'Données projet'!$E$15+1,1))</f>
        <v>278.53123771916404</v>
      </c>
      <c r="EP35" s="59">
        <f t="shared" si="46"/>
        <v>283.79094702030869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2.6635361750054383</v>
      </c>
      <c r="EW35" s="21">
        <f>EXP(-LN(2)/25)*EW34+(1-EXP(-LN(2)/25))/(LN(2)/25)*Calculateur!ER35*Calculateur!ET35*VLOOKUP('Données projet'!$B$15,Paramètres!$A$1:$I$89,3,0)*0.475*44/12</f>
        <v>7.5058255772807989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10.169361752286237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5.4791666666666652</v>
      </c>
      <c r="FE35" s="12">
        <f>IF('Données projet'!$A$218&gt;35,FE34+FD35-FM34,IF(A35&lt;'Données projet'!$A$218,$FB$205^A35,IF(A35='Données projet'!$A$218,'Données projet'!$B$218,FE34+FD35-FM34)))</f>
        <v>86.304487179487197</v>
      </c>
      <c r="FF35" s="17">
        <f>FE35*VLOOKUP('Données projet'!$B$16,Paramètres!$A$1:$I$89,3,0)*VLOOKUP('Données projet'!$B$16,Paramètres!$A$1:$I$89,5,0)</f>
        <v>78.088300000000004</v>
      </c>
      <c r="FG35" s="13">
        <f t="shared" si="47"/>
        <v>21.669107614619822</v>
      </c>
      <c r="FH35" s="20">
        <f t="shared" si="22"/>
        <v>173.74415159546285</v>
      </c>
      <c r="FI35" s="59">
        <f t="shared" si="23"/>
        <v>467.07748492879614</v>
      </c>
      <c r="FJ35" s="59">
        <f ca="1">AVERAGE(OFFSET($FI$3,0,0,'Données projet'!$E$16+1,1))-AVERAGE(OFFSET($H$3,0,0,'Données projet'!$E$16+1,1))</f>
        <v>335.99493768537013</v>
      </c>
      <c r="FK35" s="59">
        <f t="shared" si="48"/>
        <v>150.85164849522778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10.4</v>
      </c>
      <c r="FZ35" s="12">
        <f>IF('Données projet'!$A$244&gt;35,FZ34+FY35-GH34,IF(A35&lt;'Données projet'!$A$244,$FW$205^A35,IF(A35='Données projet'!$A$244,'Données projet'!$B$244,FZ34+FY35-GH34)))</f>
        <v>157.80000000000001</v>
      </c>
      <c r="GA35" s="17">
        <f>FZ35*VLOOKUP('Données projet'!$B$17,Paramètres!$A$1:$I$89,3,0)*VLOOKUP('Données projet'!$B$17,Paramètres!$A$1:$I$89,5,0)</f>
        <v>137.85408000000001</v>
      </c>
      <c r="GB35" s="13">
        <f t="shared" si="49"/>
        <v>35.804964283629964</v>
      </c>
      <c r="GC35" s="20">
        <f t="shared" si="25"/>
        <v>302.45616879398887</v>
      </c>
      <c r="GD35" s="59">
        <f t="shared" si="26"/>
        <v>595.78950212732218</v>
      </c>
      <c r="GE35" s="59">
        <f ca="1">AVERAGE(OFFSET($GD$3,0,0,'Données projet'!$E$17+1,1))-AVERAGE(OFFSET($H$3,0,0,'Données projet'!$E$17+1,1))</f>
        <v>319.57811113658374</v>
      </c>
      <c r="GF35" s="59">
        <f t="shared" si="50"/>
        <v>322.03572137403245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6.2611256035042491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6.2611256035042491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21.615384603333336</v>
      </c>
      <c r="N36" s="13">
        <f>IF('Données projet'!$A$36&gt;35,N35+M36-V35,IF(A36&lt;'Données projet'!$A$36,$K$205^A36,IF(A36='Données projet'!$A$36,'Données projet'!$B$36,N35+M36-V35)))</f>
        <v>277.79999999</v>
      </c>
      <c r="O36" s="13">
        <f>N36*VLOOKUP('Données projet'!$B$9,Paramètres!$A$1:$I$89,3,0)*VLOOKUP('Données projet'!$B$9,Paramètres!$A$1:$I$89,5,0)</f>
        <v>133.62179999519</v>
      </c>
      <c r="P36" s="13">
        <f t="shared" si="33"/>
        <v>34.831907857771441</v>
      </c>
      <c r="Q36" s="20">
        <f t="shared" si="53"/>
        <v>293.39020784390783</v>
      </c>
      <c r="R36" s="59">
        <f t="shared" si="0"/>
        <v>586.72354117724115</v>
      </c>
      <c r="S36" s="59">
        <f ca="1">AVERAGE(OFFSET($R$3,0,0,'Données projet'!$E$9+1,1))-AVERAGE(OFFSET($H$3,0,0,'Données projet'!$E$9+1,1))</f>
        <v>226.41956082453015</v>
      </c>
      <c r="T36" s="59">
        <f t="shared" si="34"/>
        <v>317.95076157570446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7.9818376100000004</v>
      </c>
      <c r="AI36" s="13">
        <f>IF('Données projet'!$A$62&gt;35,AI35+AH36-AQ35,IF(A36&lt;'Données projet'!$A$62,$AF$205^A36,IF(A36='Données projet'!$A$62,'Données projet'!$B$62,AI35+AH36-AQ35)))</f>
        <v>121.22756411</v>
      </c>
      <c r="AJ36" s="13">
        <f>AI36*VLOOKUP('Données projet'!$B$10,Paramètres!$A$1:$I$89,3,0)*VLOOKUP('Données projet'!$B$10,Paramètres!$A$1:$I$89,5,0)</f>
        <v>104.01325000638002</v>
      </c>
      <c r="AK36" s="13">
        <f t="shared" si="35"/>
        <v>27.915898504545574</v>
      </c>
      <c r="AL36" s="20">
        <f t="shared" si="4"/>
        <v>229.77660032319537</v>
      </c>
      <c r="AM36" s="59">
        <f t="shared" si="5"/>
        <v>523.10993365652871</v>
      </c>
      <c r="AN36" s="59">
        <f ca="1">AVERAGE(OFFSET($AM$3,0,0,'Données projet'!$E$10+1,1))-AVERAGE(OFFSET($H$3,0,0,'Données projet'!$E$10+1,1))</f>
        <v>257.80662231827404</v>
      </c>
      <c r="AO36" s="59">
        <f t="shared" si="36"/>
        <v>184.04558520039876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22.884615378333326</v>
      </c>
      <c r="BD36" s="12">
        <f>IF('Données projet'!$A$88&gt;35,BD35+BC36-BL35,IF(A36&lt;'Données projet'!$A$88,$BA$205^A36,IF(A36='Données projet'!$A$88,'Données projet'!$B$88,BD35+BC36-BL35)))</f>
        <v>334.85384616499988</v>
      </c>
      <c r="BE36" s="13">
        <f>BD36*VLOOKUP('Données projet'!$B$11,Paramètres!$A$1:$I$89,3,0)*VLOOKUP('Données projet'!$B$11,Paramètres!$A$1:$I$89,5,0)</f>
        <v>187.18330000623493</v>
      </c>
      <c r="BF36" s="13">
        <f t="shared" si="37"/>
        <v>46.916680193823986</v>
      </c>
      <c r="BG36" s="20">
        <f t="shared" si="7"/>
        <v>407.72413218176933</v>
      </c>
      <c r="BH36" s="59">
        <f t="shared" si="8"/>
        <v>701.05746551510265</v>
      </c>
      <c r="BI36" s="59">
        <f ca="1">AVERAGE(OFFSET($BH$3,0,0,'Données projet'!$E$11+1,1))-AVERAGE(OFFSET($H$3,0,0,'Données projet'!$E$11+1,1))</f>
        <v>300.90952915835157</v>
      </c>
      <c r="BJ36" s="59">
        <f t="shared" si="38"/>
        <v>402.81783992925256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27.858198499685678</v>
      </c>
      <c r="BQ36" s="21">
        <f>EXP(-LN(2)/25)*BQ35+(1-EXP(-LN(2)/25))/(LN(2)/25)*Calculateur!BL36*Calculateur!BN36*VLOOKUP('Données projet'!$B$11,Paramètres!$A$1:$I$89,3,0)*0.475*44/12</f>
        <v>16.86802828692975</v>
      </c>
      <c r="BR36" s="21">
        <f>EXP(-LN(2)/2)*BR35+(1-EXP(-LN(2)/2))/(LN(2)/2)*BL36*BO36*VLOOKUP('Données projet'!$B$11,Paramètres!$A$1:$I$89,3,0)*0.475*44/12</f>
        <v>2.1720442531721882</v>
      </c>
      <c r="BS36" s="22">
        <f t="shared" si="9"/>
        <v>46.898271039787616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13.410256406666665</v>
      </c>
      <c r="BY36" s="12">
        <f>IF('Données projet'!$A$114&gt;35,BY35+BX36-CG35,IF(A36&lt;'Données projet'!$A$114,$BV$205^A36,IF(A36='Données projet'!$A$114,'Données projet'!$B$114,BY35+BX36-CG35)))</f>
        <v>182.60000001999998</v>
      </c>
      <c r="BZ36" s="13">
        <f>BY36*VLOOKUP('Données projet'!$B$12,Paramètres!$A$1:$I$89,3,0)*VLOOKUP('Données projet'!$B$12,Paramètres!$A$1:$I$89,5,0)</f>
        <v>90.204400009880004</v>
      </c>
      <c r="CA36" s="13">
        <f t="shared" si="39"/>
        <v>24.614514843923615</v>
      </c>
      <c r="CB36" s="20">
        <f t="shared" si="10"/>
        <v>199.97627670370795</v>
      </c>
      <c r="CC36" s="59">
        <f t="shared" si="11"/>
        <v>493.30961003704124</v>
      </c>
      <c r="CD36" s="59">
        <f ca="1">AVERAGE(OFFSET($CC$3,0,0,'Données projet'!$E$12+1,1))-AVERAGE(OFFSET($H$3,0,0,'Données projet'!$E$12+1,1))</f>
        <v>246.05217890269194</v>
      </c>
      <c r="CE36" s="59">
        <f t="shared" si="40"/>
        <v>155.54297071424327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>
        <f>VLOOKUP(A36,'Données projet'!$A$139:$I$159,2,0)</f>
        <v>183.9</v>
      </c>
      <c r="CR36" s="12">
        <f>VLOOKUP(A36,'Données projet'!$A$139:$I$159,9,0)</f>
        <v>12.97179486666667</v>
      </c>
      <c r="CS36" s="12">
        <f t="array" ref="CS36">INDEX(CR:CR,MIN(IF(ISNUMBER(CR36:CR232),ROW(CR36:CR232),"")))</f>
        <v>12.97179486666667</v>
      </c>
      <c r="CT36" s="12">
        <f>IF('Données projet'!$A$140&gt;35,CT35+CS36-DB35,IF(A36&lt;'Données projet'!$A$140,$CQ$205^A36,IF(A36='Données projet'!$A$140,'Données projet'!$B$140,CT35+CS36-DB35)))</f>
        <v>183.9</v>
      </c>
      <c r="CU36" s="17">
        <f>CT36*VLOOKUP('Données projet'!$B$13,Paramètres!$A$1:$I$89,3,0)*VLOOKUP('Données projet'!$B$13,Paramètres!$A$1:$I$89,5,0)</f>
        <v>109.97220000000002</v>
      </c>
      <c r="CV36" s="13">
        <f t="shared" si="41"/>
        <v>29.324434579377328</v>
      </c>
      <c r="CW36" s="20">
        <f t="shared" si="13"/>
        <v>242.60830522574886</v>
      </c>
      <c r="CX36" s="59">
        <f t="shared" si="14"/>
        <v>535.94163855908221</v>
      </c>
      <c r="CY36" s="59">
        <f ca="1">AVERAGE(OFFSET($CX$3,0,0,'Données projet'!$E$13+1,1))-AVERAGE(OFFSET($H$3,0,0,'Données projet'!$E$13+1,1))</f>
        <v>237.036496933921</v>
      </c>
      <c r="CZ36" s="59">
        <f t="shared" si="42"/>
        <v>191.04289413665344</v>
      </c>
      <c r="DA36" s="15">
        <f>IF(ISNA(VLOOKUP(A36,'Données projet'!$A$139:$I$159,3,0)),0,VLOOKUP(A36,'Données projet'!$A$139:$I$159,3,0))</f>
        <v>3</v>
      </c>
      <c r="DB36" s="15">
        <f>IF(ISNA(VLOOKUP(A36,'Données projet'!$A$139:$I$159,4,0)),0,VLOOKUP(A36,'Données projet'!$A$139:$I$159,4,0))</f>
        <v>43.007692310000003</v>
      </c>
      <c r="DC36" s="16">
        <f>IF(ISNA(VLOOKUP(A36,'Données projet'!$A$139:$I$159,5,0)),0%,VLOOKUP(A36,'Données projet'!$A$139:$I$159,5,0)*VLOOKUP('Données projet'!$B$13,Paramètres!$A$1:$I$89,7,0))</f>
        <v>0.315</v>
      </c>
      <c r="DD36" s="16">
        <f>IF(ISNA(VLOOKUP(A36,'Données projet'!$A$139:$I$159,6,0)),0%,VLOOKUP(A36,'Données projet'!$A$139:$I$159,6,0)*VLOOKUP('Données projet'!$B$13,Paramètres!$A$1:$I$89,7,0))</f>
        <v>7.6500000000000012E-2</v>
      </c>
      <c r="DE36" s="16">
        <f>IF(ISNA(VLOOKUP(A36,'Données projet'!$A$139:$I$159,7,0)),0%,VLOOKUP(A36,'Données projet'!$A$139:$I$159,7,0))</f>
        <v>0.13</v>
      </c>
      <c r="DF36" s="21">
        <f>EXP(-LN(2)/35)*DF35+(1-EXP(-LN(2)/35))/(LN(2)/35)*DB36*DC36*VLOOKUP('Données projet'!$B$13,Paramètres!$A$1:$I$89,3,0)*0.475*44/12</f>
        <v>18.434560793050078</v>
      </c>
      <c r="DG36" s="21">
        <f>EXP(-LN(2)/25)*DG35+(1-EXP(-LN(2)/25))/(LN(2)/25)*Calculateur!DB36*Calculateur!DD36*VLOOKUP('Données projet'!$B$13,Paramètres!$A$1:$I$89,3,0)*0.475*44/12</f>
        <v>12.115036930048285</v>
      </c>
      <c r="DH36" s="21">
        <f>EXP(-LN(2)/2)*DH35+(1-EXP(-LN(2)/2))/(LN(2)/2)*DB36*DE36*VLOOKUP('Données projet'!$B$13,Paramètres!$A$1:$I$89,3,0)*0.475*44/12</f>
        <v>4.5139474057862241</v>
      </c>
      <c r="DI36" s="22">
        <f t="shared" si="15"/>
        <v>35.063545128884591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7.4779487166666678</v>
      </c>
      <c r="DO36" s="12">
        <f>IF('Données projet'!$A$166&gt;35,DO35+DN36-DW35,IF(A36&lt;'Données projet'!$A$166,$DL$205^A36,IF(A36='Données projet'!$A$166,'Données projet'!$B$166,DO35+DN36-DW35)))</f>
        <v>99.787692300000018</v>
      </c>
      <c r="DP36" s="17">
        <f>DO36*VLOOKUP('Données projet'!$B$14,Paramètres!$A$1:$I$89,3,0)*VLOOKUP('Données projet'!$B$14,Paramètres!$A$1:$I$89,5,0)</f>
        <v>59.673039995400018</v>
      </c>
      <c r="DQ36" s="13">
        <f t="shared" si="43"/>
        <v>17.08557699410613</v>
      </c>
      <c r="DR36" s="20">
        <f t="shared" si="16"/>
        <v>133.68792459005655</v>
      </c>
      <c r="DS36" s="59">
        <f t="shared" si="17"/>
        <v>427.02125792338984</v>
      </c>
      <c r="DT36" s="59">
        <f ca="1">AVERAGE(OFFSET($DS$3,0,0,'Données projet'!$E$14+1,1))-AVERAGE(OFFSET($H$3,0,0,'Données projet'!$E$14+1,1))</f>
        <v>148.22129593028302</v>
      </c>
      <c r="DU36" s="59">
        <f t="shared" si="44"/>
        <v>102.97015482019975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132.26927999999995</v>
      </c>
      <c r="EL36" s="13">
        <f t="shared" si="45"/>
        <v>34.520194019648734</v>
      </c>
      <c r="EM36" s="20">
        <f t="shared" si="19"/>
        <v>290.4916672508881</v>
      </c>
      <c r="EN36" s="59">
        <f t="shared" si="20"/>
        <v>583.82500058422147</v>
      </c>
      <c r="EO36" s="59">
        <f ca="1">AVERAGE(OFFSET($EN$3,0,0,'Données projet'!$E$15+1,1))-AVERAGE(OFFSET($H$3,0,0,'Données projet'!$E$15+1,1))</f>
        <v>278.53123771916404</v>
      </c>
      <c r="EP36" s="59">
        <f t="shared" si="46"/>
        <v>283.79094702030869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2.6113058552102326</v>
      </c>
      <c r="EW36" s="21">
        <f>EXP(-LN(2)/25)*EW35+(1-EXP(-LN(2)/25))/(LN(2)/25)*Calculateur!ER36*Calculateur!ET36*VLOOKUP('Données projet'!$B$15,Paramètres!$A$1:$I$89,3,0)*0.475*44/12</f>
        <v>7.3005783821558428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9.9118842373660758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5.4791666666666652</v>
      </c>
      <c r="FE36" s="12">
        <f>IF('Données projet'!$A$218&gt;35,FE35+FD36-FM35,IF(A36&lt;'Données projet'!$A$218,$FB$205^A36,IF(A36='Données projet'!$A$218,'Données projet'!$B$218,FE35+FD36-FM35)))</f>
        <v>91.783653846153868</v>
      </c>
      <c r="FF36" s="17">
        <f>FE36*VLOOKUP('Données projet'!$B$16,Paramètres!$A$1:$I$89,3,0)*VLOOKUP('Données projet'!$B$16,Paramètres!$A$1:$I$89,5,0)</f>
        <v>83.045850000000016</v>
      </c>
      <c r="FG36" s="13">
        <f t="shared" si="47"/>
        <v>22.880283002768671</v>
      </c>
      <c r="FH36" s="20">
        <f t="shared" si="22"/>
        <v>184.48801497982217</v>
      </c>
      <c r="FI36" s="59">
        <f t="shared" si="23"/>
        <v>477.82134831315545</v>
      </c>
      <c r="FJ36" s="59">
        <f ca="1">AVERAGE(OFFSET($FI$3,0,0,'Données projet'!$E$16+1,1))-AVERAGE(OFFSET($H$3,0,0,'Données projet'!$E$16+1,1))</f>
        <v>335.99493768537013</v>
      </c>
      <c r="FK36" s="59">
        <f t="shared" si="48"/>
        <v>150.85164849522778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10.4</v>
      </c>
      <c r="FZ36" s="12">
        <f>IF('Données projet'!$A$244&gt;35,FZ35+FY36-GH35,IF(A36&lt;'Données projet'!$A$244,$FW$205^A36,IF(A36='Données projet'!$A$244,'Données projet'!$B$244,FZ35+FY36-GH35)))</f>
        <v>168.20000000000002</v>
      </c>
      <c r="GA36" s="17">
        <f>FZ36*VLOOKUP('Données projet'!$B$17,Paramètres!$A$1:$I$89,3,0)*VLOOKUP('Données projet'!$B$17,Paramètres!$A$1:$I$89,5,0)</f>
        <v>146.93952000000004</v>
      </c>
      <c r="GB36" s="13">
        <f t="shared" si="49"/>
        <v>37.882248330654257</v>
      </c>
      <c r="GC36" s="20">
        <f t="shared" si="25"/>
        <v>321.89791317588953</v>
      </c>
      <c r="GD36" s="59">
        <f t="shared" si="26"/>
        <v>615.23124650922284</v>
      </c>
      <c r="GE36" s="59">
        <f ca="1">AVERAGE(OFFSET($GD$3,0,0,'Données projet'!$E$17+1,1))-AVERAGE(OFFSET($H$3,0,0,'Données projet'!$E$17+1,1))</f>
        <v>319.57811113658374</v>
      </c>
      <c r="GF36" s="59">
        <f t="shared" si="50"/>
        <v>322.03572137403245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6.0899147946181396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6.0899147946181396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21.615384603333336</v>
      </c>
      <c r="N37" s="13">
        <f>IF('Données projet'!$A$36&gt;35,N36+M37-V36,IF(A37&lt;'Données projet'!$A$36,$K$205^A37,IF(A37='Données projet'!$A$36,'Données projet'!$B$36,N36+M37-V36)))</f>
        <v>299.41538459333333</v>
      </c>
      <c r="O37" s="13">
        <f>N37*VLOOKUP('Données projet'!$B$9,Paramètres!$A$1:$I$89,3,0)*VLOOKUP('Données projet'!$B$9,Paramètres!$A$1:$I$89,5,0)</f>
        <v>144.01879998939333</v>
      </c>
      <c r="P37" s="13">
        <f t="shared" si="33"/>
        <v>37.216134218376375</v>
      </c>
      <c r="Q37" s="20">
        <f t="shared" si="53"/>
        <v>315.65084374519887</v>
      </c>
      <c r="R37" s="59">
        <f t="shared" si="0"/>
        <v>608.98417707853218</v>
      </c>
      <c r="S37" s="59">
        <f ca="1">AVERAGE(OFFSET($R$3,0,0,'Données projet'!$E$9+1,1))-AVERAGE(OFFSET($H$3,0,0,'Données projet'!$E$9+1,1))</f>
        <v>226.41956082453015</v>
      </c>
      <c r="T37" s="59">
        <f t="shared" si="34"/>
        <v>317.95076157570446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7.9818376100000004</v>
      </c>
      <c r="AI37" s="13">
        <f>IF('Données projet'!$A$62&gt;35,AI36+AH37-AQ36,IF(A37&lt;'Données projet'!$A$62,$AF$205^A37,IF(A37='Données projet'!$A$62,'Données projet'!$B$62,AI36+AH37-AQ36)))</f>
        <v>129.20940172000002</v>
      </c>
      <c r="AJ37" s="13">
        <f>AI37*VLOOKUP('Données projet'!$B$10,Paramètres!$A$1:$I$89,3,0)*VLOOKUP('Données projet'!$B$10,Paramètres!$A$1:$I$89,5,0)</f>
        <v>110.86166667576002</v>
      </c>
      <c r="AK37" s="13">
        <f t="shared" si="35"/>
        <v>29.533907676091189</v>
      </c>
      <c r="AL37" s="20">
        <f t="shared" si="4"/>
        <v>244.52229199614086</v>
      </c>
      <c r="AM37" s="59">
        <f t="shared" si="5"/>
        <v>537.85562532947415</v>
      </c>
      <c r="AN37" s="59">
        <f ca="1">AVERAGE(OFFSET($AM$3,0,0,'Données projet'!$E$10+1,1))-AVERAGE(OFFSET($H$3,0,0,'Données projet'!$E$10+1,1))</f>
        <v>257.80662231827404</v>
      </c>
      <c r="AO37" s="59">
        <f t="shared" si="36"/>
        <v>184.04558520039876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22.884615378333326</v>
      </c>
      <c r="BD37" s="12">
        <f>IF('Données projet'!$A$88&gt;35,BD36+BC37-BL36,IF(A37&lt;'Données projet'!$A$88,$BA$205^A37,IF(A37='Données projet'!$A$88,'Données projet'!$B$88,BD36+BC37-BL36)))</f>
        <v>357.73846154333319</v>
      </c>
      <c r="BE37" s="13">
        <f>BD37*VLOOKUP('Données projet'!$B$11,Paramètres!$A$1:$I$89,3,0)*VLOOKUP('Données projet'!$B$11,Paramètres!$A$1:$I$89,5,0)</f>
        <v>199.97580000272325</v>
      </c>
      <c r="BF37" s="13">
        <f t="shared" si="37"/>
        <v>49.738849260987713</v>
      </c>
      <c r="BG37" s="20">
        <f t="shared" si="7"/>
        <v>434.91968080096325</v>
      </c>
      <c r="BH37" s="59">
        <f t="shared" si="8"/>
        <v>728.25301413429656</v>
      </c>
      <c r="BI37" s="59">
        <f ca="1">AVERAGE(OFFSET($BH$3,0,0,'Données projet'!$E$11+1,1))-AVERAGE(OFFSET($H$3,0,0,'Données projet'!$E$11+1,1))</f>
        <v>300.90952915835157</v>
      </c>
      <c r="BJ37" s="59">
        <f t="shared" si="38"/>
        <v>402.81783992925256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27.311916218930122</v>
      </c>
      <c r="BQ37" s="21">
        <f>EXP(-LN(2)/25)*BQ36+(1-EXP(-LN(2)/25))/(LN(2)/25)*Calculateur!BL37*Calculateur!BN37*VLOOKUP('Données projet'!$B$11,Paramètres!$A$1:$I$89,3,0)*0.475*44/12</f>
        <v>16.4067711663726</v>
      </c>
      <c r="BR37" s="21">
        <f>EXP(-LN(2)/2)*BR36+(1-EXP(-LN(2)/2))/(LN(2)/2)*BL37*BO37*VLOOKUP('Données projet'!$B$11,Paramètres!$A$1:$I$89,3,0)*0.475*44/12</f>
        <v>1.5358672204553245</v>
      </c>
      <c r="BS37" s="22">
        <f t="shared" si="9"/>
        <v>45.254554605758045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13.410256406666665</v>
      </c>
      <c r="BY37" s="12">
        <f>IF('Données projet'!$A$114&gt;35,BY36+BX37-CG36,IF(A37&lt;'Données projet'!$A$114,$BV$205^A37,IF(A37='Données projet'!$A$114,'Données projet'!$B$114,BY36+BX37-CG36)))</f>
        <v>196.01025642666664</v>
      </c>
      <c r="BZ37" s="13">
        <f>BY37*VLOOKUP('Données projet'!$B$12,Paramètres!$A$1:$I$89,3,0)*VLOOKUP('Données projet'!$B$12,Paramètres!$A$1:$I$89,5,0)</f>
        <v>96.82906667477333</v>
      </c>
      <c r="CA37" s="13">
        <f t="shared" si="39"/>
        <v>26.205155541727141</v>
      </c>
      <c r="CB37" s="20">
        <f t="shared" si="10"/>
        <v>214.28460369373829</v>
      </c>
      <c r="CC37" s="59">
        <f t="shared" si="11"/>
        <v>507.6179370270716</v>
      </c>
      <c r="CD37" s="59">
        <f ca="1">AVERAGE(OFFSET($CC$3,0,0,'Données projet'!$E$12+1,1))-AVERAGE(OFFSET($H$3,0,0,'Données projet'!$E$12+1,1))</f>
        <v>246.05217890269194</v>
      </c>
      <c r="CE37" s="59">
        <f t="shared" si="40"/>
        <v>155.54297071424327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12.740384613749999</v>
      </c>
      <c r="CT37" s="12">
        <f>IF('Données projet'!$A$140&gt;35,CT36+CS37-DB36,IF(A37&lt;'Données projet'!$A$140,$CQ$205^A37,IF(A37='Données projet'!$A$140,'Données projet'!$B$140,CT36+CS37-DB36)))</f>
        <v>153.63269230374999</v>
      </c>
      <c r="CU37" s="17">
        <f>CT37*VLOOKUP('Données projet'!$B$13,Paramètres!$A$1:$I$89,3,0)*VLOOKUP('Données projet'!$B$13,Paramètres!$A$1:$I$89,5,0)</f>
        <v>91.872349997642502</v>
      </c>
      <c r="CV37" s="13">
        <f t="shared" si="41"/>
        <v>25.016248164471897</v>
      </c>
      <c r="CW37" s="20">
        <f t="shared" si="13"/>
        <v>203.58097513234921</v>
      </c>
      <c r="CX37" s="59">
        <f t="shared" si="14"/>
        <v>496.91430846568255</v>
      </c>
      <c r="CY37" s="59">
        <f ca="1">AVERAGE(OFFSET($CX$3,0,0,'Données projet'!$E$13+1,1))-AVERAGE(OFFSET($H$3,0,0,'Données projet'!$E$13+1,1))</f>
        <v>237.036496933921</v>
      </c>
      <c r="CZ37" s="59">
        <f t="shared" si="42"/>
        <v>191.04289413665344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18.073070299870199</v>
      </c>
      <c r="DG37" s="21">
        <f>EXP(-LN(2)/25)*DG36+(1-EXP(-LN(2)/25))/(LN(2)/25)*Calculateur!DB37*Calculateur!DD37*VLOOKUP('Données projet'!$B$13,Paramètres!$A$1:$I$89,3,0)*0.475*44/12</f>
        <v>11.783750608094012</v>
      </c>
      <c r="DH37" s="21">
        <f>EXP(-LN(2)/2)*DH36+(1-EXP(-LN(2)/2))/(LN(2)/2)*DB37*DE37*VLOOKUP('Données projet'!$B$13,Paramètres!$A$1:$I$89,3,0)*0.475*44/12</f>
        <v>3.1918428205508635</v>
      </c>
      <c r="DI37" s="22">
        <f t="shared" si="15"/>
        <v>33.048663728515074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7.4779487166666678</v>
      </c>
      <c r="DO37" s="12">
        <f>IF('Données projet'!$A$166&gt;35,DO36+DN37-DW36,IF(A37&lt;'Données projet'!$A$166,$DL$205^A37,IF(A37='Données projet'!$A$166,'Données projet'!$B$166,DO36+DN37-DW36)))</f>
        <v>107.26564101666669</v>
      </c>
      <c r="DP37" s="17">
        <f>DO37*VLOOKUP('Données projet'!$B$14,Paramètres!$A$1:$I$89,3,0)*VLOOKUP('Données projet'!$B$14,Paramètres!$A$1:$I$89,5,0)</f>
        <v>64.144853327966686</v>
      </c>
      <c r="DQ37" s="13">
        <f t="shared" si="43"/>
        <v>18.212109207739761</v>
      </c>
      <c r="DR37" s="20">
        <f t="shared" si="16"/>
        <v>143.43837641635537</v>
      </c>
      <c r="DS37" s="59">
        <f t="shared" si="17"/>
        <v>436.77170974968868</v>
      </c>
      <c r="DT37" s="59">
        <f ca="1">AVERAGE(OFFSET($DS$3,0,0,'Données projet'!$E$14+1,1))-AVERAGE(OFFSET($H$3,0,0,'Données projet'!$E$14+1,1))</f>
        <v>148.22129593028302</v>
      </c>
      <c r="DU37" s="59">
        <f t="shared" si="44"/>
        <v>102.97015482019975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141.65423999999996</v>
      </c>
      <c r="EL37" s="13">
        <f t="shared" si="45"/>
        <v>36.675709178601934</v>
      </c>
      <c r="EM37" s="20">
        <f t="shared" si="19"/>
        <v>310.59132815273165</v>
      </c>
      <c r="EN37" s="59">
        <f t="shared" si="20"/>
        <v>603.92466148606491</v>
      </c>
      <c r="EO37" s="59">
        <f ca="1">AVERAGE(OFFSET($EN$3,0,0,'Données projet'!$E$15+1,1))-AVERAGE(OFFSET($H$3,0,0,'Données projet'!$E$15+1,1))</f>
        <v>278.53123771916404</v>
      </c>
      <c r="EP37" s="59">
        <f t="shared" si="46"/>
        <v>283.79094702030869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2.5600997401288619</v>
      </c>
      <c r="EW37" s="21">
        <f>EXP(-LN(2)/25)*EW36+(1-EXP(-LN(2)/25))/(LN(2)/25)*Calculateur!ER37*Calculateur!ET37*VLOOKUP('Données projet'!$B$15,Paramètres!$A$1:$I$89,3,0)*0.475*44/12</f>
        <v>7.1009436823750596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9.661043422503921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5.4791666666666652</v>
      </c>
      <c r="FE37" s="12">
        <f>IF('Données projet'!$A$218&gt;35,FE36+FD37-FM36,IF(A37&lt;'Données projet'!$A$218,$FB$205^A37,IF(A37='Données projet'!$A$218,'Données projet'!$B$218,FE36+FD37-FM36)))</f>
        <v>97.262820512820539</v>
      </c>
      <c r="FF37" s="17">
        <f>FE37*VLOOKUP('Données projet'!$B$16,Paramètres!$A$1:$I$89,3,0)*VLOOKUP('Données projet'!$B$16,Paramètres!$A$1:$I$89,5,0)</f>
        <v>88.003400000000013</v>
      </c>
      <c r="FG37" s="13">
        <f t="shared" si="47"/>
        <v>24.083066235714515</v>
      </c>
      <c r="FH37" s="20">
        <f t="shared" si="22"/>
        <v>195.21726202720279</v>
      </c>
      <c r="FI37" s="59">
        <f t="shared" si="23"/>
        <v>488.55059536053614</v>
      </c>
      <c r="FJ37" s="59">
        <f ca="1">AVERAGE(OFFSET($FI$3,0,0,'Données projet'!$E$16+1,1))-AVERAGE(OFFSET($H$3,0,0,'Données projet'!$E$16+1,1))</f>
        <v>335.99493768537013</v>
      </c>
      <c r="FK37" s="59">
        <f t="shared" si="48"/>
        <v>150.85164849522778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10.4</v>
      </c>
      <c r="FZ37" s="12">
        <f>IF('Données projet'!$A$244&gt;35,FZ36+FY37-GH36,IF(A37&lt;'Données projet'!$A$244,$FW$205^A37,IF(A37='Données projet'!$A$244,'Données projet'!$B$244,FZ36+FY37-GH36)))</f>
        <v>178.60000000000002</v>
      </c>
      <c r="GA37" s="17">
        <f>FZ37*VLOOKUP('Données projet'!$B$17,Paramètres!$A$1:$I$89,3,0)*VLOOKUP('Données projet'!$B$17,Paramètres!$A$1:$I$89,5,0)</f>
        <v>156.02496000000005</v>
      </c>
      <c r="GB37" s="13">
        <f t="shared" si="49"/>
        <v>39.944625507905997</v>
      </c>
      <c r="GC37" s="20">
        <f t="shared" si="25"/>
        <v>341.31369475960304</v>
      </c>
      <c r="GD37" s="59">
        <f t="shared" si="26"/>
        <v>634.64702809293635</v>
      </c>
      <c r="GE37" s="59">
        <f ca="1">AVERAGE(OFFSET($GD$3,0,0,'Données projet'!$E$17+1,1))-AVERAGE(OFFSET($H$3,0,0,'Données projet'!$E$17+1,1))</f>
        <v>319.57811113658374</v>
      </c>
      <c r="GF37" s="59">
        <f t="shared" si="50"/>
        <v>322.03572137403245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5.923385754304606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5.923385754304606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21.615384603333336</v>
      </c>
      <c r="N38" s="13">
        <f>IF('Données projet'!$A$36&gt;35,N37+M38-V37,IF(A38&lt;'Données projet'!$A$36,$K$205^A38,IF(A38='Données projet'!$A$36,'Données projet'!$B$36,N37+M38-V37)))</f>
        <v>321.03076919666665</v>
      </c>
      <c r="O38" s="13">
        <f>N38*VLOOKUP('Données projet'!$B$9,Paramètres!$A$1:$I$89,3,0)*VLOOKUP('Données projet'!$B$9,Paramètres!$A$1:$I$89,5,0)</f>
        <v>154.41579998359666</v>
      </c>
      <c r="P38" s="13">
        <f t="shared" si="33"/>
        <v>39.580391222051908</v>
      </c>
      <c r="Q38" s="20">
        <f t="shared" si="53"/>
        <v>337.87669968317124</v>
      </c>
      <c r="R38" s="59">
        <f t="shared" si="0"/>
        <v>631.21003301650455</v>
      </c>
      <c r="S38" s="59">
        <f ca="1">AVERAGE(OFFSET($R$3,0,0,'Données projet'!$E$9+1,1))-AVERAGE(OFFSET($H$3,0,0,'Données projet'!$E$9+1,1))</f>
        <v>226.41956082453015</v>
      </c>
      <c r="T38" s="59">
        <f t="shared" si="34"/>
        <v>317.95076157570446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7.9818376100000004</v>
      </c>
      <c r="AI38" s="13">
        <f>IF('Données projet'!$A$62&gt;35,AI37+AH38-AQ37,IF(A38&lt;'Données projet'!$A$62,$AF$205^A38,IF(A38='Données projet'!$A$62,'Données projet'!$B$62,AI37+AH38-AQ37)))</f>
        <v>137.19123933000003</v>
      </c>
      <c r="AJ38" s="13">
        <f>AI38*VLOOKUP('Données projet'!$B$10,Paramètres!$A$1:$I$89,3,0)*VLOOKUP('Données projet'!$B$10,Paramètres!$A$1:$I$89,5,0)</f>
        <v>117.71008334514005</v>
      </c>
      <c r="AK38" s="13">
        <f t="shared" si="35"/>
        <v>31.1403164234125</v>
      </c>
      <c r="AL38" s="20">
        <f t="shared" si="4"/>
        <v>259.24777959689567</v>
      </c>
      <c r="AM38" s="59">
        <f t="shared" si="5"/>
        <v>552.58111293022898</v>
      </c>
      <c r="AN38" s="59">
        <f ca="1">AVERAGE(OFFSET($AM$3,0,0,'Données projet'!$E$10+1,1))-AVERAGE(OFFSET($H$3,0,0,'Données projet'!$E$10+1,1))</f>
        <v>257.80662231827404</v>
      </c>
      <c r="AO38" s="59">
        <f t="shared" si="36"/>
        <v>184.04558520039876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22.884615378333326</v>
      </c>
      <c r="BD38" s="12">
        <f>IF('Données projet'!$A$88&gt;35,BD37+BC38-BL37,IF(A38&lt;'Données projet'!$A$88,$BA$205^A38,IF(A38='Données projet'!$A$88,'Données projet'!$B$88,BD37+BC38-BL37)))</f>
        <v>380.6230769216665</v>
      </c>
      <c r="BE38" s="13">
        <f>BD38*VLOOKUP('Données projet'!$B$11,Paramètres!$A$1:$I$89,3,0)*VLOOKUP('Données projet'!$B$11,Paramètres!$A$1:$I$89,5,0)</f>
        <v>212.76829999921156</v>
      </c>
      <c r="BF38" s="13">
        <f t="shared" si="37"/>
        <v>52.5400670373485</v>
      </c>
      <c r="BG38" s="20">
        <f t="shared" si="7"/>
        <v>462.0787392553421</v>
      </c>
      <c r="BH38" s="59">
        <f t="shared" si="8"/>
        <v>755.41207258867541</v>
      </c>
      <c r="BI38" s="59">
        <f ca="1">AVERAGE(OFFSET($BH$3,0,0,'Données projet'!$E$11+1,1))-AVERAGE(OFFSET($H$3,0,0,'Données projet'!$E$11+1,1))</f>
        <v>300.90952915835157</v>
      </c>
      <c r="BJ38" s="59">
        <f t="shared" si="38"/>
        <v>402.81783992925256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26.776346200500893</v>
      </c>
      <c r="BQ38" s="21">
        <f>EXP(-LN(2)/25)*BQ37+(1-EXP(-LN(2)/25))/(LN(2)/25)*Calculateur!BL38*Calculateur!BN38*VLOOKUP('Données projet'!$B$11,Paramètres!$A$1:$I$89,3,0)*0.475*44/12</f>
        <v>15.958127146033544</v>
      </c>
      <c r="BR38" s="21">
        <f>EXP(-LN(2)/2)*BR37+(1-EXP(-LN(2)/2))/(LN(2)/2)*BL38*BO38*VLOOKUP('Données projet'!$B$11,Paramètres!$A$1:$I$89,3,0)*0.475*44/12</f>
        <v>1.0860221265860941</v>
      </c>
      <c r="BS38" s="22">
        <f t="shared" si="9"/>
        <v>43.820495473120531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13.410256406666665</v>
      </c>
      <c r="BY38" s="12">
        <f>IF('Données projet'!$A$114&gt;35,BY37+BX38-CG37,IF(A38&lt;'Données projet'!$A$114,$BV$205^A38,IF(A38='Données projet'!$A$114,'Données projet'!$B$114,BY37+BX38-CG37)))</f>
        <v>209.42051283333331</v>
      </c>
      <c r="BZ38" s="13">
        <f>BY38*VLOOKUP('Données projet'!$B$12,Paramètres!$A$1:$I$89,3,0)*VLOOKUP('Données projet'!$B$12,Paramètres!$A$1:$I$89,5,0)</f>
        <v>103.45373333966666</v>
      </c>
      <c r="CA38" s="13">
        <f t="shared" si="39"/>
        <v>27.783168870501967</v>
      </c>
      <c r="CB38" s="20">
        <f t="shared" si="10"/>
        <v>228.5709380160437</v>
      </c>
      <c r="CC38" s="59">
        <f t="shared" si="11"/>
        <v>521.90427134937704</v>
      </c>
      <c r="CD38" s="59">
        <f ca="1">AVERAGE(OFFSET($CC$3,0,0,'Données projet'!$E$12+1,1))-AVERAGE(OFFSET($H$3,0,0,'Données projet'!$E$12+1,1))</f>
        <v>246.05217890269194</v>
      </c>
      <c r="CE38" s="59">
        <f t="shared" si="40"/>
        <v>155.54297071424327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12.740384613749999</v>
      </c>
      <c r="CT38" s="12">
        <f>IF('Données projet'!$A$140&gt;35,CT37+CS38-DB37,IF(A38&lt;'Données projet'!$A$140,$CQ$205^A38,IF(A38='Données projet'!$A$140,'Données projet'!$B$140,CT37+CS38-DB37)))</f>
        <v>166.37307691749999</v>
      </c>
      <c r="CU38" s="17">
        <f>CT38*VLOOKUP('Données projet'!$B$13,Paramètres!$A$1:$I$89,3,0)*VLOOKUP('Données projet'!$B$13,Paramètres!$A$1:$I$89,5,0)</f>
        <v>99.491099996665</v>
      </c>
      <c r="CV38" s="13">
        <f t="shared" si="41"/>
        <v>26.840723163561655</v>
      </c>
      <c r="CW38" s="20">
        <f t="shared" si="13"/>
        <v>220.02792533739478</v>
      </c>
      <c r="CX38" s="59">
        <f t="shared" si="14"/>
        <v>513.36125867072815</v>
      </c>
      <c r="CY38" s="59">
        <f ca="1">AVERAGE(OFFSET($CX$3,0,0,'Données projet'!$E$13+1,1))-AVERAGE(OFFSET($H$3,0,0,'Données projet'!$E$13+1,1))</f>
        <v>237.036496933921</v>
      </c>
      <c r="CZ38" s="59">
        <f t="shared" si="42"/>
        <v>191.04289413665344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17.71866841477415</v>
      </c>
      <c r="DG38" s="21">
        <f>EXP(-LN(2)/25)*DG37+(1-EXP(-LN(2)/25))/(LN(2)/25)*Calculateur!DB38*Calculateur!DD38*VLOOKUP('Données projet'!$B$13,Paramètres!$A$1:$I$89,3,0)*0.475*44/12</f>
        <v>11.461523328035168</v>
      </c>
      <c r="DH38" s="21">
        <f>EXP(-LN(2)/2)*DH37+(1-EXP(-LN(2)/2))/(LN(2)/2)*DB38*DE38*VLOOKUP('Données projet'!$B$13,Paramètres!$A$1:$I$89,3,0)*0.475*44/12</f>
        <v>2.2569737028931125</v>
      </c>
      <c r="DI38" s="22">
        <f t="shared" si="15"/>
        <v>31.437165445702433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7.4779487166666678</v>
      </c>
      <c r="DO38" s="12">
        <f>IF('Données projet'!$A$166&gt;35,DO37+DN38-DW37,IF(A38&lt;'Données projet'!$A$166,$DL$205^A38,IF(A38='Données projet'!$A$166,'Données projet'!$B$166,DO37+DN38-DW37)))</f>
        <v>114.74358973333337</v>
      </c>
      <c r="DP38" s="17">
        <f>DO38*VLOOKUP('Données projet'!$B$14,Paramètres!$A$1:$I$89,3,0)*VLOOKUP('Données projet'!$B$14,Paramètres!$A$1:$I$89,5,0)</f>
        <v>68.616666660533355</v>
      </c>
      <c r="DQ38" s="13">
        <f t="shared" si="43"/>
        <v>19.32952910291289</v>
      </c>
      <c r="DR38" s="20">
        <f t="shared" si="16"/>
        <v>153.17295762133551</v>
      </c>
      <c r="DS38" s="59">
        <f t="shared" si="17"/>
        <v>446.50629095466883</v>
      </c>
      <c r="DT38" s="59">
        <f ca="1">AVERAGE(OFFSET($DS$3,0,0,'Données projet'!$E$14+1,1))-AVERAGE(OFFSET($H$3,0,0,'Données projet'!$E$14+1,1))</f>
        <v>148.22129593028302</v>
      </c>
      <c r="DU38" s="59">
        <f t="shared" si="44"/>
        <v>102.97015482019975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151.03919999999997</v>
      </c>
      <c r="EL38" s="13">
        <f t="shared" si="45"/>
        <v>38.814652571726079</v>
      </c>
      <c r="EM38" s="20">
        <f t="shared" si="19"/>
        <v>330.66212656242288</v>
      </c>
      <c r="EN38" s="59">
        <f t="shared" si="20"/>
        <v>623.9954598957562</v>
      </c>
      <c r="EO38" s="59">
        <f ca="1">AVERAGE(OFFSET($EN$3,0,0,'Données projet'!$E$15+1,1))-AVERAGE(OFFSET($H$3,0,0,'Données projet'!$E$15+1,1))</f>
        <v>278.53123771916404</v>
      </c>
      <c r="EP38" s="59">
        <f t="shared" si="46"/>
        <v>283.79094702030869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0.2107</v>
      </c>
      <c r="ET38" s="16">
        <f>IF(ISNA(VLOOKUP(A38,'Données projet'!$A$191:$I$211,6,0)),0%,VLOOKUP(A38,'Données projet'!$A$191:$I$211,6,0)*VLOOKUP('Données projet'!$B$15,Paramètres!$A$1:$I$89,7,0))</f>
        <v>0.1462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8.4871577370579505</v>
      </c>
      <c r="EW38" s="21">
        <f>EXP(-LN(2)/25)*EW37+(1-EXP(-LN(2)/25))/(LN(2)/25)*Calculateur!ER38*Calculateur!ET38*VLOOKUP('Données projet'!$B$15,Paramètres!$A$1:$I$89,3,0)*0.475*44/12</f>
        <v>11.037924293788329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19.525082030846278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5.4791666666666652</v>
      </c>
      <c r="FE38" s="12">
        <f>IF('Données projet'!$A$218&gt;35,FE37+FD38-FM37,IF(A38&lt;'Données projet'!$A$218,$FB$205^A38,IF(A38='Données projet'!$A$218,'Données projet'!$B$218,FE37+FD38-FM37)))</f>
        <v>102.74198717948721</v>
      </c>
      <c r="FF38" s="17">
        <f>FE38*VLOOKUP('Données projet'!$B$16,Paramètres!$A$1:$I$89,3,0)*VLOOKUP('Données projet'!$B$16,Paramètres!$A$1:$I$89,5,0)</f>
        <v>92.960950000000025</v>
      </c>
      <c r="FG38" s="13">
        <f t="shared" si="47"/>
        <v>25.277983948995907</v>
      </c>
      <c r="FH38" s="20">
        <f t="shared" si="22"/>
        <v>205.93280996116789</v>
      </c>
      <c r="FI38" s="59">
        <f t="shared" si="23"/>
        <v>499.26614329450121</v>
      </c>
      <c r="FJ38" s="59">
        <f ca="1">AVERAGE(OFFSET($FI$3,0,0,'Données projet'!$E$16+1,1))-AVERAGE(OFFSET($H$3,0,0,'Données projet'!$E$16+1,1))</f>
        <v>335.99493768537013</v>
      </c>
      <c r="FK38" s="59">
        <f t="shared" si="48"/>
        <v>150.85164849522778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189</v>
      </c>
      <c r="FX38" s="12">
        <f>VLOOKUP(A38,'Données projet'!$A$243:$I$263,9,0)</f>
        <v>10.4</v>
      </c>
      <c r="FY38" s="12">
        <f t="array" ref="FY38">INDEX(FX:FX,MIN(IF(ISNUMBER(FX38:FX234),ROW(FX38:FX234),"")))</f>
        <v>10.4</v>
      </c>
      <c r="FZ38" s="12">
        <f>IF('Données projet'!$A$244&gt;35,FZ37+FY38-GH37,IF(A38&lt;'Données projet'!$A$244,$FW$205^A38,IF(A38='Données projet'!$A$244,'Données projet'!$B$244,FZ37+FY38-GH37)))</f>
        <v>189.00000000000003</v>
      </c>
      <c r="GA38" s="17">
        <f>FZ38*VLOOKUP('Données projet'!$B$17,Paramètres!$A$1:$I$89,3,0)*VLOOKUP('Données projet'!$B$17,Paramètres!$A$1:$I$89,5,0)</f>
        <v>165.11040000000006</v>
      </c>
      <c r="GB38" s="13">
        <f t="shared" si="49"/>
        <v>41.993062739333482</v>
      </c>
      <c r="GC38" s="20">
        <f t="shared" si="25"/>
        <v>360.70519760433922</v>
      </c>
      <c r="GD38" s="59">
        <f t="shared" si="26"/>
        <v>654.03853093767248</v>
      </c>
      <c r="GE38" s="59">
        <f ca="1">AVERAGE(OFFSET($GD$3,0,0,'Données projet'!$E$17+1,1))-AVERAGE(OFFSET($H$3,0,0,'Données projet'!$E$17+1,1))</f>
        <v>319.57811113658374</v>
      </c>
      <c r="GF38" s="59">
        <f t="shared" si="50"/>
        <v>322.03572137403245</v>
      </c>
      <c r="GG38" s="15">
        <f>IF(ISNA(VLOOKUP(A38,'Données projet'!$A$243:$I$263,3,0)),0,VLOOKUP(A38,'Données projet'!$A$243:$I$263,3,0))</f>
        <v>4</v>
      </c>
      <c r="GH38" s="15" t="str">
        <f>IF(ISNA(VLOOKUP(A38,'Données projet'!$A$243:$I$263,4,0)),0,VLOOKUP(A38,'Données projet'!$A$243:$I$263,4,0))</f>
        <v>32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0.215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12.379533176480578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12.379533176480578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342.64615379999998</v>
      </c>
      <c r="L39" s="12">
        <f>VLOOKUP(A39,'Données projet'!$A$35:$I$55,9,0)</f>
        <v>21.615384603333336</v>
      </c>
      <c r="M39" s="12">
        <f t="array" ref="M39">INDEX(L:L,MIN(IF(ISNUMBER(L39:L235),ROW(L39:L235),"")))</f>
        <v>21.615384603333336</v>
      </c>
      <c r="N39" s="13">
        <f>IF('Données projet'!$A$36&gt;35,N38+M39-V38,IF(A39&lt;'Données projet'!$A$36,$K$205^A39,IF(A39='Données projet'!$A$36,'Données projet'!$B$36,N38+M39-V38)))</f>
        <v>342.64615379999998</v>
      </c>
      <c r="O39" s="13">
        <f>N39*VLOOKUP('Données projet'!$B$9,Paramètres!$A$1:$I$89,3,0)*VLOOKUP('Données projet'!$B$9,Paramètres!$A$1:$I$89,5,0)</f>
        <v>164.81279997779998</v>
      </c>
      <c r="P39" s="13">
        <f t="shared" si="33"/>
        <v>41.926176408278778</v>
      </c>
      <c r="Q39" s="20">
        <f t="shared" si="53"/>
        <v>360.07038387242051</v>
      </c>
      <c r="R39" s="59">
        <f t="shared" si="0"/>
        <v>653.40371720575376</v>
      </c>
      <c r="S39" s="59">
        <f ca="1">AVERAGE(OFFSET($R$3,0,0,'Données projet'!$E$9+1,1))-AVERAGE(OFFSET($H$3,0,0,'Données projet'!$E$9+1,1))</f>
        <v>226.41956082453015</v>
      </c>
      <c r="T39" s="59">
        <f t="shared" si="34"/>
        <v>317.95076157570446</v>
      </c>
      <c r="U39" s="15">
        <f>IF(ISNA(VLOOKUP(A39,'Données projet'!$A$35:$I$55,3,0)),0,VLOOKUP(A39,'Données projet'!$A$35:$I$55,3,0))</f>
        <v>3</v>
      </c>
      <c r="V39" s="15">
        <f>IF(ISNA(VLOOKUP(A39,'Données projet'!$A$35:$I$55,4,0)),0,VLOOKUP(A39,'Données projet'!$A$35:$I$55,4,0))</f>
        <v>85.407692310000002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7.9818376100000004</v>
      </c>
      <c r="AI39" s="13">
        <f>IF('Données projet'!$A$62&gt;35,AI38+AH39-AQ38,IF(A39&lt;'Données projet'!$A$62,$AF$205^A39,IF(A39='Données projet'!$A$62,'Données projet'!$B$62,AI38+AH39-AQ38)))</f>
        <v>145.17307694000004</v>
      </c>
      <c r="AJ39" s="13">
        <f>AI39*VLOOKUP('Données projet'!$B$10,Paramètres!$A$1:$I$89,3,0)*VLOOKUP('Données projet'!$B$10,Paramètres!$A$1:$I$89,5,0)</f>
        <v>124.55850001452005</v>
      </c>
      <c r="AK39" s="13">
        <f t="shared" si="35"/>
        <v>32.735876550693369</v>
      </c>
      <c r="AL39" s="20">
        <f t="shared" si="4"/>
        <v>273.95437251774672</v>
      </c>
      <c r="AM39" s="59">
        <f t="shared" si="5"/>
        <v>567.28770585108009</v>
      </c>
      <c r="AN39" s="59">
        <f ca="1">AVERAGE(OFFSET($AM$3,0,0,'Données projet'!$E$10+1,1))-AVERAGE(OFFSET($H$3,0,0,'Données projet'!$E$10+1,1))</f>
        <v>257.80662231827404</v>
      </c>
      <c r="AO39" s="59">
        <f t="shared" si="36"/>
        <v>184.04558520039876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403.50769229999997</v>
      </c>
      <c r="BB39" s="12">
        <f>VLOOKUP(A39,'Données projet'!$A$87:$I$107,9,0)</f>
        <v>22.884615378333326</v>
      </c>
      <c r="BC39" s="12">
        <f t="array" ref="BC39">INDEX(BB:BB,MIN(IF(ISNUMBER(BB39:BB235),ROW(BB39:BB235),"")))</f>
        <v>22.884615378333326</v>
      </c>
      <c r="BD39" s="12">
        <f>IF('Données projet'!$A$88&gt;35,BD38+BC39-BL38,IF(A39&lt;'Données projet'!$A$88,$BA$205^A39,IF(A39='Données projet'!$A$88,'Données projet'!$B$88,BD38+BC39-BL38)))</f>
        <v>403.5076922999998</v>
      </c>
      <c r="BE39" s="13">
        <f>BD39*VLOOKUP('Données projet'!$B$11,Paramètres!$A$1:$I$89,3,0)*VLOOKUP('Données projet'!$B$11,Paramètres!$A$1:$I$89,5,0)</f>
        <v>225.56079999569988</v>
      </c>
      <c r="BF39" s="13">
        <f t="shared" si="37"/>
        <v>55.321736657731762</v>
      </c>
      <c r="BG39" s="20">
        <f t="shared" si="7"/>
        <v>489.2037513380601</v>
      </c>
      <c r="BH39" s="59">
        <f t="shared" si="8"/>
        <v>782.53708467139336</v>
      </c>
      <c r="BI39" s="59">
        <f ca="1">AVERAGE(OFFSET($BH$3,0,0,'Données projet'!$E$11+1,1))-AVERAGE(OFFSET($H$3,0,0,'Données projet'!$E$11+1,1))</f>
        <v>300.90952915835157</v>
      </c>
      <c r="BJ39" s="59">
        <f t="shared" si="38"/>
        <v>402.81783992925256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69.3</v>
      </c>
      <c r="BM39" s="16">
        <f>IF(ISNA(VLOOKUP(A39,'Données projet'!$A$87:$I$107,5,0)),0%,VLOOKUP(A39,'Données projet'!$A$87:$I$107,5,0)*VLOOKUP('Données projet'!$B$11,Paramètres!$A$1:$I$89,7,0))</f>
        <v>0.38500000000000001</v>
      </c>
      <c r="BN39" s="16">
        <f>IF(ISNA(VLOOKUP(A39,'Données projet'!$A$87:$I$107,6,0)),0%,VLOOKUP(A39,'Données projet'!$A$87:$I$107,6,0)*VLOOKUP('Données projet'!$B$11,Paramètres!$A$1:$I$89,7,0))</f>
        <v>9.3500000000000014E-2</v>
      </c>
      <c r="BO39" s="16">
        <f>IF(ISNA(VLOOKUP(A39,'Données projet'!$A$87:$I$107,7,0)),0%,VLOOKUP(A39,'Données projet'!$A$87:$I$107,7,0))</f>
        <v>0.13</v>
      </c>
      <c r="BP39" s="21">
        <f>EXP(-LN(2)/35)*BP38+(1-EXP(-LN(2)/35))/(LN(2)/35)*BL39*BM39*VLOOKUP('Données projet'!$B$11,Paramètres!$A$1:$I$89,3,0)*0.475*44/12</f>
        <v>46.036190634392867</v>
      </c>
      <c r="BQ39" s="21">
        <f>EXP(-LN(2)/25)*BQ38+(1-EXP(-LN(2)/25))/(LN(2)/25)*Calculateur!BL39*Calculateur!BN39*VLOOKUP('Données projet'!$B$11,Paramètres!$A$1:$I$89,3,0)*0.475*44/12</f>
        <v>20.307739830263294</v>
      </c>
      <c r="BR39" s="21">
        <f>EXP(-LN(2)/2)*BR38+(1-EXP(-LN(2)/2))/(LN(2)/2)*BL39*BO39*VLOOKUP('Données projet'!$B$11,Paramètres!$A$1:$I$89,3,0)*0.475*44/12</f>
        <v>6.4698905597721676</v>
      </c>
      <c r="BS39" s="22">
        <f t="shared" si="9"/>
        <v>72.813821024428321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13.410256406666665</v>
      </c>
      <c r="BY39" s="12">
        <f>IF('Données projet'!$A$114&gt;35,BY38+BX39-CG38,IF(A39&lt;'Données projet'!$A$114,$BV$205^A39,IF(A39='Données projet'!$A$114,'Données projet'!$B$114,BY38+BX39-CG38)))</f>
        <v>222.83076923999997</v>
      </c>
      <c r="BZ39" s="13">
        <f>BY39*VLOOKUP('Données projet'!$B$12,Paramètres!$A$1:$I$89,3,0)*VLOOKUP('Données projet'!$B$12,Paramètres!$A$1:$I$89,5,0)</f>
        <v>110.07840000456</v>
      </c>
      <c r="CA39" s="13">
        <f t="shared" si="39"/>
        <v>29.34945545911636</v>
      </c>
      <c r="CB39" s="20">
        <f t="shared" si="10"/>
        <v>242.836848265903</v>
      </c>
      <c r="CC39" s="59">
        <f t="shared" si="11"/>
        <v>536.17018159923634</v>
      </c>
      <c r="CD39" s="59">
        <f ca="1">AVERAGE(OFFSET($CC$3,0,0,'Données projet'!$E$12+1,1))-AVERAGE(OFFSET($H$3,0,0,'Données projet'!$E$12+1,1))</f>
        <v>246.05217890269194</v>
      </c>
      <c r="CE39" s="59">
        <f t="shared" si="40"/>
        <v>155.54297071424327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12.740384613749999</v>
      </c>
      <c r="CT39" s="12">
        <f>IF('Données projet'!$A$140&gt;35,CT38+CS39-DB38,IF(A39&lt;'Données projet'!$A$140,$CQ$205^A39,IF(A39='Données projet'!$A$140,'Données projet'!$B$140,CT38+CS39-DB38)))</f>
        <v>179.11346153124998</v>
      </c>
      <c r="CU39" s="17">
        <f>CT39*VLOOKUP('Données projet'!$B$13,Paramètres!$A$1:$I$89,3,0)*VLOOKUP('Données projet'!$B$13,Paramètres!$A$1:$I$89,5,0)</f>
        <v>107.10984999568751</v>
      </c>
      <c r="CV39" s="13">
        <f t="shared" si="41"/>
        <v>28.648991100688143</v>
      </c>
      <c r="CW39" s="20">
        <f t="shared" si="13"/>
        <v>236.44664824285425</v>
      </c>
      <c r="CX39" s="59">
        <f t="shared" si="14"/>
        <v>529.77998157618754</v>
      </c>
      <c r="CY39" s="59">
        <f ca="1">AVERAGE(OFFSET($CX$3,0,0,'Données projet'!$E$13+1,1))-AVERAGE(OFFSET($H$3,0,0,'Données projet'!$E$13+1,1))</f>
        <v>237.036496933921</v>
      </c>
      <c r="CZ39" s="59">
        <f t="shared" si="42"/>
        <v>191.04289413665344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17.371216134481028</v>
      </c>
      <c r="DG39" s="21">
        <f>EXP(-LN(2)/25)*DG38+(1-EXP(-LN(2)/25))/(LN(2)/25)*Calculateur!DB39*Calculateur!DD39*VLOOKUP('Données projet'!$B$13,Paramètres!$A$1:$I$89,3,0)*0.475*44/12</f>
        <v>11.148107369894731</v>
      </c>
      <c r="DH39" s="21">
        <f>EXP(-LN(2)/2)*DH38+(1-EXP(-LN(2)/2))/(LN(2)/2)*DB39*DE39*VLOOKUP('Données projet'!$B$13,Paramètres!$A$1:$I$89,3,0)*0.475*44/12</f>
        <v>1.5959214102754322</v>
      </c>
      <c r="DI39" s="22">
        <f t="shared" si="15"/>
        <v>30.115244914651193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7.4779487166666678</v>
      </c>
      <c r="DO39" s="12">
        <f>IF('Données projet'!$A$166&gt;35,DO38+DN39-DW38,IF(A39&lt;'Données projet'!$A$166,$DL$205^A39,IF(A39='Données projet'!$A$166,'Données projet'!$B$166,DO38+DN39-DW38)))</f>
        <v>122.22153845000004</v>
      </c>
      <c r="DP39" s="17">
        <f>DO39*VLOOKUP('Données projet'!$B$14,Paramètres!$A$1:$I$89,3,0)*VLOOKUP('Données projet'!$B$14,Paramètres!$A$1:$I$89,5,0)</f>
        <v>73.088479993100023</v>
      </c>
      <c r="DQ39" s="13">
        <f t="shared" si="43"/>
        <v>20.438498121569186</v>
      </c>
      <c r="DR39" s="20">
        <f t="shared" si="16"/>
        <v>162.8928202163822</v>
      </c>
      <c r="DS39" s="59">
        <f t="shared" si="17"/>
        <v>456.22615354971549</v>
      </c>
      <c r="DT39" s="59">
        <f ca="1">AVERAGE(OFFSET($DS$3,0,0,'Données projet'!$E$14+1,1))-AVERAGE(OFFSET($H$3,0,0,'Données projet'!$E$14+1,1))</f>
        <v>148.22129593028302</v>
      </c>
      <c r="DU39" s="59">
        <f t="shared" si="44"/>
        <v>102.97015482019975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133.73567999999997</v>
      </c>
      <c r="EL39" s="13">
        <f t="shared" si="45"/>
        <v>34.858136849359212</v>
      </c>
      <c r="EM39" s="20">
        <f t="shared" si="19"/>
        <v>293.6342310126339</v>
      </c>
      <c r="EN39" s="59">
        <f t="shared" si="20"/>
        <v>586.96756434596728</v>
      </c>
      <c r="EO39" s="59">
        <f ca="1">AVERAGE(OFFSET($EN$3,0,0,'Données projet'!$E$15+1,1))-AVERAGE(OFFSET($H$3,0,0,'Données projet'!$E$15+1,1))</f>
        <v>278.53123771916404</v>
      </c>
      <c r="EP39" s="59">
        <f t="shared" si="46"/>
        <v>283.79094702030869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8.3207297504893116</v>
      </c>
      <c r="EW39" s="21">
        <f>EXP(-LN(2)/25)*EW38+(1-EXP(-LN(2)/25))/(LN(2)/25)*Calculateur!ER39*Calculateur!ET39*VLOOKUP('Données projet'!$B$15,Paramètres!$A$1:$I$89,3,0)*0.475*44/12</f>
        <v>10.736091673515476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19.056821424004788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5.4791666666666652</v>
      </c>
      <c r="FE39" s="12">
        <f>IF('Données projet'!$A$218&gt;35,FE38+FD39-FM38,IF(A39&lt;'Données projet'!$A$218,$FB$205^A39,IF(A39='Données projet'!$A$218,'Données projet'!$B$218,FE38+FD39-FM38)))</f>
        <v>108.22115384615388</v>
      </c>
      <c r="FF39" s="17">
        <f>FE39*VLOOKUP('Données projet'!$B$16,Paramètres!$A$1:$I$89,3,0)*VLOOKUP('Données projet'!$B$16,Paramètres!$A$1:$I$89,5,0)</f>
        <v>97.918500000000037</v>
      </c>
      <c r="FG39" s="13">
        <f t="shared" si="47"/>
        <v>26.465503435437213</v>
      </c>
      <c r="FH39" s="20">
        <f t="shared" si="22"/>
        <v>216.6354726500532</v>
      </c>
      <c r="FI39" s="59">
        <f t="shared" si="23"/>
        <v>509.96880598338652</v>
      </c>
      <c r="FJ39" s="59">
        <f ca="1">AVERAGE(OFFSET($FI$3,0,0,'Données projet'!$E$16+1,1))-AVERAGE(OFFSET($H$3,0,0,'Données projet'!$E$16+1,1))</f>
        <v>335.99493768537013</v>
      </c>
      <c r="FK39" s="59">
        <f t="shared" si="48"/>
        <v>150.85164849522778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9.8000000000000007</v>
      </c>
      <c r="FZ39" s="12">
        <f>IF('Données projet'!$A$244&gt;35,FZ38+FY39-GH38,IF(A39&lt;'Données projet'!$A$244,$FW$205^A39,IF(A39='Données projet'!$A$244,'Données projet'!$B$244,FZ38+FY39-GH38)))</f>
        <v>166.80000000000004</v>
      </c>
      <c r="GA39" s="17">
        <f>FZ39*VLOOKUP('Données projet'!$B$17,Paramètres!$A$1:$I$89,3,0)*VLOOKUP('Données projet'!$B$17,Paramètres!$A$1:$I$89,5,0)</f>
        <v>145.71648000000005</v>
      </c>
      <c r="GB39" s="13">
        <f t="shared" si="49"/>
        <v>37.60350500083149</v>
      </c>
      <c r="GC39" s="20">
        <f t="shared" si="25"/>
        <v>319.28230720978155</v>
      </c>
      <c r="GD39" s="59">
        <f t="shared" si="26"/>
        <v>612.61564054311486</v>
      </c>
      <c r="GE39" s="59">
        <f ca="1">AVERAGE(OFFSET($GD$3,0,0,'Données projet'!$E$17+1,1))-AVERAGE(OFFSET($H$3,0,0,'Données projet'!$E$17+1,1))</f>
        <v>319.57811113658374</v>
      </c>
      <c r="GF39" s="59">
        <f t="shared" si="50"/>
        <v>322.03572137403245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12.041014190758361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12.041014190758361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20.323076935000007</v>
      </c>
      <c r="N40" s="13">
        <f>IF('Données projet'!$A$36&gt;35,N39+M40-V39,IF(A40&lt;'Données projet'!$A$36,$K$205^A40,IF(A40='Données projet'!$A$36,'Données projet'!$B$36,N39+M40-V39)))</f>
        <v>277.56153842499998</v>
      </c>
      <c r="O40" s="13">
        <f>N40*VLOOKUP('Données projet'!$B$9,Paramètres!$A$1:$I$89,3,0)*VLOOKUP('Données projet'!$B$9,Paramètres!$A$1:$I$89,5,0)</f>
        <v>133.50709998242499</v>
      </c>
      <c r="P40" s="13">
        <f t="shared" si="33"/>
        <v>34.805487370586647</v>
      </c>
      <c r="Q40" s="20">
        <f t="shared" si="53"/>
        <v>293.14442297316191</v>
      </c>
      <c r="R40" s="59">
        <f t="shared" si="0"/>
        <v>586.47775630649517</v>
      </c>
      <c r="S40" s="59">
        <f ca="1">AVERAGE(OFFSET($R$3,0,0,'Données projet'!$E$9+1,1))-AVERAGE(OFFSET($H$3,0,0,'Données projet'!$E$9+1,1))</f>
        <v>226.41956082453015</v>
      </c>
      <c r="T40" s="59">
        <f t="shared" si="34"/>
        <v>317.95076157570446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7.9818376100000004</v>
      </c>
      <c r="AI40" s="13">
        <f>IF('Données projet'!$A$62&gt;35,AI39+AH40-AQ39,IF(A40&lt;'Données projet'!$A$62,$AF$205^A40,IF(A40='Données projet'!$A$62,'Données projet'!$B$62,AI39+AH40-AQ39)))</f>
        <v>153.15491455000006</v>
      </c>
      <c r="AJ40" s="13">
        <f>AI40*VLOOKUP('Données projet'!$B$10,Paramètres!$A$1:$I$89,3,0)*VLOOKUP('Données projet'!$B$10,Paramètres!$A$1:$I$89,5,0)</f>
        <v>131.40691668390008</v>
      </c>
      <c r="AK40" s="13">
        <f t="shared" si="35"/>
        <v>34.321252522335513</v>
      </c>
      <c r="AL40" s="20">
        <f t="shared" si="4"/>
        <v>288.64322803419367</v>
      </c>
      <c r="AM40" s="59">
        <f t="shared" si="5"/>
        <v>581.97656136752698</v>
      </c>
      <c r="AN40" s="59">
        <f ca="1">AVERAGE(OFFSET($AM$3,0,0,'Données projet'!$E$10+1,1))-AVERAGE(OFFSET($H$3,0,0,'Données projet'!$E$10+1,1))</f>
        <v>257.80662231827404</v>
      </c>
      <c r="AO40" s="59">
        <f t="shared" si="36"/>
        <v>184.04558520039876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22.419230766666676</v>
      </c>
      <c r="BD40" s="12">
        <f>IF('Données projet'!$A$88&gt;35,BD39+BC40-BL39,IF(A40&lt;'Données projet'!$A$88,$BA$205^A40,IF(A40='Données projet'!$A$88,'Données projet'!$B$88,BD39+BC40-BL39)))</f>
        <v>356.62692306666645</v>
      </c>
      <c r="BE40" s="13">
        <f>BD40*VLOOKUP('Données projet'!$B$11,Paramètres!$A$1:$I$89,3,0)*VLOOKUP('Données projet'!$B$11,Paramètres!$A$1:$I$89,5,0)</f>
        <v>199.35444999426656</v>
      </c>
      <c r="BF40" s="13">
        <f t="shared" si="37"/>
        <v>49.602268689472716</v>
      </c>
      <c r="BG40" s="20">
        <f t="shared" si="7"/>
        <v>433.59961837417922</v>
      </c>
      <c r="BH40" s="59">
        <f t="shared" si="8"/>
        <v>726.93295170751253</v>
      </c>
      <c r="BI40" s="59">
        <f ca="1">AVERAGE(OFFSET($BH$3,0,0,'Données projet'!$E$11+1,1))-AVERAGE(OFFSET($H$3,0,0,'Données projet'!$E$11+1,1))</f>
        <v>300.90952915835157</v>
      </c>
      <c r="BJ40" s="59">
        <f t="shared" si="38"/>
        <v>402.81783992925256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45.133449015356106</v>
      </c>
      <c r="BQ40" s="21">
        <f>EXP(-LN(2)/25)*BQ39+(1-EXP(-LN(2)/25))/(LN(2)/25)*Calculateur!BL40*Calculateur!BN40*VLOOKUP('Données projet'!$B$11,Paramètres!$A$1:$I$89,3,0)*0.475*44/12</f>
        <v>19.752423616667119</v>
      </c>
      <c r="BR40" s="21">
        <f>EXP(-LN(2)/2)*BR39+(1-EXP(-LN(2)/2))/(LN(2)/2)*BL40*BO40*VLOOKUP('Données projet'!$B$11,Paramètres!$A$1:$I$89,3,0)*0.475*44/12</f>
        <v>4.5749034883497277</v>
      </c>
      <c r="BS40" s="22">
        <f t="shared" si="9"/>
        <v>69.460776120372955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13.410256406666665</v>
      </c>
      <c r="BY40" s="12">
        <f>IF('Données projet'!$A$114&gt;35,BY39+BX40-CG39,IF(A40&lt;'Données projet'!$A$114,$BV$205^A40,IF(A40='Données projet'!$A$114,'Données projet'!$B$114,BY39+BX40-CG39)))</f>
        <v>236.24102564666663</v>
      </c>
      <c r="BZ40" s="13">
        <f>BY40*VLOOKUP('Données projet'!$B$12,Paramètres!$A$1:$I$89,3,0)*VLOOKUP('Données projet'!$B$12,Paramètres!$A$1:$I$89,5,0)</f>
        <v>116.70306666945332</v>
      </c>
      <c r="CA40" s="13">
        <f t="shared" si="39"/>
        <v>30.904801409640889</v>
      </c>
      <c r="CB40" s="20">
        <f t="shared" si="10"/>
        <v>257.08370357108907</v>
      </c>
      <c r="CC40" s="59">
        <f t="shared" si="11"/>
        <v>550.41703690442239</v>
      </c>
      <c r="CD40" s="59">
        <f ca="1">AVERAGE(OFFSET($CC$3,0,0,'Données projet'!$E$12+1,1))-AVERAGE(OFFSET($H$3,0,0,'Données projet'!$E$12+1,1))</f>
        <v>246.05217890269194</v>
      </c>
      <c r="CE40" s="59">
        <f t="shared" si="40"/>
        <v>155.54297071424327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12.740384613749999</v>
      </c>
      <c r="CT40" s="12">
        <f>IF('Données projet'!$A$140&gt;35,CT39+CS40-DB39,IF(A40&lt;'Données projet'!$A$140,$CQ$205^A40,IF(A40='Données projet'!$A$140,'Données projet'!$B$140,CT39+CS40-DB39)))</f>
        <v>191.85384614499998</v>
      </c>
      <c r="CU40" s="17">
        <f>CT40*VLOOKUP('Données projet'!$B$13,Paramètres!$A$1:$I$89,3,0)*VLOOKUP('Données projet'!$B$13,Paramètres!$A$1:$I$89,5,0)</f>
        <v>114.72859999471</v>
      </c>
      <c r="CV40" s="13">
        <f t="shared" si="41"/>
        <v>30.442335904847354</v>
      </c>
      <c r="CW40" s="20">
        <f t="shared" si="13"/>
        <v>252.83938002506238</v>
      </c>
      <c r="CX40" s="59">
        <f t="shared" si="14"/>
        <v>546.17271335839564</v>
      </c>
      <c r="CY40" s="59">
        <f ca="1">AVERAGE(OFFSET($CX$3,0,0,'Données projet'!$E$13+1,1))-AVERAGE(OFFSET($H$3,0,0,'Données projet'!$E$13+1,1))</f>
        <v>237.036496933921</v>
      </c>
      <c r="CZ40" s="59">
        <f t="shared" si="42"/>
        <v>191.04289413665344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17.030577181479487</v>
      </c>
      <c r="DG40" s="21">
        <f>EXP(-LN(2)/25)*DG39+(1-EXP(-LN(2)/25))/(LN(2)/25)*Calculateur!DB40*Calculateur!DD40*VLOOKUP('Données projet'!$B$13,Paramètres!$A$1:$I$89,3,0)*0.475*44/12</f>
        <v>10.843261787611473</v>
      </c>
      <c r="DH40" s="21">
        <f>EXP(-LN(2)/2)*DH39+(1-EXP(-LN(2)/2))/(LN(2)/2)*DB40*DE40*VLOOKUP('Données projet'!$B$13,Paramètres!$A$1:$I$89,3,0)*0.475*44/12</f>
        <v>1.1284868514465565</v>
      </c>
      <c r="DI40" s="22">
        <f t="shared" si="15"/>
        <v>29.002325820537518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7.4779487166666678</v>
      </c>
      <c r="DO40" s="12">
        <f>IF('Données projet'!$A$166&gt;35,DO39+DN40-DW39,IF(A40&lt;'Données projet'!$A$166,$DL$205^A40,IF(A40='Données projet'!$A$166,'Données projet'!$B$166,DO39+DN40-DW39)))</f>
        <v>129.6994871666667</v>
      </c>
      <c r="DP40" s="17">
        <f>DO40*VLOOKUP('Données projet'!$B$14,Paramètres!$A$1:$I$89,3,0)*VLOOKUP('Données projet'!$B$14,Paramètres!$A$1:$I$89,5,0)</f>
        <v>77.560293325666692</v>
      </c>
      <c r="DQ40" s="13">
        <f t="shared" si="43"/>
        <v>21.539592193249643</v>
      </c>
      <c r="DR40" s="20">
        <f t="shared" si="16"/>
        <v>172.59896727877927</v>
      </c>
      <c r="DS40" s="59">
        <f t="shared" si="17"/>
        <v>465.93230061211261</v>
      </c>
      <c r="DT40" s="59">
        <f ca="1">AVERAGE(OFFSET($DS$3,0,0,'Données projet'!$E$14+1,1))-AVERAGE(OFFSET($H$3,0,0,'Données projet'!$E$14+1,1))</f>
        <v>148.22129593028302</v>
      </c>
      <c r="DU40" s="59">
        <f t="shared" si="44"/>
        <v>102.97015482019975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142.09415999999999</v>
      </c>
      <c r="EL40" s="13">
        <f t="shared" si="45"/>
        <v>36.77633279983236</v>
      </c>
      <c r="EM40" s="20">
        <f t="shared" si="19"/>
        <v>311.53277495970798</v>
      </c>
      <c r="EN40" s="59">
        <f t="shared" si="20"/>
        <v>604.86610829304129</v>
      </c>
      <c r="EO40" s="59">
        <f ca="1">AVERAGE(OFFSET($EN$3,0,0,'Données projet'!$E$15+1,1))-AVERAGE(OFFSET($H$3,0,0,'Données projet'!$E$15+1,1))</f>
        <v>278.53123771916404</v>
      </c>
      <c r="EP40" s="59">
        <f t="shared" si="46"/>
        <v>283.79094702030869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8.1575653152262344</v>
      </c>
      <c r="EW40" s="21">
        <f>EXP(-LN(2)/25)*EW39+(1-EXP(-LN(2)/25))/(LN(2)/25)*Calculateur!ER40*Calculateur!ET40*VLOOKUP('Données projet'!$B$15,Paramètres!$A$1:$I$89,3,0)*0.475*44/12</f>
        <v>10.442512682116671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18.600077997342908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5.4791666666666652</v>
      </c>
      <c r="FE40" s="12">
        <f>IF('Données projet'!$A$218&gt;35,FE39+FD40-FM39,IF(A40&lt;'Données projet'!$A$218,$FB$205^A40,IF(A40='Données projet'!$A$218,'Données projet'!$B$218,FE39+FD40-FM39)))</f>
        <v>113.70032051282055</v>
      </c>
      <c r="FF40" s="17">
        <f>FE40*VLOOKUP('Données projet'!$B$16,Paramètres!$A$1:$I$89,3,0)*VLOOKUP('Données projet'!$B$16,Paramètres!$A$1:$I$89,5,0)</f>
        <v>102.87605000000002</v>
      </c>
      <c r="FG40" s="13">
        <f t="shared" si="47"/>
        <v>27.646041997606424</v>
      </c>
      <c r="FH40" s="20">
        <f t="shared" si="22"/>
        <v>227.32597689583122</v>
      </c>
      <c r="FI40" s="59">
        <f t="shared" si="23"/>
        <v>520.65931022916448</v>
      </c>
      <c r="FJ40" s="59">
        <f ca="1">AVERAGE(OFFSET($FI$3,0,0,'Données projet'!$E$16+1,1))-AVERAGE(OFFSET($H$3,0,0,'Données projet'!$E$16+1,1))</f>
        <v>335.99493768537013</v>
      </c>
      <c r="FK40" s="59">
        <f t="shared" si="48"/>
        <v>150.85164849522778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9.8000000000000007</v>
      </c>
      <c r="FZ40" s="12">
        <f>IF('Données projet'!$A$244&gt;35,FZ39+FY40-GH39,IF(A40&lt;'Données projet'!$A$244,$FW$205^A40,IF(A40='Données projet'!$A$244,'Données projet'!$B$244,FZ39+FY40-GH39)))</f>
        <v>176.60000000000005</v>
      </c>
      <c r="GA40" s="17">
        <f>FZ40*VLOOKUP('Données projet'!$B$17,Paramètres!$A$1:$I$89,3,0)*VLOOKUP('Données projet'!$B$17,Paramètres!$A$1:$I$89,5,0)</f>
        <v>154.27776000000009</v>
      </c>
      <c r="GB40" s="13">
        <f t="shared" si="49"/>
        <v>39.549125277353333</v>
      </c>
      <c r="GC40" s="20">
        <f t="shared" si="25"/>
        <v>337.58182519139058</v>
      </c>
      <c r="GD40" s="59">
        <f t="shared" si="26"/>
        <v>630.91515852472389</v>
      </c>
      <c r="GE40" s="59">
        <f ca="1">AVERAGE(OFFSET($GD$3,0,0,'Données projet'!$E$17+1,1))-AVERAGE(OFFSET($H$3,0,0,'Données projet'!$E$17+1,1))</f>
        <v>319.57811113658374</v>
      </c>
      <c r="GF40" s="59">
        <f t="shared" si="50"/>
        <v>322.03572137403245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11.711752024502657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11.711752024502657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20.323076935000007</v>
      </c>
      <c r="N41" s="13">
        <f>IF('Données projet'!$A$36&gt;35,N40+M41-V40,IF(A41&lt;'Données projet'!$A$36,$K$205^A41,IF(A41='Données projet'!$A$36,'Données projet'!$B$36,N40+M41-V40)))</f>
        <v>297.88461536</v>
      </c>
      <c r="O41" s="13">
        <f>N41*VLOOKUP('Données projet'!$B$9,Paramètres!$A$1:$I$89,3,0)*VLOOKUP('Données projet'!$B$9,Paramètres!$A$1:$I$89,5,0)</f>
        <v>143.28249998816</v>
      </c>
      <c r="P41" s="13">
        <f t="shared" si="33"/>
        <v>37.047962860462015</v>
      </c>
      <c r="Q41" s="20">
        <f t="shared" si="53"/>
        <v>314.07555612801667</v>
      </c>
      <c r="R41" s="59">
        <f t="shared" si="0"/>
        <v>607.40888946134999</v>
      </c>
      <c r="S41" s="59">
        <f ca="1">AVERAGE(OFFSET($R$3,0,0,'Données projet'!$E$9+1,1))-AVERAGE(OFFSET($H$3,0,0,'Données projet'!$E$9+1,1))</f>
        <v>226.41956082453015</v>
      </c>
      <c r="T41" s="59">
        <f t="shared" si="34"/>
        <v>317.95076157570446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7.9818376100000004</v>
      </c>
      <c r="AI41" s="13">
        <f>IF('Données projet'!$A$62&gt;35,AI40+AH41-AQ40,IF(A41&lt;'Données projet'!$A$62,$AF$205^A41,IF(A41='Données projet'!$A$62,'Données projet'!$B$62,AI40+AH41-AQ40)))</f>
        <v>161.13675216000007</v>
      </c>
      <c r="AJ41" s="13">
        <f>AI41*VLOOKUP('Données projet'!$B$10,Paramètres!$A$1:$I$89,3,0)*VLOOKUP('Données projet'!$B$10,Paramètres!$A$1:$I$89,5,0)</f>
        <v>138.25533335328007</v>
      </c>
      <c r="AK41" s="13">
        <f t="shared" si="35"/>
        <v>35.897035632354559</v>
      </c>
      <c r="AL41" s="20">
        <f t="shared" si="4"/>
        <v>303.31537598331357</v>
      </c>
      <c r="AM41" s="59">
        <f t="shared" si="5"/>
        <v>596.64870931664689</v>
      </c>
      <c r="AN41" s="59">
        <f ca="1">AVERAGE(OFFSET($AM$3,0,0,'Données projet'!$E$10+1,1))-AVERAGE(OFFSET($H$3,0,0,'Données projet'!$E$10+1,1))</f>
        <v>257.80662231827404</v>
      </c>
      <c r="AO41" s="59">
        <f t="shared" si="36"/>
        <v>184.04558520039876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22.419230766666676</v>
      </c>
      <c r="BD41" s="12">
        <f>IF('Données projet'!$A$88&gt;35,BD40+BC41-BL40,IF(A41&lt;'Données projet'!$A$88,$BA$205^A41,IF(A41='Données projet'!$A$88,'Données projet'!$B$88,BD40+BC41-BL40)))</f>
        <v>379.04615383333311</v>
      </c>
      <c r="BE41" s="13">
        <f>BD41*VLOOKUP('Données projet'!$B$11,Paramètres!$A$1:$I$89,3,0)*VLOOKUP('Données projet'!$B$11,Paramètres!$A$1:$I$89,5,0)</f>
        <v>211.88679999283323</v>
      </c>
      <c r="BF41" s="13">
        <f t="shared" si="37"/>
        <v>52.347684081374837</v>
      </c>
      <c r="BG41" s="20">
        <f t="shared" si="7"/>
        <v>460.20839309591241</v>
      </c>
      <c r="BH41" s="59">
        <f t="shared" si="8"/>
        <v>753.54172642924573</v>
      </c>
      <c r="BI41" s="59">
        <f ca="1">AVERAGE(OFFSET($BH$3,0,0,'Données projet'!$E$11+1,1))-AVERAGE(OFFSET($H$3,0,0,'Données projet'!$E$11+1,1))</f>
        <v>300.90952915835157</v>
      </c>
      <c r="BJ41" s="59">
        <f t="shared" si="38"/>
        <v>402.81783992925256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44.248409608850643</v>
      </c>
      <c r="BQ41" s="21">
        <f>EXP(-LN(2)/25)*BQ40+(1-EXP(-LN(2)/25))/(LN(2)/25)*Calculateur!BL41*Calculateur!BN41*VLOOKUP('Données projet'!$B$11,Paramètres!$A$1:$I$89,3,0)*0.475*44/12</f>
        <v>19.212292554134542</v>
      </c>
      <c r="BR41" s="21">
        <f>EXP(-LN(2)/2)*BR40+(1-EXP(-LN(2)/2))/(LN(2)/2)*BL41*BO41*VLOOKUP('Données projet'!$B$11,Paramètres!$A$1:$I$89,3,0)*0.475*44/12</f>
        <v>3.2349452798860843</v>
      </c>
      <c r="BS41" s="22">
        <f t="shared" si="9"/>
        <v>66.695647442871277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13.410256406666665</v>
      </c>
      <c r="BY41" s="12">
        <f>IF('Données projet'!$A$114&gt;35,BY40+BX41-CG40,IF(A41&lt;'Données projet'!$A$114,$BV$205^A41,IF(A41='Données projet'!$A$114,'Données projet'!$B$114,BY40+BX41-CG40)))</f>
        <v>249.65128205333329</v>
      </c>
      <c r="BZ41" s="13">
        <f>BY41*VLOOKUP('Données projet'!$B$12,Paramètres!$A$1:$I$89,3,0)*VLOOKUP('Données projet'!$B$12,Paramètres!$A$1:$I$89,5,0)</f>
        <v>123.32773333434665</v>
      </c>
      <c r="CA41" s="13">
        <f t="shared" si="39"/>
        <v>32.449898536956063</v>
      </c>
      <c r="CB41" s="20">
        <f t="shared" si="10"/>
        <v>271.31270884251882</v>
      </c>
      <c r="CC41" s="59">
        <f t="shared" si="11"/>
        <v>564.64604217585213</v>
      </c>
      <c r="CD41" s="59">
        <f ca="1">AVERAGE(OFFSET($CC$3,0,0,'Données projet'!$E$12+1,1))-AVERAGE(OFFSET($H$3,0,0,'Données projet'!$E$12+1,1))</f>
        <v>246.05217890269194</v>
      </c>
      <c r="CE41" s="59">
        <f t="shared" si="40"/>
        <v>155.54297071424327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12.740384613749999</v>
      </c>
      <c r="CT41" s="12">
        <f>IF('Données projet'!$A$140&gt;35,CT40+CS41-DB40,IF(A41&lt;'Données projet'!$A$140,$CQ$205^A41,IF(A41='Données projet'!$A$140,'Données projet'!$B$140,CT40+CS41-DB40)))</f>
        <v>204.59423075874997</v>
      </c>
      <c r="CU41" s="17">
        <f>CT41*VLOOKUP('Données projet'!$B$13,Paramètres!$A$1:$I$89,3,0)*VLOOKUP('Données projet'!$B$13,Paramètres!$A$1:$I$89,5,0)</f>
        <v>122.34734999373249</v>
      </c>
      <c r="CV41" s="13">
        <f t="shared" si="41"/>
        <v>32.22186133542602</v>
      </c>
      <c r="CW41" s="20">
        <f t="shared" si="13"/>
        <v>269.20804306495108</v>
      </c>
      <c r="CX41" s="59">
        <f t="shared" si="14"/>
        <v>562.54137639828446</v>
      </c>
      <c r="CY41" s="59">
        <f ca="1">AVERAGE(OFFSET($CX$3,0,0,'Données projet'!$E$13+1,1))-AVERAGE(OFFSET($H$3,0,0,'Données projet'!$E$13+1,1))</f>
        <v>237.036496933921</v>
      </c>
      <c r="CZ41" s="59">
        <f t="shared" si="42"/>
        <v>191.04289413665344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16.69661795057706</v>
      </c>
      <c r="DG41" s="21">
        <f>EXP(-LN(2)/25)*DG40+(1-EXP(-LN(2)/25))/(LN(2)/25)*Calculateur!DB41*Calculateur!DD41*VLOOKUP('Données projet'!$B$13,Paramètres!$A$1:$I$89,3,0)*0.475*44/12</f>
        <v>10.546752223806882</v>
      </c>
      <c r="DH41" s="21">
        <f>EXP(-LN(2)/2)*DH40+(1-EXP(-LN(2)/2))/(LN(2)/2)*DB41*DE41*VLOOKUP('Données projet'!$B$13,Paramètres!$A$1:$I$89,3,0)*0.475*44/12</f>
        <v>0.79796070513771622</v>
      </c>
      <c r="DI41" s="22">
        <f t="shared" si="15"/>
        <v>28.041330879521656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7.4779487166666678</v>
      </c>
      <c r="DO41" s="12">
        <f>IF('Données projet'!$A$166&gt;35,DO40+DN41-DW40,IF(A41&lt;'Données projet'!$A$166,$DL$205^A41,IF(A41='Données projet'!$A$166,'Données projet'!$B$166,DO40+DN41-DW40)))</f>
        <v>137.17743588333337</v>
      </c>
      <c r="DP41" s="17">
        <f>DO41*VLOOKUP('Données projet'!$B$14,Paramètres!$A$1:$I$89,3,0)*VLOOKUP('Données projet'!$B$14,Paramètres!$A$1:$I$89,5,0)</f>
        <v>82.03210665823336</v>
      </c>
      <c r="DQ41" s="13">
        <f t="shared" si="43"/>
        <v>22.633317084697353</v>
      </c>
      <c r="DR41" s="20">
        <f t="shared" si="16"/>
        <v>182.29227968560431</v>
      </c>
      <c r="DS41" s="59">
        <f t="shared" si="17"/>
        <v>475.62561301893766</v>
      </c>
      <c r="DT41" s="59">
        <f ca="1">AVERAGE(OFFSET($DS$3,0,0,'Données projet'!$E$14+1,1))-AVERAGE(OFFSET($H$3,0,0,'Données projet'!$E$14+1,1))</f>
        <v>148.22129593028302</v>
      </c>
      <c r="DU41" s="59">
        <f t="shared" si="44"/>
        <v>102.97015482019975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150.45263999999997</v>
      </c>
      <c r="EL41" s="13">
        <f t="shared" si="45"/>
        <v>38.681431639913605</v>
      </c>
      <c r="EM41" s="20">
        <f t="shared" si="19"/>
        <v>329.40850810618275</v>
      </c>
      <c r="EN41" s="59">
        <f t="shared" si="20"/>
        <v>622.74184143951607</v>
      </c>
      <c r="EO41" s="59">
        <f ca="1">AVERAGE(OFFSET($EN$3,0,0,'Données projet'!$E$15+1,1))-AVERAGE(OFFSET($H$3,0,0,'Données projet'!$E$15+1,1))</f>
        <v>278.53123771916404</v>
      </c>
      <c r="EP41" s="59">
        <f t="shared" si="46"/>
        <v>283.79094702030869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7.997600435018188</v>
      </c>
      <c r="EW41" s="21">
        <f>EXP(-LN(2)/25)*EW40+(1-EXP(-LN(2)/25))/(LN(2)/25)*Calculateur!ER41*Calculateur!ET41*VLOOKUP('Données projet'!$B$15,Paramètres!$A$1:$I$89,3,0)*0.475*44/12</f>
        <v>10.156961623676315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18.154562058694502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5.4791666666666652</v>
      </c>
      <c r="FE41" s="12">
        <f>IF('Données projet'!$A$218&gt;35,FE40+FD41-FM40,IF(A41&lt;'Données projet'!$A$218,$FB$205^A41,IF(A41='Données projet'!$A$218,'Données projet'!$B$218,FE40+FD41-FM40)))</f>
        <v>119.17948717948723</v>
      </c>
      <c r="FF41" s="17">
        <f>FE41*VLOOKUP('Données projet'!$B$16,Paramètres!$A$1:$I$89,3,0)*VLOOKUP('Données projet'!$B$16,Paramètres!$A$1:$I$89,5,0)</f>
        <v>107.83360000000003</v>
      </c>
      <c r="FG41" s="13">
        <f t="shared" si="47"/>
        <v>28.819974446397296</v>
      </c>
      <c r="FH41" s="20">
        <f t="shared" si="22"/>
        <v>238.00497549414197</v>
      </c>
      <c r="FI41" s="59">
        <f t="shared" si="23"/>
        <v>531.33830882747532</v>
      </c>
      <c r="FJ41" s="59">
        <f ca="1">AVERAGE(OFFSET($FI$3,0,0,'Données projet'!$E$16+1,1))-AVERAGE(OFFSET($H$3,0,0,'Données projet'!$E$16+1,1))</f>
        <v>335.99493768537013</v>
      </c>
      <c r="FK41" s="59">
        <f t="shared" si="48"/>
        <v>150.85164849522778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9.8000000000000007</v>
      </c>
      <c r="FZ41" s="12">
        <f>IF('Données projet'!$A$244&gt;35,FZ40+FY41-GH40,IF(A41&lt;'Données projet'!$A$244,$FW$205^A41,IF(A41='Données projet'!$A$244,'Données projet'!$B$244,FZ40+FY41-GH40)))</f>
        <v>186.40000000000006</v>
      </c>
      <c r="GA41" s="17">
        <f>FZ41*VLOOKUP('Données projet'!$B$17,Paramètres!$A$1:$I$89,3,0)*VLOOKUP('Données projet'!$B$17,Paramètres!$A$1:$I$89,5,0)</f>
        <v>162.83904000000007</v>
      </c>
      <c r="GB41" s="13">
        <f t="shared" si="49"/>
        <v>41.482211836000111</v>
      </c>
      <c r="GC41" s="20">
        <f t="shared" si="25"/>
        <v>355.85951361436696</v>
      </c>
      <c r="GD41" s="59">
        <f t="shared" si="26"/>
        <v>649.19284694770022</v>
      </c>
      <c r="GE41" s="59">
        <f ca="1">AVERAGE(OFFSET($GD$3,0,0,'Données projet'!$E$17+1,1))-AVERAGE(OFFSET($H$3,0,0,'Données projet'!$E$17+1,1))</f>
        <v>319.57811113658374</v>
      </c>
      <c r="GF41" s="59">
        <f t="shared" si="50"/>
        <v>322.03572137403245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11.39149354949836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11.39149354949836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20.323076935000007</v>
      </c>
      <c r="N42" s="13">
        <f>IF('Données projet'!$A$36&gt;35,N41+M42-V41,IF(A42&lt;'Données projet'!$A$36,$K$205^A42,IF(A42='Données projet'!$A$36,'Données projet'!$B$36,N41+M42-V41)))</f>
        <v>318.20769229500002</v>
      </c>
      <c r="O42" s="13">
        <f>N42*VLOOKUP('Données projet'!$B$9,Paramètres!$A$1:$I$89,3,0)*VLOOKUP('Données projet'!$B$9,Paramètres!$A$1:$I$89,5,0)</f>
        <v>153.05789999389501</v>
      </c>
      <c r="P42" s="13">
        <f t="shared" si="33"/>
        <v>39.272686058684407</v>
      </c>
      <c r="Q42" s="20">
        <f t="shared" si="53"/>
        <v>334.97577070824246</v>
      </c>
      <c r="R42" s="59">
        <f t="shared" si="0"/>
        <v>628.30910404157578</v>
      </c>
      <c r="S42" s="59">
        <f ca="1">AVERAGE(OFFSET($R$3,0,0,'Données projet'!$E$9+1,1))-AVERAGE(OFFSET($H$3,0,0,'Données projet'!$E$9+1,1))</f>
        <v>226.41956082453015</v>
      </c>
      <c r="T42" s="59">
        <f t="shared" si="34"/>
        <v>317.95076157570446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7.9818376100000004</v>
      </c>
      <c r="AI42" s="13">
        <f>IF('Données projet'!$A$62&gt;35,AI41+AH42-AQ41,IF(A42&lt;'Données projet'!$A$62,$AF$205^A42,IF(A42='Données projet'!$A$62,'Données projet'!$B$62,AI41+AH42-AQ41)))</f>
        <v>169.11858977000009</v>
      </c>
      <c r="AJ42" s="13">
        <f>AI42*VLOOKUP('Données projet'!$B$10,Paramètres!$A$1:$I$89,3,0)*VLOOKUP('Données projet'!$B$10,Paramètres!$A$1:$I$89,5,0)</f>
        <v>145.10375002266011</v>
      </c>
      <c r="AK42" s="13">
        <f t="shared" si="35"/>
        <v>37.463755286542479</v>
      </c>
      <c r="AL42" s="20">
        <f t="shared" si="4"/>
        <v>317.97173841352787</v>
      </c>
      <c r="AM42" s="59">
        <f t="shared" si="5"/>
        <v>611.30507174686113</v>
      </c>
      <c r="AN42" s="59">
        <f ca="1">AVERAGE(OFFSET($AM$3,0,0,'Données projet'!$E$10+1,1))-AVERAGE(OFFSET($H$3,0,0,'Données projet'!$E$10+1,1))</f>
        <v>257.80662231827404</v>
      </c>
      <c r="AO42" s="59">
        <f t="shared" si="36"/>
        <v>184.04558520039876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22.419230766666676</v>
      </c>
      <c r="BD42" s="12">
        <f>IF('Données projet'!$A$88&gt;35,BD41+BC42-BL41,IF(A42&lt;'Données projet'!$A$88,$BA$205^A42,IF(A42='Données projet'!$A$88,'Données projet'!$B$88,BD41+BC42-BL41)))</f>
        <v>401.46538459999977</v>
      </c>
      <c r="BE42" s="13">
        <f>BD42*VLOOKUP('Données projet'!$B$11,Paramètres!$A$1:$I$89,3,0)*VLOOKUP('Données projet'!$B$11,Paramètres!$A$1:$I$89,5,0)</f>
        <v>224.41914999139985</v>
      </c>
      <c r="BF42" s="13">
        <f t="shared" si="37"/>
        <v>55.074251577402599</v>
      </c>
      <c r="BG42" s="20">
        <f t="shared" si="7"/>
        <v>486.78434106566425</v>
      </c>
      <c r="BH42" s="59">
        <f t="shared" si="8"/>
        <v>780.11767439899756</v>
      </c>
      <c r="BI42" s="59">
        <f ca="1">AVERAGE(OFFSET($BH$3,0,0,'Données projet'!$E$11+1,1))-AVERAGE(OFFSET($H$3,0,0,'Données projet'!$E$11+1,1))</f>
        <v>300.90952915835157</v>
      </c>
      <c r="BJ42" s="59">
        <f t="shared" si="38"/>
        <v>402.81783992925256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43.380725285286012</v>
      </c>
      <c r="BQ42" s="21">
        <f>EXP(-LN(2)/25)*BQ41+(1-EXP(-LN(2)/25))/(LN(2)/25)*Calculateur!BL42*Calculateur!BN42*VLOOKUP('Données projet'!$B$11,Paramètres!$A$1:$I$89,3,0)*0.475*44/12</f>
        <v>18.686931403911178</v>
      </c>
      <c r="BR42" s="21">
        <f>EXP(-LN(2)/2)*BR41+(1-EXP(-LN(2)/2))/(LN(2)/2)*BL42*BO42*VLOOKUP('Données projet'!$B$11,Paramètres!$A$1:$I$89,3,0)*0.475*44/12</f>
        <v>2.2874517441748643</v>
      </c>
      <c r="BS42" s="22">
        <f t="shared" si="9"/>
        <v>64.355108433372052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13.410256406666665</v>
      </c>
      <c r="BY42" s="12">
        <f>IF('Données projet'!$A$114&gt;35,BY41+BX42-CG41,IF(A42&lt;'Données projet'!$A$114,$BV$205^A42,IF(A42='Données projet'!$A$114,'Données projet'!$B$114,BY41+BX42-CG41)))</f>
        <v>263.06153845999995</v>
      </c>
      <c r="BZ42" s="13">
        <f>BY42*VLOOKUP('Données projet'!$B$12,Paramètres!$A$1:$I$89,3,0)*VLOOKUP('Données projet'!$B$12,Paramètres!$A$1:$I$89,5,0)</f>
        <v>129.95239999923999</v>
      </c>
      <c r="CA42" s="13">
        <f t="shared" si="39"/>
        <v>33.985360135322999</v>
      </c>
      <c r="CB42" s="20">
        <f t="shared" si="10"/>
        <v>285.5249322343638</v>
      </c>
      <c r="CC42" s="59">
        <f t="shared" si="11"/>
        <v>578.85826556769712</v>
      </c>
      <c r="CD42" s="59">
        <f ca="1">AVERAGE(OFFSET($CC$3,0,0,'Données projet'!$E$12+1,1))-AVERAGE(OFFSET($H$3,0,0,'Données projet'!$E$12+1,1))</f>
        <v>246.05217890269194</v>
      </c>
      <c r="CE42" s="59">
        <f t="shared" si="40"/>
        <v>155.54297071424327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12.740384613749999</v>
      </c>
      <c r="CT42" s="12">
        <f>IF('Données projet'!$A$140&gt;35,CT41+CS42-DB41,IF(A42&lt;'Données projet'!$A$140,$CQ$205^A42,IF(A42='Données projet'!$A$140,'Données projet'!$B$140,CT41+CS42-DB41)))</f>
        <v>217.33461537249997</v>
      </c>
      <c r="CU42" s="17">
        <f>CT42*VLOOKUP('Données projet'!$B$13,Paramètres!$A$1:$I$89,3,0)*VLOOKUP('Données projet'!$B$13,Paramètres!$A$1:$I$89,5,0)</f>
        <v>129.96609999275498</v>
      </c>
      <c r="CV42" s="13">
        <f t="shared" si="41"/>
        <v>33.988525917108454</v>
      </c>
      <c r="CW42" s="20">
        <f t="shared" si="13"/>
        <v>285.55430679301213</v>
      </c>
      <c r="CX42" s="59">
        <f t="shared" si="14"/>
        <v>578.88764012634545</v>
      </c>
      <c r="CY42" s="59">
        <f ca="1">AVERAGE(OFFSET($CX$3,0,0,'Données projet'!$E$13+1,1))-AVERAGE(OFFSET($H$3,0,0,'Données projet'!$E$13+1,1))</f>
        <v>237.036496933921</v>
      </c>
      <c r="CZ42" s="59">
        <f t="shared" si="42"/>
        <v>191.04289413665344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16.369207456497616</v>
      </c>
      <c r="DG42" s="21">
        <f>EXP(-LN(2)/25)*DG41+(1-EXP(-LN(2)/25))/(LN(2)/25)*Calculateur!DB42*Calculateur!DD42*VLOOKUP('Données projet'!$B$13,Paramètres!$A$1:$I$89,3,0)*0.475*44/12</f>
        <v>10.258350729617288</v>
      </c>
      <c r="DH42" s="21">
        <f>EXP(-LN(2)/2)*DH41+(1-EXP(-LN(2)/2))/(LN(2)/2)*DB42*DE42*VLOOKUP('Données projet'!$B$13,Paramètres!$A$1:$I$89,3,0)*0.475*44/12</f>
        <v>0.56424342572327835</v>
      </c>
      <c r="DI42" s="22">
        <f t="shared" si="15"/>
        <v>27.191801611838184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7.4779487166666678</v>
      </c>
      <c r="DO42" s="12">
        <f>IF('Données projet'!$A$166&gt;35,DO41+DN42-DW41,IF(A42&lt;'Données projet'!$A$166,$DL$205^A42,IF(A42='Données projet'!$A$166,'Données projet'!$B$166,DO41+DN42-DW41)))</f>
        <v>144.65538460000005</v>
      </c>
      <c r="DP42" s="17">
        <f>DO42*VLOOKUP('Données projet'!$B$14,Paramètres!$A$1:$I$89,3,0)*VLOOKUP('Données projet'!$B$14,Paramètres!$A$1:$I$89,5,0)</f>
        <v>86.503919990800028</v>
      </c>
      <c r="DQ42" s="13">
        <f t="shared" si="43"/>
        <v>23.720120306673564</v>
      </c>
      <c r="DR42" s="20">
        <f t="shared" si="16"/>
        <v>191.97353685143318</v>
      </c>
      <c r="DS42" s="59">
        <f t="shared" si="17"/>
        <v>485.30687018476647</v>
      </c>
      <c r="DT42" s="59">
        <f ca="1">AVERAGE(OFFSET($DS$3,0,0,'Données projet'!$E$14+1,1))-AVERAGE(OFFSET($H$3,0,0,'Données projet'!$E$14+1,1))</f>
        <v>148.22129593028302</v>
      </c>
      <c r="DU42" s="59">
        <f t="shared" si="44"/>
        <v>102.97015482019975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158.81111999999999</v>
      </c>
      <c r="EL42" s="13">
        <f t="shared" si="45"/>
        <v>40.57424391712447</v>
      </c>
      <c r="EM42" s="20">
        <f t="shared" si="19"/>
        <v>347.26284215565846</v>
      </c>
      <c r="EN42" s="59">
        <f t="shared" si="20"/>
        <v>640.59617548899178</v>
      </c>
      <c r="EO42" s="59">
        <f ca="1">AVERAGE(OFFSET($EN$3,0,0,'Données projet'!$E$15+1,1))-AVERAGE(OFFSET($H$3,0,0,'Données projet'!$E$15+1,1))</f>
        <v>278.53123771916404</v>
      </c>
      <c r="EP42" s="59">
        <f t="shared" si="46"/>
        <v>283.79094702030869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7.8407723685420789</v>
      </c>
      <c r="EW42" s="21">
        <f>EXP(-LN(2)/25)*EW41+(1-EXP(-LN(2)/25))/(LN(2)/25)*Calculateur!ER42*Calculateur!ET42*VLOOKUP('Données projet'!$B$15,Paramètres!$A$1:$I$89,3,0)*0.475*44/12</f>
        <v>9.8792189739454876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17.719991342487567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5.4791666666666652</v>
      </c>
      <c r="FE42" s="12">
        <f>IF('Données projet'!$A$218&gt;35,FE41+FD42-FM41,IF(A42&lt;'Données projet'!$A$218,$FB$205^A42,IF(A42='Données projet'!$A$218,'Données projet'!$B$218,FE41+FD42-FM41)))</f>
        <v>124.6586538461539</v>
      </c>
      <c r="FF42" s="17">
        <f>FE42*VLOOKUP('Données projet'!$B$16,Paramètres!$A$1:$I$89,3,0)*VLOOKUP('Données projet'!$B$16,Paramètres!$A$1:$I$89,5,0)</f>
        <v>112.79115000000004</v>
      </c>
      <c r="FG42" s="13">
        <f t="shared" si="47"/>
        <v>29.987639181649424</v>
      </c>
      <c r="FH42" s="20">
        <f t="shared" si="22"/>
        <v>248.67305782470615</v>
      </c>
      <c r="FI42" s="59">
        <f t="shared" si="23"/>
        <v>542.00639115803949</v>
      </c>
      <c r="FJ42" s="59">
        <f ca="1">AVERAGE(OFFSET($FI$3,0,0,'Données projet'!$E$16+1,1))-AVERAGE(OFFSET($H$3,0,0,'Données projet'!$E$16+1,1))</f>
        <v>335.99493768537013</v>
      </c>
      <c r="FK42" s="59">
        <f t="shared" si="48"/>
        <v>150.85164849522778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9.8000000000000007</v>
      </c>
      <c r="FZ42" s="12">
        <f>IF('Données projet'!$A$244&gt;35,FZ41+FY42-GH41,IF(A42&lt;'Données projet'!$A$244,$FW$205^A42,IF(A42='Données projet'!$A$244,'Données projet'!$B$244,FZ41+FY42-GH41)))</f>
        <v>196.20000000000007</v>
      </c>
      <c r="GA42" s="17">
        <f>FZ42*VLOOKUP('Données projet'!$B$17,Paramètres!$A$1:$I$89,3,0)*VLOOKUP('Données projet'!$B$17,Paramètres!$A$1:$I$89,5,0)</f>
        <v>171.40032000000011</v>
      </c>
      <c r="GB42" s="13">
        <f t="shared" si="49"/>
        <v>43.40349878862115</v>
      </c>
      <c r="GC42" s="20">
        <f t="shared" si="25"/>
        <v>374.11665105684864</v>
      </c>
      <c r="GD42" s="59">
        <f t="shared" si="26"/>
        <v>667.44998439018195</v>
      </c>
      <c r="GE42" s="59">
        <f ca="1">AVERAGE(OFFSET($GD$3,0,0,'Données projet'!$E$17+1,1))-AVERAGE(OFFSET($H$3,0,0,'Données projet'!$E$17+1,1))</f>
        <v>319.57811113658374</v>
      </c>
      <c r="GF42" s="59">
        <f t="shared" si="50"/>
        <v>322.03572137403245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11.079992559334718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11.079992559334718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20.323076935000007</v>
      </c>
      <c r="N43" s="13">
        <f>IF('Données projet'!$A$36&gt;35,N42+M43-V42,IF(A43&lt;'Données projet'!$A$36,$K$205^A43,IF(A43='Données projet'!$A$36,'Données projet'!$B$36,N42+M43-V42)))</f>
        <v>338.53076923000003</v>
      </c>
      <c r="O43" s="13">
        <f>N43*VLOOKUP('Données projet'!$B$9,Paramètres!$A$1:$I$89,3,0)*VLOOKUP('Données projet'!$B$9,Paramètres!$A$1:$I$89,5,0)</f>
        <v>162.83329999963001</v>
      </c>
      <c r="P43" s="13">
        <f t="shared" si="33"/>
        <v>41.480919808105327</v>
      </c>
      <c r="Q43" s="20">
        <f t="shared" si="53"/>
        <v>355.84726616513905</v>
      </c>
      <c r="R43" s="59">
        <f t="shared" si="0"/>
        <v>649.18059949847236</v>
      </c>
      <c r="S43" s="59">
        <f ca="1">AVERAGE(OFFSET($R$3,0,0,'Données projet'!$E$9+1,1))-AVERAGE(OFFSET($H$3,0,0,'Données projet'!$E$9+1,1))</f>
        <v>226.41956082453015</v>
      </c>
      <c r="T43" s="59">
        <f t="shared" si="34"/>
        <v>317.95076157570446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7.9818376100000004</v>
      </c>
      <c r="AI43" s="13">
        <f>IF('Données projet'!$A$62&gt;35,AI42+AH43-AQ42,IF(A43&lt;'Données projet'!$A$62,$AF$205^A43,IF(A43='Données projet'!$A$62,'Données projet'!$B$62,AI42+AH43-AQ42)))</f>
        <v>177.1004273800001</v>
      </c>
      <c r="AJ43" s="13">
        <f>AI43*VLOOKUP('Données projet'!$B$10,Paramètres!$A$1:$I$89,3,0)*VLOOKUP('Données projet'!$B$10,Paramètres!$A$1:$I$89,5,0)</f>
        <v>151.95216669204009</v>
      </c>
      <c r="AK43" s="13">
        <f t="shared" si="35"/>
        <v>39.021888094388245</v>
      </c>
      <c r="AL43" s="20">
        <f t="shared" si="4"/>
        <v>332.61314541969597</v>
      </c>
      <c r="AM43" s="59">
        <f t="shared" si="5"/>
        <v>625.94647875302928</v>
      </c>
      <c r="AN43" s="59">
        <f ca="1">AVERAGE(OFFSET($AM$3,0,0,'Données projet'!$E$10+1,1))-AVERAGE(OFFSET($H$3,0,0,'Données projet'!$E$10+1,1))</f>
        <v>257.80662231827404</v>
      </c>
      <c r="AO43" s="59">
        <f t="shared" si="36"/>
        <v>184.04558520039876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22.419230766666676</v>
      </c>
      <c r="BD43" s="12">
        <f>IF('Données projet'!$A$88&gt;35,BD42+BC43-BL42,IF(A43&lt;'Données projet'!$A$88,$BA$205^A43,IF(A43='Données projet'!$A$88,'Données projet'!$B$88,BD42+BC43-BL42)))</f>
        <v>423.88461536666642</v>
      </c>
      <c r="BE43" s="13">
        <f>BD43*VLOOKUP('Données projet'!$B$11,Paramètres!$A$1:$I$89,3,0)*VLOOKUP('Données projet'!$B$11,Paramètres!$A$1:$I$89,5,0)</f>
        <v>236.95149998996652</v>
      </c>
      <c r="BF43" s="13">
        <f t="shared" si="37"/>
        <v>57.783143665940827</v>
      </c>
      <c r="BG43" s="20">
        <f t="shared" si="7"/>
        <v>513.3295043673719</v>
      </c>
      <c r="BH43" s="59">
        <f t="shared" si="8"/>
        <v>806.66283770070527</v>
      </c>
      <c r="BI43" s="59">
        <f ca="1">AVERAGE(OFFSET($BH$3,0,0,'Données projet'!$E$11+1,1))-AVERAGE(OFFSET($H$3,0,0,'Données projet'!$E$11+1,1))</f>
        <v>300.90952915835157</v>
      </c>
      <c r="BJ43" s="59">
        <f t="shared" si="38"/>
        <v>402.81783992925256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42.530055722071303</v>
      </c>
      <c r="BQ43" s="21">
        <f>EXP(-LN(2)/25)*BQ42+(1-EXP(-LN(2)/25))/(LN(2)/25)*Calculateur!BL43*Calculateur!BN43*VLOOKUP('Données projet'!$B$11,Paramètres!$A$1:$I$89,3,0)*0.475*44/12</f>
        <v>18.175936281968212</v>
      </c>
      <c r="BR43" s="21">
        <f>EXP(-LN(2)/2)*BR42+(1-EXP(-LN(2)/2))/(LN(2)/2)*BL43*BO43*VLOOKUP('Données projet'!$B$11,Paramètres!$A$1:$I$89,3,0)*0.475*44/12</f>
        <v>1.6174726399430424</v>
      </c>
      <c r="BS43" s="22">
        <f t="shared" si="9"/>
        <v>62.323464643982561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13.410256406666665</v>
      </c>
      <c r="BY43" s="12">
        <f>IF('Données projet'!$A$114&gt;35,BY42+BX43-CG42,IF(A43&lt;'Données projet'!$A$114,$BV$205^A43,IF(A43='Données projet'!$A$114,'Données projet'!$B$114,BY42+BX43-CG42)))</f>
        <v>276.47179486666664</v>
      </c>
      <c r="BZ43" s="13">
        <f>BY43*VLOOKUP('Données projet'!$B$12,Paramètres!$A$1:$I$89,3,0)*VLOOKUP('Données projet'!$B$12,Paramètres!$A$1:$I$89,5,0)</f>
        <v>136.57706666413333</v>
      </c>
      <c r="CA43" s="13">
        <f t="shared" si="39"/>
        <v>35.511733438495114</v>
      </c>
      <c r="CB43" s="20">
        <f t="shared" si="10"/>
        <v>299.72132684541117</v>
      </c>
      <c r="CC43" s="59">
        <f t="shared" si="11"/>
        <v>593.05466017874448</v>
      </c>
      <c r="CD43" s="59">
        <f ca="1">AVERAGE(OFFSET($CC$3,0,0,'Données projet'!$E$12+1,1))-AVERAGE(OFFSET($H$3,0,0,'Données projet'!$E$12+1,1))</f>
        <v>246.05217890269194</v>
      </c>
      <c r="CE43" s="59">
        <f t="shared" si="40"/>
        <v>155.54297071424327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12.740384613749999</v>
      </c>
      <c r="CT43" s="12">
        <f>IF('Données projet'!$A$140&gt;35,CT42+CS43-DB42,IF(A43&lt;'Données projet'!$A$140,$CQ$205^A43,IF(A43='Données projet'!$A$140,'Données projet'!$B$140,CT42+CS43-DB42)))</f>
        <v>230.07499998624996</v>
      </c>
      <c r="CU43" s="17">
        <f>CT43*VLOOKUP('Données projet'!$B$13,Paramètres!$A$1:$I$89,3,0)*VLOOKUP('Données projet'!$B$13,Paramètres!$A$1:$I$89,5,0)</f>
        <v>137.58484999177747</v>
      </c>
      <c r="CV43" s="13">
        <f t="shared" si="41"/>
        <v>35.743169446849521</v>
      </c>
      <c r="CW43" s="20">
        <f t="shared" si="13"/>
        <v>301.87963385560869</v>
      </c>
      <c r="CX43" s="59">
        <f t="shared" si="14"/>
        <v>595.212967188942</v>
      </c>
      <c r="CY43" s="59">
        <f ca="1">AVERAGE(OFFSET($CX$3,0,0,'Données projet'!$E$13+1,1))-AVERAGE(OFFSET($H$3,0,0,'Données projet'!$E$13+1,1))</f>
        <v>237.036496933921</v>
      </c>
      <c r="CZ43" s="59">
        <f t="shared" si="42"/>
        <v>191.04289413665344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16.048217282506386</v>
      </c>
      <c r="DG43" s="21">
        <f>EXP(-LN(2)/25)*DG42+(1-EXP(-LN(2)/25))/(LN(2)/25)*Calculateur!DB43*Calculateur!DD43*VLOOKUP('Données projet'!$B$13,Paramètres!$A$1:$I$89,3,0)*0.475*44/12</f>
        <v>9.9778355894526829</v>
      </c>
      <c r="DH43" s="21">
        <f>EXP(-LN(2)/2)*DH42+(1-EXP(-LN(2)/2))/(LN(2)/2)*DB43*DE43*VLOOKUP('Données projet'!$B$13,Paramètres!$A$1:$I$89,3,0)*0.475*44/12</f>
        <v>0.39898035256885817</v>
      </c>
      <c r="DI43" s="22">
        <f t="shared" si="15"/>
        <v>26.425033224527926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7.4779487166666678</v>
      </c>
      <c r="DO43" s="12">
        <f>IF('Données projet'!$A$166&gt;35,DO42+DN43-DW42,IF(A43&lt;'Données projet'!$A$166,$DL$205^A43,IF(A43='Données projet'!$A$166,'Données projet'!$B$166,DO42+DN43-DW42)))</f>
        <v>152.13333331666672</v>
      </c>
      <c r="DP43" s="17">
        <f>DO43*VLOOKUP('Données projet'!$B$14,Paramètres!$A$1:$I$89,3,0)*VLOOKUP('Données projet'!$B$14,Paramètres!$A$1:$I$89,5,0)</f>
        <v>90.975733323366711</v>
      </c>
      <c r="DQ43" s="13">
        <f t="shared" si="43"/>
        <v>24.800400488548611</v>
      </c>
      <c r="DR43" s="20">
        <f t="shared" si="16"/>
        <v>201.64343305575247</v>
      </c>
      <c r="DS43" s="59">
        <f t="shared" si="17"/>
        <v>494.97676638908581</v>
      </c>
      <c r="DT43" s="59">
        <f ca="1">AVERAGE(OFFSET($DS$3,0,0,'Données projet'!$E$14+1,1))-AVERAGE(OFFSET($H$3,0,0,'Données projet'!$E$14+1,1))</f>
        <v>148.22129593028302</v>
      </c>
      <c r="DU43" s="59">
        <f t="shared" si="44"/>
        <v>102.97015482019975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167.1696</v>
      </c>
      <c r="EL43" s="13">
        <f t="shared" si="45"/>
        <v>42.455490039298851</v>
      </c>
      <c r="EM43" s="20">
        <f t="shared" si="19"/>
        <v>365.09703181844549</v>
      </c>
      <c r="EN43" s="59">
        <f t="shared" si="20"/>
        <v>658.4303651517788</v>
      </c>
      <c r="EO43" s="59">
        <f ca="1">AVERAGE(OFFSET($EN$3,0,0,'Données projet'!$E$15+1,1))-AVERAGE(OFFSET($H$3,0,0,'Données projet'!$E$15+1,1))</f>
        <v>278.53123771916404</v>
      </c>
      <c r="EP43" s="59">
        <f t="shared" si="46"/>
        <v>283.79094702030869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0.30529999999999996</v>
      </c>
      <c r="ET43" s="16">
        <f>IF(ISNA(VLOOKUP(A43,'Données projet'!$A$191:$I$211,6,0)),0%,VLOOKUP(A43,'Données projet'!$A$191:$I$211,6,0)*VLOOKUP('Données projet'!$B$15,Paramètres!$A$1:$I$89,7,0))</f>
        <v>8.6000000000000007E-2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16.347947347328002</v>
      </c>
      <c r="EW43" s="21">
        <f>EXP(-LN(2)/25)*EW42+(1-EXP(-LN(2)/25))/(LN(2)/25)*Calculateur!ER43*Calculateur!ET43*VLOOKUP('Données projet'!$B$15,Paramètres!$A$1:$I$89,3,0)*0.475*44/12</f>
        <v>12.039163146771646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28.387110494099648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5.4791666666666652</v>
      </c>
      <c r="FE43" s="12">
        <f>IF('Données projet'!$A$218&gt;35,FE42+FD43-FM42,IF(A43&lt;'Données projet'!$A$218,$FB$205^A43,IF(A43='Données projet'!$A$218,'Données projet'!$B$218,FE42+FD43-FM42)))</f>
        <v>130.13782051282055</v>
      </c>
      <c r="FF43" s="17">
        <f>FE43*VLOOKUP('Données projet'!$B$16,Paramètres!$A$1:$I$89,3,0)*VLOOKUP('Données projet'!$B$16,Paramètres!$A$1:$I$89,5,0)</f>
        <v>117.74870000000004</v>
      </c>
      <c r="FG43" s="13">
        <f t="shared" si="47"/>
        <v>31.149343173536209</v>
      </c>
      <c r="FH43" s="20">
        <f t="shared" si="22"/>
        <v>259.33075852724227</v>
      </c>
      <c r="FI43" s="59">
        <f t="shared" si="23"/>
        <v>552.66409186057558</v>
      </c>
      <c r="FJ43" s="59">
        <f ca="1">AVERAGE(OFFSET($FI$3,0,0,'Données projet'!$E$16+1,1))-AVERAGE(OFFSET($H$3,0,0,'Données projet'!$E$16+1,1))</f>
        <v>335.99493768537013</v>
      </c>
      <c r="FK43" s="59">
        <f t="shared" si="48"/>
        <v>150.85164849522778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206</v>
      </c>
      <c r="FX43" s="12">
        <f>VLOOKUP(A43,'Données projet'!$A$243:$I$263,9,0)</f>
        <v>9.8000000000000007</v>
      </c>
      <c r="FY43" s="12">
        <f t="array" ref="FY43">INDEX(FX:FX,MIN(IF(ISNUMBER(FX43:FX239),ROW(FX43:FX239),"")))</f>
        <v>9.8000000000000007</v>
      </c>
      <c r="FZ43" s="12">
        <f>IF('Données projet'!$A$244&gt;35,FZ42+FY43-GH42,IF(A43&lt;'Données projet'!$A$244,$FW$205^A43,IF(A43='Données projet'!$A$244,'Données projet'!$B$244,FZ42+FY43-GH42)))</f>
        <v>206.00000000000009</v>
      </c>
      <c r="GA43" s="17">
        <f>FZ43*VLOOKUP('Données projet'!$B$17,Paramètres!$A$1:$I$89,3,0)*VLOOKUP('Données projet'!$B$17,Paramètres!$A$1:$I$89,5,0)</f>
        <v>179.96160000000009</v>
      </c>
      <c r="GB43" s="13">
        <f t="shared" si="49"/>
        <v>45.313642767960104</v>
      </c>
      <c r="GC43" s="20">
        <f t="shared" si="25"/>
        <v>392.35438115419737</v>
      </c>
      <c r="GD43" s="59">
        <f t="shared" si="26"/>
        <v>685.68771448753068</v>
      </c>
      <c r="GE43" s="59">
        <f ca="1">AVERAGE(OFFSET($GD$3,0,0,'Données projet'!$E$17+1,1))-AVERAGE(OFFSET($H$3,0,0,'Données projet'!$E$17+1,1))</f>
        <v>319.57811113658374</v>
      </c>
      <c r="GF43" s="59">
        <f t="shared" si="50"/>
        <v>322.03572137403245</v>
      </c>
      <c r="GG43" s="15">
        <f>IF(ISNA(VLOOKUP(A43,'Données projet'!$A$243:$I$263,3,0)),0,VLOOKUP(A43,'Données projet'!$A$243:$I$263,3,0))</f>
        <v>5</v>
      </c>
      <c r="GH43" s="15" t="str">
        <f>IF(ISNA(VLOOKUP(A43,'Données projet'!$A$243:$I$263,4,0)),0,VLOOKUP(A43,'Données projet'!$A$243:$I$263,4,0))</f>
        <v>31</v>
      </c>
      <c r="GI43" s="16">
        <f>IF(ISNA(VLOOKUP(A43,'Données projet'!$A$243:$I$263,5,0)),0%,VLOOKUP(A43,'Données projet'!$A$243:$I$263,5,0)*VLOOKUP('Données projet'!$B$17,Paramètres!$A$1:$I$89,7,0))</f>
        <v>0.17200000000000001</v>
      </c>
      <c r="GJ43" s="16">
        <f>IF(ISNA(VLOOKUP(A43,'Données projet'!$A$243:$I$263,6,0)),0%,VLOOKUP(A43,'Données projet'!$A$243:$I$263,6,0)*VLOOKUP('Données projet'!$B$17,Paramètres!$A$1:$I$89,7,0))</f>
        <v>0.17200000000000001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5.1493199404218428</v>
      </c>
      <c r="GM43" s="21">
        <f>EXP(-LN(2)/25)*GM42+(1-EXP(-LN(2)/25))/(LN(2)/25)*Calculateur!GH43*Calculateur!GJ43*VLOOKUP('Données projet'!$B$17,Paramètres!$A$1:$I$89,3,0)*0.475*44/12</f>
        <v>15.906054685899907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21.05537462632175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20.323076935000007</v>
      </c>
      <c r="N44" s="13">
        <f>IF('Données projet'!$A$36&gt;35,N43+M44-V43,IF(A44&lt;'Données projet'!$A$36,$K$205^A44,IF(A44='Données projet'!$A$36,'Données projet'!$B$36,N43+M44-V43)))</f>
        <v>358.85384616500005</v>
      </c>
      <c r="O44" s="13">
        <f>N44*VLOOKUP('Données projet'!$B$9,Paramètres!$A$1:$I$89,3,0)*VLOOKUP('Données projet'!$B$9,Paramètres!$A$1:$I$89,5,0)</f>
        <v>172.60870000536505</v>
      </c>
      <c r="P44" s="13">
        <f t="shared" si="33"/>
        <v>43.673766760060737</v>
      </c>
      <c r="Q44" s="20">
        <f t="shared" si="53"/>
        <v>376.69196294978332</v>
      </c>
      <c r="R44" s="59">
        <f t="shared" si="0"/>
        <v>670.02529628311663</v>
      </c>
      <c r="S44" s="59">
        <f ca="1">AVERAGE(OFFSET($R$3,0,0,'Données projet'!$E$9+1,1))-AVERAGE(OFFSET($H$3,0,0,'Données projet'!$E$9+1,1))</f>
        <v>226.41956082453015</v>
      </c>
      <c r="T44" s="59">
        <f t="shared" si="34"/>
        <v>317.95076157570446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7.9818376100000004</v>
      </c>
      <c r="AI44" s="13">
        <f>IF('Données projet'!$A$62&gt;35,AI43+AH44-AQ43,IF(A44&lt;'Données projet'!$A$62,$AF$205^A44,IF(A44='Données projet'!$A$62,'Données projet'!$B$62,AI43+AH44-AQ43)))</f>
        <v>185.08226499000011</v>
      </c>
      <c r="AJ44" s="13">
        <f>AI44*VLOOKUP('Données projet'!$B$10,Paramètres!$A$1:$I$89,3,0)*VLOOKUP('Données projet'!$B$10,Paramètres!$A$1:$I$89,5,0)</f>
        <v>158.80058336142011</v>
      </c>
      <c r="AK44" s="13">
        <f t="shared" si="35"/>
        <v>40.571865275607692</v>
      </c>
      <c r="AL44" s="20">
        <f t="shared" si="4"/>
        <v>347.24034804282337</v>
      </c>
      <c r="AM44" s="59">
        <f t="shared" si="5"/>
        <v>640.57368137615663</v>
      </c>
      <c r="AN44" s="59">
        <f ca="1">AVERAGE(OFFSET($AM$3,0,0,'Données projet'!$E$10+1,1))-AVERAGE(OFFSET($H$3,0,0,'Données projet'!$E$10+1,1))</f>
        <v>257.80662231827404</v>
      </c>
      <c r="AO44" s="59">
        <f t="shared" si="36"/>
        <v>184.04558520039876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22.419230766666676</v>
      </c>
      <c r="BD44" s="12">
        <f>IF('Données projet'!$A$88&gt;35,BD43+BC44-BL43,IF(A44&lt;'Données projet'!$A$88,$BA$205^A44,IF(A44='Données projet'!$A$88,'Données projet'!$B$88,BD43+BC44-BL43)))</f>
        <v>446.30384613333308</v>
      </c>
      <c r="BE44" s="13">
        <f>BD44*VLOOKUP('Données projet'!$B$11,Paramètres!$A$1:$I$89,3,0)*VLOOKUP('Données projet'!$B$11,Paramètres!$A$1:$I$89,5,0)</f>
        <v>249.48384998853319</v>
      </c>
      <c r="BF44" s="13">
        <f t="shared" si="37"/>
        <v>60.475401804823974</v>
      </c>
      <c r="BG44" s="20">
        <f t="shared" si="7"/>
        <v>539.84569687343048</v>
      </c>
      <c r="BH44" s="59">
        <f t="shared" si="8"/>
        <v>833.17903020676385</v>
      </c>
      <c r="BI44" s="59">
        <f ca="1">AVERAGE(OFFSET($BH$3,0,0,'Données projet'!$E$11+1,1))-AVERAGE(OFFSET($H$3,0,0,'Données projet'!$E$11+1,1))</f>
        <v>300.90952915835157</v>
      </c>
      <c r="BJ44" s="59">
        <f t="shared" si="38"/>
        <v>402.81783992925256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41.696067270134037</v>
      </c>
      <c r="BQ44" s="21">
        <f>EXP(-LN(2)/25)*BQ43+(1-EXP(-LN(2)/25))/(LN(2)/25)*Calculateur!BL44*Calculateur!BN44*VLOOKUP('Données projet'!$B$11,Paramètres!$A$1:$I$89,3,0)*0.475*44/12</f>
        <v>17.678914348506844</v>
      </c>
      <c r="BR44" s="21">
        <f>EXP(-LN(2)/2)*BR43+(1-EXP(-LN(2)/2))/(LN(2)/2)*BL44*BO44*VLOOKUP('Données projet'!$B$11,Paramètres!$A$1:$I$89,3,0)*0.475*44/12</f>
        <v>1.1437258720874324</v>
      </c>
      <c r="BS44" s="22">
        <f t="shared" si="9"/>
        <v>60.51870749072831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13.410256406666665</v>
      </c>
      <c r="BY44" s="12">
        <f>IF('Données projet'!$A$114&gt;35,BY43+BX44-CG43,IF(A44&lt;'Données projet'!$A$114,$BV$205^A44,IF(A44='Données projet'!$A$114,'Données projet'!$B$114,BY43+BX44-CG43)))</f>
        <v>289.88205127333333</v>
      </c>
      <c r="BZ44" s="13">
        <f>BY44*VLOOKUP('Données projet'!$B$12,Paramètres!$A$1:$I$89,3,0)*VLOOKUP('Données projet'!$B$12,Paramètres!$A$1:$I$89,5,0)</f>
        <v>143.20173332902667</v>
      </c>
      <c r="CA44" s="13">
        <f t="shared" si="39"/>
        <v>37.029509593751698</v>
      </c>
      <c r="CB44" s="20">
        <f t="shared" si="10"/>
        <v>313.90274809050567</v>
      </c>
      <c r="CC44" s="59">
        <f t="shared" si="11"/>
        <v>607.23608142383898</v>
      </c>
      <c r="CD44" s="59">
        <f ca="1">AVERAGE(OFFSET($CC$3,0,0,'Données projet'!$E$12+1,1))-AVERAGE(OFFSET($H$3,0,0,'Données projet'!$E$12+1,1))</f>
        <v>246.05217890269194</v>
      </c>
      <c r="CE44" s="59">
        <f t="shared" si="40"/>
        <v>155.54297071424327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242.81538459999999</v>
      </c>
      <c r="CR44" s="12">
        <f>VLOOKUP(A44,'Données projet'!$A$139:$I$159,9,0)</f>
        <v>12.740384613749999</v>
      </c>
      <c r="CS44" s="12">
        <f t="array" ref="CS44">INDEX(CR:CR,MIN(IF(ISNUMBER(CR44:CR240),ROW(CR44:CR240),"")))</f>
        <v>12.740384613749999</v>
      </c>
      <c r="CT44" s="12">
        <f>IF('Données projet'!$A$140&gt;35,CT43+CS44-DB43,IF(A44&lt;'Données projet'!$A$140,$CQ$205^A44,IF(A44='Données projet'!$A$140,'Données projet'!$B$140,CT43+CS44-DB43)))</f>
        <v>242.81538459999996</v>
      </c>
      <c r="CU44" s="17">
        <f>CT44*VLOOKUP('Données projet'!$B$13,Paramètres!$A$1:$I$89,3,0)*VLOOKUP('Données projet'!$B$13,Paramètres!$A$1:$I$89,5,0)</f>
        <v>145.2035999908</v>
      </c>
      <c r="CV44" s="13">
        <f t="shared" si="41"/>
        <v>37.486533461292034</v>
      </c>
      <c r="CW44" s="20">
        <f t="shared" si="13"/>
        <v>318.1853157623936</v>
      </c>
      <c r="CX44" s="59">
        <f t="shared" si="14"/>
        <v>611.51864909572691</v>
      </c>
      <c r="CY44" s="59">
        <f ca="1">AVERAGE(OFFSET($CX$3,0,0,'Données projet'!$E$13+1,1))-AVERAGE(OFFSET($H$3,0,0,'Données projet'!$E$13+1,1))</f>
        <v>237.036496933921</v>
      </c>
      <c r="CZ44" s="59">
        <f t="shared" si="42"/>
        <v>191.04289413665344</v>
      </c>
      <c r="DA44" s="15">
        <f>IF(ISNA(VLOOKUP(A44,'Données projet'!$A$139:$I$159,3,0)),0,VLOOKUP(A44,'Données projet'!$A$139:$I$159,3,0))</f>
        <v>4</v>
      </c>
      <c r="DB44" s="15">
        <f>IF(ISNA(VLOOKUP(A44,'Données projet'!$A$139:$I$159,4,0)),0,VLOOKUP(A44,'Données projet'!$A$139:$I$159,4,0))</f>
        <v>58.484615380000001</v>
      </c>
      <c r="DC44" s="16">
        <f>IF(ISNA(VLOOKUP(A44,'Données projet'!$A$139:$I$159,5,0)),0%,VLOOKUP(A44,'Données projet'!$A$139:$I$159,5,0)*VLOOKUP('Données projet'!$B$13,Paramètres!$A$1:$I$89,7,0))</f>
        <v>0.315</v>
      </c>
      <c r="DD44" s="16">
        <f>IF(ISNA(VLOOKUP(A44,'Données projet'!$A$139:$I$159,6,0)),0%,VLOOKUP(A44,'Données projet'!$A$139:$I$159,6,0)*VLOOKUP('Données projet'!$B$13,Paramètres!$A$1:$I$89,7,0))</f>
        <v>7.6500000000000012E-2</v>
      </c>
      <c r="DE44" s="16">
        <f>IF(ISNA(VLOOKUP(A44,'Données projet'!$A$139:$I$159,7,0)),0%,VLOOKUP(A44,'Données projet'!$A$139:$I$159,7,0))</f>
        <v>0.13</v>
      </c>
      <c r="DF44" s="21">
        <f>EXP(-LN(2)/35)*DF43+(1-EXP(-LN(2)/35))/(LN(2)/35)*DB44*DC44*VLOOKUP('Données projet'!$B$13,Paramètres!$A$1:$I$89,3,0)*0.475*44/12</f>
        <v>30.347946513659323</v>
      </c>
      <c r="DG44" s="21">
        <f>EXP(-LN(2)/25)*DG43+(1-EXP(-LN(2)/25))/(LN(2)/25)*Calculateur!DB44*Calculateur!DD44*VLOOKUP('Données projet'!$B$13,Paramètres!$A$1:$I$89,3,0)*0.475*44/12</f>
        <v>13.240234024929046</v>
      </c>
      <c r="DH44" s="21">
        <f>EXP(-LN(2)/2)*DH43+(1-EXP(-LN(2)/2))/(LN(2)/2)*DB44*DE44*VLOOKUP('Données projet'!$B$13,Paramètres!$A$1:$I$89,3,0)*0.475*44/12</f>
        <v>5.429922282995439</v>
      </c>
      <c r="DI44" s="22">
        <f t="shared" si="15"/>
        <v>49.01810282158381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7.4779487166666678</v>
      </c>
      <c r="DO44" s="12">
        <f>IF('Données projet'!$A$166&gt;35,DO43+DN44-DW43,IF(A44&lt;'Données projet'!$A$166,$DL$205^A44,IF(A44='Données projet'!$A$166,'Données projet'!$B$166,DO43+DN44-DW43)))</f>
        <v>159.6112820333334</v>
      </c>
      <c r="DP44" s="17">
        <f>DO44*VLOOKUP('Données projet'!$B$14,Paramètres!$A$1:$I$89,3,0)*VLOOKUP('Données projet'!$B$14,Paramètres!$A$1:$I$89,5,0)</f>
        <v>95.44754665593338</v>
      </c>
      <c r="DQ44" s="13">
        <f t="shared" si="43"/>
        <v>25.874514857379712</v>
      </c>
      <c r="DR44" s="20">
        <f t="shared" si="16"/>
        <v>211.30259046902029</v>
      </c>
      <c r="DS44" s="59">
        <f t="shared" si="17"/>
        <v>504.6359238023536</v>
      </c>
      <c r="DT44" s="59">
        <f ca="1">AVERAGE(OFFSET($DS$3,0,0,'Données projet'!$E$14+1,1))-AVERAGE(OFFSET($H$3,0,0,'Données projet'!$E$14+1,1))</f>
        <v>148.22129593028302</v>
      </c>
      <c r="DU44" s="59">
        <f t="shared" si="44"/>
        <v>102.97015482019975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148.69296</v>
      </c>
      <c r="EL44" s="13">
        <f t="shared" si="45"/>
        <v>38.281404966971365</v>
      </c>
      <c r="EM44" s="20">
        <f t="shared" si="19"/>
        <v>325.64701898414177</v>
      </c>
      <c r="EN44" s="59">
        <f t="shared" si="20"/>
        <v>618.98035231747508</v>
      </c>
      <c r="EO44" s="59">
        <f ca="1">AVERAGE(OFFSET($EN$3,0,0,'Données projet'!$E$15+1,1))-AVERAGE(OFFSET($H$3,0,0,'Données projet'!$E$15+1,1))</f>
        <v>278.53123771916404</v>
      </c>
      <c r="EP44" s="59">
        <f t="shared" si="46"/>
        <v>283.79094702030869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16.027374071110202</v>
      </c>
      <c r="EW44" s="21">
        <f>EXP(-LN(2)/25)*EW43+(1-EXP(-LN(2)/25))/(LN(2)/25)*Calculateur!ER44*Calculateur!ET44*VLOOKUP('Données projet'!$B$15,Paramètres!$A$1:$I$89,3,0)*0.475*44/12</f>
        <v>11.7099515974111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27.737325668521301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5.4791666666666652</v>
      </c>
      <c r="FE44" s="12">
        <f>IF('Données projet'!$A$218&gt;35,FE43+FD44-FM43,IF(A44&lt;'Données projet'!$A$218,$FB$205^A44,IF(A44='Données projet'!$A$218,'Données projet'!$B$218,FE43+FD44-FM43)))</f>
        <v>135.61698717948721</v>
      </c>
      <c r="FF44" s="17">
        <f>FE44*VLOOKUP('Données projet'!$B$16,Paramètres!$A$1:$I$89,3,0)*VLOOKUP('Données projet'!$B$16,Paramètres!$A$1:$I$89,5,0)</f>
        <v>122.70625000000004</v>
      </c>
      <c r="FG44" s="13">
        <f t="shared" si="47"/>
        <v>32.305366081384335</v>
      </c>
      <c r="FH44" s="20">
        <f t="shared" si="22"/>
        <v>269.97856467507779</v>
      </c>
      <c r="FI44" s="59">
        <f t="shared" si="23"/>
        <v>563.31189800841116</v>
      </c>
      <c r="FJ44" s="59">
        <f ca="1">AVERAGE(OFFSET($FI$3,0,0,'Données projet'!$E$16+1,1))-AVERAGE(OFFSET($H$3,0,0,'Données projet'!$E$16+1,1))</f>
        <v>335.99493768537013</v>
      </c>
      <c r="FK44" s="59">
        <f t="shared" si="48"/>
        <v>150.85164849522778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8.8000000000000007</v>
      </c>
      <c r="FZ44" s="12">
        <f>IF('Données projet'!$A$244&gt;35,FZ43+FY44-GH43,IF(A44&lt;'Données projet'!$A$244,$FW$205^A44,IF(A44='Données projet'!$A$244,'Données projet'!$B$244,FZ43+FY44-GH43)))</f>
        <v>183.8000000000001</v>
      </c>
      <c r="GA44" s="17">
        <f>FZ44*VLOOKUP('Données projet'!$B$17,Paramètres!$A$1:$I$89,3,0)*VLOOKUP('Données projet'!$B$17,Paramètres!$A$1:$I$89,5,0)</f>
        <v>160.56768000000011</v>
      </c>
      <c r="GB44" s="13">
        <f t="shared" si="49"/>
        <v>40.970530810309917</v>
      </c>
      <c r="GC44" s="20">
        <f t="shared" si="25"/>
        <v>351.01238382795663</v>
      </c>
      <c r="GD44" s="59">
        <f t="shared" si="26"/>
        <v>644.34571716128994</v>
      </c>
      <c r="GE44" s="59">
        <f ca="1">AVERAGE(OFFSET($GD$3,0,0,'Données projet'!$E$17+1,1))-AVERAGE(OFFSET($H$3,0,0,'Données projet'!$E$17+1,1))</f>
        <v>319.57811113658374</v>
      </c>
      <c r="GF44" s="59">
        <f t="shared" si="50"/>
        <v>322.03572137403245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5.0483449171652079</v>
      </c>
      <c r="GM44" s="21">
        <f>EXP(-LN(2)/25)*GM43+(1-EXP(-LN(2)/25))/(LN(2)/25)*Calculateur!GH44*Calculateur!GJ44*VLOOKUP('Données projet'!$B$17,Paramètres!$A$1:$I$89,3,0)*0.475*44/12</f>
        <v>15.471102784050911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20.519447701216119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379.17692310000001</v>
      </c>
      <c r="L45" s="12">
        <f>VLOOKUP(A45,'Données projet'!$A$35:$I$55,9,0)</f>
        <v>20.323076935000007</v>
      </c>
      <c r="M45" s="12">
        <f t="array" ref="M45">INDEX(L:L,MIN(IF(ISNUMBER(L45:L241),ROW(L45:L241),"")))</f>
        <v>20.323076935000007</v>
      </c>
      <c r="N45" s="13">
        <f>IF('Données projet'!$A$36&gt;35,N44+M45-V44,IF(A45&lt;'Données projet'!$A$36,$K$205^A45,IF(A45='Données projet'!$A$36,'Données projet'!$B$36,N44+M45-V44)))</f>
        <v>379.17692310000007</v>
      </c>
      <c r="O45" s="13">
        <f>N45*VLOOKUP('Données projet'!$B$9,Paramètres!$A$1:$I$89,3,0)*VLOOKUP('Données projet'!$B$9,Paramètres!$A$1:$I$89,5,0)</f>
        <v>182.38410001110006</v>
      </c>
      <c r="P45" s="13">
        <f t="shared" si="33"/>
        <v>45.85219761816581</v>
      </c>
      <c r="Q45" s="20">
        <f t="shared" si="53"/>
        <v>397.51155170430474</v>
      </c>
      <c r="R45" s="59">
        <f t="shared" si="0"/>
        <v>690.84488503763805</v>
      </c>
      <c r="S45" s="59">
        <f ca="1">AVERAGE(OFFSET($R$3,0,0,'Données projet'!$E$9+1,1))-AVERAGE(OFFSET($H$3,0,0,'Données projet'!$E$9+1,1))</f>
        <v>226.41956082453015</v>
      </c>
      <c r="T45" s="59">
        <f t="shared" si="34"/>
        <v>317.95076157570446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78.223076919999997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193.06410260000001</v>
      </c>
      <c r="AG45" s="12">
        <f>VLOOKUP(A45,'Données projet'!$A$61:$I$81,9,0)</f>
        <v>7.9818376100000004</v>
      </c>
      <c r="AH45" s="12">
        <f t="array" ref="AH45">INDEX(AG:AG,MIN(IF(ISNUMBER(AG45:AG241),ROW(AG45:AG241),"")))</f>
        <v>7.9818376100000004</v>
      </c>
      <c r="AI45" s="13">
        <f>IF('Données projet'!$A$62&gt;35,AI44+AH45-AQ44,IF(A45&lt;'Données projet'!$A$62,$AF$205^A45,IF(A45='Données projet'!$A$62,'Données projet'!$B$62,AI44+AH45-AQ44)))</f>
        <v>193.06410260000013</v>
      </c>
      <c r="AJ45" s="13">
        <f>AI45*VLOOKUP('Données projet'!$B$10,Paramètres!$A$1:$I$89,3,0)*VLOOKUP('Données projet'!$B$10,Paramètres!$A$1:$I$89,5,0)</f>
        <v>165.64900003080012</v>
      </c>
      <c r="AK45" s="13">
        <f t="shared" si="35"/>
        <v>42.114078752979523</v>
      </c>
      <c r="AL45" s="20">
        <f t="shared" si="4"/>
        <v>361.85402888174957</v>
      </c>
      <c r="AM45" s="59">
        <f t="shared" si="5"/>
        <v>655.18736221508289</v>
      </c>
      <c r="AN45" s="59">
        <f ca="1">AVERAGE(OFFSET($AM$3,0,0,'Données projet'!$E$10+1,1))-AVERAGE(OFFSET($H$3,0,0,'Données projet'!$E$10+1,1))</f>
        <v>257.80662231827404</v>
      </c>
      <c r="AO45" s="59">
        <f t="shared" si="36"/>
        <v>184.04558520039876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69.141025639999995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468.72307690000002</v>
      </c>
      <c r="BB45" s="12">
        <f>VLOOKUP(A45,'Données projet'!$A$87:$I$107,9,0)</f>
        <v>22.419230766666676</v>
      </c>
      <c r="BC45" s="12">
        <f t="array" ref="BC45">INDEX(BB:BB,MIN(IF(ISNUMBER(BB45:BB241),ROW(BB45:BB241),"")))</f>
        <v>22.419230766666676</v>
      </c>
      <c r="BD45" s="12">
        <f>IF('Données projet'!$A$88&gt;35,BD44+BC45-BL44,IF(A45&lt;'Données projet'!$A$88,$BA$205^A45,IF(A45='Données projet'!$A$88,'Données projet'!$B$88,BD44+BC45-BL44)))</f>
        <v>468.72307689999974</v>
      </c>
      <c r="BE45" s="13">
        <f>BD45*VLOOKUP('Données projet'!$B$11,Paramètres!$A$1:$I$89,3,0)*VLOOKUP('Données projet'!$B$11,Paramètres!$A$1:$I$89,5,0)</f>
        <v>262.01619998709987</v>
      </c>
      <c r="BF45" s="13">
        <f t="shared" si="37"/>
        <v>63.151956910107273</v>
      </c>
      <c r="BG45" s="20">
        <f t="shared" si="7"/>
        <v>566.33453992930242</v>
      </c>
      <c r="BH45" s="59">
        <f t="shared" si="8"/>
        <v>859.66787326263579</v>
      </c>
      <c r="BI45" s="59">
        <f ca="1">AVERAGE(OFFSET($BH$3,0,0,'Données projet'!$E$11+1,1))-AVERAGE(OFFSET($H$3,0,0,'Données projet'!$E$11+1,1))</f>
        <v>300.90952915835157</v>
      </c>
      <c r="BJ45" s="59">
        <f t="shared" si="38"/>
        <v>402.81783992925256</v>
      </c>
      <c r="BK45" s="15">
        <f>IF(ISNA(VLOOKUP(A45,'Données projet'!$A$87:$I$107,3,0)),0,VLOOKUP(A45,'Données projet'!$A$87:$I$107,3,0))</f>
        <v>5</v>
      </c>
      <c r="BL45" s="15">
        <f>IF(ISNA(VLOOKUP(A45,'Données projet'!$A$87:$I$107,4,0)),0,VLOOKUP(A45,'Données projet'!$A$87:$I$107,4,0))</f>
        <v>73.392307689999996</v>
      </c>
      <c r="BM45" s="16">
        <f>IF(ISNA(VLOOKUP(A45,'Données projet'!$A$87:$I$107,5,0)),0%,VLOOKUP(A45,'Données projet'!$A$87:$I$107,5,0)*VLOOKUP('Données projet'!$B$11,Paramètres!$A$1:$I$89,7,0))</f>
        <v>0.38500000000000001</v>
      </c>
      <c r="BN45" s="16">
        <f>IF(ISNA(VLOOKUP(A45,'Données projet'!$A$87:$I$107,6,0)),0%,VLOOKUP(A45,'Données projet'!$A$87:$I$107,6,0)*VLOOKUP('Données projet'!$B$11,Paramètres!$A$1:$I$89,7,0))</f>
        <v>9.3500000000000014E-2</v>
      </c>
      <c r="BO45" s="16">
        <f>IF(ISNA(VLOOKUP(A45,'Données projet'!$A$87:$I$107,7,0)),0%,VLOOKUP(A45,'Données projet'!$A$87:$I$107,7,0))</f>
        <v>0.13</v>
      </c>
      <c r="BP45" s="21">
        <f>EXP(-LN(2)/35)*BP44+(1-EXP(-LN(2)/35))/(LN(2)/35)*BL45*BM45*VLOOKUP('Données projet'!$B$11,Paramètres!$A$1:$I$89,3,0)*0.475*44/12</f>
        <v>61.831684879904387</v>
      </c>
      <c r="BQ45" s="21">
        <f>EXP(-LN(2)/25)*BQ44+(1-EXP(-LN(2)/25))/(LN(2)/25)*Calculateur!BL45*Calculateur!BN45*VLOOKUP('Données projet'!$B$11,Paramètres!$A$1:$I$89,3,0)*0.475*44/12</f>
        <v>22.26409449216246</v>
      </c>
      <c r="BR45" s="21">
        <f>EXP(-LN(2)/2)*BR44+(1-EXP(-LN(2)/2))/(LN(2)/2)*BL45*BO45*VLOOKUP('Données projet'!$B$11,Paramètres!$A$1:$I$89,3,0)*0.475*44/12</f>
        <v>6.8474055678229515</v>
      </c>
      <c r="BS45" s="22">
        <f t="shared" si="9"/>
        <v>90.94318493988979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13.410256406666665</v>
      </c>
      <c r="BY45" s="12">
        <f>IF('Données projet'!$A$114&gt;35,BY44+BX45-CG44,IF(A45&lt;'Données projet'!$A$114,$BV$205^A45,IF(A45='Données projet'!$A$114,'Données projet'!$B$114,BY44+BX45-CG44)))</f>
        <v>303.29230768000002</v>
      </c>
      <c r="BZ45" s="13">
        <f>BY45*VLOOKUP('Données projet'!$B$12,Paramètres!$A$1:$I$89,3,0)*VLOOKUP('Données projet'!$B$12,Paramètres!$A$1:$I$89,5,0)</f>
        <v>149.82639999392001</v>
      </c>
      <c r="CA45" s="13">
        <f t="shared" si="39"/>
        <v>38.539131738078517</v>
      </c>
      <c r="CB45" s="20">
        <f t="shared" si="10"/>
        <v>328.06996776656405</v>
      </c>
      <c r="CC45" s="59">
        <f t="shared" si="11"/>
        <v>621.40330109989736</v>
      </c>
      <c r="CD45" s="59">
        <f ca="1">AVERAGE(OFFSET($CC$3,0,0,'Données projet'!$E$12+1,1))-AVERAGE(OFFSET($H$3,0,0,'Données projet'!$E$12+1,1))</f>
        <v>246.05217890269194</v>
      </c>
      <c r="CE45" s="59">
        <f t="shared" si="40"/>
        <v>155.54297071424327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11.861538464444449</v>
      </c>
      <c r="CT45" s="12">
        <f>IF('Données projet'!$A$140&gt;35,CT44+CS45-DB44,IF(A45&lt;'Données projet'!$A$140,$CQ$205^A45,IF(A45='Données projet'!$A$140,'Données projet'!$B$140,CT44+CS45-DB44)))</f>
        <v>196.19230768444439</v>
      </c>
      <c r="CU45" s="17">
        <f>CT45*VLOOKUP('Données projet'!$B$13,Paramètres!$A$1:$I$89,3,0)*VLOOKUP('Données projet'!$B$13,Paramètres!$A$1:$I$89,5,0)</f>
        <v>117.32299999529775</v>
      </c>
      <c r="CV45" s="13">
        <f t="shared" si="41"/>
        <v>31.049815551257502</v>
      </c>
      <c r="CW45" s="20">
        <f t="shared" si="13"/>
        <v>258.41598707691702</v>
      </c>
      <c r="CX45" s="59">
        <f t="shared" si="14"/>
        <v>551.74932041025033</v>
      </c>
      <c r="CY45" s="59">
        <f ca="1">AVERAGE(OFFSET($CX$3,0,0,'Données projet'!$E$13+1,1))-AVERAGE(OFFSET($H$3,0,0,'Données projet'!$E$13+1,1))</f>
        <v>237.036496933921</v>
      </c>
      <c r="CZ45" s="59">
        <f t="shared" si="42"/>
        <v>191.04289413665344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29.752841792946086</v>
      </c>
      <c r="DG45" s="21">
        <f>EXP(-LN(2)/25)*DG44+(1-EXP(-LN(2)/25))/(LN(2)/25)*Calculateur!DB45*Calculateur!DD45*VLOOKUP('Données projet'!$B$13,Paramètres!$A$1:$I$89,3,0)*0.475*44/12</f>
        <v>12.878179129243716</v>
      </c>
      <c r="DH45" s="21">
        <f>EXP(-LN(2)/2)*DH44+(1-EXP(-LN(2)/2))/(LN(2)/2)*DB45*DE45*VLOOKUP('Données projet'!$B$13,Paramètres!$A$1:$I$89,3,0)*0.475*44/12</f>
        <v>3.8395348676220147</v>
      </c>
      <c r="DI45" s="22">
        <f t="shared" si="15"/>
        <v>46.470555789811819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7.4779487166666678</v>
      </c>
      <c r="DO45" s="12">
        <f>IF('Données projet'!$A$166&gt;35,DO44+DN45-DW44,IF(A45&lt;'Données projet'!$A$166,$DL$205^A45,IF(A45='Données projet'!$A$166,'Données projet'!$B$166,DO44+DN45-DW44)))</f>
        <v>167.08923075000007</v>
      </c>
      <c r="DP45" s="17">
        <f>DO45*VLOOKUP('Données projet'!$B$14,Paramètres!$A$1:$I$89,3,0)*VLOOKUP('Données projet'!$B$14,Paramètres!$A$1:$I$89,5,0)</f>
        <v>99.919359988500048</v>
      </c>
      <c r="DQ45" s="13">
        <f t="shared" si="43"/>
        <v>26.94278527570161</v>
      </c>
      <c r="DR45" s="20">
        <f t="shared" si="16"/>
        <v>220.95156966848455</v>
      </c>
      <c r="DS45" s="59">
        <f t="shared" si="17"/>
        <v>514.28490300181784</v>
      </c>
      <c r="DT45" s="59">
        <f ca="1">AVERAGE(OFFSET($DS$3,0,0,'Données projet'!$E$14+1,1))-AVERAGE(OFFSET($H$3,0,0,'Données projet'!$E$14+1,1))</f>
        <v>148.22129593028302</v>
      </c>
      <c r="DU45" s="59">
        <f t="shared" si="44"/>
        <v>102.97015482019975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155.87832000000003</v>
      </c>
      <c r="EL45" s="13">
        <f t="shared" si="45"/>
        <v>39.911451633481022</v>
      </c>
      <c r="EM45" s="20">
        <f t="shared" si="19"/>
        <v>341.00051892831283</v>
      </c>
      <c r="EN45" s="59">
        <f t="shared" si="20"/>
        <v>634.33385226164614</v>
      </c>
      <c r="EO45" s="59">
        <f ca="1">AVERAGE(OFFSET($EN$3,0,0,'Données projet'!$E$15+1,1))-AVERAGE(OFFSET($H$3,0,0,'Données projet'!$E$15+1,1))</f>
        <v>278.53123771916404</v>
      </c>
      <c r="EP45" s="59">
        <f t="shared" si="46"/>
        <v>283.79094702030869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15.713087041308642</v>
      </c>
      <c r="EW45" s="21">
        <f>EXP(-LN(2)/25)*EW44+(1-EXP(-LN(2)/25))/(LN(2)/25)*Calculateur!ER45*Calculateur!ET45*VLOOKUP('Données projet'!$B$15,Paramètres!$A$1:$I$89,3,0)*0.475*44/12</f>
        <v>11.389742355180303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27.102829396488943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141.09615384615384</v>
      </c>
      <c r="FC45" s="12">
        <f>VLOOKUP(A45,'Données projet'!$A$217:$I$237,9,0)</f>
        <v>5.4791666666666652</v>
      </c>
      <c r="FD45" s="12">
        <f t="array" ref="FD45">INDEX(FC:FC,MIN(IF(ISNUMBER(FC45:FC241),ROW(FC45:FC241),"")))</f>
        <v>5.4791666666666652</v>
      </c>
      <c r="FE45" s="12">
        <f>IF('Données projet'!$A$218&gt;35,FE44+FD45-FM44,IF(A45&lt;'Données projet'!$A$218,$FB$205^A45,IF(A45='Données projet'!$A$218,'Données projet'!$B$218,FE44+FD45-FM44)))</f>
        <v>141.09615384615387</v>
      </c>
      <c r="FF45" s="17">
        <f>FE45*VLOOKUP('Données projet'!$B$16,Paramètres!$A$1:$I$89,3,0)*VLOOKUP('Données projet'!$B$16,Paramètres!$A$1:$I$89,5,0)</f>
        <v>127.66380000000002</v>
      </c>
      <c r="FG45" s="13">
        <f t="shared" si="47"/>
        <v>33.455963688122218</v>
      </c>
      <c r="FH45" s="20">
        <f t="shared" si="22"/>
        <v>280.61692175681293</v>
      </c>
      <c r="FI45" s="59">
        <f t="shared" si="23"/>
        <v>573.95025509014624</v>
      </c>
      <c r="FJ45" s="59">
        <f ca="1">AVERAGE(OFFSET($FI$3,0,0,'Données projet'!$E$16+1,1))-AVERAGE(OFFSET($H$3,0,0,'Données projet'!$E$16+1,1))</f>
        <v>335.99493768537013</v>
      </c>
      <c r="FK45" s="59">
        <f t="shared" si="48"/>
        <v>150.85164849522778</v>
      </c>
      <c r="FL45" s="15">
        <f>IF(ISNA(VLOOKUP(A45,'Données projet'!$A$217:$I$237,3,0)),0,VLOOKUP(A45,'Données projet'!$A$217:$I$237,3,0))</f>
        <v>1</v>
      </c>
      <c r="FM45" s="15">
        <f>IF(ISNA(VLOOKUP(A45,'Données projet'!$A$217:$I$237,4,0)),0,VLOOKUP(A45,'Données projet'!$A$217:$I$237,4,0))</f>
        <v>38.685897435897438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8.8000000000000007</v>
      </c>
      <c r="FZ45" s="12">
        <f>IF('Données projet'!$A$244&gt;35,FZ44+FY45-GH44,IF(A45&lt;'Données projet'!$A$244,$FW$205^A45,IF(A45='Données projet'!$A$244,'Données projet'!$B$244,FZ44+FY45-GH44)))</f>
        <v>192.60000000000011</v>
      </c>
      <c r="GA45" s="17">
        <f>FZ45*VLOOKUP('Données projet'!$B$17,Paramètres!$A$1:$I$89,3,0)*VLOOKUP('Données projet'!$B$17,Paramètres!$A$1:$I$89,5,0)</f>
        <v>168.25536000000011</v>
      </c>
      <c r="GB45" s="13">
        <f t="shared" si="49"/>
        <v>42.699047982710923</v>
      </c>
      <c r="GC45" s="20">
        <f t="shared" si="25"/>
        <v>367.41226056988836</v>
      </c>
      <c r="GD45" s="59">
        <f t="shared" si="26"/>
        <v>660.74559390322167</v>
      </c>
      <c r="GE45" s="59">
        <f ca="1">AVERAGE(OFFSET($GD$3,0,0,'Données projet'!$E$17+1,1))-AVERAGE(OFFSET($H$3,0,0,'Données projet'!$E$17+1,1))</f>
        <v>319.57811113658374</v>
      </c>
      <c r="GF45" s="59">
        <f t="shared" si="50"/>
        <v>322.03572137403245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4.949349952525953</v>
      </c>
      <c r="GM45" s="21">
        <f>EXP(-LN(2)/25)*GM44+(1-EXP(-LN(2)/25))/(LN(2)/25)*Calculateur!GH45*Calculateur!GJ45*VLOOKUP('Données projet'!$B$17,Paramètres!$A$1:$I$89,3,0)*0.475*44/12</f>
        <v>15.048044664831103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19.997394617357056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18.898717936666667</v>
      </c>
      <c r="N46" s="13">
        <f>IF('Données projet'!$A$36&gt;35,N45+M46-V45,IF(A46&lt;'Données projet'!$A$36,$K$205^A46,IF(A46='Données projet'!$A$36,'Données projet'!$B$36,N45+M46-V45)))</f>
        <v>319.85256411666677</v>
      </c>
      <c r="O46" s="13">
        <f>N46*VLOOKUP('Données projet'!$B$9,Paramètres!$A$1:$I$89,3,0)*VLOOKUP('Données projet'!$B$9,Paramètres!$A$1:$I$89,5,0)</f>
        <v>153.84908334011672</v>
      </c>
      <c r="P46" s="13">
        <f t="shared" si="33"/>
        <v>39.45200958691845</v>
      </c>
      <c r="Q46" s="20">
        <f t="shared" si="53"/>
        <v>336.66607018125291</v>
      </c>
      <c r="R46" s="59">
        <f t="shared" si="0"/>
        <v>629.99940351458622</v>
      </c>
      <c r="S46" s="59">
        <f ca="1">AVERAGE(OFFSET($R$3,0,0,'Données projet'!$E$9+1,1))-AVERAGE(OFFSET($H$3,0,0,'Données projet'!$E$9+1,1))</f>
        <v>226.41956082453015</v>
      </c>
      <c r="T46" s="59">
        <f t="shared" si="34"/>
        <v>317.95076157570446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10.449786323333329</v>
      </c>
      <c r="AI46" s="13">
        <f>IF('Données projet'!$A$62&gt;35,AI45+AH46-AQ45,IF(A46&lt;'Données projet'!$A$62,$AF$205^A46,IF(A46='Données projet'!$A$62,'Données projet'!$B$62,AI45+AH46-AQ45)))</f>
        <v>134.37286328333346</v>
      </c>
      <c r="AJ46" s="13">
        <f>AI46*VLOOKUP('Données projet'!$B$10,Paramètres!$A$1:$I$89,3,0)*VLOOKUP('Données projet'!$B$10,Paramètres!$A$1:$I$89,5,0)</f>
        <v>115.29191669710012</v>
      </c>
      <c r="AK46" s="13">
        <f t="shared" si="35"/>
        <v>30.574371406241287</v>
      </c>
      <c r="AL46" s="20">
        <f t="shared" si="4"/>
        <v>254.05045177998628</v>
      </c>
      <c r="AM46" s="59">
        <f t="shared" si="5"/>
        <v>547.38378511331962</v>
      </c>
      <c r="AN46" s="59">
        <f ca="1">AVERAGE(OFFSET($AM$3,0,0,'Données projet'!$E$10+1,1))-AVERAGE(OFFSET($H$3,0,0,'Données projet'!$E$10+1,1))</f>
        <v>257.80662231827404</v>
      </c>
      <c r="AO46" s="59">
        <f t="shared" si="36"/>
        <v>184.04558520039876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21.625641031666657</v>
      </c>
      <c r="BD46" s="12">
        <f>IF('Données projet'!$A$88&gt;35,BD45+BC46-BL45,IF(A46&lt;'Données projet'!$A$88,$BA$205^A46,IF(A46='Données projet'!$A$88,'Données projet'!$B$88,BD45+BC46-BL45)))</f>
        <v>416.95641024166639</v>
      </c>
      <c r="BE46" s="13">
        <f>BD46*VLOOKUP('Données projet'!$B$11,Paramètres!$A$1:$I$89,3,0)*VLOOKUP('Données projet'!$B$11,Paramètres!$A$1:$I$89,5,0)</f>
        <v>233.07863332509152</v>
      </c>
      <c r="BF46" s="13">
        <f t="shared" si="37"/>
        <v>56.94783802187419</v>
      </c>
      <c r="BG46" s="20">
        <f t="shared" si="7"/>
        <v>505.12943759596516</v>
      </c>
      <c r="BH46" s="59">
        <f t="shared" si="8"/>
        <v>798.46277092929847</v>
      </c>
      <c r="BI46" s="59">
        <f ca="1">AVERAGE(OFFSET($BH$3,0,0,'Données projet'!$E$11+1,1))-AVERAGE(OFFSET($H$3,0,0,'Données projet'!$E$11+1,1))</f>
        <v>300.90952915835157</v>
      </c>
      <c r="BJ46" s="59">
        <f t="shared" si="38"/>
        <v>402.81783992925256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60.619203253013332</v>
      </c>
      <c r="BQ46" s="21">
        <f>EXP(-LN(2)/25)*BQ45+(1-EXP(-LN(2)/25))/(LN(2)/25)*Calculateur!BL46*Calculateur!BN46*VLOOKUP('Données projet'!$B$11,Paramètres!$A$1:$I$89,3,0)*0.475*44/12</f>
        <v>21.655281657456435</v>
      </c>
      <c r="BR46" s="21">
        <f>EXP(-LN(2)/2)*BR45+(1-EXP(-LN(2)/2))/(LN(2)/2)*BL46*BO46*VLOOKUP('Données projet'!$B$11,Paramètres!$A$1:$I$89,3,0)*0.475*44/12</f>
        <v>4.8418469105421309</v>
      </c>
      <c r="BS46" s="22">
        <f t="shared" si="9"/>
        <v>87.116331821011897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13.410256406666665</v>
      </c>
      <c r="BY46" s="12">
        <f>IF('Données projet'!$A$114&gt;35,BY45+BX46-CG45,IF(A46&lt;'Données projet'!$A$114,$BV$205^A46,IF(A46='Données projet'!$A$114,'Données projet'!$B$114,BY45+BX46-CG45)))</f>
        <v>316.70256408666671</v>
      </c>
      <c r="BZ46" s="13">
        <f>BY46*VLOOKUP('Données projet'!$B$12,Paramètres!$A$1:$I$89,3,0)*VLOOKUP('Données projet'!$B$12,Paramètres!$A$1:$I$89,5,0)</f>
        <v>156.45106665881337</v>
      </c>
      <c r="CA46" s="13">
        <f t="shared" si="39"/>
        <v>40.041001605645192</v>
      </c>
      <c r="CB46" s="20">
        <f t="shared" si="10"/>
        <v>342.22368556059865</v>
      </c>
      <c r="CC46" s="59">
        <f t="shared" si="11"/>
        <v>635.55701889393197</v>
      </c>
      <c r="CD46" s="59">
        <f ca="1">AVERAGE(OFFSET($CC$3,0,0,'Données projet'!$E$12+1,1))-AVERAGE(OFFSET($H$3,0,0,'Données projet'!$E$12+1,1))</f>
        <v>246.05217890269194</v>
      </c>
      <c r="CE46" s="59">
        <f t="shared" si="40"/>
        <v>155.54297071424327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11.861538464444449</v>
      </c>
      <c r="CT46" s="12">
        <f>IF('Données projet'!$A$140&gt;35,CT45+CS46-DB45,IF(A46&lt;'Données projet'!$A$140,$CQ$205^A46,IF(A46='Données projet'!$A$140,'Données projet'!$B$140,CT45+CS46-DB45)))</f>
        <v>208.05384614888882</v>
      </c>
      <c r="CU46" s="17">
        <f>CT46*VLOOKUP('Données projet'!$B$13,Paramètres!$A$1:$I$89,3,0)*VLOOKUP('Données projet'!$B$13,Paramètres!$A$1:$I$89,5,0)</f>
        <v>124.41619999703552</v>
      </c>
      <c r="CV46" s="13">
        <f t="shared" si="41"/>
        <v>32.702828933394834</v>
      </c>
      <c r="CW46" s="20">
        <f t="shared" si="13"/>
        <v>273.64897538716622</v>
      </c>
      <c r="CX46" s="59">
        <f t="shared" si="14"/>
        <v>566.98230872049953</v>
      </c>
      <c r="CY46" s="59">
        <f ca="1">AVERAGE(OFFSET($CX$3,0,0,'Données projet'!$E$13+1,1))-AVERAGE(OFFSET($H$3,0,0,'Données projet'!$E$13+1,1))</f>
        <v>237.036496933921</v>
      </c>
      <c r="CZ46" s="59">
        <f t="shared" si="42"/>
        <v>191.04289413665344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29.169406712827996</v>
      </c>
      <c r="DG46" s="21">
        <f>EXP(-LN(2)/25)*DG45+(1-EXP(-LN(2)/25))/(LN(2)/25)*Calculateur!DB46*Calculateur!DD46*VLOOKUP('Données projet'!$B$13,Paramètres!$A$1:$I$89,3,0)*0.475*44/12</f>
        <v>12.52602464372054</v>
      </c>
      <c r="DH46" s="21">
        <f>EXP(-LN(2)/2)*DH45+(1-EXP(-LN(2)/2))/(LN(2)/2)*DB46*DE46*VLOOKUP('Données projet'!$B$13,Paramètres!$A$1:$I$89,3,0)*0.475*44/12</f>
        <v>2.7149611414977199</v>
      </c>
      <c r="DI46" s="22">
        <f t="shared" si="15"/>
        <v>44.410392498046257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7.4779487166666678</v>
      </c>
      <c r="DO46" s="12">
        <f>IF('Données projet'!$A$166&gt;35,DO45+DN46-DW45,IF(A46&lt;'Données projet'!$A$166,$DL$205^A46,IF(A46='Données projet'!$A$166,'Données projet'!$B$166,DO45+DN46-DW45)))</f>
        <v>174.56717946666674</v>
      </c>
      <c r="DP46" s="17">
        <f>DO46*VLOOKUP('Données projet'!$B$14,Paramètres!$A$1:$I$89,3,0)*VLOOKUP('Données projet'!$B$14,Paramètres!$A$1:$I$89,5,0)</f>
        <v>104.39117332106672</v>
      </c>
      <c r="DQ46" s="13">
        <f t="shared" si="43"/>
        <v>28.00550316791746</v>
      </c>
      <c r="DR46" s="20">
        <f t="shared" si="16"/>
        <v>230.59087821831409</v>
      </c>
      <c r="DS46" s="59">
        <f t="shared" si="17"/>
        <v>523.92421155164743</v>
      </c>
      <c r="DT46" s="59">
        <f ca="1">AVERAGE(OFFSET($DS$3,0,0,'Données projet'!$E$14+1,1))-AVERAGE(OFFSET($H$3,0,0,'Données projet'!$E$14+1,1))</f>
        <v>148.22129593028302</v>
      </c>
      <c r="DU46" s="59">
        <f t="shared" si="44"/>
        <v>102.97015482019975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163.06368000000001</v>
      </c>
      <c r="EL46" s="13">
        <f t="shared" si="45"/>
        <v>41.532772330984628</v>
      </c>
      <c r="EM46" s="20">
        <f t="shared" si="19"/>
        <v>356.33882114313155</v>
      </c>
      <c r="EN46" s="59">
        <f t="shared" si="20"/>
        <v>649.67215447646481</v>
      </c>
      <c r="EO46" s="59">
        <f ca="1">AVERAGE(OFFSET($EN$3,0,0,'Données projet'!$E$15+1,1))-AVERAGE(OFFSET($H$3,0,0,'Données projet'!$E$15+1,1))</f>
        <v>278.53123771916404</v>
      </c>
      <c r="EP46" s="59">
        <f t="shared" si="46"/>
        <v>283.79094702030869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15.404962988465329</v>
      </c>
      <c r="EW46" s="21">
        <f>EXP(-LN(2)/25)*EW45+(1-EXP(-LN(2)/25))/(LN(2)/25)*Calculateur!ER46*Calculateur!ET46*VLOOKUP('Données projet'!$B$15,Paramètres!$A$1:$I$89,3,0)*0.475*44/12</f>
        <v>11.078289251517379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26.483252239982708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7.143429487179489</v>
      </c>
      <c r="FE46" s="12">
        <f>IF('Données projet'!$A$218&gt;35,FE45+FD46-FM45,IF(A46&lt;'Données projet'!$A$218,$FB$205^A46,IF(A46='Données projet'!$A$218,'Données projet'!$B$218,FE45+FD46-FM45)))</f>
        <v>109.55368589743594</v>
      </c>
      <c r="FF46" s="17">
        <f>FE46*VLOOKUP('Données projet'!$B$16,Paramètres!$A$1:$I$89,3,0)*VLOOKUP('Données projet'!$B$16,Paramètres!$A$1:$I$89,5,0)</f>
        <v>99.124175000000037</v>
      </c>
      <c r="FG46" s="13">
        <f t="shared" si="47"/>
        <v>26.753237614333433</v>
      </c>
      <c r="FH46" s="20">
        <f t="shared" si="22"/>
        <v>219.2364936366308</v>
      </c>
      <c r="FI46" s="59">
        <f t="shared" si="23"/>
        <v>512.56982696996408</v>
      </c>
      <c r="FJ46" s="59">
        <f ca="1">AVERAGE(OFFSET($FI$3,0,0,'Données projet'!$E$16+1,1))-AVERAGE(OFFSET($H$3,0,0,'Données projet'!$E$16+1,1))</f>
        <v>335.99493768537013</v>
      </c>
      <c r="FK46" s="59">
        <f t="shared" si="48"/>
        <v>150.85164849522778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8.8000000000000007</v>
      </c>
      <c r="FZ46" s="12">
        <f>IF('Données projet'!$A$244&gt;35,FZ45+FY46-GH45,IF(A46&lt;'Données projet'!$A$244,$FW$205^A46,IF(A46='Données projet'!$A$244,'Données projet'!$B$244,FZ45+FY46-GH45)))</f>
        <v>201.40000000000012</v>
      </c>
      <c r="GA46" s="17">
        <f>FZ46*VLOOKUP('Données projet'!$B$17,Paramètres!$A$1:$I$89,3,0)*VLOOKUP('Données projet'!$B$17,Paramètres!$A$1:$I$89,5,0)</f>
        <v>175.94304000000014</v>
      </c>
      <c r="GB46" s="13">
        <f t="shared" si="49"/>
        <v>44.418393276556458</v>
      </c>
      <c r="GC46" s="20">
        <f t="shared" si="25"/>
        <v>383.79616295666938</v>
      </c>
      <c r="GD46" s="59">
        <f t="shared" si="26"/>
        <v>677.12949629000263</v>
      </c>
      <c r="GE46" s="59">
        <f ca="1">AVERAGE(OFFSET($GD$3,0,0,'Données projet'!$E$17+1,1))-AVERAGE(OFFSET($H$3,0,0,'Données projet'!$E$17+1,1))</f>
        <v>319.57811113658374</v>
      </c>
      <c r="GF46" s="59">
        <f t="shared" si="50"/>
        <v>322.03572137403245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4.8522962187623078</v>
      </c>
      <c r="GM46" s="21">
        <f>EXP(-LN(2)/25)*GM45+(1-EXP(-LN(2)/25))/(LN(2)/25)*Calculateur!GH46*Calculateur!GJ46*VLOOKUP('Données projet'!$B$17,Paramètres!$A$1:$I$89,3,0)*0.475*44/12</f>
        <v>14.63655509212902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19.488851310891327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18.898717936666667</v>
      </c>
      <c r="N47" s="13">
        <f>IF('Données projet'!$A$36&gt;35,N46+M47-V46,IF(A47&lt;'Données projet'!$A$36,$K$205^A47,IF(A47='Données projet'!$A$36,'Données projet'!$B$36,N46+M47-V46)))</f>
        <v>338.75128205333345</v>
      </c>
      <c r="O47" s="13">
        <f>N47*VLOOKUP('Données projet'!$B$9,Paramètres!$A$1:$I$89,3,0)*VLOOKUP('Données projet'!$B$9,Paramètres!$A$1:$I$89,5,0)</f>
        <v>162.93936666765339</v>
      </c>
      <c r="P47" s="13">
        <f t="shared" si="33"/>
        <v>41.504793705679091</v>
      </c>
      <c r="Q47" s="20">
        <f t="shared" si="53"/>
        <v>356.07357931688739</v>
      </c>
      <c r="R47" s="59">
        <f t="shared" si="0"/>
        <v>649.40691265022065</v>
      </c>
      <c r="S47" s="59">
        <f ca="1">AVERAGE(OFFSET($R$3,0,0,'Données projet'!$E$9+1,1))-AVERAGE(OFFSET($H$3,0,0,'Données projet'!$E$9+1,1))</f>
        <v>226.41956082453015</v>
      </c>
      <c r="T47" s="59">
        <f t="shared" si="34"/>
        <v>317.95076157570446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10.449786323333329</v>
      </c>
      <c r="AI47" s="13">
        <f>IF('Données projet'!$A$62&gt;35,AI46+AH47-AQ46,IF(A47&lt;'Données projet'!$A$62,$AF$205^A47,IF(A47='Données projet'!$A$62,'Données projet'!$B$62,AI46+AH47-AQ46)))</f>
        <v>144.8226496066668</v>
      </c>
      <c r="AJ47" s="13">
        <f>AI47*VLOOKUP('Données projet'!$B$10,Paramètres!$A$1:$I$89,3,0)*VLOOKUP('Données projet'!$B$10,Paramètres!$A$1:$I$89,5,0)</f>
        <v>124.25783336252013</v>
      </c>
      <c r="AK47" s="13">
        <f t="shared" si="35"/>
        <v>32.666044847176124</v>
      </c>
      <c r="AL47" s="20">
        <f t="shared" si="4"/>
        <v>273.30908788188759</v>
      </c>
      <c r="AM47" s="59">
        <f t="shared" si="5"/>
        <v>566.64242121522091</v>
      </c>
      <c r="AN47" s="59">
        <f ca="1">AVERAGE(OFFSET($AM$3,0,0,'Données projet'!$E$10+1,1))-AVERAGE(OFFSET($H$3,0,0,'Données projet'!$E$10+1,1))</f>
        <v>257.80662231827404</v>
      </c>
      <c r="AO47" s="59">
        <f t="shared" si="36"/>
        <v>184.04558520039876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21.625641031666657</v>
      </c>
      <c r="BD47" s="12">
        <f>IF('Données projet'!$A$88&gt;35,BD46+BC47-BL46,IF(A47&lt;'Données projet'!$A$88,$BA$205^A47,IF(A47='Données projet'!$A$88,'Données projet'!$B$88,BD46+BC47-BL46)))</f>
        <v>438.58205127333304</v>
      </c>
      <c r="BE47" s="13">
        <f>BD47*VLOOKUP('Données projet'!$B$11,Paramètres!$A$1:$I$89,3,0)*VLOOKUP('Données projet'!$B$11,Paramètres!$A$1:$I$89,5,0)</f>
        <v>245.16736666179318</v>
      </c>
      <c r="BF47" s="13">
        <f t="shared" si="37"/>
        <v>59.549932467137261</v>
      </c>
      <c r="BG47" s="20">
        <f t="shared" si="7"/>
        <v>530.71596264955372</v>
      </c>
      <c r="BH47" s="59">
        <f t="shared" si="8"/>
        <v>824.04929598288709</v>
      </c>
      <c r="BI47" s="59">
        <f ca="1">AVERAGE(OFFSET($BH$3,0,0,'Données projet'!$E$11+1,1))-AVERAGE(OFFSET($H$3,0,0,'Données projet'!$E$11+1,1))</f>
        <v>300.90952915835157</v>
      </c>
      <c r="BJ47" s="59">
        <f t="shared" si="38"/>
        <v>402.81783992925256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59.430497651284838</v>
      </c>
      <c r="BQ47" s="21">
        <f>EXP(-LN(2)/25)*BQ46+(1-EXP(-LN(2)/25))/(LN(2)/25)*Calculateur!BL47*Calculateur!BN47*VLOOKUP('Données projet'!$B$11,Paramètres!$A$1:$I$89,3,0)*0.475*44/12</f>
        <v>21.063116841731521</v>
      </c>
      <c r="BR47" s="21">
        <f>EXP(-LN(2)/2)*BR46+(1-EXP(-LN(2)/2))/(LN(2)/2)*BL47*BO47*VLOOKUP('Données projet'!$B$11,Paramètres!$A$1:$I$89,3,0)*0.475*44/12</f>
        <v>3.4237027839114758</v>
      </c>
      <c r="BS47" s="22">
        <f t="shared" si="9"/>
        <v>83.917317276927847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13.410256406666665</v>
      </c>
      <c r="BY47" s="12">
        <f>IF('Données projet'!$A$114&gt;35,BY46+BX47-CG46,IF(A47&lt;'Données projet'!$A$114,$BV$205^A47,IF(A47='Données projet'!$A$114,'Données projet'!$B$114,BY46+BX47-CG46)))</f>
        <v>330.1128204933334</v>
      </c>
      <c r="BZ47" s="13">
        <f>BY47*VLOOKUP('Données projet'!$B$12,Paramètres!$A$1:$I$89,3,0)*VLOOKUP('Données projet'!$B$12,Paramètres!$A$1:$I$89,5,0)</f>
        <v>163.07573332370671</v>
      </c>
      <c r="CA47" s="13">
        <f t="shared" si="39"/>
        <v>41.535484984600366</v>
      </c>
      <c r="CB47" s="20">
        <f t="shared" si="10"/>
        <v>356.36453855363487</v>
      </c>
      <c r="CC47" s="59">
        <f t="shared" si="11"/>
        <v>649.69787188696819</v>
      </c>
      <c r="CD47" s="59">
        <f ca="1">AVERAGE(OFFSET($CC$3,0,0,'Données projet'!$E$12+1,1))-AVERAGE(OFFSET($H$3,0,0,'Données projet'!$E$12+1,1))</f>
        <v>246.05217890269194</v>
      </c>
      <c r="CE47" s="59">
        <f t="shared" si="40"/>
        <v>155.54297071424327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11.861538464444449</v>
      </c>
      <c r="CT47" s="12">
        <f>IF('Données projet'!$A$140&gt;35,CT46+CS47-DB46,IF(A47&lt;'Données projet'!$A$140,$CQ$205^A47,IF(A47='Données projet'!$A$140,'Données projet'!$B$140,CT46+CS47-DB46)))</f>
        <v>219.91538461333326</v>
      </c>
      <c r="CU47" s="17">
        <f>CT47*VLOOKUP('Données projet'!$B$13,Paramètres!$A$1:$I$89,3,0)*VLOOKUP('Données projet'!$B$13,Paramètres!$A$1:$I$89,5,0)</f>
        <v>131.50939999877329</v>
      </c>
      <c r="CV47" s="13">
        <f t="shared" si="41"/>
        <v>34.344902681498482</v>
      </c>
      <c r="CW47" s="20">
        <f t="shared" si="13"/>
        <v>288.86291050147327</v>
      </c>
      <c r="CX47" s="59">
        <f t="shared" si="14"/>
        <v>582.19624383480664</v>
      </c>
      <c r="CY47" s="59">
        <f ca="1">AVERAGE(OFFSET($CX$3,0,0,'Données projet'!$E$13+1,1))-AVERAGE(OFFSET($H$3,0,0,'Données projet'!$E$13+1,1))</f>
        <v>237.036496933921</v>
      </c>
      <c r="CZ47" s="59">
        <f t="shared" si="42"/>
        <v>191.04289413665344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28.59741243877076</v>
      </c>
      <c r="DG47" s="21">
        <f>EXP(-LN(2)/25)*DG46+(1-EXP(-LN(2)/25))/(LN(2)/25)*Calculateur!DB47*Calculateur!DD47*VLOOKUP('Données projet'!$B$13,Paramètres!$A$1:$I$89,3,0)*0.475*44/12</f>
        <v>12.183499841122995</v>
      </c>
      <c r="DH47" s="21">
        <f>EXP(-LN(2)/2)*DH46+(1-EXP(-LN(2)/2))/(LN(2)/2)*DB47*DE47*VLOOKUP('Données projet'!$B$13,Paramètres!$A$1:$I$89,3,0)*0.475*44/12</f>
        <v>1.9197674338110078</v>
      </c>
      <c r="DI47" s="22">
        <f t="shared" si="15"/>
        <v>42.700679713704766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7.4779487166666678</v>
      </c>
      <c r="DO47" s="12">
        <f>IF('Données projet'!$A$166&gt;35,DO46+DN47-DW46,IF(A47&lt;'Données projet'!$A$166,$DL$205^A47,IF(A47='Données projet'!$A$166,'Données projet'!$B$166,DO46+DN47-DW46)))</f>
        <v>182.04512818333342</v>
      </c>
      <c r="DP47" s="17">
        <f>DO47*VLOOKUP('Données projet'!$B$14,Paramètres!$A$1:$I$89,3,0)*VLOOKUP('Données projet'!$B$14,Paramètres!$A$1:$I$89,5,0)</f>
        <v>108.8629866536334</v>
      </c>
      <c r="DQ47" s="13">
        <f t="shared" si="43"/>
        <v>29.06293357875478</v>
      </c>
      <c r="DR47" s="20">
        <f t="shared" si="16"/>
        <v>240.22097773807607</v>
      </c>
      <c r="DS47" s="59">
        <f t="shared" si="17"/>
        <v>533.55431107140942</v>
      </c>
      <c r="DT47" s="59">
        <f ca="1">AVERAGE(OFFSET($DS$3,0,0,'Données projet'!$E$14+1,1))-AVERAGE(OFFSET($H$3,0,0,'Données projet'!$E$14+1,1))</f>
        <v>148.22129593028302</v>
      </c>
      <c r="DU47" s="59">
        <f t="shared" si="44"/>
        <v>102.97015482019975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170.24904000000004</v>
      </c>
      <c r="EL47" s="13">
        <f t="shared" si="45"/>
        <v>43.145795507930117</v>
      </c>
      <c r="EM47" s="20">
        <f t="shared" si="19"/>
        <v>371.6626718429784</v>
      </c>
      <c r="EN47" s="59">
        <f t="shared" si="20"/>
        <v>664.99600517631166</v>
      </c>
      <c r="EO47" s="59">
        <f ca="1">AVERAGE(OFFSET($EN$3,0,0,'Données projet'!$E$15+1,1))-AVERAGE(OFFSET($H$3,0,0,'Données projet'!$E$15+1,1))</f>
        <v>278.53123771916404</v>
      </c>
      <c r="EP47" s="59">
        <f t="shared" si="46"/>
        <v>283.79094702030869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15.102881060361158</v>
      </c>
      <c r="EW47" s="21">
        <f>EXP(-LN(2)/25)*EW46+(1-EXP(-LN(2)/25))/(LN(2)/25)*Calculateur!ER47*Calculateur!ET47*VLOOKUP('Données projet'!$B$15,Paramètres!$A$1:$I$89,3,0)*0.475*44/12</f>
        <v>10.775352849352725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25.878233909713884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7.143429487179489</v>
      </c>
      <c r="FE47" s="12">
        <f>IF('Données projet'!$A$218&gt;35,FE46+FD47-FM46,IF(A47&lt;'Données projet'!$A$218,$FB$205^A47,IF(A47='Données projet'!$A$218,'Données projet'!$B$218,FE46+FD47-FM46)))</f>
        <v>116.69711538461543</v>
      </c>
      <c r="FF47" s="17">
        <f>FE47*VLOOKUP('Données projet'!$B$16,Paramètres!$A$1:$I$89,3,0)*VLOOKUP('Données projet'!$B$16,Paramètres!$A$1:$I$89,5,0)</f>
        <v>105.58755000000002</v>
      </c>
      <c r="FG47" s="13">
        <f t="shared" si="47"/>
        <v>28.288912863611589</v>
      </c>
      <c r="FH47" s="20">
        <f t="shared" si="22"/>
        <v>233.16817282079023</v>
      </c>
      <c r="FI47" s="59">
        <f t="shared" si="23"/>
        <v>526.50150615412349</v>
      </c>
      <c r="FJ47" s="59">
        <f ca="1">AVERAGE(OFFSET($FI$3,0,0,'Données projet'!$E$16+1,1))-AVERAGE(OFFSET($H$3,0,0,'Données projet'!$E$16+1,1))</f>
        <v>335.99493768537013</v>
      </c>
      <c r="FK47" s="59">
        <f t="shared" si="48"/>
        <v>150.85164849522778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8.8000000000000007</v>
      </c>
      <c r="FZ47" s="12">
        <f>IF('Données projet'!$A$244&gt;35,FZ46+FY47-GH46,IF(A47&lt;'Données projet'!$A$244,$FW$205^A47,IF(A47='Données projet'!$A$244,'Données projet'!$B$244,FZ46+FY47-GH46)))</f>
        <v>210.20000000000013</v>
      </c>
      <c r="GA47" s="17">
        <f>FZ47*VLOOKUP('Données projet'!$B$17,Paramètres!$A$1:$I$89,3,0)*VLOOKUP('Données projet'!$B$17,Paramètres!$A$1:$I$89,5,0)</f>
        <v>183.63072000000014</v>
      </c>
      <c r="GB47" s="13">
        <f t="shared" si="49"/>
        <v>46.129013251634483</v>
      </c>
      <c r="GC47" s="20">
        <f t="shared" si="25"/>
        <v>400.16486874659699</v>
      </c>
      <c r="GD47" s="59">
        <f t="shared" si="26"/>
        <v>693.49820207993025</v>
      </c>
      <c r="GE47" s="59">
        <f ca="1">AVERAGE(OFFSET($GD$3,0,0,'Données projet'!$E$17+1,1))-AVERAGE(OFFSET($H$3,0,0,'Données projet'!$E$17+1,1))</f>
        <v>319.57811113658374</v>
      </c>
      <c r="GF47" s="59">
        <f t="shared" si="50"/>
        <v>322.03572137403245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4.7571456495208349</v>
      </c>
      <c r="GM47" s="21">
        <f>EXP(-LN(2)/25)*GM46+(1-EXP(-LN(2)/25))/(LN(2)/25)*Calculateur!GH47*Calculateur!GJ47*VLOOKUP('Données projet'!$B$17,Paramètres!$A$1:$I$89,3,0)*0.475*44/12</f>
        <v>14.236317723431773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18.993463372952608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18.898717936666667</v>
      </c>
      <c r="N48" s="13">
        <f>IF('Données projet'!$A$36&gt;35,N47+M48-V47,IF(A48&lt;'Données projet'!$A$36,$K$205^A48,IF(A48='Données projet'!$A$36,'Données projet'!$B$36,N47+M48-V47)))</f>
        <v>357.64999999000014</v>
      </c>
      <c r="O48" s="13">
        <f>N48*VLOOKUP('Données projet'!$B$9,Paramètres!$A$1:$I$89,3,0)*VLOOKUP('Données projet'!$B$9,Paramètres!$A$1:$I$89,5,0)</f>
        <v>172.02964999519008</v>
      </c>
      <c r="P48" s="13">
        <f t="shared" si="33"/>
        <v>43.544283197358396</v>
      </c>
      <c r="Q48" s="20">
        <f t="shared" si="53"/>
        <v>375.45793364368859</v>
      </c>
      <c r="R48" s="59">
        <f t="shared" si="0"/>
        <v>668.79126697702191</v>
      </c>
      <c r="S48" s="59">
        <f ca="1">AVERAGE(OFFSET($R$3,0,0,'Données projet'!$E$9+1,1))-AVERAGE(OFFSET($H$3,0,0,'Données projet'!$E$9+1,1))</f>
        <v>226.41956082453015</v>
      </c>
      <c r="T48" s="59">
        <f t="shared" si="34"/>
        <v>317.95076157570446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10.449786323333329</v>
      </c>
      <c r="AI48" s="13">
        <f>IF('Données projet'!$A$62&gt;35,AI47+AH48-AQ47,IF(A48&lt;'Données projet'!$A$62,$AF$205^A48,IF(A48='Données projet'!$A$62,'Données projet'!$B$62,AI47+AH48-AQ47)))</f>
        <v>155.27243593000014</v>
      </c>
      <c r="AJ48" s="13">
        <f>AI48*VLOOKUP('Données projet'!$B$10,Paramètres!$A$1:$I$89,3,0)*VLOOKUP('Données projet'!$B$10,Paramètres!$A$1:$I$89,5,0)</f>
        <v>133.22375002794016</v>
      </c>
      <c r="AK48" s="13">
        <f t="shared" si="35"/>
        <v>34.740208009492491</v>
      </c>
      <c r="AL48" s="20">
        <f t="shared" si="4"/>
        <v>292.53722691519516</v>
      </c>
      <c r="AM48" s="59">
        <f t="shared" si="5"/>
        <v>585.87056024852848</v>
      </c>
      <c r="AN48" s="59">
        <f ca="1">AVERAGE(OFFSET($AM$3,0,0,'Données projet'!$E$10+1,1))-AVERAGE(OFFSET($H$3,0,0,'Données projet'!$E$10+1,1))</f>
        <v>257.80662231827404</v>
      </c>
      <c r="AO48" s="59">
        <f t="shared" si="36"/>
        <v>184.04558520039876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21.625641031666657</v>
      </c>
      <c r="BD48" s="12">
        <f>IF('Données projet'!$A$88&gt;35,BD47+BC48-BL47,IF(A48&lt;'Données projet'!$A$88,$BA$205^A48,IF(A48='Données projet'!$A$88,'Données projet'!$B$88,BD47+BC48-BL47)))</f>
        <v>460.20769230499968</v>
      </c>
      <c r="BE48" s="13">
        <f>BD48*VLOOKUP('Données projet'!$B$11,Paramètres!$A$1:$I$89,3,0)*VLOOKUP('Données projet'!$B$11,Paramètres!$A$1:$I$89,5,0)</f>
        <v>257.25609999849485</v>
      </c>
      <c r="BF48" s="13">
        <f t="shared" si="37"/>
        <v>62.137128695279458</v>
      </c>
      <c r="BG48" s="20">
        <f t="shared" si="7"/>
        <v>556.27653997499021</v>
      </c>
      <c r="BH48" s="59">
        <f t="shared" si="8"/>
        <v>849.60987330832359</v>
      </c>
      <c r="BI48" s="59">
        <f ca="1">AVERAGE(OFFSET($BH$3,0,0,'Données projet'!$E$11+1,1))-AVERAGE(OFFSET($H$3,0,0,'Données projet'!$E$11+1,1))</f>
        <v>300.90952915835157</v>
      </c>
      <c r="BJ48" s="59">
        <f t="shared" si="38"/>
        <v>402.81783992925256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58.265101841367418</v>
      </c>
      <c r="BQ48" s="21">
        <f>EXP(-LN(2)/25)*BQ47+(1-EXP(-LN(2)/25))/(LN(2)/25)*Calculateur!BL48*Calculateur!BN48*VLOOKUP('Données projet'!$B$11,Paramètres!$A$1:$I$89,3,0)*0.475*44/12</f>
        <v>20.4871448040332</v>
      </c>
      <c r="BR48" s="21">
        <f>EXP(-LN(2)/2)*BR47+(1-EXP(-LN(2)/2))/(LN(2)/2)*BL48*BO48*VLOOKUP('Données projet'!$B$11,Paramètres!$A$1:$I$89,3,0)*0.475*44/12</f>
        <v>2.4209234552710654</v>
      </c>
      <c r="BS48" s="22">
        <f t="shared" si="9"/>
        <v>81.173170100671683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343.52307689999998</v>
      </c>
      <c r="BW48" s="12">
        <f>VLOOKUP(A48,'Données projet'!$A$113:$I$133,9,0)</f>
        <v>13.410256406666665</v>
      </c>
      <c r="BX48" s="12">
        <f t="array" ref="BX48">INDEX(BW:BW,MIN(IF(ISNUMBER(BW48:BW244),ROW(BW48:BW244),"")))</f>
        <v>13.410256406666665</v>
      </c>
      <c r="BY48" s="12">
        <f>IF('Données projet'!$A$114&gt;35,BY47+BX48-CG47,IF(A48&lt;'Données projet'!$A$114,$BV$205^A48,IF(A48='Données projet'!$A$114,'Données projet'!$B$114,BY47+BX48-CG47)))</f>
        <v>343.52307690000009</v>
      </c>
      <c r="BZ48" s="13">
        <f>BY48*VLOOKUP('Données projet'!$B$12,Paramètres!$A$1:$I$89,3,0)*VLOOKUP('Données projet'!$B$12,Paramètres!$A$1:$I$89,5,0)</f>
        <v>169.70039998860005</v>
      </c>
      <c r="CA48" s="13">
        <f t="shared" si="39"/>
        <v>43.02291626220795</v>
      </c>
      <c r="CB48" s="20">
        <f t="shared" si="10"/>
        <v>370.49310913682393</v>
      </c>
      <c r="CC48" s="59">
        <f t="shared" si="11"/>
        <v>663.82644247015719</v>
      </c>
      <c r="CD48" s="59">
        <f ca="1">AVERAGE(OFFSET($CC$3,0,0,'Données projet'!$E$12+1,1))-AVERAGE(OFFSET($H$3,0,0,'Données projet'!$E$12+1,1))</f>
        <v>246.05217890269194</v>
      </c>
      <c r="CE48" s="59">
        <f t="shared" si="40"/>
        <v>155.54297071424327</v>
      </c>
      <c r="CF48" s="15">
        <f>IF(ISNA(VLOOKUP(A48,'Données projet'!$A$113:$I$133,3,0)),0,VLOOKUP(A48,'Données projet'!$A$113:$I$133,3,0))</f>
        <v>1</v>
      </c>
      <c r="CG48" s="15">
        <f>IF(ISNA(VLOOKUP(A48,'Données projet'!$A$113:$I$133,4,0)),0,VLOOKUP(A48,'Données projet'!$A$113:$I$133,4,0))</f>
        <v>146.2769231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0.30800000000000005</v>
      </c>
      <c r="CJ48" s="16">
        <f>IF(ISNA(VLOOKUP(A48,'Données projet'!$A$113:$I$133,7,0)),0%,VLOOKUP(A48,'Données projet'!$A$113:$I$133,7,0))</f>
        <v>0.44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29.408202500243757</v>
      </c>
      <c r="CM48" s="21">
        <f>EXP(-LN(2)/2)*CM47+(1-EXP(-LN(2)/2))/(LN(2)/2)*CG48*CJ48*VLOOKUP('Données projet'!$B$12,Paramètres!$A$1:$I$89,3,0)*0.475*44/12</f>
        <v>35.999045111923472</v>
      </c>
      <c r="CN48" s="22">
        <f t="shared" si="12"/>
        <v>65.407247612167225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11.861538464444449</v>
      </c>
      <c r="CT48" s="12">
        <f>IF('Données projet'!$A$140&gt;35,CT47+CS48-DB47,IF(A48&lt;'Données projet'!$A$140,$CQ$205^A48,IF(A48='Données projet'!$A$140,'Données projet'!$B$140,CT47+CS48-DB47)))</f>
        <v>231.7769230777777</v>
      </c>
      <c r="CU48" s="17">
        <f>CT48*VLOOKUP('Données projet'!$B$13,Paramètres!$A$1:$I$89,3,0)*VLOOKUP('Données projet'!$B$13,Paramètres!$A$1:$I$89,5,0)</f>
        <v>138.60260000051107</v>
      </c>
      <c r="CV48" s="13">
        <f t="shared" si="41"/>
        <v>35.976694117055409</v>
      </c>
      <c r="CW48" s="20">
        <f t="shared" si="13"/>
        <v>304.05893725476164</v>
      </c>
      <c r="CX48" s="59">
        <f t="shared" si="14"/>
        <v>597.39227058809502</v>
      </c>
      <c r="CY48" s="59">
        <f ca="1">AVERAGE(OFFSET($CX$3,0,0,'Données projet'!$E$13+1,1))-AVERAGE(OFFSET($H$3,0,0,'Données projet'!$E$13+1,1))</f>
        <v>237.036496933921</v>
      </c>
      <c r="CZ48" s="59">
        <f t="shared" si="42"/>
        <v>191.04289413665344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28.03663462354573</v>
      </c>
      <c r="DG48" s="21">
        <f>EXP(-LN(2)/25)*DG47+(1-EXP(-LN(2)/25))/(LN(2)/25)*Calculateur!DB48*Calculateur!DD48*VLOOKUP('Données projet'!$B$13,Paramètres!$A$1:$I$89,3,0)*0.475*44/12</f>
        <v>11.850341397265076</v>
      </c>
      <c r="DH48" s="21">
        <f>EXP(-LN(2)/2)*DH47+(1-EXP(-LN(2)/2))/(LN(2)/2)*DB48*DE48*VLOOKUP('Données projet'!$B$13,Paramètres!$A$1:$I$89,3,0)*0.475*44/12</f>
        <v>1.3574805707488602</v>
      </c>
      <c r="DI48" s="22">
        <f t="shared" si="15"/>
        <v>41.244456591559668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189.52307690000001</v>
      </c>
      <c r="DM48" s="12">
        <f>VLOOKUP(A48,'Données projet'!$A$165:$I$185,9,0)</f>
        <v>7.4779487166666678</v>
      </c>
      <c r="DN48" s="12">
        <f t="array" ref="DN48">INDEX(DM:DM,MIN(IF(ISNUMBER(DM48:DM244),ROW(DM48:DM244),"")))</f>
        <v>7.4779487166666678</v>
      </c>
      <c r="DO48" s="12">
        <f>IF('Données projet'!$A$166&gt;35,DO47+DN48-DW47,IF(A48&lt;'Données projet'!$A$166,$DL$205^A48,IF(A48='Données projet'!$A$166,'Données projet'!$B$166,DO47+DN48-DW47)))</f>
        <v>189.52307690000009</v>
      </c>
      <c r="DP48" s="17">
        <f>DO48*VLOOKUP('Données projet'!$B$14,Paramètres!$A$1:$I$89,3,0)*VLOOKUP('Données projet'!$B$14,Paramètres!$A$1:$I$89,5,0)</f>
        <v>113.33479998620005</v>
      </c>
      <c r="DQ48" s="13">
        <f t="shared" si="43"/>
        <v>30.11531854609375</v>
      </c>
      <c r="DR48" s="20">
        <f t="shared" si="16"/>
        <v>249.84228977707835</v>
      </c>
      <c r="DS48" s="59">
        <f t="shared" si="17"/>
        <v>543.17562311041161</v>
      </c>
      <c r="DT48" s="59">
        <f ca="1">AVERAGE(OFFSET($DS$3,0,0,'Données projet'!$E$14+1,1))-AVERAGE(OFFSET($H$3,0,0,'Données projet'!$E$14+1,1))</f>
        <v>148.22129593028302</v>
      </c>
      <c r="DU48" s="59">
        <f t="shared" si="44"/>
        <v>102.97015482019975</v>
      </c>
      <c r="DV48" s="15">
        <f>IF(ISNA(VLOOKUP(A48,'Données projet'!$A$165:$I$185,3,0)),0,VLOOKUP(A48,'Données projet'!$A$165:$I$185,3,0))</f>
        <v>1</v>
      </c>
      <c r="DW48" s="15">
        <f>IF(ISNA(VLOOKUP(A48,'Données projet'!$A$165:$I$185,4,0)),0,VLOOKUP(A48,'Données projet'!$A$165:$I$185,4,0))</f>
        <v>69.169230769999999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177.43440000000004</v>
      </c>
      <c r="EL48" s="13">
        <f t="shared" si="45"/>
        <v>44.750911401641211</v>
      </c>
      <c r="EM48" s="20">
        <f t="shared" si="19"/>
        <v>386.97275069119183</v>
      </c>
      <c r="EN48" s="59">
        <f t="shared" si="20"/>
        <v>680.30608402452515</v>
      </c>
      <c r="EO48" s="59">
        <f ca="1">AVERAGE(OFFSET($EN$3,0,0,'Données projet'!$E$15+1,1))-AVERAGE(OFFSET($H$3,0,0,'Données projet'!$E$15+1,1))</f>
        <v>278.53123771916404</v>
      </c>
      <c r="EP48" s="59">
        <f t="shared" si="46"/>
        <v>283.79094702030869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0.3569</v>
      </c>
      <c r="ET48" s="16">
        <f>IF(ISNA(VLOOKUP(A48,'Données projet'!$A$191:$I$211,6,0)),0%,VLOOKUP(A48,'Données projet'!$A$191:$I$211,6,0)*VLOOKUP('Données projet'!$B$15,Paramètres!$A$1:$I$89,7,0))</f>
        <v>5.5899999999999998E-2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21.749406099817726</v>
      </c>
      <c r="EW48" s="21">
        <f>EXP(-LN(2)/25)*EW47+(1-EXP(-LN(2)/25))/(LN(2)/25)*Calculateur!ER48*Calculateur!ET48*VLOOKUP('Données projet'!$B$15,Paramètres!$A$1:$I$89,3,0)*0.475*44/12</f>
        <v>11.563826950151144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33.313233049968872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7.143429487179489</v>
      </c>
      <c r="FE48" s="12">
        <f>IF('Données projet'!$A$218&gt;35,FE47+FD48-FM47,IF(A48&lt;'Données projet'!$A$218,$FB$205^A48,IF(A48='Données projet'!$A$218,'Données projet'!$B$218,FE47+FD48-FM47)))</f>
        <v>123.84054487179492</v>
      </c>
      <c r="FF48" s="17">
        <f>FE48*VLOOKUP('Données projet'!$B$16,Paramètres!$A$1:$I$89,3,0)*VLOOKUP('Données projet'!$B$16,Paramètres!$A$1:$I$89,5,0)</f>
        <v>112.05092500000003</v>
      </c>
      <c r="FG48" s="13">
        <f t="shared" si="47"/>
        <v>29.813677753924459</v>
      </c>
      <c r="FH48" s="20">
        <f t="shared" si="22"/>
        <v>247.08084979641851</v>
      </c>
      <c r="FI48" s="59">
        <f t="shared" si="23"/>
        <v>540.41418312975179</v>
      </c>
      <c r="FJ48" s="59">
        <f ca="1">AVERAGE(OFFSET($FI$3,0,0,'Données projet'!$E$16+1,1))-AVERAGE(OFFSET($H$3,0,0,'Données projet'!$E$16+1,1))</f>
        <v>335.99493768537013</v>
      </c>
      <c r="FK48" s="59">
        <f t="shared" si="48"/>
        <v>150.85164849522778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219</v>
      </c>
      <c r="FX48" s="12">
        <f>VLOOKUP(A48,'Données projet'!$A$243:$I$263,9,0)</f>
        <v>8.8000000000000007</v>
      </c>
      <c r="FY48" s="12">
        <f t="array" ref="FY48">INDEX(FX:FX,MIN(IF(ISNUMBER(FX48:FX244),ROW(FX48:FX244),"")))</f>
        <v>8.8000000000000007</v>
      </c>
      <c r="FZ48" s="12">
        <f>IF('Données projet'!$A$244&gt;35,FZ47+FY48-GH47,IF(A48&lt;'Données projet'!$A$244,$FW$205^A48,IF(A48='Données projet'!$A$244,'Données projet'!$B$244,FZ47+FY48-GH47)))</f>
        <v>219.00000000000014</v>
      </c>
      <c r="GA48" s="17">
        <f>FZ48*VLOOKUP('Données projet'!$B$17,Paramètres!$A$1:$I$89,3,0)*VLOOKUP('Données projet'!$B$17,Paramètres!$A$1:$I$89,5,0)</f>
        <v>191.31840000000014</v>
      </c>
      <c r="GB48" s="13">
        <f t="shared" si="49"/>
        <v>47.831314962098396</v>
      </c>
      <c r="GC48" s="20">
        <f t="shared" si="25"/>
        <v>416.51908689232158</v>
      </c>
      <c r="GD48" s="59">
        <f t="shared" si="26"/>
        <v>709.8524202256549</v>
      </c>
      <c r="GE48" s="59">
        <f ca="1">AVERAGE(OFFSET($GD$3,0,0,'Données projet'!$E$17+1,1))-AVERAGE(OFFSET($H$3,0,0,'Données projet'!$E$17+1,1))</f>
        <v>319.57811113658374</v>
      </c>
      <c r="GF48" s="59">
        <f t="shared" si="50"/>
        <v>322.03572137403245</v>
      </c>
      <c r="GG48" s="15">
        <f>IF(ISNA(VLOOKUP(A48,'Données projet'!$A$243:$I$263,3,0)),0,VLOOKUP(A48,'Données projet'!$A$243:$I$263,3,0))</f>
        <v>6</v>
      </c>
      <c r="GH48" s="15" t="str">
        <f>IF(ISNA(VLOOKUP(A48,'Données projet'!$A$243:$I$263,4,0)),0,VLOOKUP(A48,'Données projet'!$A$243:$I$263,4,0))</f>
        <v>30</v>
      </c>
      <c r="GI48" s="16">
        <f>IF(ISNA(VLOOKUP(A48,'Données projet'!$A$243:$I$263,5,0)),0%,VLOOKUP(A48,'Données projet'!$A$243:$I$263,5,0)*VLOOKUP('Données projet'!$B$17,Paramètres!$A$1:$I$89,7,0))</f>
        <v>0.17200000000000001</v>
      </c>
      <c r="GJ48" s="16">
        <f>IF(ISNA(VLOOKUP(A48,'Données projet'!$A$243:$I$263,6,0)),0%,VLOOKUP(A48,'Données projet'!$A$243:$I$263,6,0)*VLOOKUP('Données projet'!$B$17,Paramètres!$A$1:$I$89,7,0))</f>
        <v>0.17200000000000001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9.6470737704755969</v>
      </c>
      <c r="GM48" s="21">
        <f>EXP(-LN(2)/25)*GM47+(1-EXP(-LN(2)/25))/(LN(2)/25)*Calculateur!GH48*Calculateur!GJ48*VLOOKUP('Données projet'!$B$17,Paramètres!$A$1:$I$89,3,0)*0.475*44/12</f>
        <v>18.810616904472685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28.457690674948282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18.898717936666667</v>
      </c>
      <c r="N49" s="13">
        <f>IF('Données projet'!$A$36&gt;35,N48+M49-V48,IF(A49&lt;'Données projet'!$A$36,$K$205^A49,IF(A49='Données projet'!$A$36,'Données projet'!$B$36,N48+M49-V48)))</f>
        <v>376.54871792666682</v>
      </c>
      <c r="O49" s="13">
        <f>N49*VLOOKUP('Données projet'!$B$9,Paramètres!$A$1:$I$89,3,0)*VLOOKUP('Données projet'!$B$9,Paramètres!$A$1:$I$89,5,0)</f>
        <v>181.11993332272675</v>
      </c>
      <c r="P49" s="13">
        <f t="shared" si="33"/>
        <v>45.571260680132347</v>
      </c>
      <c r="Q49" s="20">
        <f t="shared" si="53"/>
        <v>394.82049622164624</v>
      </c>
      <c r="R49" s="59">
        <f t="shared" si="0"/>
        <v>688.15382955497955</v>
      </c>
      <c r="S49" s="59">
        <f ca="1">AVERAGE(OFFSET($R$3,0,0,'Données projet'!$E$9+1,1))-AVERAGE(OFFSET($H$3,0,0,'Données projet'!$E$9+1,1))</f>
        <v>226.41956082453015</v>
      </c>
      <c r="T49" s="59">
        <f t="shared" si="34"/>
        <v>317.95076157570446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10.449786323333329</v>
      </c>
      <c r="AI49" s="13">
        <f>IF('Données projet'!$A$62&gt;35,AI48+AH49-AQ48,IF(A49&lt;'Données projet'!$A$62,$AF$205^A49,IF(A49='Données projet'!$A$62,'Données projet'!$B$62,AI48+AH49-AQ48)))</f>
        <v>165.72222225333348</v>
      </c>
      <c r="AJ49" s="13">
        <f>AI49*VLOOKUP('Données projet'!$B$10,Paramètres!$A$1:$I$89,3,0)*VLOOKUP('Données projet'!$B$10,Paramètres!$A$1:$I$89,5,0)</f>
        <v>142.18966669336015</v>
      </c>
      <c r="AK49" s="13">
        <f t="shared" si="35"/>
        <v>36.798173407786066</v>
      </c>
      <c r="AL49" s="20">
        <f t="shared" si="4"/>
        <v>311.73715484282963</v>
      </c>
      <c r="AM49" s="59">
        <f t="shared" si="5"/>
        <v>605.07048817616294</v>
      </c>
      <c r="AN49" s="59">
        <f ca="1">AVERAGE(OFFSET($AM$3,0,0,'Données projet'!$E$10+1,1))-AVERAGE(OFFSET($H$3,0,0,'Données projet'!$E$10+1,1))</f>
        <v>257.80662231827404</v>
      </c>
      <c r="AO49" s="59">
        <f t="shared" si="36"/>
        <v>184.04558520039876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21.625641031666657</v>
      </c>
      <c r="BD49" s="12">
        <f>IF('Données projet'!$A$88&gt;35,BD48+BC49-BL48,IF(A49&lt;'Données projet'!$A$88,$BA$205^A49,IF(A49='Données projet'!$A$88,'Données projet'!$B$88,BD48+BC49-BL48)))</f>
        <v>481.83333333666633</v>
      </c>
      <c r="BE49" s="13">
        <f>BD49*VLOOKUP('Données projet'!$B$11,Paramètres!$A$1:$I$89,3,0)*VLOOKUP('Données projet'!$B$11,Paramètres!$A$1:$I$89,5,0)</f>
        <v>269.34483333519648</v>
      </c>
      <c r="BF49" s="13">
        <f t="shared" si="37"/>
        <v>64.710206732208064</v>
      </c>
      <c r="BG49" s="20">
        <f t="shared" si="7"/>
        <v>581.81252811739625</v>
      </c>
      <c r="BH49" s="59">
        <f t="shared" si="8"/>
        <v>875.14586145072963</v>
      </c>
      <c r="BI49" s="59">
        <f ca="1">AVERAGE(OFFSET($BH$3,0,0,'Données projet'!$E$11+1,1))-AVERAGE(OFFSET($H$3,0,0,'Données projet'!$E$11+1,1))</f>
        <v>300.90952915835157</v>
      </c>
      <c r="BJ49" s="59">
        <f t="shared" si="38"/>
        <v>402.81783992925256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57.122558732461222</v>
      </c>
      <c r="BQ49" s="21">
        <f>EXP(-LN(2)/25)*BQ48+(1-EXP(-LN(2)/25))/(LN(2)/25)*Calculateur!BL49*Calculateur!BN49*VLOOKUP('Données projet'!$B$11,Paramètres!$A$1:$I$89,3,0)*0.475*44/12</f>
        <v>19.926922751994791</v>
      </c>
      <c r="BR49" s="21">
        <f>EXP(-LN(2)/2)*BR48+(1-EXP(-LN(2)/2))/(LN(2)/2)*BL49*BO49*VLOOKUP('Données projet'!$B$11,Paramètres!$A$1:$I$89,3,0)*0.475*44/12</f>
        <v>1.7118513919557379</v>
      </c>
      <c r="BS49" s="22">
        <f t="shared" si="9"/>
        <v>78.761332876411743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18.983516485714286</v>
      </c>
      <c r="BY49" s="12">
        <f>IF('Données projet'!$A$114&gt;35,BY48+BX49-CG48,IF(A49&lt;'Données projet'!$A$114,$BV$205^A49,IF(A49='Données projet'!$A$114,'Données projet'!$B$114,BY48+BX49-CG48)))</f>
        <v>216.22967028571438</v>
      </c>
      <c r="BZ49" s="13">
        <f>BY49*VLOOKUP('Données projet'!$B$12,Paramètres!$A$1:$I$89,3,0)*VLOOKUP('Données projet'!$B$12,Paramètres!$A$1:$I$89,5,0)</f>
        <v>106.81745712114291</v>
      </c>
      <c r="CA49" s="13">
        <f t="shared" si="39"/>
        <v>28.579876233547601</v>
      </c>
      <c r="CB49" s="20">
        <f t="shared" si="10"/>
        <v>235.8170222594193</v>
      </c>
      <c r="CC49" s="59">
        <f t="shared" si="11"/>
        <v>529.15035559275259</v>
      </c>
      <c r="CD49" s="59">
        <f ca="1">AVERAGE(OFFSET($CC$3,0,0,'Données projet'!$E$12+1,1))-AVERAGE(OFFSET($H$3,0,0,'Données projet'!$E$12+1,1))</f>
        <v>246.05217890269194</v>
      </c>
      <c r="CE49" s="59">
        <f t="shared" si="40"/>
        <v>155.54297071424327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28.604033656364436</v>
      </c>
      <c r="CM49" s="21">
        <f>EXP(-LN(2)/2)*CM48+(1-EXP(-LN(2)/2))/(LN(2)/2)*CG49*CJ49*VLOOKUP('Données projet'!$B$12,Paramètres!$A$1:$I$89,3,0)*0.475*44/12</f>
        <v>25.455168914881526</v>
      </c>
      <c r="CN49" s="22">
        <f t="shared" si="12"/>
        <v>54.059202571245962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11.861538464444449</v>
      </c>
      <c r="CT49" s="12">
        <f>IF('Données projet'!$A$140&gt;35,CT48+CS49-DB48,IF(A49&lt;'Données projet'!$A$140,$CQ$205^A49,IF(A49='Données projet'!$A$140,'Données projet'!$B$140,CT48+CS49-DB48)))</f>
        <v>243.63846154222213</v>
      </c>
      <c r="CU49" s="17">
        <f>CT49*VLOOKUP('Données projet'!$B$13,Paramètres!$A$1:$I$89,3,0)*VLOOKUP('Données projet'!$B$13,Paramètres!$A$1:$I$89,5,0)</f>
        <v>145.69580000224886</v>
      </c>
      <c r="CV49" s="13">
        <f t="shared" si="41"/>
        <v>37.598789482503271</v>
      </c>
      <c r="CW49" s="20">
        <f t="shared" si="13"/>
        <v>319.23807668594327</v>
      </c>
      <c r="CX49" s="59">
        <f t="shared" si="14"/>
        <v>612.57141001927653</v>
      </c>
      <c r="CY49" s="59">
        <f ca="1">AVERAGE(OFFSET($CX$3,0,0,'Données projet'!$E$13+1,1))-AVERAGE(OFFSET($H$3,0,0,'Données projet'!$E$13+1,1))</f>
        <v>237.036496933921</v>
      </c>
      <c r="CZ49" s="59">
        <f t="shared" si="42"/>
        <v>191.04289413665344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27.48685331923657</v>
      </c>
      <c r="DG49" s="21">
        <f>EXP(-LN(2)/25)*DG48+(1-EXP(-LN(2)/25))/(LN(2)/25)*Calculateur!DB49*Calculateur!DD49*VLOOKUP('Données projet'!$B$13,Paramètres!$A$1:$I$89,3,0)*0.475*44/12</f>
        <v>11.526293188574494</v>
      </c>
      <c r="DH49" s="21">
        <f>EXP(-LN(2)/2)*DH48+(1-EXP(-LN(2)/2))/(LN(2)/2)*DB49*DE49*VLOOKUP('Données projet'!$B$13,Paramètres!$A$1:$I$89,3,0)*0.475*44/12</f>
        <v>0.959883716905504</v>
      </c>
      <c r="DI49" s="22">
        <f t="shared" si="15"/>
        <v>39.973030224716567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6.2897435913333322</v>
      </c>
      <c r="DO49" s="12">
        <f>IF('Données projet'!$A$166&gt;35,DO48+DN49-DW48,IF(A49&lt;'Données projet'!$A$166,$DL$205^A49,IF(A49='Données projet'!$A$166,'Données projet'!$B$166,DO48+DN49-DW48)))</f>
        <v>126.64358972133341</v>
      </c>
      <c r="DP49" s="17">
        <f>DO49*VLOOKUP('Données projet'!$B$14,Paramètres!$A$1:$I$89,3,0)*VLOOKUP('Données projet'!$B$14,Paramètres!$A$1:$I$89,5,0)</f>
        <v>75.732866653357377</v>
      </c>
      <c r="DQ49" s="13">
        <f t="shared" si="43"/>
        <v>21.090542805583674</v>
      </c>
      <c r="DR49" s="20">
        <f t="shared" si="16"/>
        <v>168.63410480765569</v>
      </c>
      <c r="DS49" s="59">
        <f t="shared" si="17"/>
        <v>461.96743814098897</v>
      </c>
      <c r="DT49" s="59">
        <f ca="1">AVERAGE(OFFSET($DS$3,0,0,'Données projet'!$E$14+1,1))-AVERAGE(OFFSET($H$3,0,0,'Données projet'!$E$14+1,1))</f>
        <v>148.22129593028302</v>
      </c>
      <c r="DU49" s="59">
        <f t="shared" si="44"/>
        <v>102.97015482019975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166.14312000000004</v>
      </c>
      <c r="EL49" s="13">
        <f t="shared" si="45"/>
        <v>42.225060429180481</v>
      </c>
      <c r="EM49" s="20">
        <f t="shared" si="19"/>
        <v>362.90791424748937</v>
      </c>
      <c r="EN49" s="59">
        <f t="shared" si="20"/>
        <v>656.24124758082269</v>
      </c>
      <c r="EO49" s="59">
        <f ca="1">AVERAGE(OFFSET($EN$3,0,0,'Données projet'!$E$15+1,1))-AVERAGE(OFFSET($H$3,0,0,'Données projet'!$E$15+1,1))</f>
        <v>278.53123771916404</v>
      </c>
      <c r="EP49" s="59">
        <f t="shared" si="46"/>
        <v>283.79094702030869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21.32291351202813</v>
      </c>
      <c r="EW49" s="21">
        <f>EXP(-LN(2)/25)*EW48+(1-EXP(-LN(2)/25))/(LN(2)/25)*Calculateur!ER49*Calculateur!ET49*VLOOKUP('Données projet'!$B$15,Paramètres!$A$1:$I$89,3,0)*0.475*44/12</f>
        <v>11.247613494084032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32.570527006112158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7.143429487179489</v>
      </c>
      <c r="FE49" s="12">
        <f>IF('Données projet'!$A$218&gt;35,FE48+FD49-FM48,IF(A49&lt;'Données projet'!$A$218,$FB$205^A49,IF(A49='Données projet'!$A$218,'Données projet'!$B$218,FE48+FD49-FM48)))</f>
        <v>130.98397435897442</v>
      </c>
      <c r="FF49" s="17">
        <f>FE49*VLOOKUP('Données projet'!$B$16,Paramètres!$A$1:$I$89,3,0)*VLOOKUP('Données projet'!$B$16,Paramètres!$A$1:$I$89,5,0)</f>
        <v>118.51430000000005</v>
      </c>
      <c r="FG49" s="13">
        <f t="shared" si="47"/>
        <v>31.328233322607296</v>
      </c>
      <c r="FH49" s="20">
        <f t="shared" si="22"/>
        <v>260.97574553687451</v>
      </c>
      <c r="FI49" s="59">
        <f t="shared" si="23"/>
        <v>554.30907887020783</v>
      </c>
      <c r="FJ49" s="59">
        <f ca="1">AVERAGE(OFFSET($FI$3,0,0,'Données projet'!$E$16+1,1))-AVERAGE(OFFSET($H$3,0,0,'Données projet'!$E$16+1,1))</f>
        <v>335.99493768537013</v>
      </c>
      <c r="FK49" s="59">
        <f t="shared" si="48"/>
        <v>150.85164849522778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8.1999999999999993</v>
      </c>
      <c r="FZ49" s="12">
        <f>IF('Données projet'!$A$244&gt;35,FZ48+FY49-GH48,IF(A49&lt;'Données projet'!$A$244,$FW$205^A49,IF(A49='Données projet'!$A$244,'Données projet'!$B$244,FZ48+FY49-GH48)))</f>
        <v>197.20000000000013</v>
      </c>
      <c r="GA49" s="17">
        <f>FZ49*VLOOKUP('Données projet'!$B$17,Paramètres!$A$1:$I$89,3,0)*VLOOKUP('Données projet'!$B$17,Paramètres!$A$1:$I$89,5,0)</f>
        <v>172.27392000000015</v>
      </c>
      <c r="GB49" s="13">
        <f t="shared" si="49"/>
        <v>43.59891151369964</v>
      </c>
      <c r="GC49" s="20">
        <f t="shared" si="25"/>
        <v>375.97851488636047</v>
      </c>
      <c r="GD49" s="59">
        <f t="shared" si="26"/>
        <v>669.31184821969373</v>
      </c>
      <c r="GE49" s="59">
        <f ca="1">AVERAGE(OFFSET($GD$3,0,0,'Données projet'!$E$17+1,1))-AVERAGE(OFFSET($H$3,0,0,'Données projet'!$E$17+1,1))</f>
        <v>319.57811113658374</v>
      </c>
      <c r="GF49" s="59">
        <f t="shared" si="50"/>
        <v>322.03572137403245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9.457900537970561</v>
      </c>
      <c r="GM49" s="21">
        <f>EXP(-LN(2)/25)*GM48+(1-EXP(-LN(2)/25))/(LN(2)/25)*Calculateur!GH49*Calculateur!GJ49*VLOOKUP('Données projet'!$B$17,Paramètres!$A$1:$I$89,3,0)*0.475*44/12</f>
        <v>18.29623959601253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27.754140133983093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18.898717936666667</v>
      </c>
      <c r="N50" s="13">
        <f>IF('Données projet'!$A$36&gt;35,N49+M50-V49,IF(A50&lt;'Données projet'!$A$36,$K$205^A50,IF(A50='Données projet'!$A$36,'Données projet'!$B$36,N49+M50-V49)))</f>
        <v>395.44743586333351</v>
      </c>
      <c r="O50" s="13">
        <f>N50*VLOOKUP('Données projet'!$B$9,Paramètres!$A$1:$I$89,3,0)*VLOOKUP('Données projet'!$B$9,Paramètres!$A$1:$I$89,5,0)</f>
        <v>190.21021665026342</v>
      </c>
      <c r="P50" s="13">
        <f t="shared" si="33"/>
        <v>47.586425776422949</v>
      </c>
      <c r="Q50" s="20">
        <f t="shared" si="53"/>
        <v>414.16248555981201</v>
      </c>
      <c r="R50" s="59">
        <f t="shared" si="0"/>
        <v>707.49581889314527</v>
      </c>
      <c r="S50" s="59">
        <f ca="1">AVERAGE(OFFSET($R$3,0,0,'Données projet'!$E$9+1,1))-AVERAGE(OFFSET($H$3,0,0,'Données projet'!$E$9+1,1))</f>
        <v>226.41956082453015</v>
      </c>
      <c r="T50" s="59">
        <f t="shared" si="34"/>
        <v>317.95076157570446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10.449786323333329</v>
      </c>
      <c r="AI50" s="13">
        <f>IF('Données projet'!$A$62&gt;35,AI49+AH50-AQ49,IF(A50&lt;'Données projet'!$A$62,$AF$205^A50,IF(A50='Données projet'!$A$62,'Données projet'!$B$62,AI49+AH50-AQ49)))</f>
        <v>176.17200857666683</v>
      </c>
      <c r="AJ50" s="13">
        <f>AI50*VLOOKUP('Données projet'!$B$10,Paramètres!$A$1:$I$89,3,0)*VLOOKUP('Données projet'!$B$10,Paramètres!$A$1:$I$89,5,0)</f>
        <v>151.15558335878015</v>
      </c>
      <c r="AK50" s="13">
        <f t="shared" si="35"/>
        <v>38.841078676288923</v>
      </c>
      <c r="AL50" s="20">
        <f t="shared" si="4"/>
        <v>330.91085304441197</v>
      </c>
      <c r="AM50" s="59">
        <f t="shared" si="5"/>
        <v>624.24418637774534</v>
      </c>
      <c r="AN50" s="59">
        <f ca="1">AVERAGE(OFFSET($AM$3,0,0,'Données projet'!$E$10+1,1))-AVERAGE(OFFSET($H$3,0,0,'Données projet'!$E$10+1,1))</f>
        <v>257.80662231827404</v>
      </c>
      <c r="AO50" s="59">
        <f t="shared" si="36"/>
        <v>184.04558520039876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21.625641031666657</v>
      </c>
      <c r="BD50" s="12">
        <f>IF('Données projet'!$A$88&gt;35,BD49+BC50-BL49,IF(A50&lt;'Données projet'!$A$88,$BA$205^A50,IF(A50='Données projet'!$A$88,'Données projet'!$B$88,BD49+BC50-BL49)))</f>
        <v>503.45897436833297</v>
      </c>
      <c r="BE50" s="13">
        <f>BD50*VLOOKUP('Données projet'!$B$11,Paramètres!$A$1:$I$89,3,0)*VLOOKUP('Données projet'!$B$11,Paramètres!$A$1:$I$89,5,0)</f>
        <v>281.43356667189818</v>
      </c>
      <c r="BF50" s="13">
        <f t="shared" si="37"/>
        <v>67.269872627275049</v>
      </c>
      <c r="BG50" s="20">
        <f t="shared" si="7"/>
        <v>607.3251567793933</v>
      </c>
      <c r="BH50" s="59">
        <f t="shared" si="8"/>
        <v>900.65849011272667</v>
      </c>
      <c r="BI50" s="59">
        <f ca="1">AVERAGE(OFFSET($BH$3,0,0,'Données projet'!$E$11+1,1))-AVERAGE(OFFSET($H$3,0,0,'Données projet'!$E$11+1,1))</f>
        <v>300.90952915835157</v>
      </c>
      <c r="BJ50" s="59">
        <f t="shared" si="38"/>
        <v>402.81783992925256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56.002420197038191</v>
      </c>
      <c r="BQ50" s="21">
        <f>EXP(-LN(2)/25)*BQ49+(1-EXP(-LN(2)/25))/(LN(2)/25)*Calculateur!BL50*Calculateur!BN50*VLOOKUP('Données projet'!$B$11,Paramètres!$A$1:$I$89,3,0)*0.475*44/12</f>
        <v>19.38202000143017</v>
      </c>
      <c r="BR50" s="21">
        <f>EXP(-LN(2)/2)*BR49+(1-EXP(-LN(2)/2))/(LN(2)/2)*BL50*BO50*VLOOKUP('Données projet'!$B$11,Paramètres!$A$1:$I$89,3,0)*0.475*44/12</f>
        <v>1.2104617276355327</v>
      </c>
      <c r="BS50" s="22">
        <f t="shared" si="9"/>
        <v>76.594901926103887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18.983516485714286</v>
      </c>
      <c r="BY50" s="12">
        <f>IF('Données projet'!$A$114&gt;35,BY49+BX50-CG49,IF(A50&lt;'Données projet'!$A$114,$BV$205^A50,IF(A50='Données projet'!$A$114,'Données projet'!$B$114,BY49+BX50-CG49)))</f>
        <v>235.21318677142867</v>
      </c>
      <c r="BZ50" s="13">
        <f>BY50*VLOOKUP('Données projet'!$B$12,Paramètres!$A$1:$I$89,3,0)*VLOOKUP('Données projet'!$B$12,Paramètres!$A$1:$I$89,5,0)</f>
        <v>116.19531426508577</v>
      </c>
      <c r="CA50" s="13">
        <f t="shared" si="39"/>
        <v>30.785961717018555</v>
      </c>
      <c r="CB50" s="20">
        <f t="shared" si="10"/>
        <v>255.99238900216505</v>
      </c>
      <c r="CC50" s="59">
        <f t="shared" si="11"/>
        <v>549.32572233549831</v>
      </c>
      <c r="CD50" s="59">
        <f ca="1">AVERAGE(OFFSET($CC$3,0,0,'Données projet'!$E$12+1,1))-AVERAGE(OFFSET($H$3,0,0,'Données projet'!$E$12+1,1))</f>
        <v>246.05217890269194</v>
      </c>
      <c r="CE50" s="59">
        <f t="shared" si="40"/>
        <v>155.54297071424327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27.821854851810397</v>
      </c>
      <c r="CM50" s="21">
        <f>EXP(-LN(2)/2)*CM49+(1-EXP(-LN(2)/2))/(LN(2)/2)*CG50*CJ50*VLOOKUP('Données projet'!$B$12,Paramètres!$A$1:$I$89,3,0)*0.475*44/12</f>
        <v>17.99952255596174</v>
      </c>
      <c r="CN50" s="22">
        <f t="shared" si="12"/>
        <v>45.821377407772133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11.861538464444449</v>
      </c>
      <c r="CT50" s="12">
        <f>IF('Données projet'!$A$140&gt;35,CT49+CS50-DB49,IF(A50&lt;'Données projet'!$A$140,$CQ$205^A50,IF(A50='Données projet'!$A$140,'Données projet'!$B$140,CT49+CS50-DB49)))</f>
        <v>255.50000000666657</v>
      </c>
      <c r="CU50" s="17">
        <f>CT50*VLOOKUP('Données projet'!$B$13,Paramètres!$A$1:$I$89,3,0)*VLOOKUP('Données projet'!$B$13,Paramètres!$A$1:$I$89,5,0)</f>
        <v>152.78900000398662</v>
      </c>
      <c r="CV50" s="13">
        <f t="shared" si="41"/>
        <v>39.21171471283639</v>
      </c>
      <c r="CW50" s="20">
        <f t="shared" si="13"/>
        <v>334.40124479846673</v>
      </c>
      <c r="CX50" s="59">
        <f t="shared" si="14"/>
        <v>627.73457813180005</v>
      </c>
      <c r="CY50" s="59">
        <f ca="1">AVERAGE(OFFSET($CX$3,0,0,'Données projet'!$E$13+1,1))-AVERAGE(OFFSET($H$3,0,0,'Données projet'!$E$13+1,1))</f>
        <v>237.036496933921</v>
      </c>
      <c r="CZ50" s="59">
        <f t="shared" si="42"/>
        <v>191.04289413665344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26.947852890971426</v>
      </c>
      <c r="DG50" s="21">
        <f>EXP(-LN(2)/25)*DG49+(1-EXP(-LN(2)/25))/(LN(2)/25)*Calculateur!DB50*Calculateur!DD50*VLOOKUP('Données projet'!$B$13,Paramètres!$A$1:$I$89,3,0)*0.475*44/12</f>
        <v>11.211106095191509</v>
      </c>
      <c r="DH50" s="21">
        <f>EXP(-LN(2)/2)*DH49+(1-EXP(-LN(2)/2))/(LN(2)/2)*DB50*DE50*VLOOKUP('Données projet'!$B$13,Paramètres!$A$1:$I$89,3,0)*0.475*44/12</f>
        <v>0.67874028537443021</v>
      </c>
      <c r="DI50" s="22">
        <f t="shared" si="15"/>
        <v>38.837699271537367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6.2897435913333322</v>
      </c>
      <c r="DO50" s="12">
        <f>IF('Données projet'!$A$166&gt;35,DO49+DN50-DW49,IF(A50&lt;'Données projet'!$A$166,$DL$205^A50,IF(A50='Données projet'!$A$166,'Données projet'!$B$166,DO49+DN50-DW49)))</f>
        <v>132.93333331266675</v>
      </c>
      <c r="DP50" s="17">
        <f>DO50*VLOOKUP('Données projet'!$B$14,Paramètres!$A$1:$I$89,3,0)*VLOOKUP('Données projet'!$B$14,Paramètres!$A$1:$I$89,5,0)</f>
        <v>79.494133320974711</v>
      </c>
      <c r="DQ50" s="13">
        <f t="shared" si="43"/>
        <v>22.013451469262723</v>
      </c>
      <c r="DR50" s="20">
        <f t="shared" si="16"/>
        <v>176.79237684299684</v>
      </c>
      <c r="DS50" s="59">
        <f t="shared" si="17"/>
        <v>470.12571017633013</v>
      </c>
      <c r="DT50" s="59">
        <f ca="1">AVERAGE(OFFSET($DS$3,0,0,'Données projet'!$E$14+1,1))-AVERAGE(OFFSET($H$3,0,0,'Données projet'!$E$14+1,1))</f>
        <v>148.22129593028302</v>
      </c>
      <c r="DU50" s="59">
        <f t="shared" si="44"/>
        <v>102.97015482019975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172.44864000000001</v>
      </c>
      <c r="EL50" s="13">
        <f t="shared" si="45"/>
        <v>43.637980200453676</v>
      </c>
      <c r="EM50" s="20">
        <f t="shared" si="19"/>
        <v>376.35086351579019</v>
      </c>
      <c r="EN50" s="59">
        <f t="shared" si="20"/>
        <v>669.68419684912351</v>
      </c>
      <c r="EO50" s="59">
        <f ca="1">AVERAGE(OFFSET($EN$3,0,0,'Données projet'!$E$15+1,1))-AVERAGE(OFFSET($H$3,0,0,'Données projet'!$E$15+1,1))</f>
        <v>278.53123771916404</v>
      </c>
      <c r="EP50" s="59">
        <f t="shared" si="46"/>
        <v>283.79094702030869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20.904784183750294</v>
      </c>
      <c r="EW50" s="21">
        <f>EXP(-LN(2)/25)*EW49+(1-EXP(-LN(2)/25))/(LN(2)/25)*Calculateur!ER50*Calculateur!ET50*VLOOKUP('Données projet'!$B$15,Paramètres!$A$1:$I$89,3,0)*0.475*44/12</f>
        <v>10.940046911602018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31.844831095352312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7.143429487179489</v>
      </c>
      <c r="FE50" s="12">
        <f>IF('Données projet'!$A$218&gt;35,FE49+FD50-FM49,IF(A50&lt;'Données projet'!$A$218,$FB$205^A50,IF(A50='Données projet'!$A$218,'Données projet'!$B$218,FE49+FD50-FM49)))</f>
        <v>138.12740384615392</v>
      </c>
      <c r="FF50" s="17">
        <f>FE50*VLOOKUP('Données projet'!$B$16,Paramètres!$A$1:$I$89,3,0)*VLOOKUP('Données projet'!$B$16,Paramètres!$A$1:$I$89,5,0)</f>
        <v>124.97767500000008</v>
      </c>
      <c r="FG50" s="13">
        <f t="shared" si="47"/>
        <v>32.833199823952825</v>
      </c>
      <c r="FH50" s="20">
        <f t="shared" si="22"/>
        <v>274.85394031838462</v>
      </c>
      <c r="FI50" s="59">
        <f t="shared" si="23"/>
        <v>568.18727365171799</v>
      </c>
      <c r="FJ50" s="59">
        <f ca="1">AVERAGE(OFFSET($FI$3,0,0,'Données projet'!$E$16+1,1))-AVERAGE(OFFSET($H$3,0,0,'Données projet'!$E$16+1,1))</f>
        <v>335.99493768537013</v>
      </c>
      <c r="FK50" s="59">
        <f t="shared" si="48"/>
        <v>150.85164849522778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8.1999999999999993</v>
      </c>
      <c r="FZ50" s="12">
        <f>IF('Données projet'!$A$244&gt;35,FZ49+FY50-GH49,IF(A50&lt;'Données projet'!$A$244,$FW$205^A50,IF(A50='Données projet'!$A$244,'Données projet'!$B$244,FZ49+FY50-GH49)))</f>
        <v>205.40000000000012</v>
      </c>
      <c r="GA50" s="17">
        <f>FZ50*VLOOKUP('Données projet'!$B$17,Paramètres!$A$1:$I$89,3,0)*VLOOKUP('Données projet'!$B$17,Paramètres!$A$1:$I$89,5,0)</f>
        <v>179.43744000000012</v>
      </c>
      <c r="GB50" s="13">
        <f t="shared" si="49"/>
        <v>45.197004138831659</v>
      </c>
      <c r="GC50" s="20">
        <f t="shared" si="25"/>
        <v>391.23832354179859</v>
      </c>
      <c r="GD50" s="59">
        <f t="shared" si="26"/>
        <v>684.57165687513191</v>
      </c>
      <c r="GE50" s="59">
        <f ca="1">AVERAGE(OFFSET($GD$3,0,0,'Données projet'!$E$17+1,1))-AVERAGE(OFFSET($H$3,0,0,'Données projet'!$E$17+1,1))</f>
        <v>319.57811113658374</v>
      </c>
      <c r="GF50" s="59">
        <f t="shared" si="50"/>
        <v>322.03572137403245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9.2724368771706693</v>
      </c>
      <c r="GM50" s="21">
        <f>EXP(-LN(2)/25)*GM49+(1-EXP(-LN(2)/25))/(LN(2)/25)*Calculateur!GH50*Calculateur!GJ50*VLOOKUP('Données projet'!$B$17,Paramètres!$A$1:$I$89,3,0)*0.475*44/12</f>
        <v>17.795927962102144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27.068364839272814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414.34615380000002</v>
      </c>
      <c r="L51" s="12">
        <f>VLOOKUP(A51,'Données projet'!$A$35:$I$55,9,0)</f>
        <v>18.898717936666667</v>
      </c>
      <c r="M51" s="12">
        <f t="array" ref="M51">INDEX(L:L,MIN(IF(ISNUMBER(L51:L247),ROW(L51:L247),"")))</f>
        <v>18.898717936666667</v>
      </c>
      <c r="N51" s="13">
        <f>IF('Données projet'!$A$36&gt;35,N50+M51-V50,IF(A51&lt;'Données projet'!$A$36,$K$205^A51,IF(A51='Données projet'!$A$36,'Données projet'!$B$36,N50+M51-V50)))</f>
        <v>414.3461538000002</v>
      </c>
      <c r="O51" s="13">
        <f>N51*VLOOKUP('Données projet'!$B$9,Paramètres!$A$1:$I$89,3,0)*VLOOKUP('Données projet'!$B$9,Paramètres!$A$1:$I$89,5,0)</f>
        <v>199.30049997780011</v>
      </c>
      <c r="P51" s="13">
        <f t="shared" si="33"/>
        <v>49.59040745924267</v>
      </c>
      <c r="Q51" s="20">
        <f t="shared" si="53"/>
        <v>433.48499711951621</v>
      </c>
      <c r="R51" s="59">
        <f t="shared" si="0"/>
        <v>726.81833045284952</v>
      </c>
      <c r="S51" s="59">
        <f ca="1">AVERAGE(OFFSET($R$3,0,0,'Données projet'!$E$9+1,1))-AVERAGE(OFFSET($H$3,0,0,'Données projet'!$E$9+1,1))</f>
        <v>226.41956082453015</v>
      </c>
      <c r="T51" s="59">
        <f t="shared" si="34"/>
        <v>317.95076157570446</v>
      </c>
      <c r="U51" s="15">
        <f>IF(ISNA(VLOOKUP(A51,'Données projet'!$A$35:$I$55,3,0)),0,VLOOKUP(A51,'Données projet'!$A$35:$I$55,3,0))</f>
        <v>5</v>
      </c>
      <c r="V51" s="15">
        <f>IF(ISNA(VLOOKUP(A51,'Données projet'!$A$35:$I$55,4,0)),0,VLOOKUP(A51,'Données projet'!$A$35:$I$55,4,0))</f>
        <v>85.953846150000004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186.6217949</v>
      </c>
      <c r="AG51" s="12">
        <f>VLOOKUP(A51,'Données projet'!$A$61:$I$81,9,0)</f>
        <v>10.449786323333329</v>
      </c>
      <c r="AH51" s="12">
        <f t="array" ref="AH51">INDEX(AG:AG,MIN(IF(ISNUMBER(AG51:AG247),ROW(AG51:AG247),"")))</f>
        <v>10.449786323333329</v>
      </c>
      <c r="AI51" s="13">
        <f>IF('Données projet'!$A$62&gt;35,AI50+AH51-AQ50,IF(A51&lt;'Données projet'!$A$62,$AF$205^A51,IF(A51='Données projet'!$A$62,'Données projet'!$B$62,AI50+AH51-AQ50)))</f>
        <v>186.62179490000017</v>
      </c>
      <c r="AJ51" s="13">
        <f>AI51*VLOOKUP('Données projet'!$B$10,Paramètres!$A$1:$I$89,3,0)*VLOOKUP('Données projet'!$B$10,Paramètres!$A$1:$I$89,5,0)</f>
        <v>160.12150002420015</v>
      </c>
      <c r="AK51" s="13">
        <f t="shared" si="35"/>
        <v>40.869918865476649</v>
      </c>
      <c r="AL51" s="20">
        <f t="shared" si="4"/>
        <v>350.06005456618703</v>
      </c>
      <c r="AM51" s="59">
        <f t="shared" si="5"/>
        <v>643.39338789952035</v>
      </c>
      <c r="AN51" s="59">
        <f ca="1">AVERAGE(OFFSET($AM$3,0,0,'Données projet'!$E$10+1,1))-AVERAGE(OFFSET($H$3,0,0,'Données projet'!$E$10+1,1))</f>
        <v>257.80662231827404</v>
      </c>
      <c r="AO51" s="59">
        <f t="shared" si="36"/>
        <v>184.04558520039876</v>
      </c>
      <c r="AP51" s="15">
        <f>IF(ISNA(VLOOKUP(A51,'Données projet'!$A$61:$I$81,3,0)),0,VLOOKUP(A51,'Données projet'!$A$61:$I$81,3,0))</f>
        <v>2</v>
      </c>
      <c r="AQ51" s="15">
        <f>IF(ISNA(VLOOKUP(A51,'Données projet'!$A$61:$I$81,4,0)),0,VLOOKUP(A51,'Données projet'!$A$61:$I$81,4,0))</f>
        <v>44.737179490000003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525.08461539999996</v>
      </c>
      <c r="BB51" s="12">
        <f>VLOOKUP(A51,'Données projet'!$A$87:$I$107,9,0)</f>
        <v>21.625641031666657</v>
      </c>
      <c r="BC51" s="12">
        <f t="array" ref="BC51">INDEX(BB:BB,MIN(IF(ISNUMBER(BB51:BB247),ROW(BB51:BB247),"")))</f>
        <v>21.625641031666657</v>
      </c>
      <c r="BD51" s="12">
        <f>IF('Données projet'!$A$88&gt;35,BD50+BC51-BL50,IF(A51&lt;'Données projet'!$A$88,$BA$205^A51,IF(A51='Données projet'!$A$88,'Données projet'!$B$88,BD50+BC51-BL50)))</f>
        <v>525.08461539999962</v>
      </c>
      <c r="BE51" s="13">
        <f>BD51*VLOOKUP('Données projet'!$B$11,Paramètres!$A$1:$I$89,3,0)*VLOOKUP('Données projet'!$B$11,Paramètres!$A$1:$I$89,5,0)</f>
        <v>293.52230000859981</v>
      </c>
      <c r="BF51" s="13">
        <f t="shared" si="37"/>
        <v>69.816768343865149</v>
      </c>
      <c r="BG51" s="20">
        <f t="shared" si="7"/>
        <v>632.81554404720976</v>
      </c>
      <c r="BH51" s="59">
        <f t="shared" si="8"/>
        <v>926.14887738054313</v>
      </c>
      <c r="BI51" s="59">
        <f ca="1">AVERAGE(OFFSET($BH$3,0,0,'Données projet'!$E$11+1,1))-AVERAGE(OFFSET($H$3,0,0,'Données projet'!$E$11+1,1))</f>
        <v>300.90952915835157</v>
      </c>
      <c r="BJ51" s="59">
        <f t="shared" si="38"/>
        <v>402.81783992925256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81.330769230000001</v>
      </c>
      <c r="BM51" s="16">
        <f>IF(ISNA(VLOOKUP(A51,'Données projet'!$A$87:$I$107,5,0)),0%,VLOOKUP(A51,'Données projet'!$A$87:$I$107,5,0)*VLOOKUP('Données projet'!$B$11,Paramètres!$A$1:$I$89,7,0))</f>
        <v>0.38500000000000001</v>
      </c>
      <c r="BN51" s="16">
        <f>IF(ISNA(VLOOKUP(A51,'Données projet'!$A$87:$I$107,6,0)),0%,VLOOKUP(A51,'Données projet'!$A$87:$I$107,6,0)*VLOOKUP('Données projet'!$B$11,Paramètres!$A$1:$I$89,7,0))</f>
        <v>9.3500000000000014E-2</v>
      </c>
      <c r="BO51" s="16">
        <f>IF(ISNA(VLOOKUP(A51,'Données projet'!$A$87:$I$107,7,0)),0%,VLOOKUP(A51,'Données projet'!$A$87:$I$107,7,0))</f>
        <v>0.13</v>
      </c>
      <c r="BP51" s="21">
        <f>EXP(-LN(2)/35)*BP50+(1-EXP(-LN(2)/35))/(LN(2)/35)*BL51*BM51*VLOOKUP('Données projet'!$B$11,Paramètres!$A$1:$I$89,3,0)*0.475*44/12</f>
        <v>78.123902486936373</v>
      </c>
      <c r="BQ51" s="21">
        <f>EXP(-LN(2)/25)*BQ50+(1-EXP(-LN(2)/25))/(LN(2)/25)*Calculateur!BL51*Calculateur!BN51*VLOOKUP('Données projet'!$B$11,Paramètres!$A$1:$I$89,3,0)*0.475*44/12</f>
        <v>24.468873735620473</v>
      </c>
      <c r="BR51" s="21">
        <f>EXP(-LN(2)/2)*BR50+(1-EXP(-LN(2)/2))/(LN(2)/2)*BL51*BO51*VLOOKUP('Données projet'!$B$11,Paramètres!$A$1:$I$89,3,0)*0.475*44/12</f>
        <v>7.5477661696113314</v>
      </c>
      <c r="BS51" s="22">
        <f t="shared" si="9"/>
        <v>110.14054239216819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18.983516485714286</v>
      </c>
      <c r="BY51" s="12">
        <f>IF('Données projet'!$A$114&gt;35,BY50+BX51-CG50,IF(A51&lt;'Données projet'!$A$114,$BV$205^A51,IF(A51='Données projet'!$A$114,'Données projet'!$B$114,BY50+BX51-CG50)))</f>
        <v>254.19670325714296</v>
      </c>
      <c r="BZ51" s="13">
        <f>BY51*VLOOKUP('Données projet'!$B$12,Paramètres!$A$1:$I$89,3,0)*VLOOKUP('Données projet'!$B$12,Paramètres!$A$1:$I$89,5,0)</f>
        <v>125.57317140902863</v>
      </c>
      <c r="CA51" s="13">
        <f t="shared" si="39"/>
        <v>32.971395795648128</v>
      </c>
      <c r="CB51" s="20">
        <f t="shared" si="10"/>
        <v>276.13178788147866</v>
      </c>
      <c r="CC51" s="59">
        <f t="shared" si="11"/>
        <v>569.46512121481192</v>
      </c>
      <c r="CD51" s="59">
        <f ca="1">AVERAGE(OFFSET($CC$3,0,0,'Données projet'!$E$12+1,1))-AVERAGE(OFFSET($H$3,0,0,'Données projet'!$E$12+1,1))</f>
        <v>246.05217890269194</v>
      </c>
      <c r="CE51" s="59">
        <f t="shared" si="40"/>
        <v>155.54297071424327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27.061064767799881</v>
      </c>
      <c r="CM51" s="21">
        <f>EXP(-LN(2)/2)*CM50+(1-EXP(-LN(2)/2))/(LN(2)/2)*CG51*CJ51*VLOOKUP('Données projet'!$B$12,Paramètres!$A$1:$I$89,3,0)*0.475*44/12</f>
        <v>12.727584457440765</v>
      </c>
      <c r="CN51" s="22">
        <f t="shared" si="12"/>
        <v>39.788649225240647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11.861538464444449</v>
      </c>
      <c r="CT51" s="12">
        <f>IF('Données projet'!$A$140&gt;35,CT50+CS51-DB50,IF(A51&lt;'Données projet'!$A$140,$CQ$205^A51,IF(A51='Données projet'!$A$140,'Données projet'!$B$140,CT50+CS51-DB50)))</f>
        <v>267.36153847111103</v>
      </c>
      <c r="CU51" s="17">
        <f>CT51*VLOOKUP('Données projet'!$B$13,Paramètres!$A$1:$I$89,3,0)*VLOOKUP('Données projet'!$B$13,Paramètres!$A$1:$I$89,5,0)</f>
        <v>159.8822000057244</v>
      </c>
      <c r="CV51" s="13">
        <f t="shared" si="41"/>
        <v>40.815944150332982</v>
      </c>
      <c r="CW51" s="20">
        <f t="shared" si="13"/>
        <v>349.54926773846654</v>
      </c>
      <c r="CX51" s="59">
        <f t="shared" si="14"/>
        <v>642.88260107179985</v>
      </c>
      <c r="CY51" s="59">
        <f ca="1">AVERAGE(OFFSET($CX$3,0,0,'Données projet'!$E$13+1,1))-AVERAGE(OFFSET($H$3,0,0,'Données projet'!$E$13+1,1))</f>
        <v>237.036496933921</v>
      </c>
      <c r="CZ51" s="59">
        <f t="shared" si="42"/>
        <v>191.04289413665344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26.419421932346765</v>
      </c>
      <c r="DG51" s="21">
        <f>EXP(-LN(2)/25)*DG50+(1-EXP(-LN(2)/25))/(LN(2)/25)*Calculateur!DB51*Calculateur!DD51*VLOOKUP('Données projet'!$B$13,Paramètres!$A$1:$I$89,3,0)*0.475*44/12</f>
        <v>10.904537809452052</v>
      </c>
      <c r="DH51" s="21">
        <f>EXP(-LN(2)/2)*DH50+(1-EXP(-LN(2)/2))/(LN(2)/2)*DB51*DE51*VLOOKUP('Données projet'!$B$13,Paramètres!$A$1:$I$89,3,0)*0.475*44/12</f>
        <v>0.47994185845275206</v>
      </c>
      <c r="DI51" s="22">
        <f t="shared" si="15"/>
        <v>37.803901600251571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6.2897435913333322</v>
      </c>
      <c r="DO51" s="12">
        <f>IF('Données projet'!$A$166&gt;35,DO50+DN51-DW50,IF(A51&lt;'Données projet'!$A$166,$DL$205^A51,IF(A51='Données projet'!$A$166,'Données projet'!$B$166,DO50+DN51-DW50)))</f>
        <v>139.22307690400007</v>
      </c>
      <c r="DP51" s="17">
        <f>DO51*VLOOKUP('Données projet'!$B$14,Paramètres!$A$1:$I$89,3,0)*VLOOKUP('Données projet'!$B$14,Paramètres!$A$1:$I$89,5,0)</f>
        <v>83.255399988592046</v>
      </c>
      <c r="DQ51" s="13">
        <f t="shared" si="43"/>
        <v>22.931289216013422</v>
      </c>
      <c r="DR51" s="20">
        <f t="shared" si="16"/>
        <v>184.94181703135453</v>
      </c>
      <c r="DS51" s="59">
        <f t="shared" si="17"/>
        <v>478.27515036468787</v>
      </c>
      <c r="DT51" s="59">
        <f ca="1">AVERAGE(OFFSET($DS$3,0,0,'Données projet'!$E$14+1,1))-AVERAGE(OFFSET($H$3,0,0,'Données projet'!$E$14+1,1))</f>
        <v>148.22129593028302</v>
      </c>
      <c r="DU51" s="59">
        <f t="shared" si="44"/>
        <v>102.97015482019975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178.75416000000001</v>
      </c>
      <c r="EL51" s="13">
        <f t="shared" si="45"/>
        <v>45.044897778507469</v>
      </c>
      <c r="EM51" s="20">
        <f t="shared" si="19"/>
        <v>389.78335896423386</v>
      </c>
      <c r="EN51" s="59">
        <f t="shared" si="20"/>
        <v>683.11669229756717</v>
      </c>
      <c r="EO51" s="59">
        <f ca="1">AVERAGE(OFFSET($EN$3,0,0,'Données projet'!$E$15+1,1))-AVERAGE(OFFSET($H$3,0,0,'Données projet'!$E$15+1,1))</f>
        <v>278.53123771916404</v>
      </c>
      <c r="EP51" s="59">
        <f t="shared" si="46"/>
        <v>283.79094702030869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20.49485411656628</v>
      </c>
      <c r="EW51" s="21">
        <f>EXP(-LN(2)/25)*EW50+(1-EXP(-LN(2)/25))/(LN(2)/25)*Calculateur!ER51*Calculateur!ET51*VLOOKUP('Données projet'!$B$15,Paramètres!$A$1:$I$89,3,0)*0.475*44/12</f>
        <v>10.640890753492197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31.135744870058478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7.143429487179489</v>
      </c>
      <c r="FE51" s="12">
        <f>IF('Données projet'!$A$218&gt;35,FE50+FD51-FM50,IF(A51&lt;'Données projet'!$A$218,$FB$205^A51,IF(A51='Données projet'!$A$218,'Données projet'!$B$218,FE50+FD51-FM50)))</f>
        <v>145.27083333333343</v>
      </c>
      <c r="FF51" s="17">
        <f>FE51*VLOOKUP('Données projet'!$B$16,Paramètres!$A$1:$I$89,3,0)*VLOOKUP('Données projet'!$B$16,Paramètres!$A$1:$I$89,5,0)</f>
        <v>131.44105000000008</v>
      </c>
      <c r="FG51" s="13">
        <f t="shared" si="47"/>
        <v>34.329129734237071</v>
      </c>
      <c r="FH51" s="20">
        <f t="shared" si="22"/>
        <v>288.71639637046309</v>
      </c>
      <c r="FI51" s="59">
        <f t="shared" si="23"/>
        <v>582.0497297037964</v>
      </c>
      <c r="FJ51" s="59">
        <f ca="1">AVERAGE(OFFSET($FI$3,0,0,'Données projet'!$E$16+1,1))-AVERAGE(OFFSET($H$3,0,0,'Données projet'!$E$16+1,1))</f>
        <v>335.99493768537013</v>
      </c>
      <c r="FK51" s="59">
        <f t="shared" si="48"/>
        <v>150.85164849522778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8.1999999999999993</v>
      </c>
      <c r="FZ51" s="12">
        <f>IF('Données projet'!$A$244&gt;35,FZ50+FY51-GH50,IF(A51&lt;'Données projet'!$A$244,$FW$205^A51,IF(A51='Données projet'!$A$244,'Données projet'!$B$244,FZ50+FY51-GH50)))</f>
        <v>213.60000000000011</v>
      </c>
      <c r="GA51" s="17">
        <f>FZ51*VLOOKUP('Données projet'!$B$17,Paramètres!$A$1:$I$89,3,0)*VLOOKUP('Données projet'!$B$17,Paramètres!$A$1:$I$89,5,0)</f>
        <v>186.60096000000013</v>
      </c>
      <c r="GB51" s="13">
        <f t="shared" si="49"/>
        <v>46.787685683664144</v>
      </c>
      <c r="GC51" s="20">
        <f t="shared" si="25"/>
        <v>406.48522456571527</v>
      </c>
      <c r="GD51" s="59">
        <f t="shared" si="26"/>
        <v>699.81855789904853</v>
      </c>
      <c r="GE51" s="59">
        <f ca="1">AVERAGE(OFFSET($GD$3,0,0,'Données projet'!$E$17+1,1))-AVERAGE(OFFSET($H$3,0,0,'Données projet'!$E$17+1,1))</f>
        <v>319.57811113658374</v>
      </c>
      <c r="GF51" s="59">
        <f t="shared" si="50"/>
        <v>322.03572137403245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9.0906100456374013</v>
      </c>
      <c r="GM51" s="21">
        <f>EXP(-LN(2)/25)*GM50+(1-EXP(-LN(2)/25))/(LN(2)/25)*Calculateur!GH51*Calculateur!GJ51*VLOOKUP('Données projet'!$B$17,Paramètres!$A$1:$I$89,3,0)*0.475*44/12</f>
        <v>17.309297376131283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26.399907421768685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17.046153849999996</v>
      </c>
      <c r="N52" s="13">
        <f>IF('Données projet'!$A$36&gt;35,N51+M52-V51,IF(A52&lt;'Données projet'!$A$36,$K$205^A52,IF(A52='Données projet'!$A$36,'Données projet'!$B$36,N51+M52-V51)))</f>
        <v>345.43846150000019</v>
      </c>
      <c r="O52" s="13">
        <f>N52*VLOOKUP('Données projet'!$B$9,Paramètres!$A$1:$I$89,3,0)*VLOOKUP('Données projet'!$B$9,Paramètres!$A$1:$I$89,5,0)</f>
        <v>166.15589998150011</v>
      </c>
      <c r="P52" s="13">
        <f t="shared" si="33"/>
        <v>42.227930363158897</v>
      </c>
      <c r="Q52" s="20">
        <f t="shared" si="53"/>
        <v>362.93517118361439</v>
      </c>
      <c r="R52" s="59">
        <f t="shared" si="0"/>
        <v>656.2685045169477</v>
      </c>
      <c r="S52" s="59">
        <f ca="1">AVERAGE(OFFSET($R$3,0,0,'Données projet'!$E$9+1,1))-AVERAGE(OFFSET($H$3,0,0,'Données projet'!$E$9+1,1))</f>
        <v>226.41956082453015</v>
      </c>
      <c r="T52" s="59">
        <f t="shared" si="34"/>
        <v>317.95076157570446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10.317307681666671</v>
      </c>
      <c r="AI52" s="13">
        <f>IF('Données projet'!$A$62&gt;35,AI51+AH52-AQ51,IF(A52&lt;'Données projet'!$A$62,$AF$205^A52,IF(A52='Données projet'!$A$62,'Données projet'!$B$62,AI51+AH52-AQ51)))</f>
        <v>152.20192309166686</v>
      </c>
      <c r="AJ52" s="13">
        <f>AI52*VLOOKUP('Données projet'!$B$10,Paramètres!$A$1:$I$89,3,0)*VLOOKUP('Données projet'!$B$10,Paramètres!$A$1:$I$89,5,0)</f>
        <v>130.58925001265018</v>
      </c>
      <c r="AK52" s="13">
        <f t="shared" si="35"/>
        <v>34.132481850961788</v>
      </c>
      <c r="AL52" s="20">
        <f t="shared" si="4"/>
        <v>286.89034966245754</v>
      </c>
      <c r="AM52" s="59">
        <f t="shared" si="5"/>
        <v>580.2236829957908</v>
      </c>
      <c r="AN52" s="59">
        <f ca="1">AVERAGE(OFFSET($AM$3,0,0,'Données projet'!$E$10+1,1))-AVERAGE(OFFSET($H$3,0,0,'Données projet'!$E$10+1,1))</f>
        <v>257.80662231827404</v>
      </c>
      <c r="AO52" s="59">
        <f t="shared" si="36"/>
        <v>184.04558520039876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20.507692304999996</v>
      </c>
      <c r="BD52" s="12">
        <f>IF('Données projet'!$A$88&gt;35,BD51+BC52-BL51,IF(A52&lt;'Données projet'!$A$88,$BA$205^A52,IF(A52='Données projet'!$A$88,'Données projet'!$B$88,BD51+BC52-BL51)))</f>
        <v>464.26153847499961</v>
      </c>
      <c r="BE52" s="13">
        <f>BD52*VLOOKUP('Données projet'!$B$11,Paramètres!$A$1:$I$89,3,0)*VLOOKUP('Données projet'!$B$11,Paramètres!$A$1:$I$89,5,0)</f>
        <v>259.52220000752476</v>
      </c>
      <c r="BF52" s="13">
        <f t="shared" si="37"/>
        <v>62.620519405663231</v>
      </c>
      <c r="BG52" s="20">
        <f t="shared" si="7"/>
        <v>561.06523631130233</v>
      </c>
      <c r="BH52" s="59">
        <f t="shared" si="8"/>
        <v>854.3985696446357</v>
      </c>
      <c r="BI52" s="59">
        <f ca="1">AVERAGE(OFFSET($BH$3,0,0,'Données projet'!$E$11+1,1))-AVERAGE(OFFSET($H$3,0,0,'Données projet'!$E$11+1,1))</f>
        <v>300.90952915835157</v>
      </c>
      <c r="BJ52" s="59">
        <f t="shared" si="38"/>
        <v>402.81783992925256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76.591940410042938</v>
      </c>
      <c r="BQ52" s="21">
        <f>EXP(-LN(2)/25)*BQ51+(1-EXP(-LN(2)/25))/(LN(2)/25)*Calculateur!BL52*Calculateur!BN52*VLOOKUP('Données projet'!$B$11,Paramètres!$A$1:$I$89,3,0)*0.475*44/12</f>
        <v>23.799771096557787</v>
      </c>
      <c r="BR52" s="21">
        <f>EXP(-LN(2)/2)*BR51+(1-EXP(-LN(2)/2))/(LN(2)/2)*BL52*BO52*VLOOKUP('Données projet'!$B$11,Paramètres!$A$1:$I$89,3,0)*0.475*44/12</f>
        <v>5.3370766413425859</v>
      </c>
      <c r="BS52" s="22">
        <f t="shared" si="9"/>
        <v>105.72878814794332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18.983516485714286</v>
      </c>
      <c r="BY52" s="12">
        <f>IF('Données projet'!$A$114&gt;35,BY51+BX52-CG51,IF(A52&lt;'Données projet'!$A$114,$BV$205^A52,IF(A52='Données projet'!$A$114,'Données projet'!$B$114,BY51+BX52-CG51)))</f>
        <v>273.18021974285722</v>
      </c>
      <c r="BZ52" s="13">
        <f>BY52*VLOOKUP('Données projet'!$B$12,Paramètres!$A$1:$I$89,3,0)*VLOOKUP('Données projet'!$B$12,Paramètres!$A$1:$I$89,5,0)</f>
        <v>134.95102855297148</v>
      </c>
      <c r="CA52" s="13">
        <f t="shared" si="39"/>
        <v>35.137896095184196</v>
      </c>
      <c r="CB52" s="20">
        <f t="shared" si="10"/>
        <v>296.23821042887113</v>
      </c>
      <c r="CC52" s="59">
        <f t="shared" si="11"/>
        <v>589.57154376220444</v>
      </c>
      <c r="CD52" s="59">
        <f ca="1">AVERAGE(OFFSET($CC$3,0,0,'Données projet'!$E$12+1,1))-AVERAGE(OFFSET($H$3,0,0,'Données projet'!$E$12+1,1))</f>
        <v>246.05217890269194</v>
      </c>
      <c r="CE52" s="59">
        <f t="shared" si="40"/>
        <v>155.54297071424327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26.321078528644847</v>
      </c>
      <c r="CM52" s="21">
        <f>EXP(-LN(2)/2)*CM51+(1-EXP(-LN(2)/2))/(LN(2)/2)*CG52*CJ52*VLOOKUP('Données projet'!$B$12,Paramètres!$A$1:$I$89,3,0)*0.475*44/12</f>
        <v>8.9997612779808698</v>
      </c>
      <c r="CN52" s="22">
        <f t="shared" si="12"/>
        <v>35.320839806625713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11.861538464444449</v>
      </c>
      <c r="CT52" s="12">
        <f>IF('Données projet'!$A$140&gt;35,CT51+CS52-DB51,IF(A52&lt;'Données projet'!$A$140,$CQ$205^A52,IF(A52='Données projet'!$A$140,'Données projet'!$B$140,CT51+CS52-DB51)))</f>
        <v>279.22307693555547</v>
      </c>
      <c r="CU52" s="17">
        <f>CT52*VLOOKUP('Données projet'!$B$13,Paramètres!$A$1:$I$89,3,0)*VLOOKUP('Données projet'!$B$13,Paramètres!$A$1:$I$89,5,0)</f>
        <v>166.97540000746218</v>
      </c>
      <c r="CV52" s="13">
        <f t="shared" si="41"/>
        <v>42.411907669089963</v>
      </c>
      <c r="CW52" s="20">
        <f t="shared" si="13"/>
        <v>364.68289420332832</v>
      </c>
      <c r="CX52" s="59">
        <f t="shared" si="14"/>
        <v>658.01622753666163</v>
      </c>
      <c r="CY52" s="59">
        <f ca="1">AVERAGE(OFFSET($CX$3,0,0,'Données projet'!$E$13+1,1))-AVERAGE(OFFSET($H$3,0,0,'Données projet'!$E$13+1,1))</f>
        <v>237.036496933921</v>
      </c>
      <c r="CZ52" s="59">
        <f t="shared" si="42"/>
        <v>191.04289413665344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25.901353182509673</v>
      </c>
      <c r="DG52" s="21">
        <f>EXP(-LN(2)/25)*DG51+(1-EXP(-LN(2)/25))/(LN(2)/25)*Calculateur!DB52*Calculateur!DD52*VLOOKUP('Données projet'!$B$13,Paramètres!$A$1:$I$89,3,0)*0.475*44/12</f>
        <v>10.606352649607864</v>
      </c>
      <c r="DH52" s="21">
        <f>EXP(-LN(2)/2)*DH51+(1-EXP(-LN(2)/2))/(LN(2)/2)*DB52*DE52*VLOOKUP('Données projet'!$B$13,Paramètres!$A$1:$I$89,3,0)*0.475*44/12</f>
        <v>0.33937014268721516</v>
      </c>
      <c r="DI52" s="22">
        <f t="shared" si="15"/>
        <v>36.847075974804753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6.2897435913333322</v>
      </c>
      <c r="DO52" s="12">
        <f>IF('Données projet'!$A$166&gt;35,DO51+DN52-DW51,IF(A52&lt;'Données projet'!$A$166,$DL$205^A52,IF(A52='Données projet'!$A$166,'Données projet'!$B$166,DO51+DN52-DW51)))</f>
        <v>145.51282049533339</v>
      </c>
      <c r="DP52" s="17">
        <f>DO52*VLOOKUP('Données projet'!$B$14,Paramètres!$A$1:$I$89,3,0)*VLOOKUP('Données projet'!$B$14,Paramètres!$A$1:$I$89,5,0)</f>
        <v>87.016666656209381</v>
      </c>
      <c r="DQ52" s="13">
        <f t="shared" si="43"/>
        <v>23.844311309254469</v>
      </c>
      <c r="DR52" s="20">
        <f t="shared" si="16"/>
        <v>193.08286995651619</v>
      </c>
      <c r="DS52" s="59">
        <f t="shared" si="17"/>
        <v>486.41620328984948</v>
      </c>
      <c r="DT52" s="59">
        <f ca="1">AVERAGE(OFFSET($DS$3,0,0,'Données projet'!$E$14+1,1))-AVERAGE(OFFSET($H$3,0,0,'Données projet'!$E$14+1,1))</f>
        <v>148.22129593028302</v>
      </c>
      <c r="DU52" s="59">
        <f t="shared" si="44"/>
        <v>102.97015482019975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185.05968000000004</v>
      </c>
      <c r="EL52" s="13">
        <f t="shared" si="45"/>
        <v>46.44604914943055</v>
      </c>
      <c r="EM52" s="20">
        <f t="shared" si="19"/>
        <v>403.20581160192484</v>
      </c>
      <c r="EN52" s="59">
        <f t="shared" si="20"/>
        <v>696.53914493525815</v>
      </c>
      <c r="EO52" s="59">
        <f ca="1">AVERAGE(OFFSET($EN$3,0,0,'Données projet'!$E$15+1,1))-AVERAGE(OFFSET($H$3,0,0,'Données projet'!$E$15+1,1))</f>
        <v>278.53123771916404</v>
      </c>
      <c r="EP52" s="59">
        <f t="shared" si="46"/>
        <v>283.79094702030869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20.092962527967092</v>
      </c>
      <c r="EW52" s="21">
        <f>EXP(-LN(2)/25)*EW51+(1-EXP(-LN(2)/25))/(LN(2)/25)*Calculateur!ER52*Calculateur!ET52*VLOOKUP('Données projet'!$B$15,Paramètres!$A$1:$I$89,3,0)*0.475*44/12</f>
        <v>10.349915036257828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30.442877564224922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7.143429487179489</v>
      </c>
      <c r="FE52" s="12">
        <f>IF('Données projet'!$A$218&gt;35,FE51+FD52-FM51,IF(A52&lt;'Données projet'!$A$218,$FB$205^A52,IF(A52='Données projet'!$A$218,'Données projet'!$B$218,FE51+FD52-FM51)))</f>
        <v>152.41426282051293</v>
      </c>
      <c r="FF52" s="17">
        <f>FE52*VLOOKUP('Données projet'!$B$16,Paramètres!$A$1:$I$89,3,0)*VLOOKUP('Données projet'!$B$16,Paramètres!$A$1:$I$89,5,0)</f>
        <v>137.90442500000009</v>
      </c>
      <c r="FG52" s="13">
        <f t="shared" si="47"/>
        <v>35.816518126136359</v>
      </c>
      <c r="FH52" s="20">
        <f t="shared" si="22"/>
        <v>302.56397594468757</v>
      </c>
      <c r="FI52" s="59">
        <f t="shared" si="23"/>
        <v>595.89730927802088</v>
      </c>
      <c r="FJ52" s="59">
        <f ca="1">AVERAGE(OFFSET($FI$3,0,0,'Données projet'!$E$16+1,1))-AVERAGE(OFFSET($H$3,0,0,'Données projet'!$E$16+1,1))</f>
        <v>335.99493768537013</v>
      </c>
      <c r="FK52" s="59">
        <f t="shared" si="48"/>
        <v>150.85164849522778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8.1999999999999993</v>
      </c>
      <c r="FZ52" s="12">
        <f>IF('Données projet'!$A$244&gt;35,FZ51+FY52-GH51,IF(A52&lt;'Données projet'!$A$244,$FW$205^A52,IF(A52='Données projet'!$A$244,'Données projet'!$B$244,FZ51+FY52-GH51)))</f>
        <v>221.8000000000001</v>
      </c>
      <c r="GA52" s="17">
        <f>FZ52*VLOOKUP('Données projet'!$B$17,Paramètres!$A$1:$I$89,3,0)*VLOOKUP('Données projet'!$B$17,Paramètres!$A$1:$I$89,5,0)</f>
        <v>193.76448000000011</v>
      </c>
      <c r="GB52" s="13">
        <f t="shared" si="49"/>
        <v>48.371273222646494</v>
      </c>
      <c r="GC52" s="20">
        <f t="shared" si="25"/>
        <v>421.71977019610949</v>
      </c>
      <c r="GD52" s="59">
        <f t="shared" si="26"/>
        <v>715.05310352944275</v>
      </c>
      <c r="GE52" s="59">
        <f ca="1">AVERAGE(OFFSET($GD$3,0,0,'Données projet'!$E$17+1,1))-AVERAGE(OFFSET($H$3,0,0,'Données projet'!$E$17+1,1))</f>
        <v>319.57811113658374</v>
      </c>
      <c r="GF52" s="59">
        <f t="shared" si="50"/>
        <v>322.03572137403245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8.9123487273670836</v>
      </c>
      <c r="GM52" s="21">
        <f>EXP(-LN(2)/25)*GM51+(1-EXP(-LN(2)/25))/(LN(2)/25)*Calculateur!GH52*Calculateur!GJ52*VLOOKUP('Données projet'!$B$17,Paramètres!$A$1:$I$89,3,0)*0.475*44/12</f>
        <v>16.835973729124586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25.748322456491671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17.046153849999996</v>
      </c>
      <c r="N53" s="13">
        <f>IF('Données projet'!$A$36&gt;35,N52+M53-V52,IF(A53&lt;'Données projet'!$A$36,$K$205^A53,IF(A53='Données projet'!$A$36,'Données projet'!$B$36,N52+M53-V52)))</f>
        <v>362.48461535000018</v>
      </c>
      <c r="O53" s="13">
        <f>N53*VLOOKUP('Données projet'!$B$9,Paramètres!$A$1:$I$89,3,0)*VLOOKUP('Données projet'!$B$9,Paramètres!$A$1:$I$89,5,0)</f>
        <v>174.35509998335007</v>
      </c>
      <c r="P53" s="13">
        <f t="shared" si="33"/>
        <v>44.063980486349976</v>
      </c>
      <c r="Q53" s="20">
        <f t="shared" si="53"/>
        <v>380.41323181806086</v>
      </c>
      <c r="R53" s="59">
        <f t="shared" si="0"/>
        <v>673.74656515139418</v>
      </c>
      <c r="S53" s="59">
        <f ca="1">AVERAGE(OFFSET($R$3,0,0,'Données projet'!$E$9+1,1))-AVERAGE(OFFSET($H$3,0,0,'Données projet'!$E$9+1,1))</f>
        <v>226.41956082453015</v>
      </c>
      <c r="T53" s="59">
        <f t="shared" si="34"/>
        <v>317.95076157570446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10.317307681666671</v>
      </c>
      <c r="AI53" s="13">
        <f>IF('Données projet'!$A$62&gt;35,AI52+AH53-AQ52,IF(A53&lt;'Données projet'!$A$62,$AF$205^A53,IF(A53='Données projet'!$A$62,'Données projet'!$B$62,AI52+AH53-AQ52)))</f>
        <v>162.51923077333353</v>
      </c>
      <c r="AJ53" s="13">
        <f>AI53*VLOOKUP('Données projet'!$B$10,Paramètres!$A$1:$I$89,3,0)*VLOOKUP('Données projet'!$B$10,Paramètres!$A$1:$I$89,5,0)</f>
        <v>139.44150000352019</v>
      </c>
      <c r="AK53" s="13">
        <f t="shared" si="35"/>
        <v>36.169031238638013</v>
      </c>
      <c r="AL53" s="20">
        <f t="shared" si="4"/>
        <v>305.85500858009215</v>
      </c>
      <c r="AM53" s="59">
        <f t="shared" si="5"/>
        <v>599.18834191342546</v>
      </c>
      <c r="AN53" s="59">
        <f ca="1">AVERAGE(OFFSET($AM$3,0,0,'Données projet'!$E$10+1,1))-AVERAGE(OFFSET($H$3,0,0,'Données projet'!$E$10+1,1))</f>
        <v>257.80662231827404</v>
      </c>
      <c r="AO53" s="59">
        <f t="shared" si="36"/>
        <v>184.04558520039876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20.507692304999996</v>
      </c>
      <c r="BD53" s="12">
        <f>IF('Données projet'!$A$88&gt;35,BD52+BC53-BL52,IF(A53&lt;'Données projet'!$A$88,$BA$205^A53,IF(A53='Données projet'!$A$88,'Données projet'!$B$88,BD52+BC53-BL52)))</f>
        <v>484.76923077999959</v>
      </c>
      <c r="BE53" s="13">
        <f>BD53*VLOOKUP('Données projet'!$B$11,Paramètres!$A$1:$I$89,3,0)*VLOOKUP('Données projet'!$B$11,Paramètres!$A$1:$I$89,5,0)</f>
        <v>270.98600000601976</v>
      </c>
      <c r="BF53" s="13">
        <f t="shared" si="37"/>
        <v>65.058478960010731</v>
      </c>
      <c r="BG53" s="20">
        <f t="shared" si="7"/>
        <v>585.27746753250301</v>
      </c>
      <c r="BH53" s="59">
        <f t="shared" si="8"/>
        <v>878.61080086583638</v>
      </c>
      <c r="BI53" s="59">
        <f ca="1">AVERAGE(OFFSET($BH$3,0,0,'Données projet'!$E$11+1,1))-AVERAGE(OFFSET($H$3,0,0,'Données projet'!$E$11+1,1))</f>
        <v>300.90952915835157</v>
      </c>
      <c r="BJ53" s="59">
        <f t="shared" si="38"/>
        <v>402.81783992925256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75.090019175072783</v>
      </c>
      <c r="BQ53" s="21">
        <f>EXP(-LN(2)/25)*BQ52+(1-EXP(-LN(2)/25))/(LN(2)/25)*Calculateur!BL53*Calculateur!BN53*VLOOKUP('Données projet'!$B$11,Paramètres!$A$1:$I$89,3,0)*0.475*44/12</f>
        <v>23.148965104346846</v>
      </c>
      <c r="BR53" s="21">
        <f>EXP(-LN(2)/2)*BR52+(1-EXP(-LN(2)/2))/(LN(2)/2)*BL53*BO53*VLOOKUP('Données projet'!$B$11,Paramètres!$A$1:$I$89,3,0)*0.475*44/12</f>
        <v>3.7738830848056661</v>
      </c>
      <c r="BS53" s="22">
        <f t="shared" si="9"/>
        <v>102.01286736422529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18.983516485714286</v>
      </c>
      <c r="BY53" s="12">
        <f>IF('Données projet'!$A$114&gt;35,BY52+BX53-CG52,IF(A53&lt;'Données projet'!$A$114,$BV$205^A53,IF(A53='Données projet'!$A$114,'Données projet'!$B$114,BY52+BX53-CG52)))</f>
        <v>292.16373622857151</v>
      </c>
      <c r="BZ53" s="13">
        <f>BY53*VLOOKUP('Données projet'!$B$12,Paramètres!$A$1:$I$89,3,0)*VLOOKUP('Données projet'!$B$12,Paramètres!$A$1:$I$89,5,0)</f>
        <v>144.32888569691434</v>
      </c>
      <c r="CA53" s="13">
        <f t="shared" si="39"/>
        <v>37.286928005649564</v>
      </c>
      <c r="CB53" s="20">
        <f t="shared" si="10"/>
        <v>316.31420886529878</v>
      </c>
      <c r="CC53" s="59">
        <f t="shared" si="11"/>
        <v>609.6475421986321</v>
      </c>
      <c r="CD53" s="59">
        <f ca="1">AVERAGE(OFFSET($CC$3,0,0,'Données projet'!$E$12+1,1))-AVERAGE(OFFSET($H$3,0,0,'Données projet'!$E$12+1,1))</f>
        <v>246.05217890269194</v>
      </c>
      <c r="CE53" s="59">
        <f t="shared" si="40"/>
        <v>155.54297071424327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25.601327252113691</v>
      </c>
      <c r="CM53" s="21">
        <f>EXP(-LN(2)/2)*CM52+(1-EXP(-LN(2)/2))/(LN(2)/2)*CG53*CJ53*VLOOKUP('Données projet'!$B$12,Paramètres!$A$1:$I$89,3,0)*0.475*44/12</f>
        <v>6.3637922287203823</v>
      </c>
      <c r="CN53" s="22">
        <f t="shared" si="12"/>
        <v>31.965119480834073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291.08461540000002</v>
      </c>
      <c r="CR53" s="12">
        <f>VLOOKUP(A53,'Données projet'!$A$139:$I$159,9,0)</f>
        <v>11.861538464444449</v>
      </c>
      <c r="CS53" s="12">
        <f t="array" ref="CS53">INDEX(CR:CR,MIN(IF(ISNUMBER(CR53:CR249),ROW(CR53:CR249),"")))</f>
        <v>11.861538464444449</v>
      </c>
      <c r="CT53" s="12">
        <f>IF('Données projet'!$A$140&gt;35,CT52+CS53-DB52,IF(A53&lt;'Données projet'!$A$140,$CQ$205^A53,IF(A53='Données projet'!$A$140,'Données projet'!$B$140,CT52+CS53-DB52)))</f>
        <v>291.0846153999999</v>
      </c>
      <c r="CU53" s="17">
        <f>CT53*VLOOKUP('Données projet'!$B$13,Paramètres!$A$1:$I$89,3,0)*VLOOKUP('Données projet'!$B$13,Paramètres!$A$1:$I$89,5,0)</f>
        <v>174.06860000919997</v>
      </c>
      <c r="CV53" s="13">
        <f t="shared" si="41"/>
        <v>43.999996554808654</v>
      </c>
      <c r="CW53" s="20">
        <f t="shared" si="13"/>
        <v>379.80280568231501</v>
      </c>
      <c r="CX53" s="59">
        <f t="shared" si="14"/>
        <v>673.13613901564827</v>
      </c>
      <c r="CY53" s="59">
        <f ca="1">AVERAGE(OFFSET($CX$3,0,0,'Données projet'!$E$13+1,1))-AVERAGE(OFFSET($H$3,0,0,'Données projet'!$E$13+1,1))</f>
        <v>237.036496933921</v>
      </c>
      <c r="CZ53" s="59">
        <f t="shared" si="42"/>
        <v>191.04289413665344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55.292307690000001</v>
      </c>
      <c r="DC53" s="16">
        <f>IF(ISNA(VLOOKUP(A53,'Données projet'!$A$139:$I$159,5,0)),0%,VLOOKUP(A53,'Données projet'!$A$139:$I$159,5,0)*VLOOKUP('Données projet'!$B$13,Paramètres!$A$1:$I$89,7,0))</f>
        <v>0.315</v>
      </c>
      <c r="DD53" s="16">
        <f>IF(ISNA(VLOOKUP(A53,'Données projet'!$A$139:$I$159,6,0)),0%,VLOOKUP(A53,'Données projet'!$A$139:$I$159,6,0)*VLOOKUP('Données projet'!$B$13,Paramètres!$A$1:$I$89,7,0))</f>
        <v>7.6500000000000012E-2</v>
      </c>
      <c r="DE53" s="16">
        <f>IF(ISNA(VLOOKUP(A53,'Données projet'!$A$139:$I$159,7,0)),0%,VLOOKUP(A53,'Données projet'!$A$139:$I$159,7,0))</f>
        <v>0.13</v>
      </c>
      <c r="DF53" s="21">
        <f>EXP(-LN(2)/35)*DF52+(1-EXP(-LN(2)/35))/(LN(2)/35)*DB53*DC53*VLOOKUP('Données projet'!$B$13,Paramètres!$A$1:$I$89,3,0)*0.475*44/12</f>
        <v>39.210158792247945</v>
      </c>
      <c r="DG53" s="21">
        <f>EXP(-LN(2)/25)*DG52+(1-EXP(-LN(2)/25))/(LN(2)/25)*Calculateur!DB53*Calculateur!DD53*VLOOKUP('Données projet'!$B$13,Paramètres!$A$1:$I$89,3,0)*0.475*44/12</f>
        <v>13.658597556727974</v>
      </c>
      <c r="DH53" s="21">
        <f>EXP(-LN(2)/2)*DH52+(1-EXP(-LN(2)/2))/(LN(2)/2)*DB53*DE53*VLOOKUP('Données projet'!$B$13,Paramètres!$A$1:$I$89,3,0)*0.475*44/12</f>
        <v>5.1067854102861556</v>
      </c>
      <c r="DI53" s="22">
        <f t="shared" si="15"/>
        <v>57.975541759262079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6.2897435913333322</v>
      </c>
      <c r="DO53" s="12">
        <f>IF('Données projet'!$A$166&gt;35,DO52+DN53-DW52,IF(A53&lt;'Données projet'!$A$166,$DL$205^A53,IF(A53='Données projet'!$A$166,'Données projet'!$B$166,DO52+DN53-DW52)))</f>
        <v>151.80256408666671</v>
      </c>
      <c r="DP53" s="17">
        <f>DO53*VLOOKUP('Données projet'!$B$14,Paramètres!$A$1:$I$89,3,0)*VLOOKUP('Données projet'!$B$14,Paramètres!$A$1:$I$89,5,0)</f>
        <v>90.777933323826687</v>
      </c>
      <c r="DQ53" s="13">
        <f t="shared" si="43"/>
        <v>24.752749697066001</v>
      </c>
      <c r="DR53" s="20">
        <f t="shared" si="16"/>
        <v>201.21593959472145</v>
      </c>
      <c r="DS53" s="59">
        <f t="shared" si="17"/>
        <v>494.54927292805473</v>
      </c>
      <c r="DT53" s="59">
        <f ca="1">AVERAGE(OFFSET($DS$3,0,0,'Données projet'!$E$14+1,1))-AVERAGE(OFFSET($H$3,0,0,'Données projet'!$E$14+1,1))</f>
        <v>148.22129593028302</v>
      </c>
      <c r="DU53" s="59">
        <f t="shared" si="44"/>
        <v>102.97015482019975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191.36520000000004</v>
      </c>
      <c r="EL53" s="13">
        <f t="shared" si="45"/>
        <v>47.841653305605021</v>
      </c>
      <c r="EM53" s="20">
        <f t="shared" si="19"/>
        <v>416.61860284059549</v>
      </c>
      <c r="EN53" s="59">
        <f t="shared" si="20"/>
        <v>709.95193617392874</v>
      </c>
      <c r="EO53" s="59">
        <f ca="1">AVERAGE(OFFSET($EN$3,0,0,'Données projet'!$E$15+1,1))-AVERAGE(OFFSET($H$3,0,0,'Données projet'!$E$15+1,1))</f>
        <v>278.53123771916404</v>
      </c>
      <c r="EP53" s="59">
        <f t="shared" si="46"/>
        <v>283.79094702030869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0.36119999999999997</v>
      </c>
      <c r="ET53" s="16">
        <f>IF(ISNA(VLOOKUP(A53,'Données projet'!$A$191:$I$211,6,0)),0%,VLOOKUP(A53,'Données projet'!$A$191:$I$211,6,0)*VLOOKUP('Données projet'!$B$15,Paramètres!$A$1:$I$89,7,0))</f>
        <v>4.7300000000000002E-2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25.261463127157651</v>
      </c>
      <c r="EW53" s="21">
        <f>EXP(-LN(2)/25)*EW52+(1-EXP(-LN(2)/25))/(LN(2)/25)*Calculateur!ER53*Calculateur!ET53*VLOOKUP('Données projet'!$B$15,Paramètres!$A$1:$I$89,3,0)*0.475*44/12</f>
        <v>10.792452085963834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36.053915213121485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159.55769230769232</v>
      </c>
      <c r="FC53" s="12">
        <f>VLOOKUP(A53,'Données projet'!$A$217:$I$237,9,0)</f>
        <v>7.143429487179489</v>
      </c>
      <c r="FD53" s="12">
        <f t="array" ref="FD53">INDEX(FC:FC,MIN(IF(ISNUMBER(FC53:FC249),ROW(FC53:FC249),"")))</f>
        <v>7.143429487179489</v>
      </c>
      <c r="FE53" s="12">
        <f>IF('Données projet'!$A$218&gt;35,FE52+FD53-FM52,IF(A53&lt;'Données projet'!$A$218,$FB$205^A53,IF(A53='Données projet'!$A$218,'Données projet'!$B$218,FE52+FD53-FM52)))</f>
        <v>159.55769230769243</v>
      </c>
      <c r="FF53" s="17">
        <f>FE53*VLOOKUP('Données projet'!$B$16,Paramètres!$A$1:$I$89,3,0)*VLOOKUP('Données projet'!$B$16,Paramètres!$A$1:$I$89,5,0)</f>
        <v>144.3678000000001</v>
      </c>
      <c r="FG53" s="13">
        <f t="shared" si="47"/>
        <v>37.295811043150216</v>
      </c>
      <c r="FH53" s="20">
        <f t="shared" si="22"/>
        <v>316.39745590015349</v>
      </c>
      <c r="FI53" s="59">
        <f t="shared" si="23"/>
        <v>609.7307892334868</v>
      </c>
      <c r="FJ53" s="59">
        <f ca="1">AVERAGE(OFFSET($FI$3,0,0,'Données projet'!$E$16+1,1))-AVERAGE(OFFSET($H$3,0,0,'Données projet'!$E$16+1,1))</f>
        <v>335.99493768537013</v>
      </c>
      <c r="FK53" s="59">
        <f t="shared" si="48"/>
        <v>150.85164849522778</v>
      </c>
      <c r="FL53" s="15">
        <f>IF(ISNA(VLOOKUP(A53,'Données projet'!$A$217:$I$237,3,0)),0,VLOOKUP(A53,'Données projet'!$A$217:$I$237,3,0))</f>
        <v>2</v>
      </c>
      <c r="FM53" s="15">
        <f>IF(ISNA(VLOOKUP(A53,'Données projet'!$A$217:$I$237,4,0)),0,VLOOKUP(A53,'Données projet'!$A$217:$I$237,4,0))</f>
        <v>29.416666666666664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230</v>
      </c>
      <c r="FX53" s="12">
        <f>VLOOKUP(A53,'Données projet'!$A$243:$I$263,9,0)</f>
        <v>8.1999999999999993</v>
      </c>
      <c r="FY53" s="12">
        <f t="array" ref="FY53">INDEX(FX:FX,MIN(IF(ISNUMBER(FX53:FX249),ROW(FX53:FX249),"")))</f>
        <v>8.1999999999999993</v>
      </c>
      <c r="FZ53" s="12">
        <f>IF('Données projet'!$A$244&gt;35,FZ52+FY53-GH52,IF(A53&lt;'Données projet'!$A$244,$FW$205^A53,IF(A53='Données projet'!$A$244,'Données projet'!$B$244,FZ52+FY53-GH52)))</f>
        <v>230.00000000000009</v>
      </c>
      <c r="GA53" s="17">
        <f>FZ53*VLOOKUP('Données projet'!$B$17,Paramètres!$A$1:$I$89,3,0)*VLOOKUP('Données projet'!$B$17,Paramètres!$A$1:$I$89,5,0)</f>
        <v>200.92800000000011</v>
      </c>
      <c r="GB53" s="13">
        <f t="shared" si="49"/>
        <v>49.948059057189084</v>
      </c>
      <c r="GC53" s="20">
        <f t="shared" si="25"/>
        <v>436.94246952460452</v>
      </c>
      <c r="GD53" s="59">
        <f t="shared" si="26"/>
        <v>730.27580285793783</v>
      </c>
      <c r="GE53" s="59">
        <f ca="1">AVERAGE(OFFSET($GD$3,0,0,'Données projet'!$E$17+1,1))-AVERAGE(OFFSET($H$3,0,0,'Données projet'!$E$17+1,1))</f>
        <v>319.57811113658374</v>
      </c>
      <c r="GF53" s="59">
        <f t="shared" si="50"/>
        <v>322.03572137403245</v>
      </c>
      <c r="GG53" s="15">
        <f>IF(ISNA(VLOOKUP(A53,'Données projet'!$A$243:$I$263,3,0)),0,VLOOKUP(A53,'Données projet'!$A$243:$I$263,3,0))</f>
        <v>7</v>
      </c>
      <c r="GH53" s="15" t="str">
        <f>IF(ISNA(VLOOKUP(A53,'Données projet'!$A$243:$I$263,4,0)),0,VLOOKUP(A53,'Données projet'!$A$243:$I$263,4,0))</f>
        <v>28</v>
      </c>
      <c r="GI53" s="16">
        <f>IF(ISNA(VLOOKUP(A53,'Données projet'!$A$243:$I$263,5,0)),0%,VLOOKUP(A53,'Données projet'!$A$243:$I$263,5,0)*VLOOKUP('Données projet'!$B$17,Paramètres!$A$1:$I$89,7,0))</f>
        <v>0.17200000000000001</v>
      </c>
      <c r="GJ53" s="16">
        <f>IF(ISNA(VLOOKUP(A53,'Données projet'!$A$243:$I$263,6,0)),0%,VLOOKUP(A53,'Données projet'!$A$243:$I$263,6,0)*VLOOKUP('Données projet'!$B$17,Paramètres!$A$1:$I$89,7,0))</f>
        <v>0.17200000000000001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13.38858166068427</v>
      </c>
      <c r="GM53" s="21">
        <f>EXP(-LN(2)/25)*GM52+(1-EXP(-LN(2)/25))/(LN(2)/25)*Calculateur!GH53*Calculateur!GJ53*VLOOKUP('Données projet'!$B$17,Paramètres!$A$1:$I$89,3,0)*0.475*44/12</f>
        <v>21.008279044123622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34.396860704807892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17.046153849999996</v>
      </c>
      <c r="N54" s="13">
        <f>IF('Données projet'!$A$36&gt;35,N53+M54-V53,IF(A54&lt;'Données projet'!$A$36,$K$205^A54,IF(A54='Données projet'!$A$36,'Données projet'!$B$36,N53+M54-V53)))</f>
        <v>379.53076920000018</v>
      </c>
      <c r="O54" s="13">
        <f>N54*VLOOKUP('Données projet'!$B$9,Paramètres!$A$1:$I$89,3,0)*VLOOKUP('Données projet'!$B$9,Paramètres!$A$1:$I$89,5,0)</f>
        <v>182.55429998520012</v>
      </c>
      <c r="P54" s="13">
        <f t="shared" si="33"/>
        <v>45.890003972298764</v>
      </c>
      <c r="Q54" s="20">
        <f t="shared" si="53"/>
        <v>397.87382939264381</v>
      </c>
      <c r="R54" s="59">
        <f t="shared" si="0"/>
        <v>691.20716272597713</v>
      </c>
      <c r="S54" s="59">
        <f ca="1">AVERAGE(OFFSET($R$3,0,0,'Données projet'!$E$9+1,1))-AVERAGE(OFFSET($H$3,0,0,'Données projet'!$E$9+1,1))</f>
        <v>226.41956082453015</v>
      </c>
      <c r="T54" s="59">
        <f t="shared" si="34"/>
        <v>317.95076157570446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10.317307681666671</v>
      </c>
      <c r="AI54" s="13">
        <f>IF('Données projet'!$A$62&gt;35,AI53+AH54-AQ53,IF(A54&lt;'Données projet'!$A$62,$AF$205^A54,IF(A54='Données projet'!$A$62,'Données projet'!$B$62,AI53+AH54-AQ53)))</f>
        <v>172.83653845500021</v>
      </c>
      <c r="AJ54" s="13">
        <f>AI54*VLOOKUP('Données projet'!$B$10,Paramètres!$A$1:$I$89,3,0)*VLOOKUP('Données projet'!$B$10,Paramètres!$A$1:$I$89,5,0)</f>
        <v>148.2937499943902</v>
      </c>
      <c r="AK54" s="13">
        <f t="shared" si="35"/>
        <v>38.190576390080579</v>
      </c>
      <c r="AL54" s="20">
        <f t="shared" si="4"/>
        <v>324.79353511961989</v>
      </c>
      <c r="AM54" s="59">
        <f t="shared" si="5"/>
        <v>618.1268684529532</v>
      </c>
      <c r="AN54" s="59">
        <f ca="1">AVERAGE(OFFSET($AM$3,0,0,'Données projet'!$E$10+1,1))-AVERAGE(OFFSET($H$3,0,0,'Données projet'!$E$10+1,1))</f>
        <v>257.80662231827404</v>
      </c>
      <c r="AO54" s="59">
        <f t="shared" si="36"/>
        <v>184.04558520039876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20.507692304999996</v>
      </c>
      <c r="BD54" s="12">
        <f>IF('Données projet'!$A$88&gt;35,BD53+BC54-BL53,IF(A54&lt;'Données projet'!$A$88,$BA$205^A54,IF(A54='Données projet'!$A$88,'Données projet'!$B$88,BD53+BC54-BL53)))</f>
        <v>505.27692308499957</v>
      </c>
      <c r="BE54" s="13">
        <f>BD54*VLOOKUP('Données projet'!$B$11,Paramètres!$A$1:$I$89,3,0)*VLOOKUP('Données projet'!$B$11,Paramètres!$A$1:$I$89,5,0)</f>
        <v>282.44980000451477</v>
      </c>
      <c r="BF54" s="13">
        <f t="shared" si="37"/>
        <v>67.484459275951139</v>
      </c>
      <c r="BG54" s="20">
        <f t="shared" si="7"/>
        <v>609.46883491347808</v>
      </c>
      <c r="BH54" s="59">
        <f t="shared" si="8"/>
        <v>902.80216824681133</v>
      </c>
      <c r="BI54" s="59">
        <f ca="1">AVERAGE(OFFSET($BH$3,0,0,'Données projet'!$E$11+1,1))-AVERAGE(OFFSET($H$3,0,0,'Données projet'!$E$11+1,1))</f>
        <v>300.90952915835157</v>
      </c>
      <c r="BJ54" s="59">
        <f t="shared" si="38"/>
        <v>402.81783992925256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73.617549699438896</v>
      </c>
      <c r="BQ54" s="21">
        <f>EXP(-LN(2)/25)*BQ53+(1-EXP(-LN(2)/25))/(LN(2)/25)*Calculateur!BL54*Calculateur!BN54*VLOOKUP('Données projet'!$B$11,Paramètres!$A$1:$I$89,3,0)*0.475*44/12</f>
        <v>22.515955436217315</v>
      </c>
      <c r="BR54" s="21">
        <f>EXP(-LN(2)/2)*BR53+(1-EXP(-LN(2)/2))/(LN(2)/2)*BL54*BO54*VLOOKUP('Données projet'!$B$11,Paramètres!$A$1:$I$89,3,0)*0.475*44/12</f>
        <v>2.6685383206712934</v>
      </c>
      <c r="BS54" s="22">
        <f t="shared" si="9"/>
        <v>98.802043456327496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18.983516485714286</v>
      </c>
      <c r="BY54" s="12">
        <f>IF('Données projet'!$A$114&gt;35,BY53+BX54-CG53,IF(A54&lt;'Données projet'!$A$114,$BV$205^A54,IF(A54='Données projet'!$A$114,'Données projet'!$B$114,BY53+BX54-CG53)))</f>
        <v>311.1472527142858</v>
      </c>
      <c r="BZ54" s="13">
        <f>BY54*VLOOKUP('Données projet'!$B$12,Paramètres!$A$1:$I$89,3,0)*VLOOKUP('Données projet'!$B$12,Paramètres!$A$1:$I$89,5,0)</f>
        <v>153.70674284085717</v>
      </c>
      <c r="CA54" s="13">
        <f t="shared" si="39"/>
        <v>39.419755719115997</v>
      </c>
      <c r="CB54" s="20">
        <f t="shared" si="10"/>
        <v>336.36198499195331</v>
      </c>
      <c r="CC54" s="59">
        <f t="shared" si="11"/>
        <v>629.69531832528662</v>
      </c>
      <c r="CD54" s="59">
        <f ca="1">AVERAGE(OFFSET($CC$3,0,0,'Données projet'!$E$12+1,1))-AVERAGE(OFFSET($H$3,0,0,'Données projet'!$E$12+1,1))</f>
        <v>246.05217890269194</v>
      </c>
      <c r="CE54" s="59">
        <f t="shared" si="40"/>
        <v>155.54297071424327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24.901257612089356</v>
      </c>
      <c r="CM54" s="21">
        <f>EXP(-LN(2)/2)*CM53+(1-EXP(-LN(2)/2))/(LN(2)/2)*CG54*CJ54*VLOOKUP('Données projet'!$B$12,Paramètres!$A$1:$I$89,3,0)*0.475*44/12</f>
        <v>4.4998806389904349</v>
      </c>
      <c r="CN54" s="22">
        <f t="shared" si="12"/>
        <v>29.401138251079793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10.663076919</v>
      </c>
      <c r="CT54" s="12">
        <f>IF('Données projet'!$A$140&gt;35,CT53+CS54-DB53,IF(A54&lt;'Données projet'!$A$140,$CQ$205^A54,IF(A54='Données projet'!$A$140,'Données projet'!$B$140,CT53+CS54-DB53)))</f>
        <v>246.45538462899989</v>
      </c>
      <c r="CU54" s="17">
        <f>CT54*VLOOKUP('Données projet'!$B$13,Paramètres!$A$1:$I$89,3,0)*VLOOKUP('Données projet'!$B$13,Paramètres!$A$1:$I$89,5,0)</f>
        <v>147.38032000814195</v>
      </c>
      <c r="CV54" s="13">
        <f t="shared" si="41"/>
        <v>37.98264485641171</v>
      </c>
      <c r="CW54" s="20">
        <f t="shared" si="13"/>
        <v>322.84049713909758</v>
      </c>
      <c r="CX54" s="59">
        <f t="shared" si="14"/>
        <v>616.17383047243084</v>
      </c>
      <c r="CY54" s="59">
        <f ca="1">AVERAGE(OFFSET($CX$3,0,0,'Données projet'!$E$13+1,1))-AVERAGE(OFFSET($H$3,0,0,'Données projet'!$E$13+1,1))</f>
        <v>237.036496933921</v>
      </c>
      <c r="CZ54" s="59">
        <f t="shared" si="42"/>
        <v>191.04289413665344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38.441271494167331</v>
      </c>
      <c r="DG54" s="21">
        <f>EXP(-LN(2)/25)*DG53+(1-EXP(-LN(2)/25))/(LN(2)/25)*Calculateur!DB54*Calculateur!DD54*VLOOKUP('Données projet'!$B$13,Paramètres!$A$1:$I$89,3,0)*0.475*44/12</f>
        <v>13.285102488264819</v>
      </c>
      <c r="DH54" s="21">
        <f>EXP(-LN(2)/2)*DH53+(1-EXP(-LN(2)/2))/(LN(2)/2)*DB54*DE54*VLOOKUP('Données projet'!$B$13,Paramètres!$A$1:$I$89,3,0)*0.475*44/12</f>
        <v>3.6110425936778663</v>
      </c>
      <c r="DI54" s="22">
        <f t="shared" si="15"/>
        <v>55.337416576110016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6.2897435913333322</v>
      </c>
      <c r="DO54" s="12">
        <f>IF('Données projet'!$A$166&gt;35,DO53+DN54-DW53,IF(A54&lt;'Données projet'!$A$166,$DL$205^A54,IF(A54='Données projet'!$A$166,'Données projet'!$B$166,DO53+DN54-DW53)))</f>
        <v>158.09230767800003</v>
      </c>
      <c r="DP54" s="17">
        <f>DO54*VLOOKUP('Données projet'!$B$14,Paramètres!$A$1:$I$89,3,0)*VLOOKUP('Données projet'!$B$14,Paramètres!$A$1:$I$89,5,0)</f>
        <v>94.539199991444022</v>
      </c>
      <c r="DQ54" s="13">
        <f t="shared" si="43"/>
        <v>25.656816019076739</v>
      </c>
      <c r="DR54" s="20">
        <f t="shared" si="16"/>
        <v>209.341394551657</v>
      </c>
      <c r="DS54" s="59">
        <f t="shared" si="17"/>
        <v>502.67472788499032</v>
      </c>
      <c r="DT54" s="59">
        <f ca="1">AVERAGE(OFFSET($DS$3,0,0,'Données projet'!$E$14+1,1))-AVERAGE(OFFSET($H$3,0,0,'Données projet'!$E$14+1,1))</f>
        <v>148.22129593028302</v>
      </c>
      <c r="DU54" s="59">
        <f t="shared" si="44"/>
        <v>102.97015482019975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182.86008000000001</v>
      </c>
      <c r="EL54" s="13">
        <f t="shared" si="45"/>
        <v>45.957916284909473</v>
      </c>
      <c r="EM54" s="20">
        <f t="shared" si="19"/>
        <v>398.52467686288401</v>
      </c>
      <c r="EN54" s="59">
        <f t="shared" si="20"/>
        <v>691.85801019621726</v>
      </c>
      <c r="EO54" s="59">
        <f ca="1">AVERAGE(OFFSET($EN$3,0,0,'Données projet'!$E$15+1,1))-AVERAGE(OFFSET($H$3,0,0,'Données projet'!$E$15+1,1))</f>
        <v>278.53123771916404</v>
      </c>
      <c r="EP54" s="59">
        <f t="shared" si="46"/>
        <v>283.79094702030869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24.766101243205185</v>
      </c>
      <c r="EW54" s="21">
        <f>EXP(-LN(2)/25)*EW53+(1-EXP(-LN(2)/25))/(LN(2)/25)*Calculateur!ER54*Calculateur!ET54*VLOOKUP('Données projet'!$B$15,Paramètres!$A$1:$I$89,3,0)*0.475*44/12</f>
        <v>10.497331916122764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35.263433159327946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7.2307692307692264</v>
      </c>
      <c r="FE54" s="12">
        <f>IF('Données projet'!$A$218&gt;35,FE53+FD54-FM53,IF(A54&lt;'Données projet'!$A$218,$FB$205^A54,IF(A54='Données projet'!$A$218,'Données projet'!$B$218,FE53+FD54-FM53)))</f>
        <v>137.371794871795</v>
      </c>
      <c r="FF54" s="17">
        <f>FE54*VLOOKUP('Données projet'!$B$16,Paramètres!$A$1:$I$89,3,0)*VLOOKUP('Données projet'!$B$16,Paramètres!$A$1:$I$89,5,0)</f>
        <v>124.29400000000012</v>
      </c>
      <c r="FG54" s="13">
        <f t="shared" si="47"/>
        <v>32.674445813839228</v>
      </c>
      <c r="FH54" s="20">
        <f t="shared" si="22"/>
        <v>273.38670979243687</v>
      </c>
      <c r="FI54" s="59">
        <f t="shared" si="23"/>
        <v>566.72004312577019</v>
      </c>
      <c r="FJ54" s="59">
        <f ca="1">AVERAGE(OFFSET($FI$3,0,0,'Données projet'!$E$16+1,1))-AVERAGE(OFFSET($H$3,0,0,'Données projet'!$E$16+1,1))</f>
        <v>335.99493768537013</v>
      </c>
      <c r="FK54" s="59">
        <f t="shared" si="48"/>
        <v>150.85164849522778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7.4</v>
      </c>
      <c r="FZ54" s="12">
        <f>IF('Données projet'!$A$244&gt;35,FZ53+FY54-GH53,IF(A54&lt;'Données projet'!$A$244,$FW$205^A54,IF(A54='Données projet'!$A$244,'Données projet'!$B$244,FZ53+FY54-GH53)))</f>
        <v>209.40000000000009</v>
      </c>
      <c r="GA54" s="17">
        <f>FZ54*VLOOKUP('Données projet'!$B$17,Paramètres!$A$1:$I$89,3,0)*VLOOKUP('Données projet'!$B$17,Paramètres!$A$1:$I$89,5,0)</f>
        <v>182.93184000000011</v>
      </c>
      <c r="GB54" s="13">
        <f t="shared" si="49"/>
        <v>45.973851929814685</v>
      </c>
      <c r="GC54" s="20">
        <f t="shared" si="25"/>
        <v>398.67741344442743</v>
      </c>
      <c r="GD54" s="59">
        <f t="shared" si="26"/>
        <v>692.01074677776069</v>
      </c>
      <c r="GE54" s="59">
        <f ca="1">AVERAGE(OFFSET($GD$3,0,0,'Données projet'!$E$17+1,1))-AVERAGE(OFFSET($H$3,0,0,'Données projet'!$E$17+1,1))</f>
        <v>319.57811113658374</v>
      </c>
      <c r="GF54" s="59">
        <f t="shared" si="50"/>
        <v>322.03572137403245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13.126039740546716</v>
      </c>
      <c r="GM54" s="21">
        <f>EXP(-LN(2)/25)*GM53+(1-EXP(-LN(2)/25))/(LN(2)/25)*Calculateur!GH54*Calculateur!GJ54*VLOOKUP('Données projet'!$B$17,Paramètres!$A$1:$I$89,3,0)*0.475*44/12</f>
        <v>20.433806548884682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33.559846289431398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17.046153849999996</v>
      </c>
      <c r="N55" s="13">
        <f>IF('Données projet'!$A$36&gt;35,N54+M55-V54,IF(A55&lt;'Données projet'!$A$36,$K$205^A55,IF(A55='Données projet'!$A$36,'Données projet'!$B$36,N54+M55-V54)))</f>
        <v>396.57692305000018</v>
      </c>
      <c r="O55" s="13">
        <f>N55*VLOOKUP('Données projet'!$B$9,Paramètres!$A$1:$I$89,3,0)*VLOOKUP('Données projet'!$B$9,Paramètres!$A$1:$I$89,5,0)</f>
        <v>190.75349998705011</v>
      </c>
      <c r="P55" s="13">
        <f t="shared" si="33"/>
        <v>47.706502606602065</v>
      </c>
      <c r="Q55" s="20">
        <f t="shared" si="53"/>
        <v>415.31783785061089</v>
      </c>
      <c r="R55" s="59">
        <f t="shared" si="0"/>
        <v>708.65117118394414</v>
      </c>
      <c r="S55" s="59">
        <f ca="1">AVERAGE(OFFSET($R$3,0,0,'Données projet'!$E$9+1,1))-AVERAGE(OFFSET($H$3,0,0,'Données projet'!$E$9+1,1))</f>
        <v>226.41956082453015</v>
      </c>
      <c r="T55" s="59">
        <f t="shared" si="34"/>
        <v>317.95076157570446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10.317307681666671</v>
      </c>
      <c r="AI55" s="13">
        <f>IF('Données projet'!$A$62&gt;35,AI54+AH55-AQ54,IF(A55&lt;'Données projet'!$A$62,$AF$205^A55,IF(A55='Données projet'!$A$62,'Données projet'!$B$62,AI54+AH55-AQ54)))</f>
        <v>183.15384613666689</v>
      </c>
      <c r="AJ55" s="13">
        <f>AI55*VLOOKUP('Données projet'!$B$10,Paramètres!$A$1:$I$89,3,0)*VLOOKUP('Données projet'!$B$10,Paramètres!$A$1:$I$89,5,0)</f>
        <v>157.1459999852602</v>
      </c>
      <c r="AK55" s="13">
        <f t="shared" si="35"/>
        <v>40.198114977510393</v>
      </c>
      <c r="AL55" s="20">
        <f t="shared" si="4"/>
        <v>343.7076668934921</v>
      </c>
      <c r="AM55" s="59">
        <f t="shared" si="5"/>
        <v>637.04100022682542</v>
      </c>
      <c r="AN55" s="59">
        <f ca="1">AVERAGE(OFFSET($AM$3,0,0,'Données projet'!$E$10+1,1))-AVERAGE(OFFSET($H$3,0,0,'Données projet'!$E$10+1,1))</f>
        <v>257.80662231827404</v>
      </c>
      <c r="AO55" s="59">
        <f t="shared" si="36"/>
        <v>184.04558520039876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20.507692304999996</v>
      </c>
      <c r="BD55" s="12">
        <f>IF('Données projet'!$A$88&gt;35,BD54+BC55-BL54,IF(A55&lt;'Données projet'!$A$88,$BA$205^A55,IF(A55='Données projet'!$A$88,'Données projet'!$B$88,BD54+BC55-BL54)))</f>
        <v>525.78461538999954</v>
      </c>
      <c r="BE55" s="13">
        <f>BD55*VLOOKUP('Données projet'!$B$11,Paramètres!$A$1:$I$89,3,0)*VLOOKUP('Données projet'!$B$11,Paramètres!$A$1:$I$89,5,0)</f>
        <v>293.91360000300972</v>
      </c>
      <c r="BF55" s="13">
        <f t="shared" si="37"/>
        <v>69.899002172219198</v>
      </c>
      <c r="BG55" s="20">
        <f t="shared" si="7"/>
        <v>633.64028212185701</v>
      </c>
      <c r="BH55" s="59">
        <f t="shared" si="8"/>
        <v>926.97361545519038</v>
      </c>
      <c r="BI55" s="59">
        <f ca="1">AVERAGE(OFFSET($BH$3,0,0,'Données projet'!$E$11+1,1))-AVERAGE(OFFSET($H$3,0,0,'Données projet'!$E$11+1,1))</f>
        <v>300.90952915835157</v>
      </c>
      <c r="BJ55" s="59">
        <f t="shared" si="38"/>
        <v>402.81783992925256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72.173954452104482</v>
      </c>
      <c r="BQ55" s="21">
        <f>EXP(-LN(2)/25)*BQ54+(1-EXP(-LN(2)/25))/(LN(2)/25)*Calculateur!BL55*Calculateur!BN55*VLOOKUP('Données projet'!$B$11,Paramètres!$A$1:$I$89,3,0)*0.475*44/12</f>
        <v>21.900255450751317</v>
      </c>
      <c r="BR55" s="21">
        <f>EXP(-LN(2)/2)*BR54+(1-EXP(-LN(2)/2))/(LN(2)/2)*BL55*BO55*VLOOKUP('Données projet'!$B$11,Paramètres!$A$1:$I$89,3,0)*0.475*44/12</f>
        <v>1.8869415424028333</v>
      </c>
      <c r="BS55" s="22">
        <f t="shared" si="9"/>
        <v>95.961151445258636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330.13076919999997</v>
      </c>
      <c r="BW55" s="12">
        <f>VLOOKUP(A55,'Données projet'!$A$113:$I$133,9,0)</f>
        <v>18.983516485714286</v>
      </c>
      <c r="BX55" s="12">
        <f t="array" ref="BX55">INDEX(BW:BW,MIN(IF(ISNUMBER(BW55:BW251),ROW(BW55:BW251),"")))</f>
        <v>18.983516485714286</v>
      </c>
      <c r="BY55" s="12">
        <f>IF('Données projet'!$A$114&gt;35,BY54+BX55-CG54,IF(A55&lt;'Données projet'!$A$114,$BV$205^A55,IF(A55='Données projet'!$A$114,'Données projet'!$B$114,BY54+BX55-CG54)))</f>
        <v>330.13076920000009</v>
      </c>
      <c r="BZ55" s="13">
        <f>BY55*VLOOKUP('Données projet'!$B$12,Paramètres!$A$1:$I$89,3,0)*VLOOKUP('Données projet'!$B$12,Paramètres!$A$1:$I$89,5,0)</f>
        <v>163.08459998480006</v>
      </c>
      <c r="CA55" s="13">
        <f t="shared" si="39"/>
        <v>41.537480450853728</v>
      </c>
      <c r="CB55" s="20">
        <f t="shared" si="10"/>
        <v>356.38345675876371</v>
      </c>
      <c r="CC55" s="59">
        <f t="shared" si="11"/>
        <v>649.71679009209697</v>
      </c>
      <c r="CD55" s="59">
        <f ca="1">AVERAGE(OFFSET($CC$3,0,0,'Données projet'!$E$12+1,1))-AVERAGE(OFFSET($H$3,0,0,'Données projet'!$E$12+1,1))</f>
        <v>246.05217890269194</v>
      </c>
      <c r="CE55" s="59">
        <f t="shared" si="40"/>
        <v>155.54297071424327</v>
      </c>
      <c r="CF55" s="15">
        <f>IF(ISNA(VLOOKUP(A55,'Données projet'!$A$113:$I$133,3,0)),0,VLOOKUP(A55,'Données projet'!$A$113:$I$133,3,0))</f>
        <v>2</v>
      </c>
      <c r="CG55" s="15">
        <f>IF(ISNA(VLOOKUP(A55,'Données projet'!$A$113:$I$133,4,0)),0,VLOOKUP(A55,'Données projet'!$A$113:$I$133,4,0))</f>
        <v>75.523076919999994</v>
      </c>
      <c r="CH55" s="16">
        <f>IF(ISNA(VLOOKUP(A55,'Données projet'!$A$113:$I$133,5,0)),0%,VLOOKUP(A55,'Données projet'!$A$113:$I$133,5,0)*VLOOKUP('Données projet'!$B$12,Paramètres!$A$1:$I$89,7,0))</f>
        <v>0.38500000000000001</v>
      </c>
      <c r="CI55" s="16">
        <f>IF(ISNA(VLOOKUP(A55,'Données projet'!$A$113:$I$133,6,0)),0%,VLOOKUP(A55,'Données projet'!$A$113:$I$133,6,0)*VLOOKUP('Données projet'!$B$12,Paramètres!$A$1:$I$89,7,0))</f>
        <v>9.3500000000000014E-2</v>
      </c>
      <c r="CJ55" s="16">
        <f>IF(ISNA(VLOOKUP(A55,'Données projet'!$A$113:$I$133,7,0)),0%,VLOOKUP(A55,'Données projet'!$A$113:$I$133,7,0))</f>
        <v>0.13</v>
      </c>
      <c r="CK55" s="21">
        <f>EXP(-LN(2)/35)*CK54+(1-EXP(-LN(2)/35))/(LN(2)/35)*CG55*CH55*VLOOKUP('Données projet'!$B$12,Paramètres!$A$1:$I$89,3,0)*0.475*44/12</f>
        <v>19.054418971012101</v>
      </c>
      <c r="CL55" s="21">
        <f>EXP(-LN(2)/25)*CL54+(1-EXP(-LN(2)/25))/(LN(2)/25)*Calculateur!CG55*Calculateur!CI55*VLOOKUP('Données projet'!$B$12,Paramètres!$A$1:$I$89,3,0)*0.475*44/12</f>
        <v>28.82961292568293</v>
      </c>
      <c r="CM55" s="21">
        <f>EXP(-LN(2)/2)*CM54+(1-EXP(-LN(2)/2))/(LN(2)/2)*CG55*CJ55*VLOOKUP('Données projet'!$B$12,Paramètres!$A$1:$I$89,3,0)*0.475*44/12</f>
        <v>8.673326922511194</v>
      </c>
      <c r="CN55" s="22">
        <f t="shared" si="12"/>
        <v>56.557358819206229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10.663076919</v>
      </c>
      <c r="CT55" s="12">
        <f>IF('Données projet'!$A$140&gt;35,CT54+CS55-DB54,IF(A55&lt;'Données projet'!$A$140,$CQ$205^A55,IF(A55='Données projet'!$A$140,'Données projet'!$B$140,CT54+CS55-DB54)))</f>
        <v>257.11846154799991</v>
      </c>
      <c r="CU55" s="17">
        <f>CT55*VLOOKUP('Données projet'!$B$13,Paramètres!$A$1:$I$89,3,0)*VLOOKUP('Données projet'!$B$13,Paramètres!$A$1:$I$89,5,0)</f>
        <v>153.75684000570396</v>
      </c>
      <c r="CV55" s="13">
        <f t="shared" si="41"/>
        <v>39.431107960775321</v>
      </c>
      <c r="CW55" s="20">
        <f t="shared" si="13"/>
        <v>336.46900937495138</v>
      </c>
      <c r="CX55" s="59">
        <f t="shared" si="14"/>
        <v>629.80234270828464</v>
      </c>
      <c r="CY55" s="59">
        <f ca="1">AVERAGE(OFFSET($CX$3,0,0,'Données projet'!$E$13+1,1))-AVERAGE(OFFSET($H$3,0,0,'Données projet'!$E$13+1,1))</f>
        <v>237.036496933921</v>
      </c>
      <c r="CZ55" s="59">
        <f t="shared" si="42"/>
        <v>191.04289413665344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37.687461607027139</v>
      </c>
      <c r="DG55" s="21">
        <f>EXP(-LN(2)/25)*DG54+(1-EXP(-LN(2)/25))/(LN(2)/25)*Calculateur!DB55*Calculateur!DD55*VLOOKUP('Données projet'!$B$13,Paramètres!$A$1:$I$89,3,0)*0.475*44/12</f>
        <v>12.921820662090042</v>
      </c>
      <c r="DH55" s="21">
        <f>EXP(-LN(2)/2)*DH54+(1-EXP(-LN(2)/2))/(LN(2)/2)*DB55*DE55*VLOOKUP('Données projet'!$B$13,Paramètres!$A$1:$I$89,3,0)*0.475*44/12</f>
        <v>2.5533927051430783</v>
      </c>
      <c r="DI55" s="22">
        <f t="shared" si="15"/>
        <v>53.162674974260256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6.2897435913333322</v>
      </c>
      <c r="DO55" s="12">
        <f>IF('Données projet'!$A$166&gt;35,DO54+DN55-DW54,IF(A55&lt;'Données projet'!$A$166,$DL$205^A55,IF(A55='Données projet'!$A$166,'Données projet'!$B$166,DO54+DN55-DW54)))</f>
        <v>164.38205126933335</v>
      </c>
      <c r="DP55" s="17">
        <f>DO55*VLOOKUP('Données projet'!$B$14,Paramètres!$A$1:$I$89,3,0)*VLOOKUP('Données projet'!$B$14,Paramètres!$A$1:$I$89,5,0)</f>
        <v>98.300466659061357</v>
      </c>
      <c r="DQ55" s="13">
        <f t="shared" si="43"/>
        <v>26.556704121363378</v>
      </c>
      <c r="DR55" s="20">
        <f t="shared" si="16"/>
        <v>217.45957244257306</v>
      </c>
      <c r="DS55" s="59">
        <f t="shared" si="17"/>
        <v>510.79290577590638</v>
      </c>
      <c r="DT55" s="59">
        <f ca="1">AVERAGE(OFFSET($DS$3,0,0,'Données projet'!$E$14+1,1))-AVERAGE(OFFSET($H$3,0,0,'Données projet'!$E$14+1,1))</f>
        <v>148.22129593028302</v>
      </c>
      <c r="DU55" s="59">
        <f t="shared" si="44"/>
        <v>102.97015482019975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188.28576000000001</v>
      </c>
      <c r="EL55" s="13">
        <f t="shared" si="45"/>
        <v>47.160759045639651</v>
      </c>
      <c r="EM55" s="20">
        <f t="shared" si="19"/>
        <v>410.06935400448907</v>
      </c>
      <c r="EN55" s="59">
        <f t="shared" si="20"/>
        <v>703.40268733782239</v>
      </c>
      <c r="EO55" s="59">
        <f ca="1">AVERAGE(OFFSET($EN$3,0,0,'Données projet'!$E$15+1,1))-AVERAGE(OFFSET($H$3,0,0,'Données projet'!$E$15+1,1))</f>
        <v>278.53123771916404</v>
      </c>
      <c r="EP55" s="59">
        <f t="shared" si="46"/>
        <v>283.79094702030869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24.280453103656111</v>
      </c>
      <c r="EW55" s="21">
        <f>EXP(-LN(2)/25)*EW54+(1-EXP(-LN(2)/25))/(LN(2)/25)*Calculateur!ER55*Calculateur!ET55*VLOOKUP('Données projet'!$B$15,Paramètres!$A$1:$I$89,3,0)*0.475*44/12</f>
        <v>10.210281822845694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34.490734926501801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7.2307692307692264</v>
      </c>
      <c r="FE55" s="12">
        <f>IF('Données projet'!$A$218&gt;35,FE54+FD55-FM54,IF(A55&lt;'Données projet'!$A$218,$FB$205^A55,IF(A55='Données projet'!$A$218,'Données projet'!$B$218,FE54+FD55-FM54)))</f>
        <v>144.60256410256423</v>
      </c>
      <c r="FF55" s="17">
        <f>FE55*VLOOKUP('Données projet'!$B$16,Paramètres!$A$1:$I$89,3,0)*VLOOKUP('Données projet'!$B$16,Paramètres!$A$1:$I$89,5,0)</f>
        <v>130.83640000000011</v>
      </c>
      <c r="FG55" s="13">
        <f t="shared" si="47"/>
        <v>34.189554618744111</v>
      </c>
      <c r="FH55" s="20">
        <f t="shared" si="22"/>
        <v>287.42020429431284</v>
      </c>
      <c r="FI55" s="59">
        <f t="shared" si="23"/>
        <v>580.75353762764621</v>
      </c>
      <c r="FJ55" s="59">
        <f ca="1">AVERAGE(OFFSET($FI$3,0,0,'Données projet'!$E$16+1,1))-AVERAGE(OFFSET($H$3,0,0,'Données projet'!$E$16+1,1))</f>
        <v>335.99493768537013</v>
      </c>
      <c r="FK55" s="59">
        <f t="shared" si="48"/>
        <v>150.85164849522778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7.4</v>
      </c>
      <c r="FZ55" s="12">
        <f>IF('Données projet'!$A$244&gt;35,FZ54+FY55-GH54,IF(A55&lt;'Données projet'!$A$244,$FW$205^A55,IF(A55='Données projet'!$A$244,'Données projet'!$B$244,FZ54+FY55-GH54)))</f>
        <v>216.8000000000001</v>
      </c>
      <c r="GA55" s="17">
        <f>FZ55*VLOOKUP('Données projet'!$B$17,Paramètres!$A$1:$I$89,3,0)*VLOOKUP('Données projet'!$B$17,Paramètres!$A$1:$I$89,5,0)</f>
        <v>189.39648000000011</v>
      </c>
      <c r="GB55" s="13">
        <f t="shared" si="49"/>
        <v>47.406498452084548</v>
      </c>
      <c r="GC55" s="20">
        <f t="shared" si="25"/>
        <v>412.43185413738075</v>
      </c>
      <c r="GD55" s="59">
        <f t="shared" si="26"/>
        <v>705.76518747071407</v>
      </c>
      <c r="GE55" s="59">
        <f ca="1">AVERAGE(OFFSET($GD$3,0,0,'Données projet'!$E$17+1,1))-AVERAGE(OFFSET($H$3,0,0,'Données projet'!$E$17+1,1))</f>
        <v>319.57811113658374</v>
      </c>
      <c r="GF55" s="59">
        <f t="shared" si="50"/>
        <v>322.03572137403245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12.868646107328301</v>
      </c>
      <c r="GM55" s="21">
        <f>EXP(-LN(2)/25)*GM54+(1-EXP(-LN(2)/25))/(LN(2)/25)*Calculateur!GH55*Calculateur!GJ55*VLOOKUP('Données projet'!$B$17,Paramètres!$A$1:$I$89,3,0)*0.475*44/12</f>
        <v>19.875043034238246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32.743689141566549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17.046153849999996</v>
      </c>
      <c r="N56" s="13">
        <f>IF('Données projet'!$A$36&gt;35,N55+M56-V55,IF(A56&lt;'Données projet'!$A$36,$K$205^A56,IF(A56='Données projet'!$A$36,'Données projet'!$B$36,N55+M56-V55)))</f>
        <v>413.62307690000017</v>
      </c>
      <c r="O56" s="13">
        <f>N56*VLOOKUP('Données projet'!$B$9,Paramètres!$A$1:$I$89,3,0)*VLOOKUP('Données projet'!$B$9,Paramètres!$A$1:$I$89,5,0)</f>
        <v>198.95269998890009</v>
      </c>
      <c r="P56" s="13">
        <f t="shared" si="33"/>
        <v>49.513932598461473</v>
      </c>
      <c r="Q56" s="20">
        <f t="shared" si="53"/>
        <v>432.74605175632138</v>
      </c>
      <c r="R56" s="59">
        <f t="shared" si="0"/>
        <v>726.07938508965469</v>
      </c>
      <c r="S56" s="59">
        <f ca="1">AVERAGE(OFFSET($R$3,0,0,'Données projet'!$E$9+1,1))-AVERAGE(OFFSET($H$3,0,0,'Données projet'!$E$9+1,1))</f>
        <v>226.41956082453015</v>
      </c>
      <c r="T56" s="59">
        <f t="shared" si="34"/>
        <v>317.95076157570446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10.317307681666671</v>
      </c>
      <c r="AI56" s="13">
        <f>IF('Données projet'!$A$62&gt;35,AI55+AH56-AQ55,IF(A56&lt;'Données projet'!$A$62,$AF$205^A56,IF(A56='Données projet'!$A$62,'Données projet'!$B$62,AI55+AH56-AQ55)))</f>
        <v>193.47115381833356</v>
      </c>
      <c r="AJ56" s="13">
        <f>AI56*VLOOKUP('Données projet'!$B$10,Paramètres!$A$1:$I$89,3,0)*VLOOKUP('Données projet'!$B$10,Paramètres!$A$1:$I$89,5,0)</f>
        <v>165.99824997613021</v>
      </c>
      <c r="AK56" s="13">
        <f t="shared" si="35"/>
        <v>42.192525924216611</v>
      </c>
      <c r="AL56" s="20">
        <f t="shared" si="4"/>
        <v>362.59893469310401</v>
      </c>
      <c r="AM56" s="59">
        <f t="shared" si="5"/>
        <v>655.93226802643733</v>
      </c>
      <c r="AN56" s="59">
        <f ca="1">AVERAGE(OFFSET($AM$3,0,0,'Données projet'!$E$10+1,1))-AVERAGE(OFFSET($H$3,0,0,'Données projet'!$E$10+1,1))</f>
        <v>257.80662231827404</v>
      </c>
      <c r="AO56" s="59">
        <f t="shared" si="36"/>
        <v>184.04558520039876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20.507692304999996</v>
      </c>
      <c r="BD56" s="12">
        <f>IF('Données projet'!$A$88&gt;35,BD55+BC56-BL55,IF(A56&lt;'Données projet'!$A$88,$BA$205^A56,IF(A56='Données projet'!$A$88,'Données projet'!$B$88,BD55+BC56-BL55)))</f>
        <v>546.29230769499952</v>
      </c>
      <c r="BE56" s="13">
        <f>BD56*VLOOKUP('Données projet'!$B$11,Paramètres!$A$1:$I$89,3,0)*VLOOKUP('Données projet'!$B$11,Paramètres!$A$1:$I$89,5,0)</f>
        <v>305.37740000150472</v>
      </c>
      <c r="BF56" s="13">
        <f t="shared" si="37"/>
        <v>72.302604808221346</v>
      </c>
      <c r="BG56" s="20">
        <f t="shared" si="7"/>
        <v>657.79267504360621</v>
      </c>
      <c r="BH56" s="59">
        <f t="shared" si="8"/>
        <v>951.12600837693958</v>
      </c>
      <c r="BI56" s="59">
        <f ca="1">AVERAGE(OFFSET($BH$3,0,0,'Données projet'!$E$11+1,1))-AVERAGE(OFFSET($H$3,0,0,'Données projet'!$E$11+1,1))</f>
        <v>300.90952915835157</v>
      </c>
      <c r="BJ56" s="59">
        <f t="shared" si="38"/>
        <v>402.81783992925256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70.758667227064137</v>
      </c>
      <c r="BQ56" s="21">
        <f>EXP(-LN(2)/25)*BQ55+(1-EXP(-LN(2)/25))/(LN(2)/25)*Calculateur!BL56*Calculateur!BN56*VLOOKUP('Données projet'!$B$11,Paramètres!$A$1:$I$89,3,0)*0.475*44/12</f>
        <v>21.301391813766141</v>
      </c>
      <c r="BR56" s="21">
        <f>EXP(-LN(2)/2)*BR55+(1-EXP(-LN(2)/2))/(LN(2)/2)*BL56*BO56*VLOOKUP('Données projet'!$B$11,Paramètres!$A$1:$I$89,3,0)*0.475*44/12</f>
        <v>1.3342691603356469</v>
      </c>
      <c r="BS56" s="22">
        <f t="shared" si="9"/>
        <v>93.394328201165933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18.026373631428573</v>
      </c>
      <c r="BY56" s="12">
        <f>IF('Données projet'!$A$114&gt;35,BY55+BX56-CG55,IF(A56&lt;'Données projet'!$A$114,$BV$205^A56,IF(A56='Données projet'!$A$114,'Données projet'!$B$114,BY55+BX56-CG55)))</f>
        <v>272.63406591142865</v>
      </c>
      <c r="BZ56" s="13">
        <f>BY56*VLOOKUP('Données projet'!$B$12,Paramètres!$A$1:$I$89,3,0)*VLOOKUP('Données projet'!$B$12,Paramètres!$A$1:$I$89,5,0)</f>
        <v>134.68122856024576</v>
      </c>
      <c r="CA56" s="13">
        <f t="shared" si="39"/>
        <v>35.075816659049096</v>
      </c>
      <c r="CB56" s="20">
        <f t="shared" si="10"/>
        <v>295.66018709027185</v>
      </c>
      <c r="CC56" s="59">
        <f t="shared" si="11"/>
        <v>588.9935204236051</v>
      </c>
      <c r="CD56" s="59">
        <f ca="1">AVERAGE(OFFSET($CC$3,0,0,'Données projet'!$E$12+1,1))-AVERAGE(OFFSET($H$3,0,0,'Données projet'!$E$12+1,1))</f>
        <v>246.05217890269194</v>
      </c>
      <c r="CE56" s="59">
        <f t="shared" si="40"/>
        <v>155.54297071424327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18.680773437038543</v>
      </c>
      <c r="CL56" s="21">
        <f>EXP(-LN(2)/25)*CL55+(1-EXP(-LN(2)/25))/(LN(2)/25)*Calculateur!CG56*Calculateur!CI56*VLOOKUP('Données projet'!$B$12,Paramètres!$A$1:$I$89,3,0)*0.475*44/12</f>
        <v>28.041265644146677</v>
      </c>
      <c r="CM56" s="21">
        <f>EXP(-LN(2)/2)*CM55+(1-EXP(-LN(2)/2))/(LN(2)/2)*CG56*CJ56*VLOOKUP('Données projet'!$B$12,Paramètres!$A$1:$I$89,3,0)*0.475*44/12</f>
        <v>6.1329682823555149</v>
      </c>
      <c r="CN56" s="22">
        <f t="shared" si="12"/>
        <v>52.855007363540729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10.663076919</v>
      </c>
      <c r="CT56" s="12">
        <f>IF('Données projet'!$A$140&gt;35,CT55+CS56-DB55,IF(A56&lt;'Données projet'!$A$140,$CQ$205^A56,IF(A56='Données projet'!$A$140,'Données projet'!$B$140,CT55+CS56-DB55)))</f>
        <v>267.7815384669999</v>
      </c>
      <c r="CU56" s="17">
        <f>CT56*VLOOKUP('Données projet'!$B$13,Paramètres!$A$1:$I$89,3,0)*VLOOKUP('Données projet'!$B$13,Paramètres!$A$1:$I$89,5,0)</f>
        <v>160.13336000326595</v>
      </c>
      <c r="CV56" s="13">
        <f t="shared" si="41"/>
        <v>40.872593668978823</v>
      </c>
      <c r="CW56" s="20">
        <f t="shared" si="13"/>
        <v>350.08536931249296</v>
      </c>
      <c r="CX56" s="59">
        <f t="shared" si="14"/>
        <v>643.41870264582622</v>
      </c>
      <c r="CY56" s="59">
        <f ca="1">AVERAGE(OFFSET($CX$3,0,0,'Données projet'!$E$13+1,1))-AVERAGE(OFFSET($H$3,0,0,'Données projet'!$E$13+1,1))</f>
        <v>237.036496933921</v>
      </c>
      <c r="CZ56" s="59">
        <f t="shared" si="42"/>
        <v>191.04289413665344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36.948433471995131</v>
      </c>
      <c r="DG56" s="21">
        <f>EXP(-LN(2)/25)*DG55+(1-EXP(-LN(2)/25))/(LN(2)/25)*Calculateur!DB56*Calculateur!DD56*VLOOKUP('Données projet'!$B$13,Paramètres!$A$1:$I$89,3,0)*0.475*44/12</f>
        <v>12.568472796556174</v>
      </c>
      <c r="DH56" s="21">
        <f>EXP(-LN(2)/2)*DH55+(1-EXP(-LN(2)/2))/(LN(2)/2)*DB56*DE56*VLOOKUP('Données projet'!$B$13,Paramètres!$A$1:$I$89,3,0)*0.475*44/12</f>
        <v>1.8055212968389334</v>
      </c>
      <c r="DI56" s="22">
        <f t="shared" si="15"/>
        <v>51.322427565390235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6.2897435913333322</v>
      </c>
      <c r="DO56" s="12">
        <f>IF('Données projet'!$A$166&gt;35,DO55+DN56-DW55,IF(A56&lt;'Données projet'!$A$166,$DL$205^A56,IF(A56='Données projet'!$A$166,'Données projet'!$B$166,DO55+DN56-DW55)))</f>
        <v>170.67179486066667</v>
      </c>
      <c r="DP56" s="17">
        <f>DO56*VLOOKUP('Données projet'!$B$14,Paramètres!$A$1:$I$89,3,0)*VLOOKUP('Données projet'!$B$14,Paramètres!$A$1:$I$89,5,0)</f>
        <v>102.06173332667868</v>
      </c>
      <c r="DQ56" s="13">
        <f t="shared" si="43"/>
        <v>27.45259217561496</v>
      </c>
      <c r="DR56" s="20">
        <f t="shared" si="16"/>
        <v>225.57078358316141</v>
      </c>
      <c r="DS56" s="59">
        <f t="shared" si="17"/>
        <v>518.90411691649479</v>
      </c>
      <c r="DT56" s="59">
        <f ca="1">AVERAGE(OFFSET($DS$3,0,0,'Données projet'!$E$14+1,1))-AVERAGE(OFFSET($H$3,0,0,'Données projet'!$E$14+1,1))</f>
        <v>148.22129593028302</v>
      </c>
      <c r="DU56" s="59">
        <f t="shared" si="44"/>
        <v>102.97015482019975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193.71143999999998</v>
      </c>
      <c r="EL56" s="13">
        <f t="shared" si="45"/>
        <v>48.359573394195209</v>
      </c>
      <c r="EM56" s="20">
        <f t="shared" si="19"/>
        <v>421.60701499488988</v>
      </c>
      <c r="EN56" s="59">
        <f t="shared" si="20"/>
        <v>714.94034832822319</v>
      </c>
      <c r="EO56" s="59">
        <f ca="1">AVERAGE(OFFSET($EN$3,0,0,'Données projet'!$E$15+1,1))-AVERAGE(OFFSET($H$3,0,0,'Données projet'!$E$15+1,1))</f>
        <v>278.53123771916404</v>
      </c>
      <c r="EP56" s="59">
        <f t="shared" si="46"/>
        <v>283.79094702030869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23.804328227907479</v>
      </c>
      <c r="EW56" s="21">
        <f>EXP(-LN(2)/25)*EW55+(1-EXP(-LN(2)/25))/(LN(2)/25)*Calculateur!ER56*Calculateur!ET56*VLOOKUP('Données projet'!$B$15,Paramètres!$A$1:$I$89,3,0)*0.475*44/12</f>
        <v>9.9310811294645926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33.73540935737207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7.2307692307692264</v>
      </c>
      <c r="FE56" s="12">
        <f>IF('Données projet'!$A$218&gt;35,FE55+FD56-FM55,IF(A56&lt;'Données projet'!$A$218,$FB$205^A56,IF(A56='Données projet'!$A$218,'Données projet'!$B$218,FE55+FD56-FM55)))</f>
        <v>151.83333333333346</v>
      </c>
      <c r="FF56" s="17">
        <f>FE56*VLOOKUP('Données projet'!$B$16,Paramètres!$A$1:$I$89,3,0)*VLOOKUP('Données projet'!$B$16,Paramètres!$A$1:$I$89,5,0)</f>
        <v>137.37880000000013</v>
      </c>
      <c r="FG56" s="13">
        <f t="shared" si="47"/>
        <v>35.695866453131174</v>
      </c>
      <c r="FH56" s="20">
        <f t="shared" si="22"/>
        <v>301.43837740587037</v>
      </c>
      <c r="FI56" s="59">
        <f t="shared" si="23"/>
        <v>594.77171073920363</v>
      </c>
      <c r="FJ56" s="59">
        <f ca="1">AVERAGE(OFFSET($FI$3,0,0,'Données projet'!$E$16+1,1))-AVERAGE(OFFSET($H$3,0,0,'Données projet'!$E$16+1,1))</f>
        <v>335.99493768537013</v>
      </c>
      <c r="FK56" s="59">
        <f t="shared" si="48"/>
        <v>150.85164849522778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7.4</v>
      </c>
      <c r="FZ56" s="12">
        <f>IF('Données projet'!$A$244&gt;35,FZ55+FY56-GH55,IF(A56&lt;'Données projet'!$A$244,$FW$205^A56,IF(A56='Données projet'!$A$244,'Données projet'!$B$244,FZ55+FY56-GH55)))</f>
        <v>224.2000000000001</v>
      </c>
      <c r="GA56" s="17">
        <f>FZ56*VLOOKUP('Données projet'!$B$17,Paramètres!$A$1:$I$89,3,0)*VLOOKUP('Données projet'!$B$17,Paramètres!$A$1:$I$89,5,0)</f>
        <v>195.86112000000011</v>
      </c>
      <c r="GB56" s="13">
        <f t="shared" si="49"/>
        <v>48.833463106716465</v>
      </c>
      <c r="GC56" s="20">
        <f t="shared" si="25"/>
        <v>426.17639891086469</v>
      </c>
      <c r="GD56" s="59">
        <f t="shared" si="26"/>
        <v>719.50973224419795</v>
      </c>
      <c r="GE56" s="59">
        <f ca="1">AVERAGE(OFFSET($GD$3,0,0,'Données projet'!$E$17+1,1))-AVERAGE(OFFSET($H$3,0,0,'Données projet'!$E$17+1,1))</f>
        <v>319.57811113658374</v>
      </c>
      <c r="GF56" s="59">
        <f t="shared" si="50"/>
        <v>322.03572137403245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12.616299806262685</v>
      </c>
      <c r="GM56" s="21">
        <f>EXP(-LN(2)/25)*GM55+(1-EXP(-LN(2)/25))/(LN(2)/25)*Calculateur!GH56*Calculateur!GJ56*VLOOKUP('Données projet'!$B$17,Paramètres!$A$1:$I$89,3,0)*0.475*44/12</f>
        <v>19.331558937283912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31.947858743546597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17.046153849999996</v>
      </c>
      <c r="N57" s="13">
        <f>IF('Données projet'!$A$36&gt;35,N56+M57-V56,IF(A57&lt;'Données projet'!$A$36,$K$205^A57,IF(A57='Données projet'!$A$36,'Données projet'!$B$36,N56+M57-V56)))</f>
        <v>430.66923075000017</v>
      </c>
      <c r="O57" s="13">
        <f>N57*VLOOKUP('Données projet'!$B$9,Paramètres!$A$1:$I$89,3,0)*VLOOKUP('Données projet'!$B$9,Paramètres!$A$1:$I$89,5,0)</f>
        <v>207.15189999075008</v>
      </c>
      <c r="P57" s="13">
        <f t="shared" si="33"/>
        <v>51.31271042700989</v>
      </c>
      <c r="Q57" s="20">
        <f t="shared" si="53"/>
        <v>450.15919647759853</v>
      </c>
      <c r="R57" s="59">
        <f t="shared" si="0"/>
        <v>743.49252981093184</v>
      </c>
      <c r="S57" s="59">
        <f ca="1">AVERAGE(OFFSET($R$3,0,0,'Données projet'!$E$9+1,1))-AVERAGE(OFFSET($H$3,0,0,'Données projet'!$E$9+1,1))</f>
        <v>226.41956082453015</v>
      </c>
      <c r="T57" s="59">
        <f t="shared" si="34"/>
        <v>317.95076157570446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203.78846150000001</v>
      </c>
      <c r="AG57" s="12">
        <f>VLOOKUP(A57,'Données projet'!$A$61:$I$81,9,0)</f>
        <v>10.317307681666671</v>
      </c>
      <c r="AH57" s="12">
        <f t="array" ref="AH57">INDEX(AG:AG,MIN(IF(ISNUMBER(AG57:AG253),ROW(AG57:AG253),"")))</f>
        <v>10.317307681666671</v>
      </c>
      <c r="AI57" s="13">
        <f>IF('Données projet'!$A$62&gt;35,AI56+AH57-AQ56,IF(A57&lt;'Données projet'!$A$62,$AF$205^A57,IF(A57='Données projet'!$A$62,'Données projet'!$B$62,AI56+AH57-AQ56)))</f>
        <v>203.78846150000024</v>
      </c>
      <c r="AJ57" s="13">
        <f>AI57*VLOOKUP('Données projet'!$B$10,Paramètres!$A$1:$I$89,3,0)*VLOOKUP('Données projet'!$B$10,Paramètres!$A$1:$I$89,5,0)</f>
        <v>174.85049996700022</v>
      </c>
      <c r="AK57" s="13">
        <f t="shared" si="35"/>
        <v>44.174589117776755</v>
      </c>
      <c r="AL57" s="20">
        <f t="shared" si="4"/>
        <v>381.46869682265316</v>
      </c>
      <c r="AM57" s="59">
        <f t="shared" si="5"/>
        <v>674.80203015598647</v>
      </c>
      <c r="AN57" s="59">
        <f ca="1">AVERAGE(OFFSET($AM$3,0,0,'Données projet'!$E$10+1,1))-AVERAGE(OFFSET($H$3,0,0,'Données projet'!$E$10+1,1))</f>
        <v>257.80662231827404</v>
      </c>
      <c r="AO57" s="59">
        <f t="shared" si="36"/>
        <v>184.04558520039876</v>
      </c>
      <c r="AP57" s="15">
        <f>IF(ISNA(VLOOKUP(A57,'Données projet'!$A$61:$I$81,3,0)),0,VLOOKUP(A57,'Données projet'!$A$61:$I$81,3,0))</f>
        <v>3</v>
      </c>
      <c r="AQ57" s="15">
        <f>IF(ISNA(VLOOKUP(A57,'Données projet'!$A$61:$I$81,4,0)),0,VLOOKUP(A57,'Données projet'!$A$61:$I$81,4,0))</f>
        <v>47.025641030000003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566.79999999999995</v>
      </c>
      <c r="BB57" s="12">
        <f>VLOOKUP(A57,'Données projet'!$A$87:$I$107,9,0)</f>
        <v>20.507692304999996</v>
      </c>
      <c r="BC57" s="12">
        <f t="array" ref="BC57">INDEX(BB:BB,MIN(IF(ISNUMBER(BB57:BB253),ROW(BB57:BB253),"")))</f>
        <v>20.507692304999996</v>
      </c>
      <c r="BD57" s="12">
        <f>IF('Données projet'!$A$88&gt;35,BD56+BC57-BL56,IF(A57&lt;'Données projet'!$A$88,$BA$205^A57,IF(A57='Données projet'!$A$88,'Données projet'!$B$88,BD56+BC57-BL56)))</f>
        <v>566.7999999999995</v>
      </c>
      <c r="BE57" s="13">
        <f>BD57*VLOOKUP('Données projet'!$B$11,Paramètres!$A$1:$I$89,3,0)*VLOOKUP('Données projet'!$B$11,Paramètres!$A$1:$I$89,5,0)</f>
        <v>316.84119999999973</v>
      </c>
      <c r="BF57" s="13">
        <f t="shared" si="37"/>
        <v>74.695724902330795</v>
      </c>
      <c r="BG57" s="20">
        <f t="shared" si="7"/>
        <v>681.92681087155893</v>
      </c>
      <c r="BH57" s="59">
        <f t="shared" si="8"/>
        <v>975.26014420489219</v>
      </c>
      <c r="BI57" s="59">
        <f ca="1">AVERAGE(OFFSET($BH$3,0,0,'Données projet'!$E$11+1,1))-AVERAGE(OFFSET($H$3,0,0,'Données projet'!$E$11+1,1))</f>
        <v>300.90952915835157</v>
      </c>
      <c r="BJ57" s="59">
        <f t="shared" si="38"/>
        <v>402.81783992925256</v>
      </c>
      <c r="BK57" s="15">
        <f>IF(ISNA(VLOOKUP(A57,'Données projet'!$A$87:$I$107,3,0)),0,VLOOKUP(A57,'Données projet'!$A$87:$I$107,3,0))</f>
        <v>7</v>
      </c>
      <c r="BL57" s="15">
        <f>IF(ISNA(VLOOKUP(A57,'Données projet'!$A$87:$I$107,4,0)),0,VLOOKUP(A57,'Données projet'!$A$87:$I$107,4,0))</f>
        <v>566.79999999999995</v>
      </c>
      <c r="BM57" s="16">
        <f>IF(ISNA(VLOOKUP(A57,'Données projet'!$A$87:$I$107,5,0)),0%,VLOOKUP(A57,'Données projet'!$A$87:$I$107,5,0)*VLOOKUP('Données projet'!$B$11,Paramètres!$A$1:$I$89,7,0))</f>
        <v>0.38500000000000001</v>
      </c>
      <c r="BN57" s="16">
        <f>IF(ISNA(VLOOKUP(A57,'Données projet'!$A$87:$I$107,6,0)),0%,VLOOKUP(A57,'Données projet'!$A$87:$I$107,6,0)*VLOOKUP('Données projet'!$B$11,Paramètres!$A$1:$I$89,7,0))</f>
        <v>9.3500000000000014E-2</v>
      </c>
      <c r="BO57" s="16">
        <f>IF(ISNA(VLOOKUP(A57,'Données projet'!$A$87:$I$107,7,0)),0%,VLOOKUP(A57,'Données projet'!$A$87:$I$107,7,0))</f>
        <v>0.13</v>
      </c>
      <c r="BP57" s="21">
        <f>EXP(-LN(2)/35)*BP56+(1-EXP(-LN(2)/35))/(LN(2)/35)*BL57*BM57*VLOOKUP('Données projet'!$B$11,Paramètres!$A$1:$I$89,3,0)*0.475*44/12</f>
        <v>231.19058838770889</v>
      </c>
      <c r="BQ57" s="21">
        <f>EXP(-LN(2)/25)*BQ56+(1-EXP(-LN(2)/25))/(LN(2)/25)*Calculateur!BL57*Calculateur!BN57*VLOOKUP('Données projet'!$B$11,Paramètres!$A$1:$I$89,3,0)*0.475*44/12</f>
        <v>59.863179568824506</v>
      </c>
      <c r="BR57" s="21">
        <f>EXP(-LN(2)/2)*BR56+(1-EXP(-LN(2)/2))/(LN(2)/2)*BL57*BO57*VLOOKUP('Données projet'!$B$11,Paramètres!$A$1:$I$89,3,0)*0.475*44/12</f>
        <v>47.579389948716944</v>
      </c>
      <c r="BS57" s="22">
        <f t="shared" si="9"/>
        <v>338.63315790525036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18.026373631428573</v>
      </c>
      <c r="BY57" s="12">
        <f>IF('Données projet'!$A$114&gt;35,BY56+BX57-CG56,IF(A57&lt;'Données projet'!$A$114,$BV$205^A57,IF(A57='Données projet'!$A$114,'Données projet'!$B$114,BY56+BX57-CG56)))</f>
        <v>290.6604395428572</v>
      </c>
      <c r="BZ57" s="13">
        <f>BY57*VLOOKUP('Données projet'!$B$12,Paramètres!$A$1:$I$89,3,0)*VLOOKUP('Données projet'!$B$12,Paramètres!$A$1:$I$89,5,0)</f>
        <v>143.58625713417146</v>
      </c>
      <c r="CA57" s="13">
        <f t="shared" si="39"/>
        <v>37.117353333368484</v>
      </c>
      <c r="CB57" s="20">
        <f t="shared" si="10"/>
        <v>314.72545489763206</v>
      </c>
      <c r="CC57" s="59">
        <f t="shared" si="11"/>
        <v>608.05878823096532</v>
      </c>
      <c r="CD57" s="59">
        <f ca="1">AVERAGE(OFFSET($CC$3,0,0,'Données projet'!$E$12+1,1))-AVERAGE(OFFSET($H$3,0,0,'Données projet'!$E$12+1,1))</f>
        <v>246.05217890269194</v>
      </c>
      <c r="CE57" s="59">
        <f t="shared" si="40"/>
        <v>155.54297071424327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18.314454864084937</v>
      </c>
      <c r="CL57" s="21">
        <f>EXP(-LN(2)/25)*CL56+(1-EXP(-LN(2)/25))/(LN(2)/25)*Calculateur!CG57*Calculateur!CI57*VLOOKUP('Données projet'!$B$12,Paramètres!$A$1:$I$89,3,0)*0.475*44/12</f>
        <v>27.274475760481415</v>
      </c>
      <c r="CM57" s="21">
        <f>EXP(-LN(2)/2)*CM56+(1-EXP(-LN(2)/2))/(LN(2)/2)*CG57*CJ57*VLOOKUP('Données projet'!$B$12,Paramètres!$A$1:$I$89,3,0)*0.475*44/12</f>
        <v>4.3366634612555979</v>
      </c>
      <c r="CN57" s="22">
        <f t="shared" si="12"/>
        <v>49.925594085821949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10.663076919</v>
      </c>
      <c r="CT57" s="12">
        <f>IF('Données projet'!$A$140&gt;35,CT56+CS57-DB56,IF(A57&lt;'Données projet'!$A$140,$CQ$205^A57,IF(A57='Données projet'!$A$140,'Données projet'!$B$140,CT56+CS57-DB56)))</f>
        <v>278.4446153859999</v>
      </c>
      <c r="CU57" s="17">
        <f>CT57*VLOOKUP('Données projet'!$B$13,Paramètres!$A$1:$I$89,3,0)*VLOOKUP('Données projet'!$B$13,Paramètres!$A$1:$I$89,5,0)</f>
        <v>166.50988000082796</v>
      </c>
      <c r="CV57" s="13">
        <f t="shared" si="41"/>
        <v>42.307411610962831</v>
      </c>
      <c r="CW57" s="20">
        <f t="shared" si="13"/>
        <v>363.69011622386893</v>
      </c>
      <c r="CX57" s="59">
        <f t="shared" si="14"/>
        <v>657.02344955720218</v>
      </c>
      <c r="CY57" s="59">
        <f ca="1">AVERAGE(OFFSET($CX$3,0,0,'Données projet'!$E$13+1,1))-AVERAGE(OFFSET($H$3,0,0,'Données projet'!$E$13+1,1))</f>
        <v>237.036496933921</v>
      </c>
      <c r="CZ57" s="59">
        <f t="shared" si="42"/>
        <v>191.04289413665344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36.223897227928447</v>
      </c>
      <c r="DG57" s="21">
        <f>EXP(-LN(2)/25)*DG56+(1-EXP(-LN(2)/25))/(LN(2)/25)*Calculateur!DB57*Calculateur!DD57*VLOOKUP('Données projet'!$B$13,Paramètres!$A$1:$I$89,3,0)*0.475*44/12</f>
        <v>12.224787246987086</v>
      </c>
      <c r="DH57" s="21">
        <f>EXP(-LN(2)/2)*DH56+(1-EXP(-LN(2)/2))/(LN(2)/2)*DB57*DE57*VLOOKUP('Données projet'!$B$13,Paramètres!$A$1:$I$89,3,0)*0.475*44/12</f>
        <v>1.2766963525715394</v>
      </c>
      <c r="DI57" s="22">
        <f t="shared" si="15"/>
        <v>49.725380827487072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6.2897435913333322</v>
      </c>
      <c r="DO57" s="12">
        <f>IF('Données projet'!$A$166&gt;35,DO56+DN57-DW56,IF(A57&lt;'Données projet'!$A$166,$DL$205^A57,IF(A57='Données projet'!$A$166,'Données projet'!$B$166,DO56+DN57-DW56)))</f>
        <v>176.96153845199998</v>
      </c>
      <c r="DP57" s="17">
        <f>DO57*VLOOKUP('Données projet'!$B$14,Paramètres!$A$1:$I$89,3,0)*VLOOKUP('Données projet'!$B$14,Paramètres!$A$1:$I$89,5,0)</f>
        <v>105.822999994296</v>
      </c>
      <c r="DQ57" s="13">
        <f t="shared" si="43"/>
        <v>28.344644477126501</v>
      </c>
      <c r="DR57" s="20">
        <f t="shared" si="16"/>
        <v>233.67531412106086</v>
      </c>
      <c r="DS57" s="59">
        <f t="shared" si="17"/>
        <v>527.00864745439412</v>
      </c>
      <c r="DT57" s="59">
        <f ca="1">AVERAGE(OFFSET($DS$3,0,0,'Données projet'!$E$14+1,1))-AVERAGE(OFFSET($H$3,0,0,'Données projet'!$E$14+1,1))</f>
        <v>148.22129593028302</v>
      </c>
      <c r="DU57" s="59">
        <f t="shared" si="44"/>
        <v>102.97015482019975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199.13711999999995</v>
      </c>
      <c r="EL57" s="13">
        <f t="shared" si="45"/>
        <v>49.554485124576232</v>
      </c>
      <c r="EM57" s="20">
        <f t="shared" si="19"/>
        <v>433.13787892530354</v>
      </c>
      <c r="EN57" s="59">
        <f t="shared" si="20"/>
        <v>726.4712122586368</v>
      </c>
      <c r="EO57" s="59">
        <f ca="1">AVERAGE(OFFSET($EN$3,0,0,'Données projet'!$E$15+1,1))-AVERAGE(OFFSET($H$3,0,0,'Données projet'!$E$15+1,1))</f>
        <v>278.53123771916404</v>
      </c>
      <c r="EP57" s="59">
        <f t="shared" si="46"/>
        <v>283.79094702030869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23.337539870564779</v>
      </c>
      <c r="EW57" s="21">
        <f>EXP(-LN(2)/25)*EW56+(1-EXP(-LN(2)/25))/(LN(2)/25)*Calculateur!ER57*Calculateur!ET57*VLOOKUP('Données projet'!$B$15,Paramètres!$A$1:$I$89,3,0)*0.475*44/12</f>
        <v>9.6595151937265253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32.997055064291303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7.2307692307692264</v>
      </c>
      <c r="FE57" s="12">
        <f>IF('Données projet'!$A$218&gt;35,FE56+FD57-FM56,IF(A57&lt;'Données projet'!$A$218,$FB$205^A57,IF(A57='Données projet'!$A$218,'Données projet'!$B$218,FE56+FD57-FM56)))</f>
        <v>159.06410256410268</v>
      </c>
      <c r="FF57" s="17">
        <f>FE57*VLOOKUP('Données projet'!$B$16,Paramètres!$A$1:$I$89,3,0)*VLOOKUP('Données projet'!$B$16,Paramètres!$A$1:$I$89,5,0)</f>
        <v>143.92120000000011</v>
      </c>
      <c r="FG57" s="13">
        <f t="shared" si="47"/>
        <v>37.193848087208842</v>
      </c>
      <c r="FH57" s="20">
        <f t="shared" si="22"/>
        <v>315.44204208522223</v>
      </c>
      <c r="FI57" s="59">
        <f t="shared" si="23"/>
        <v>608.77537541855554</v>
      </c>
      <c r="FJ57" s="59">
        <f ca="1">AVERAGE(OFFSET($FI$3,0,0,'Données projet'!$E$16+1,1))-AVERAGE(OFFSET($H$3,0,0,'Données projet'!$E$16+1,1))</f>
        <v>335.99493768537013</v>
      </c>
      <c r="FK57" s="59">
        <f t="shared" si="48"/>
        <v>150.85164849522778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7.4</v>
      </c>
      <c r="FZ57" s="12">
        <f>IF('Données projet'!$A$244&gt;35,FZ56+FY57-GH56,IF(A57&lt;'Données projet'!$A$244,$FW$205^A57,IF(A57='Données projet'!$A$244,'Données projet'!$B$244,FZ56+FY57-GH56)))</f>
        <v>231.60000000000011</v>
      </c>
      <c r="GA57" s="17">
        <f>FZ57*VLOOKUP('Données projet'!$B$17,Paramètres!$A$1:$I$89,3,0)*VLOOKUP('Données projet'!$B$17,Paramètres!$A$1:$I$89,5,0)</f>
        <v>202.32576000000014</v>
      </c>
      <c r="GB57" s="13">
        <f t="shared" si="49"/>
        <v>50.254954935552938</v>
      </c>
      <c r="GC57" s="20">
        <f t="shared" si="25"/>
        <v>439.91141184608824</v>
      </c>
      <c r="GD57" s="59">
        <f t="shared" si="26"/>
        <v>733.24474517942156</v>
      </c>
      <c r="GE57" s="59">
        <f ca="1">AVERAGE(OFFSET($GD$3,0,0,'Données projet'!$E$17+1,1))-AVERAGE(OFFSET($H$3,0,0,'Données projet'!$E$17+1,1))</f>
        <v>319.57811113658374</v>
      </c>
      <c r="GF57" s="59">
        <f t="shared" si="50"/>
        <v>322.03572137403245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12.368901862244918</v>
      </c>
      <c r="GM57" s="21">
        <f>EXP(-LN(2)/25)*GM56+(1-EXP(-LN(2)/25))/(LN(2)/25)*Calculateur!GH57*Calculateur!GJ57*VLOOKUP('Données projet'!$B$17,Paramètres!$A$1:$I$89,3,0)*0.475*44/12</f>
        <v>18.80293644154138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31.171838303786298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447.71538459999999</v>
      </c>
      <c r="L58" s="12">
        <f>VLOOKUP(A58,'Données projet'!$A$35:$I$55,9,0)</f>
        <v>17.046153849999996</v>
      </c>
      <c r="M58" s="12">
        <f t="array" ref="M58">INDEX(L:L,MIN(IF(ISNUMBER(L58:L254),ROW(L58:L254),"")))</f>
        <v>17.046153849999996</v>
      </c>
      <c r="N58" s="13">
        <f>IF('Données projet'!$A$36&gt;35,N57+M58-V57,IF(A58&lt;'Données projet'!$A$36,$K$205^A58,IF(A58='Données projet'!$A$36,'Données projet'!$B$36,N57+M58-V57)))</f>
        <v>447.71538460000016</v>
      </c>
      <c r="O58" s="13">
        <f>N58*VLOOKUP('Données projet'!$B$9,Paramètres!$A$1:$I$89,3,0)*VLOOKUP('Données projet'!$B$9,Paramètres!$A$1:$I$89,5,0)</f>
        <v>215.35109999260007</v>
      </c>
      <c r="P58" s="13">
        <f t="shared" si="33"/>
        <v>53.103217735984067</v>
      </c>
      <c r="Q58" s="20">
        <f t="shared" si="53"/>
        <v>467.55793671061741</v>
      </c>
      <c r="R58" s="59">
        <f t="shared" si="0"/>
        <v>760.89127004395073</v>
      </c>
      <c r="S58" s="59">
        <f ca="1">AVERAGE(OFFSET($R$3,0,0,'Données projet'!$E$9+1,1))-AVERAGE(OFFSET($H$3,0,0,'Données projet'!$E$9+1,1))</f>
        <v>226.41956082453015</v>
      </c>
      <c r="T58" s="59">
        <f t="shared" si="34"/>
        <v>317.95076157570446</v>
      </c>
      <c r="U58" s="15">
        <f>IF(ISNA(VLOOKUP(A58,'Données projet'!$A$35:$I$55,3,0)),0,VLOOKUP(A58,'Données projet'!$A$35:$I$55,3,0))</f>
        <v>6</v>
      </c>
      <c r="V58" s="15">
        <f>IF(ISNA(VLOOKUP(A58,'Données projet'!$A$35:$I$55,4,0)),0,VLOOKUP(A58,'Données projet'!$A$35:$I$55,4,0))</f>
        <v>83.638461539999994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9.7393162477777775</v>
      </c>
      <c r="AI58" s="13">
        <f>IF('Données projet'!$A$62&gt;35,AI57+AH58-AQ57,IF(A58&lt;'Données projet'!$A$62,$AF$205^A58,IF(A58='Données projet'!$A$62,'Données projet'!$B$62,AI57+AH58-AQ57)))</f>
        <v>166.502136717778</v>
      </c>
      <c r="AJ58" s="13">
        <f>AI58*VLOOKUP('Données projet'!$B$10,Paramètres!$A$1:$I$89,3,0)*VLOOKUP('Données projet'!$B$10,Paramètres!$A$1:$I$89,5,0)</f>
        <v>142.85883330385354</v>
      </c>
      <c r="AK58" s="13">
        <f t="shared" si="35"/>
        <v>36.951151568325137</v>
      </c>
      <c r="AL58" s="20">
        <f t="shared" si="4"/>
        <v>313.16905698571117</v>
      </c>
      <c r="AM58" s="59">
        <f t="shared" si="5"/>
        <v>606.50239031904448</v>
      </c>
      <c r="AN58" s="59">
        <f ca="1">AVERAGE(OFFSET($AM$3,0,0,'Données projet'!$E$10+1,1))-AVERAGE(OFFSET($H$3,0,0,'Données projet'!$E$10+1,1))</f>
        <v>257.80662231827404</v>
      </c>
      <c r="AO58" s="59">
        <f t="shared" si="36"/>
        <v>184.04558520039876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-4.5474735088646412E-13</v>
      </c>
      <c r="BE58" s="13">
        <f>BD58*VLOOKUP('Données projet'!$B$11,Paramètres!$A$1:$I$89,3,0)*VLOOKUP('Données projet'!$B$11,Paramètres!$A$1:$I$89,5,0)</f>
        <v>-2.5420376914553347E-13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300.90952915835157</v>
      </c>
      <c r="BJ58" s="59">
        <f t="shared" si="38"/>
        <v>402.81783992925256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226.65708196176101</v>
      </c>
      <c r="BQ58" s="21">
        <f>EXP(-LN(2)/25)*BQ57+(1-EXP(-LN(2)/25))/(LN(2)/25)*Calculateur!BL58*Calculateur!BN58*VLOOKUP('Données projet'!$B$11,Paramètres!$A$1:$I$89,3,0)*0.475*44/12</f>
        <v>58.226217775447203</v>
      </c>
      <c r="BR58" s="21">
        <f>EXP(-LN(2)/2)*BR57+(1-EXP(-LN(2)/2))/(LN(2)/2)*BL58*BO58*VLOOKUP('Données projet'!$B$11,Paramètres!$A$1:$I$89,3,0)*0.475*44/12</f>
        <v>33.643709277456814</v>
      </c>
      <c r="BS58" s="22">
        <f t="shared" si="9"/>
        <v>318.52700901466505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18.026373631428573</v>
      </c>
      <c r="BY58" s="12">
        <f>IF('Données projet'!$A$114&gt;35,BY57+BX58-CG57,IF(A58&lt;'Données projet'!$A$114,$BV$205^A58,IF(A58='Données projet'!$A$114,'Données projet'!$B$114,BY57+BX58-CG57)))</f>
        <v>308.68681317428576</v>
      </c>
      <c r="BZ58" s="13">
        <f>BY58*VLOOKUP('Données projet'!$B$12,Paramètres!$A$1:$I$89,3,0)*VLOOKUP('Données projet'!$B$12,Paramètres!$A$1:$I$89,5,0)</f>
        <v>152.49128570809717</v>
      </c>
      <c r="CA58" s="13">
        <f t="shared" si="39"/>
        <v>39.144195335843619</v>
      </c>
      <c r="CB58" s="20">
        <f t="shared" si="10"/>
        <v>333.76512948486356</v>
      </c>
      <c r="CC58" s="59">
        <f t="shared" si="11"/>
        <v>627.09846281819682</v>
      </c>
      <c r="CD58" s="59">
        <f ca="1">AVERAGE(OFFSET($CC$3,0,0,'Données projet'!$E$12+1,1))-AVERAGE(OFFSET($H$3,0,0,'Données projet'!$E$12+1,1))</f>
        <v>246.05217890269194</v>
      </c>
      <c r="CE58" s="59">
        <f t="shared" si="40"/>
        <v>155.54297071424327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17.955319574914682</v>
      </c>
      <c r="CL58" s="21">
        <f>EXP(-LN(2)/25)*CL57+(1-EXP(-LN(2)/25))/(LN(2)/25)*Calculateur!CG58*Calculateur!CI58*VLOOKUP('Données projet'!$B$12,Paramètres!$A$1:$I$89,3,0)*0.475*44/12</f>
        <v>26.528653786508709</v>
      </c>
      <c r="CM58" s="21">
        <f>EXP(-LN(2)/2)*CM57+(1-EXP(-LN(2)/2))/(LN(2)/2)*CG58*CJ58*VLOOKUP('Données projet'!$B$12,Paramètres!$A$1:$I$89,3,0)*0.475*44/12</f>
        <v>3.0664841411777579</v>
      </c>
      <c r="CN58" s="22">
        <f t="shared" si="12"/>
        <v>47.550457502601155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10.663076919</v>
      </c>
      <c r="CT58" s="12">
        <f>IF('Données projet'!$A$140&gt;35,CT57+CS58-DB57,IF(A58&lt;'Données projet'!$A$140,$CQ$205^A58,IF(A58='Données projet'!$A$140,'Données projet'!$B$140,CT57+CS58-DB57)))</f>
        <v>289.10769230499989</v>
      </c>
      <c r="CU58" s="17">
        <f>CT58*VLOOKUP('Données projet'!$B$13,Paramètres!$A$1:$I$89,3,0)*VLOOKUP('Données projet'!$B$13,Paramètres!$A$1:$I$89,5,0)</f>
        <v>172.88639999838992</v>
      </c>
      <c r="CV58" s="13">
        <f t="shared" si="41"/>
        <v>43.735846358954454</v>
      </c>
      <c r="CW58" s="20">
        <f t="shared" si="13"/>
        <v>377.28374573904148</v>
      </c>
      <c r="CX58" s="59">
        <f t="shared" si="14"/>
        <v>670.61707907237474</v>
      </c>
      <c r="CY58" s="59">
        <f ca="1">AVERAGE(OFFSET($CX$3,0,0,'Données projet'!$E$13+1,1))-AVERAGE(OFFSET($H$3,0,0,'Données projet'!$E$13+1,1))</f>
        <v>237.036496933921</v>
      </c>
      <c r="CZ58" s="59">
        <f t="shared" si="42"/>
        <v>191.04289413665344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35.513568697684441</v>
      </c>
      <c r="DG58" s="21">
        <f>EXP(-LN(2)/25)*DG57+(1-EXP(-LN(2)/25))/(LN(2)/25)*Calculateur!DB58*Calculateur!DD58*VLOOKUP('Données projet'!$B$13,Paramètres!$A$1:$I$89,3,0)*0.475*44/12</f>
        <v>11.890499796844603</v>
      </c>
      <c r="DH58" s="21">
        <f>EXP(-LN(2)/2)*DH57+(1-EXP(-LN(2)/2))/(LN(2)/2)*DB58*DE58*VLOOKUP('Données projet'!$B$13,Paramètres!$A$1:$I$89,3,0)*0.475*44/12</f>
        <v>0.9027606484194669</v>
      </c>
      <c r="DI58" s="22">
        <f t="shared" si="15"/>
        <v>48.306829142948509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6.2897435913333322</v>
      </c>
      <c r="DO58" s="12">
        <f>IF('Données projet'!$A$166&gt;35,DO57+DN58-DW57,IF(A58&lt;'Données projet'!$A$166,$DL$205^A58,IF(A58='Données projet'!$A$166,'Données projet'!$B$166,DO57+DN58-DW57)))</f>
        <v>183.2512820433333</v>
      </c>
      <c r="DP58" s="17">
        <f>DO58*VLOOKUP('Données projet'!$B$14,Paramètres!$A$1:$I$89,3,0)*VLOOKUP('Données projet'!$B$14,Paramètres!$A$1:$I$89,5,0)</f>
        <v>109.58426666191332</v>
      </c>
      <c r="DQ58" s="13">
        <f t="shared" si="43"/>
        <v>29.23301297998561</v>
      </c>
      <c r="DR58" s="20">
        <f t="shared" si="16"/>
        <v>241.7734287096406</v>
      </c>
      <c r="DS58" s="59">
        <f t="shared" si="17"/>
        <v>535.10676204297397</v>
      </c>
      <c r="DT58" s="59">
        <f ca="1">AVERAGE(OFFSET($DS$3,0,0,'Données projet'!$E$14+1,1))-AVERAGE(OFFSET($H$3,0,0,'Données projet'!$E$14+1,1))</f>
        <v>148.22129593028302</v>
      </c>
      <c r="DU58" s="59">
        <f t="shared" si="44"/>
        <v>102.97015482019975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204.56279999999995</v>
      </c>
      <c r="EL58" s="13">
        <f t="shared" si="45"/>
        <v>50.74561278586372</v>
      </c>
      <c r="EM58" s="20">
        <f t="shared" si="19"/>
        <v>444.66215226871259</v>
      </c>
      <c r="EN58" s="59">
        <f t="shared" si="20"/>
        <v>737.99548560204585</v>
      </c>
      <c r="EO58" s="59">
        <f ca="1">AVERAGE(OFFSET($EN$3,0,0,'Données projet'!$E$15+1,1))-AVERAGE(OFFSET($H$3,0,0,'Données projet'!$E$15+1,1))</f>
        <v>278.53123771916404</v>
      </c>
      <c r="EP58" s="59">
        <f t="shared" si="46"/>
        <v>283.79094702030869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0.37840000000000001</v>
      </c>
      <c r="ET58" s="16">
        <f>IF(ISNA(VLOOKUP(A58,'Données projet'!$A$191:$I$211,6,0)),0%,VLOOKUP(A58,'Données projet'!$A$191:$I$211,6,0)*VLOOKUP('Données projet'!$B$15,Paramètres!$A$1:$I$89,7,0))</f>
        <v>2.58E-2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27.78718312183382</v>
      </c>
      <c r="EW58" s="21">
        <f>EXP(-LN(2)/25)*EW57+(1-EXP(-LN(2)/25))/(LN(2)/25)*Calculateur!ER58*Calculateur!ET58*VLOOKUP('Données projet'!$B$15,Paramètres!$A$1:$I$89,3,0)*0.475*44/12</f>
        <v>9.7286449938946014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37.515828115728425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7.2307692307692264</v>
      </c>
      <c r="FE58" s="12">
        <f>IF('Données projet'!$A$218&gt;35,FE57+FD58-FM57,IF(A58&lt;'Données projet'!$A$218,$FB$205^A58,IF(A58='Données projet'!$A$218,'Données projet'!$B$218,FE57+FD58-FM57)))</f>
        <v>166.29487179487191</v>
      </c>
      <c r="FF58" s="17">
        <f>FE58*VLOOKUP('Données projet'!$B$16,Paramètres!$A$1:$I$89,3,0)*VLOOKUP('Données projet'!$B$16,Paramètres!$A$1:$I$89,5,0)</f>
        <v>150.4636000000001</v>
      </c>
      <c r="FG58" s="13">
        <f t="shared" si="47"/>
        <v>38.683921455302077</v>
      </c>
      <c r="FH58" s="20">
        <f t="shared" si="22"/>
        <v>329.43193320131792</v>
      </c>
      <c r="FI58" s="59">
        <f t="shared" si="23"/>
        <v>622.76526653465123</v>
      </c>
      <c r="FJ58" s="59">
        <f ca="1">AVERAGE(OFFSET($FI$3,0,0,'Données projet'!$E$16+1,1))-AVERAGE(OFFSET($H$3,0,0,'Données projet'!$E$16+1,1))</f>
        <v>335.99493768537013</v>
      </c>
      <c r="FK58" s="59">
        <f t="shared" si="48"/>
        <v>150.85164849522778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239</v>
      </c>
      <c r="FX58" s="12">
        <f>VLOOKUP(A58,'Données projet'!$A$243:$I$263,9,0)</f>
        <v>7.4</v>
      </c>
      <c r="FY58" s="12">
        <f t="array" ref="FY58">INDEX(FX:FX,MIN(IF(ISNUMBER(FX58:FX254),ROW(FX58:FX254),"")))</f>
        <v>7.4</v>
      </c>
      <c r="FZ58" s="12">
        <f>IF('Données projet'!$A$244&gt;35,FZ57+FY58-GH57,IF(A58&lt;'Données projet'!$A$244,$FW$205^A58,IF(A58='Données projet'!$A$244,'Données projet'!$B$244,FZ57+FY58-GH57)))</f>
        <v>239.00000000000011</v>
      </c>
      <c r="GA58" s="17">
        <f>FZ58*VLOOKUP('Données projet'!$B$17,Paramètres!$A$1:$I$89,3,0)*VLOOKUP('Données projet'!$B$17,Paramètres!$A$1:$I$89,5,0)</f>
        <v>208.79040000000015</v>
      </c>
      <c r="GB58" s="13">
        <f t="shared" si="49"/>
        <v>51.671168863475195</v>
      </c>
      <c r="GC58" s="20">
        <f t="shared" si="25"/>
        <v>453.63723243721955</v>
      </c>
      <c r="GD58" s="59">
        <f t="shared" si="26"/>
        <v>746.97056577055287</v>
      </c>
      <c r="GE58" s="59">
        <f ca="1">AVERAGE(OFFSET($GD$3,0,0,'Données projet'!$E$17+1,1))-AVERAGE(OFFSET($H$3,0,0,'Données projet'!$E$17+1,1))</f>
        <v>319.57811113658374</v>
      </c>
      <c r="GF58" s="59">
        <f t="shared" si="50"/>
        <v>322.03572137403245</v>
      </c>
      <c r="GG58" s="15">
        <f>IF(ISNA(VLOOKUP(A58,'Données projet'!$A$243:$I$263,3,0)),0,VLOOKUP(A58,'Données projet'!$A$243:$I$263,3,0))</f>
        <v>8</v>
      </c>
      <c r="GH58" s="15" t="str">
        <f>IF(ISNA(VLOOKUP(A58,'Données projet'!$A$243:$I$263,4,0)),0,VLOOKUP(A58,'Données projet'!$A$243:$I$263,4,0))</f>
        <v>26</v>
      </c>
      <c r="GI58" s="16">
        <f>IF(ISNA(VLOOKUP(A58,'Données projet'!$A$243:$I$263,5,0)),0%,VLOOKUP(A58,'Données projet'!$A$243:$I$263,5,0)*VLOOKUP('Données projet'!$B$17,Paramètres!$A$1:$I$89,7,0))</f>
        <v>0.215</v>
      </c>
      <c r="GJ58" s="16">
        <f>IF(ISNA(VLOOKUP(A58,'Données projet'!$A$243:$I$263,6,0)),0%,VLOOKUP(A58,'Données projet'!$A$243:$I$263,6,0)*VLOOKUP('Données projet'!$B$17,Paramètres!$A$1:$I$89,7,0))</f>
        <v>0.17200000000000001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17.524835823711815</v>
      </c>
      <c r="GM58" s="21">
        <f>EXP(-LN(2)/25)*GM57+(1-EXP(-LN(2)/25))/(LN(2)/25)*Calculateur!GH58*Calculateur!GJ58*VLOOKUP('Données projet'!$B$17,Paramètres!$A$1:$I$89,3,0)*0.475*44/12</f>
        <v>22.590548921875065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40.11538474558688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15.286813191428573</v>
      </c>
      <c r="N59" s="13">
        <f>IF('Données projet'!$A$36&gt;35,N58+M59-V58,IF(A59&lt;'Données projet'!$A$36,$K$205^A59,IF(A59='Données projet'!$A$36,'Données projet'!$B$36,N58+M59-V58)))</f>
        <v>379.36373625142875</v>
      </c>
      <c r="O59" s="13">
        <f>N59*VLOOKUP('Données projet'!$B$9,Paramètres!$A$1:$I$89,3,0)*VLOOKUP('Données projet'!$B$9,Paramètres!$A$1:$I$89,5,0)</f>
        <v>182.47395713693723</v>
      </c>
      <c r="P59" s="13">
        <f t="shared" si="33"/>
        <v>45.872158005314802</v>
      </c>
      <c r="Q59" s="20">
        <f t="shared" si="53"/>
        <v>397.70281720608892</v>
      </c>
      <c r="R59" s="59">
        <f t="shared" si="0"/>
        <v>691.03615053942224</v>
      </c>
      <c r="S59" s="59">
        <f ca="1">AVERAGE(OFFSET($R$3,0,0,'Données projet'!$E$9+1,1))-AVERAGE(OFFSET($H$3,0,0,'Données projet'!$E$9+1,1))</f>
        <v>226.41956082453015</v>
      </c>
      <c r="T59" s="59">
        <f t="shared" si="34"/>
        <v>317.95076157570446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9.7393162477777775</v>
      </c>
      <c r="AI59" s="13">
        <f>IF('Données projet'!$A$62&gt;35,AI58+AH59-AQ58,IF(A59&lt;'Données projet'!$A$62,$AF$205^A59,IF(A59='Données projet'!$A$62,'Données projet'!$B$62,AI58+AH59-AQ58)))</f>
        <v>176.24145296555577</v>
      </c>
      <c r="AJ59" s="13">
        <f>AI59*VLOOKUP('Données projet'!$B$10,Paramètres!$A$1:$I$89,3,0)*VLOOKUP('Données projet'!$B$10,Paramètres!$A$1:$I$89,5,0)</f>
        <v>151.21516664444687</v>
      </c>
      <c r="AK59" s="13">
        <f t="shared" si="35"/>
        <v>38.854606791155753</v>
      </c>
      <c r="AL59" s="20">
        <f t="shared" si="4"/>
        <v>331.03818873367459</v>
      </c>
      <c r="AM59" s="59">
        <f t="shared" si="5"/>
        <v>624.37152206700785</v>
      </c>
      <c r="AN59" s="59">
        <f ca="1">AVERAGE(OFFSET($AM$3,0,0,'Données projet'!$E$10+1,1))-AVERAGE(OFFSET($H$3,0,0,'Données projet'!$E$10+1,1))</f>
        <v>257.80662231827404</v>
      </c>
      <c r="AO59" s="59">
        <f t="shared" si="36"/>
        <v>184.04558520039876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-4.5474735088646412E-13</v>
      </c>
      <c r="BE59" s="13">
        <f>BD59*VLOOKUP('Données projet'!$B$11,Paramètres!$A$1:$I$89,3,0)*VLOOKUP('Données projet'!$B$11,Paramètres!$A$1:$I$89,5,0)</f>
        <v>-2.5420376914553347E-13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300.90952915835157</v>
      </c>
      <c r="BJ59" s="59">
        <f t="shared" si="38"/>
        <v>402.81783992925256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222.2124748316601</v>
      </c>
      <c r="BQ59" s="21">
        <f>EXP(-LN(2)/25)*BQ58+(1-EXP(-LN(2)/25))/(LN(2)/25)*Calculateur!BL59*Calculateur!BN59*VLOOKUP('Données projet'!$B$11,Paramètres!$A$1:$I$89,3,0)*0.475*44/12</f>
        <v>56.634018788393888</v>
      </c>
      <c r="BR59" s="21">
        <f>EXP(-LN(2)/2)*BR58+(1-EXP(-LN(2)/2))/(LN(2)/2)*BL59*BO59*VLOOKUP('Données projet'!$B$11,Paramètres!$A$1:$I$89,3,0)*0.475*44/12</f>
        <v>23.789694974358476</v>
      </c>
      <c r="BS59" s="22">
        <f t="shared" si="9"/>
        <v>302.63618859441249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18.026373631428573</v>
      </c>
      <c r="BY59" s="12">
        <f>IF('Données projet'!$A$114&gt;35,BY58+BX59-CG58,IF(A59&lt;'Données projet'!$A$114,$BV$205^A59,IF(A59='Données projet'!$A$114,'Données projet'!$B$114,BY58+BX59-CG58)))</f>
        <v>326.71318680571432</v>
      </c>
      <c r="BZ59" s="13">
        <f>BY59*VLOOKUP('Données projet'!$B$12,Paramètres!$A$1:$I$89,3,0)*VLOOKUP('Données projet'!$B$12,Paramètres!$A$1:$I$89,5,0)</f>
        <v>161.39631428202287</v>
      </c>
      <c r="CA59" s="13">
        <f t="shared" si="39"/>
        <v>41.157298545418044</v>
      </c>
      <c r="CB59" s="20">
        <f t="shared" si="10"/>
        <v>352.78087567445959</v>
      </c>
      <c r="CC59" s="59">
        <f t="shared" si="11"/>
        <v>646.11420900779285</v>
      </c>
      <c r="CD59" s="59">
        <f ca="1">AVERAGE(OFFSET($CC$3,0,0,'Données projet'!$E$12+1,1))-AVERAGE(OFFSET($H$3,0,0,'Données projet'!$E$12+1,1))</f>
        <v>246.05217890269194</v>
      </c>
      <c r="CE59" s="59">
        <f t="shared" si="40"/>
        <v>155.54297071424327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17.603226709714161</v>
      </c>
      <c r="CL59" s="21">
        <f>EXP(-LN(2)/25)*CL58+(1-EXP(-LN(2)/25))/(LN(2)/25)*Calculateur!CG59*Calculateur!CI59*VLOOKUP('Données projet'!$B$12,Paramètres!$A$1:$I$89,3,0)*0.475*44/12</f>
        <v>25.803226353635356</v>
      </c>
      <c r="CM59" s="21">
        <f>EXP(-LN(2)/2)*CM58+(1-EXP(-LN(2)/2))/(LN(2)/2)*CG59*CJ59*VLOOKUP('Données projet'!$B$12,Paramètres!$A$1:$I$89,3,0)*0.475*44/12</f>
        <v>2.1683317306277989</v>
      </c>
      <c r="CN59" s="22">
        <f t="shared" si="12"/>
        <v>45.574784793977315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10.663076919</v>
      </c>
      <c r="CT59" s="12">
        <f>IF('Données projet'!$A$140&gt;35,CT58+CS59-DB58,IF(A59&lt;'Données projet'!$A$140,$CQ$205^A59,IF(A59='Données projet'!$A$140,'Données projet'!$B$140,CT58+CS59-DB58)))</f>
        <v>299.77076922399988</v>
      </c>
      <c r="CU59" s="17">
        <f>CT59*VLOOKUP('Données projet'!$B$13,Paramètres!$A$1:$I$89,3,0)*VLOOKUP('Données projet'!$B$13,Paramètres!$A$1:$I$89,5,0)</f>
        <v>179.26291999595193</v>
      </c>
      <c r="CV59" s="13">
        <f t="shared" si="41"/>
        <v>45.158160304141759</v>
      </c>
      <c r="CW59" s="20">
        <f t="shared" si="13"/>
        <v>390.86671485599658</v>
      </c>
      <c r="CX59" s="59">
        <f t="shared" si="14"/>
        <v>684.20004818932989</v>
      </c>
      <c r="CY59" s="59">
        <f ca="1">AVERAGE(OFFSET($CX$3,0,0,'Données projet'!$E$13+1,1))-AVERAGE(OFFSET($H$3,0,0,'Données projet'!$E$13+1,1))</f>
        <v>237.036496933921</v>
      </c>
      <c r="CZ59" s="59">
        <f t="shared" si="42"/>
        <v>191.04289413665344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34.817169276660898</v>
      </c>
      <c r="DG59" s="21">
        <f>EXP(-LN(2)/25)*DG58+(1-EXP(-LN(2)/25))/(LN(2)/25)*Calculateur!DB59*Calculateur!DD59*VLOOKUP('Données projet'!$B$13,Paramètres!$A$1:$I$89,3,0)*0.475*44/12</f>
        <v>11.565353454605679</v>
      </c>
      <c r="DH59" s="21">
        <f>EXP(-LN(2)/2)*DH58+(1-EXP(-LN(2)/2))/(LN(2)/2)*DB59*DE59*VLOOKUP('Données projet'!$B$13,Paramètres!$A$1:$I$89,3,0)*0.475*44/12</f>
        <v>0.63834817628576979</v>
      </c>
      <c r="DI59" s="22">
        <f t="shared" si="15"/>
        <v>47.020870907552343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6.2897435913333322</v>
      </c>
      <c r="DO59" s="12">
        <f>IF('Données projet'!$A$166&gt;35,DO58+DN59-DW58,IF(A59&lt;'Données projet'!$A$166,$DL$205^A59,IF(A59='Données projet'!$A$166,'Données projet'!$B$166,DO58+DN59-DW58)))</f>
        <v>189.54102563466662</v>
      </c>
      <c r="DP59" s="17">
        <f>DO59*VLOOKUP('Données projet'!$B$14,Paramètres!$A$1:$I$89,3,0)*VLOOKUP('Données projet'!$B$14,Paramètres!$A$1:$I$89,5,0)</f>
        <v>113.34553332953065</v>
      </c>
      <c r="DQ59" s="13">
        <f t="shared" si="43"/>
        <v>30.117838615568331</v>
      </c>
      <c r="DR59" s="20">
        <f t="shared" si="16"/>
        <v>249.86537280438071</v>
      </c>
      <c r="DS59" s="59">
        <f t="shared" si="17"/>
        <v>543.198706137714</v>
      </c>
      <c r="DT59" s="59">
        <f ca="1">AVERAGE(OFFSET($DS$3,0,0,'Données projet'!$E$14+1,1))-AVERAGE(OFFSET($H$3,0,0,'Données projet'!$E$14+1,1))</f>
        <v>148.22129593028302</v>
      </c>
      <c r="DU59" s="59">
        <f t="shared" si="44"/>
        <v>102.97015482019975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197.37743999999995</v>
      </c>
      <c r="EL59" s="13">
        <f t="shared" si="45"/>
        <v>49.167366395757924</v>
      </c>
      <c r="EM59" s="20">
        <f t="shared" si="19"/>
        <v>429.39887113927824</v>
      </c>
      <c r="EN59" s="59">
        <f t="shared" si="20"/>
        <v>722.73220447261156</v>
      </c>
      <c r="EO59" s="59">
        <f ca="1">AVERAGE(OFFSET($EN$3,0,0,'Données projet'!$E$15+1,1))-AVERAGE(OFFSET($H$3,0,0,'Données projet'!$E$15+1,1))</f>
        <v>278.53123771916404</v>
      </c>
      <c r="EP59" s="59">
        <f t="shared" si="46"/>
        <v>283.79094702030869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27.242293409322837</v>
      </c>
      <c r="EW59" s="21">
        <f>EXP(-LN(2)/25)*EW58+(1-EXP(-LN(2)/25))/(LN(2)/25)*Calculateur!ER59*Calculateur!ET59*VLOOKUP('Données projet'!$B$15,Paramètres!$A$1:$I$89,3,0)*0.475*44/12</f>
        <v>9.4626146849293491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36.70490809425219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7.2307692307692264</v>
      </c>
      <c r="FE59" s="12">
        <f>IF('Données projet'!$A$218&gt;35,FE58+FD59-FM58,IF(A59&lt;'Données projet'!$A$218,$FB$205^A59,IF(A59='Données projet'!$A$218,'Données projet'!$B$218,FE58+FD59-FM58)))</f>
        <v>173.52564102564114</v>
      </c>
      <c r="FF59" s="17">
        <f>FE59*VLOOKUP('Données projet'!$B$16,Paramètres!$A$1:$I$89,3,0)*VLOOKUP('Données projet'!$B$16,Paramètres!$A$1:$I$89,5,0)</f>
        <v>157.00600000000009</v>
      </c>
      <c r="FG59" s="13">
        <f t="shared" si="47"/>
        <v>40.166469723989842</v>
      </c>
      <c r="FH59" s="20">
        <f t="shared" si="22"/>
        <v>343.40871810261575</v>
      </c>
      <c r="FI59" s="59">
        <f t="shared" si="23"/>
        <v>636.74205143594907</v>
      </c>
      <c r="FJ59" s="59">
        <f ca="1">AVERAGE(OFFSET($FI$3,0,0,'Données projet'!$E$16+1,1))-AVERAGE(OFFSET($H$3,0,0,'Données projet'!$E$16+1,1))</f>
        <v>335.99493768537013</v>
      </c>
      <c r="FK59" s="59">
        <f t="shared" si="48"/>
        <v>150.85164849522778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6.6</v>
      </c>
      <c r="FZ59" s="12">
        <f>IF('Données projet'!$A$244&gt;35,FZ58+FY59-GH58,IF(A59&lt;'Données projet'!$A$244,$FW$205^A59,IF(A59='Données projet'!$A$244,'Données projet'!$B$244,FZ58+FY59-GH58)))</f>
        <v>219.60000000000011</v>
      </c>
      <c r="GA59" s="17">
        <f>FZ59*VLOOKUP('Données projet'!$B$17,Paramètres!$A$1:$I$89,3,0)*VLOOKUP('Données projet'!$B$17,Paramètres!$A$1:$I$89,5,0)</f>
        <v>191.84256000000011</v>
      </c>
      <c r="GB59" s="13">
        <f t="shared" si="49"/>
        <v>47.947087613384845</v>
      </c>
      <c r="GC59" s="20">
        <f t="shared" si="25"/>
        <v>417.6336362599788</v>
      </c>
      <c r="GD59" s="59">
        <f t="shared" si="26"/>
        <v>710.96696959331211</v>
      </c>
      <c r="GE59" s="59">
        <f ca="1">AVERAGE(OFFSET($GD$3,0,0,'Données projet'!$E$17+1,1))-AVERAGE(OFFSET($H$3,0,0,'Données projet'!$E$17+1,1))</f>
        <v>319.57811113658374</v>
      </c>
      <c r="GF59" s="59">
        <f t="shared" si="50"/>
        <v>322.03572137403245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17.18118448230322</v>
      </c>
      <c r="GM59" s="21">
        <f>EXP(-LN(2)/25)*GM58+(1-EXP(-LN(2)/25))/(LN(2)/25)*Calculateur!GH59*Calculateur!GJ59*VLOOKUP('Données projet'!$B$17,Paramètres!$A$1:$I$89,3,0)*0.475*44/12</f>
        <v>21.972809173621055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39.153993655924275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15.286813191428573</v>
      </c>
      <c r="N60" s="13">
        <f>IF('Données projet'!$A$36&gt;35,N59+M60-V59,IF(A60&lt;'Données projet'!$A$36,$K$205^A60,IF(A60='Données projet'!$A$36,'Données projet'!$B$36,N59+M60-V59)))</f>
        <v>394.65054944285731</v>
      </c>
      <c r="O60" s="13">
        <f>N60*VLOOKUP('Données projet'!$B$9,Paramètres!$A$1:$I$89,3,0)*VLOOKUP('Données projet'!$B$9,Paramètres!$A$1:$I$89,5,0)</f>
        <v>189.82691428201437</v>
      </c>
      <c r="P60" s="13">
        <f t="shared" si="33"/>
        <v>47.501684026938449</v>
      </c>
      <c r="Q60" s="20">
        <f t="shared" si="53"/>
        <v>413.34730872142615</v>
      </c>
      <c r="R60" s="59">
        <f t="shared" si="0"/>
        <v>706.68064205475946</v>
      </c>
      <c r="S60" s="59">
        <f ca="1">AVERAGE(OFFSET($R$3,0,0,'Données projet'!$E$9+1,1))-AVERAGE(OFFSET($H$3,0,0,'Données projet'!$E$9+1,1))</f>
        <v>226.41956082453015</v>
      </c>
      <c r="T60" s="59">
        <f t="shared" si="34"/>
        <v>317.95076157570446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9.7393162477777775</v>
      </c>
      <c r="AI60" s="13">
        <f>IF('Données projet'!$A$62&gt;35,AI59+AH60-AQ59,IF(A60&lt;'Données projet'!$A$62,$AF$205^A60,IF(A60='Données projet'!$A$62,'Données projet'!$B$62,AI59+AH60-AQ59)))</f>
        <v>185.98076921333353</v>
      </c>
      <c r="AJ60" s="13">
        <f>AI60*VLOOKUP('Données projet'!$B$10,Paramètres!$A$1:$I$89,3,0)*VLOOKUP('Données projet'!$B$10,Paramètres!$A$1:$I$89,5,0)</f>
        <v>159.57149998504019</v>
      </c>
      <c r="AK60" s="13">
        <f t="shared" si="35"/>
        <v>40.745850952763902</v>
      </c>
      <c r="AL60" s="20">
        <f t="shared" si="4"/>
        <v>348.88605288334207</v>
      </c>
      <c r="AM60" s="59">
        <f t="shared" si="5"/>
        <v>642.21938621667539</v>
      </c>
      <c r="AN60" s="59">
        <f ca="1">AVERAGE(OFFSET($AM$3,0,0,'Données projet'!$E$10+1,1))-AVERAGE(OFFSET($H$3,0,0,'Données projet'!$E$10+1,1))</f>
        <v>257.80662231827404</v>
      </c>
      <c r="AO60" s="59">
        <f t="shared" si="36"/>
        <v>184.04558520039876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-4.5474735088646412E-13</v>
      </c>
      <c r="BE60" s="13">
        <f>BD60*VLOOKUP('Données projet'!$B$11,Paramètres!$A$1:$I$89,3,0)*VLOOKUP('Données projet'!$B$11,Paramètres!$A$1:$I$89,5,0)</f>
        <v>-2.5420376914553347E-13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300.90952915835157</v>
      </c>
      <c r="BJ60" s="59">
        <f t="shared" si="38"/>
        <v>402.81783992925256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217.8550237364378</v>
      </c>
      <c r="BQ60" s="21">
        <f>EXP(-LN(2)/25)*BQ59+(1-EXP(-LN(2)/25))/(LN(2)/25)*Calculateur!BL60*Calculateur!BN60*VLOOKUP('Données projet'!$B$11,Paramètres!$A$1:$I$89,3,0)*0.475*44/12</f>
        <v>55.085358566371646</v>
      </c>
      <c r="BR60" s="21">
        <f>EXP(-LN(2)/2)*BR59+(1-EXP(-LN(2)/2))/(LN(2)/2)*BL60*BO60*VLOOKUP('Données projet'!$B$11,Paramètres!$A$1:$I$89,3,0)*0.475*44/12</f>
        <v>16.821854638728411</v>
      </c>
      <c r="BS60" s="22">
        <f t="shared" si="9"/>
        <v>289.76223694153782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18.026373631428573</v>
      </c>
      <c r="BY60" s="12">
        <f>IF('Données projet'!$A$114&gt;35,BY59+BX60-CG59,IF(A60&lt;'Données projet'!$A$114,$BV$205^A60,IF(A60='Données projet'!$A$114,'Données projet'!$B$114,BY59+BX60-CG59)))</f>
        <v>344.73956043714287</v>
      </c>
      <c r="BZ60" s="13">
        <f>BY60*VLOOKUP('Données projet'!$B$12,Paramètres!$A$1:$I$89,3,0)*VLOOKUP('Données projet'!$B$12,Paramètres!$A$1:$I$89,5,0)</f>
        <v>170.30134285594858</v>
      </c>
      <c r="CA60" s="13">
        <f t="shared" si="39"/>
        <v>43.157507402540915</v>
      </c>
      <c r="CB60" s="20">
        <f t="shared" si="10"/>
        <v>371.77416420020251</v>
      </c>
      <c r="CC60" s="59">
        <f t="shared" si="11"/>
        <v>665.10749753353582</v>
      </c>
      <c r="CD60" s="59">
        <f ca="1">AVERAGE(OFFSET($CC$3,0,0,'Données projet'!$E$12+1,1))-AVERAGE(OFFSET($H$3,0,0,'Données projet'!$E$12+1,1))</f>
        <v>246.05217890269194</v>
      </c>
      <c r="CE60" s="59">
        <f t="shared" si="40"/>
        <v>155.54297071424327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17.258038170844777</v>
      </c>
      <c r="CL60" s="21">
        <f>EXP(-LN(2)/25)*CL59+(1-EXP(-LN(2)/25))/(LN(2)/25)*Calculateur!CG60*Calculateur!CI60*VLOOKUP('Données projet'!$B$12,Paramètres!$A$1:$I$89,3,0)*0.475*44/12</f>
        <v>25.097635772062496</v>
      </c>
      <c r="CM60" s="21">
        <f>EXP(-LN(2)/2)*CM59+(1-EXP(-LN(2)/2))/(LN(2)/2)*CG60*CJ60*VLOOKUP('Données projet'!$B$12,Paramètres!$A$1:$I$89,3,0)*0.475*44/12</f>
        <v>1.533242070588879</v>
      </c>
      <c r="CN60" s="22">
        <f t="shared" si="12"/>
        <v>43.88891601349615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10.663076919</v>
      </c>
      <c r="CT60" s="12">
        <f>IF('Données projet'!$A$140&gt;35,CT59+CS60-DB59,IF(A60&lt;'Données projet'!$A$140,$CQ$205^A60,IF(A60='Données projet'!$A$140,'Données projet'!$B$140,CT59+CS60-DB59)))</f>
        <v>310.43384614299987</v>
      </c>
      <c r="CU60" s="17">
        <f>CT60*VLOOKUP('Données projet'!$B$13,Paramètres!$A$1:$I$89,3,0)*VLOOKUP('Données projet'!$B$13,Paramètres!$A$1:$I$89,5,0)</f>
        <v>185.63943999351395</v>
      </c>
      <c r="CV60" s="13">
        <f t="shared" si="41"/>
        <v>46.574596112544484</v>
      </c>
      <c r="CW60" s="20">
        <f t="shared" si="13"/>
        <v>404.43944621805167</v>
      </c>
      <c r="CX60" s="59">
        <f t="shared" si="14"/>
        <v>697.77277955138493</v>
      </c>
      <c r="CY60" s="59">
        <f ca="1">AVERAGE(OFFSET($CX$3,0,0,'Données projet'!$E$13+1,1))-AVERAGE(OFFSET($H$3,0,0,'Données projet'!$E$13+1,1))</f>
        <v>237.036496933921</v>
      </c>
      <c r="CZ60" s="59">
        <f t="shared" si="42"/>
        <v>191.04289413665344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34.134425823521916</v>
      </c>
      <c r="DG60" s="21">
        <f>EXP(-LN(2)/25)*DG59+(1-EXP(-LN(2)/25))/(LN(2)/25)*Calculateur!DB60*Calculateur!DD60*VLOOKUP('Données projet'!$B$13,Paramètres!$A$1:$I$89,3,0)*0.475*44/12</f>
        <v>11.249098256193982</v>
      </c>
      <c r="DH60" s="21">
        <f>EXP(-LN(2)/2)*DH59+(1-EXP(-LN(2)/2))/(LN(2)/2)*DB60*DE60*VLOOKUP('Données projet'!$B$13,Paramètres!$A$1:$I$89,3,0)*0.475*44/12</f>
        <v>0.45138032420973351</v>
      </c>
      <c r="DI60" s="22">
        <f t="shared" si="15"/>
        <v>45.834904403925634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6.2897435913333322</v>
      </c>
      <c r="DO60" s="12">
        <f>IF('Données projet'!$A$166&gt;35,DO59+DN60-DW59,IF(A60&lt;'Données projet'!$A$166,$DL$205^A60,IF(A60='Données projet'!$A$166,'Données projet'!$B$166,DO59+DN60-DW59)))</f>
        <v>195.83076922599994</v>
      </c>
      <c r="DP60" s="17">
        <f>DO60*VLOOKUP('Données projet'!$B$14,Paramètres!$A$1:$I$89,3,0)*VLOOKUP('Données projet'!$B$14,Paramètres!$A$1:$I$89,5,0)</f>
        <v>117.10679999714797</v>
      </c>
      <c r="DQ60" s="13">
        <f t="shared" si="43"/>
        <v>30.999252431106438</v>
      </c>
      <c r="DR60" s="20">
        <f t="shared" si="16"/>
        <v>257.95137464587646</v>
      </c>
      <c r="DS60" s="59">
        <f t="shared" si="17"/>
        <v>551.28470797920977</v>
      </c>
      <c r="DT60" s="59">
        <f ca="1">AVERAGE(OFFSET($DS$3,0,0,'Données projet'!$E$14+1,1))-AVERAGE(OFFSET($H$3,0,0,'Données projet'!$E$14+1,1))</f>
        <v>148.22129593028302</v>
      </c>
      <c r="DU60" s="59">
        <f t="shared" si="44"/>
        <v>102.97015482019975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201.92327999999995</v>
      </c>
      <c r="EL60" s="13">
        <f t="shared" si="45"/>
        <v>50.166610737265309</v>
      </c>
      <c r="EM60" s="20">
        <f t="shared" si="19"/>
        <v>439.05655970073695</v>
      </c>
      <c r="EN60" s="59">
        <f t="shared" si="20"/>
        <v>732.38989303407027</v>
      </c>
      <c r="EO60" s="59">
        <f ca="1">AVERAGE(OFFSET($EN$3,0,0,'Données projet'!$E$15+1,1))-AVERAGE(OFFSET($H$3,0,0,'Données projet'!$E$15+1,1))</f>
        <v>278.53123771916404</v>
      </c>
      <c r="EP60" s="59">
        <f t="shared" si="46"/>
        <v>283.79094702030869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26.708088651724285</v>
      </c>
      <c r="EW60" s="21">
        <f>EXP(-LN(2)/25)*EW59+(1-EXP(-LN(2)/25))/(LN(2)/25)*Calculateur!ER60*Calculateur!ET60*VLOOKUP('Données projet'!$B$15,Paramètres!$A$1:$I$89,3,0)*0.475*44/12</f>
        <v>9.2038589887526765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35.91194764047696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7.2307692307692264</v>
      </c>
      <c r="FE60" s="12">
        <f>IF('Données projet'!$A$218&gt;35,FE59+FD60-FM59,IF(A60&lt;'Données projet'!$A$218,$FB$205^A60,IF(A60='Données projet'!$A$218,'Données projet'!$B$218,FE59+FD60-FM59)))</f>
        <v>180.75641025641036</v>
      </c>
      <c r="FF60" s="17">
        <f>FE60*VLOOKUP('Données projet'!$B$16,Paramètres!$A$1:$I$89,3,0)*VLOOKUP('Données projet'!$B$16,Paramètres!$A$1:$I$89,5,0)</f>
        <v>163.54840000000007</v>
      </c>
      <c r="FG60" s="13">
        <f t="shared" si="47"/>
        <v>41.641842320311184</v>
      </c>
      <c r="FH60" s="20">
        <f t="shared" si="22"/>
        <v>357.37300537454212</v>
      </c>
      <c r="FI60" s="59">
        <f t="shared" si="23"/>
        <v>650.70633870787537</v>
      </c>
      <c r="FJ60" s="59">
        <f ca="1">AVERAGE(OFFSET($FI$3,0,0,'Données projet'!$E$16+1,1))-AVERAGE(OFFSET($H$3,0,0,'Données projet'!$E$16+1,1))</f>
        <v>335.99493768537013</v>
      </c>
      <c r="FK60" s="59">
        <f t="shared" si="48"/>
        <v>150.85164849522778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6.6</v>
      </c>
      <c r="FZ60" s="12">
        <f>IF('Données projet'!$A$244&gt;35,FZ59+FY60-GH59,IF(A60&lt;'Données projet'!$A$244,$FW$205^A60,IF(A60='Données projet'!$A$244,'Données projet'!$B$244,FZ59+FY60-GH59)))</f>
        <v>226.2000000000001</v>
      </c>
      <c r="GA60" s="17">
        <f>FZ60*VLOOKUP('Données projet'!$B$17,Paramètres!$A$1:$I$89,3,0)*VLOOKUP('Données projet'!$B$17,Paramètres!$A$1:$I$89,5,0)</f>
        <v>197.60832000000011</v>
      </c>
      <c r="GB60" s="13">
        <f t="shared" si="49"/>
        <v>49.218181392381403</v>
      </c>
      <c r="GC60" s="20">
        <f t="shared" si="25"/>
        <v>429.88948992506448</v>
      </c>
      <c r="GD60" s="59">
        <f t="shared" si="26"/>
        <v>723.22282325839774</v>
      </c>
      <c r="GE60" s="59">
        <f ca="1">AVERAGE(OFFSET($GD$3,0,0,'Données projet'!$E$17+1,1))-AVERAGE(OFFSET($H$3,0,0,'Données projet'!$E$17+1,1))</f>
        <v>319.57811113658374</v>
      </c>
      <c r="GF60" s="59">
        <f t="shared" si="50"/>
        <v>322.03572137403245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16.844271934093022</v>
      </c>
      <c r="GM60" s="21">
        <f>EXP(-LN(2)/25)*GM59+(1-EXP(-LN(2)/25))/(LN(2)/25)*Calculateur!GH60*Calculateur!GJ60*VLOOKUP('Données projet'!$B$17,Paramètres!$A$1:$I$89,3,0)*0.475*44/12</f>
        <v>21.371961551268573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38.216233485361599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15.286813191428573</v>
      </c>
      <c r="N61" s="13">
        <f>IF('Données projet'!$A$36&gt;35,N60+M61-V60,IF(A61&lt;'Données projet'!$A$36,$K$205^A61,IF(A61='Données projet'!$A$36,'Données projet'!$B$36,N60+M61-V60)))</f>
        <v>409.93736263428588</v>
      </c>
      <c r="O61" s="13">
        <f>N61*VLOOKUP('Données projet'!$B$9,Paramètres!$A$1:$I$89,3,0)*VLOOKUP('Données projet'!$B$9,Paramètres!$A$1:$I$89,5,0)</f>
        <v>197.17987142709151</v>
      </c>
      <c r="P61" s="13">
        <f t="shared" si="33"/>
        <v>49.123877506694043</v>
      </c>
      <c r="Q61" s="20">
        <f t="shared" si="53"/>
        <v>428.9790293930098</v>
      </c>
      <c r="R61" s="59">
        <f t="shared" si="0"/>
        <v>722.31236272634305</v>
      </c>
      <c r="S61" s="59">
        <f ca="1">AVERAGE(OFFSET($R$3,0,0,'Données projet'!$E$9+1,1))-AVERAGE(OFFSET($H$3,0,0,'Données projet'!$E$9+1,1))</f>
        <v>226.41956082453015</v>
      </c>
      <c r="T61" s="59">
        <f t="shared" si="34"/>
        <v>317.95076157570446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9.7393162477777775</v>
      </c>
      <c r="AI61" s="13">
        <f>IF('Données projet'!$A$62&gt;35,AI60+AH61-AQ60,IF(A61&lt;'Données projet'!$A$62,$AF$205^A61,IF(A61='Données projet'!$A$62,'Données projet'!$B$62,AI60+AH61-AQ60)))</f>
        <v>195.7200854611113</v>
      </c>
      <c r="AJ61" s="13">
        <f>AI61*VLOOKUP('Données projet'!$B$10,Paramètres!$A$1:$I$89,3,0)*VLOOKUP('Données projet'!$B$10,Paramètres!$A$1:$I$89,5,0)</f>
        <v>167.92783332563351</v>
      </c>
      <c r="AK61" s="13">
        <f t="shared" si="35"/>
        <v>42.625596443373951</v>
      </c>
      <c r="AL61" s="20">
        <f t="shared" si="4"/>
        <v>366.71389018102133</v>
      </c>
      <c r="AM61" s="59">
        <f t="shared" si="5"/>
        <v>660.04722351435464</v>
      </c>
      <c r="AN61" s="59">
        <f ca="1">AVERAGE(OFFSET($AM$3,0,0,'Données projet'!$E$10+1,1))-AVERAGE(OFFSET($H$3,0,0,'Données projet'!$E$10+1,1))</f>
        <v>257.80662231827404</v>
      </c>
      <c r="AO61" s="59">
        <f t="shared" si="36"/>
        <v>184.04558520039876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-4.5474735088646412E-13</v>
      </c>
      <c r="BE61" s="13">
        <f>BD61*VLOOKUP('Données projet'!$B$11,Paramètres!$A$1:$I$89,3,0)*VLOOKUP('Données projet'!$B$11,Paramètres!$A$1:$I$89,5,0)</f>
        <v>-2.5420376914553347E-13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300.90952915835157</v>
      </c>
      <c r="BJ61" s="59">
        <f t="shared" si="38"/>
        <v>402.81783992925256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213.58301959941008</v>
      </c>
      <c r="BQ61" s="21">
        <f>EXP(-LN(2)/25)*BQ60+(1-EXP(-LN(2)/25))/(LN(2)/25)*Calculateur!BL61*Calculateur!BN61*VLOOKUP('Données projet'!$B$11,Paramètres!$A$1:$I$89,3,0)*0.475*44/12</f>
        <v>53.579046539561105</v>
      </c>
      <c r="BR61" s="21">
        <f>EXP(-LN(2)/2)*BR60+(1-EXP(-LN(2)/2))/(LN(2)/2)*BL61*BO61*VLOOKUP('Données projet'!$B$11,Paramètres!$A$1:$I$89,3,0)*0.475*44/12</f>
        <v>11.894847487179241</v>
      </c>
      <c r="BS61" s="22">
        <f t="shared" si="9"/>
        <v>279.05691362615039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18.026373631428573</v>
      </c>
      <c r="BY61" s="12">
        <f>IF('Données projet'!$A$114&gt;35,BY60+BX61-CG60,IF(A61&lt;'Données projet'!$A$114,$BV$205^A61,IF(A61='Données projet'!$A$114,'Données projet'!$B$114,BY60+BX61-CG60)))</f>
        <v>362.76593406857143</v>
      </c>
      <c r="BZ61" s="13">
        <f>BY61*VLOOKUP('Données projet'!$B$12,Paramètres!$A$1:$I$89,3,0)*VLOOKUP('Données projet'!$B$12,Paramètres!$A$1:$I$89,5,0)</f>
        <v>179.20637142987428</v>
      </c>
      <c r="CA61" s="13">
        <f t="shared" si="39"/>
        <v>45.14557304849491</v>
      </c>
      <c r="CB61" s="20">
        <f t="shared" si="10"/>
        <v>390.74630329982637</v>
      </c>
      <c r="CC61" s="59">
        <f t="shared" si="11"/>
        <v>684.07963663315968</v>
      </c>
      <c r="CD61" s="59">
        <f ca="1">AVERAGE(OFFSET($CC$3,0,0,'Données projet'!$E$12+1,1))-AVERAGE(OFFSET($H$3,0,0,'Données projet'!$E$12+1,1))</f>
        <v>246.05217890269194</v>
      </c>
      <c r="CE61" s="59">
        <f t="shared" si="40"/>
        <v>155.54297071424327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16.919618568678402</v>
      </c>
      <c r="CL61" s="21">
        <f>EXP(-LN(2)/25)*CL60+(1-EXP(-LN(2)/25))/(LN(2)/25)*Calculateur!CG61*Calculateur!CI61*VLOOKUP('Données projet'!$B$12,Paramètres!$A$1:$I$89,3,0)*0.475*44/12</f>
        <v>24.411339602048145</v>
      </c>
      <c r="CM61" s="21">
        <f>EXP(-LN(2)/2)*CM60+(1-EXP(-LN(2)/2))/(LN(2)/2)*CG61*CJ61*VLOOKUP('Données projet'!$B$12,Paramètres!$A$1:$I$89,3,0)*0.475*44/12</f>
        <v>1.0841658653138995</v>
      </c>
      <c r="CN61" s="22">
        <f t="shared" si="12"/>
        <v>42.415124036040446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10.663076919</v>
      </c>
      <c r="CT61" s="12">
        <f>IF('Données projet'!$A$140&gt;35,CT60+CS61-DB60,IF(A61&lt;'Données projet'!$A$140,$CQ$205^A61,IF(A61='Données projet'!$A$140,'Données projet'!$B$140,CT60+CS61-DB60)))</f>
        <v>321.09692306199986</v>
      </c>
      <c r="CU61" s="17">
        <f>CT61*VLOOKUP('Données projet'!$B$13,Paramètres!$A$1:$I$89,3,0)*VLOOKUP('Données projet'!$B$13,Paramètres!$A$1:$I$89,5,0)</f>
        <v>192.01595999107593</v>
      </c>
      <c r="CV61" s="13">
        <f t="shared" si="41"/>
        <v>47.98537883397848</v>
      </c>
      <c r="CW61" s="20">
        <f t="shared" si="13"/>
        <v>418.00233178696976</v>
      </c>
      <c r="CX61" s="59">
        <f t="shared" si="14"/>
        <v>711.33566512030302</v>
      </c>
      <c r="CY61" s="59">
        <f ca="1">AVERAGE(OFFSET($CX$3,0,0,'Données projet'!$E$13+1,1))-AVERAGE(OFFSET($H$3,0,0,'Données projet'!$E$13+1,1))</f>
        <v>237.036496933921</v>
      </c>
      <c r="CZ61" s="59">
        <f t="shared" si="42"/>
        <v>191.04289413665344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33.465070553066603</v>
      </c>
      <c r="DG61" s="21">
        <f>EXP(-LN(2)/25)*DG60+(1-EXP(-LN(2)/25))/(LN(2)/25)*Calculateur!DB61*Calculateur!DD61*VLOOKUP('Données projet'!$B$13,Paramètres!$A$1:$I$89,3,0)*0.475*44/12</f>
        <v>10.94149107281399</v>
      </c>
      <c r="DH61" s="21">
        <f>EXP(-LN(2)/2)*DH60+(1-EXP(-LN(2)/2))/(LN(2)/2)*DB61*DE61*VLOOKUP('Données projet'!$B$13,Paramètres!$A$1:$I$89,3,0)*0.475*44/12</f>
        <v>0.31917408814288495</v>
      </c>
      <c r="DI61" s="22">
        <f t="shared" si="15"/>
        <v>44.725735714023479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6.2897435913333322</v>
      </c>
      <c r="DO61" s="12">
        <f>IF('Données projet'!$A$166&gt;35,DO60+DN61-DW60,IF(A61&lt;'Données projet'!$A$166,$DL$205^A61,IF(A61='Données projet'!$A$166,'Données projet'!$B$166,DO60+DN61-DW60)))</f>
        <v>202.12051281733326</v>
      </c>
      <c r="DP61" s="17">
        <f>DO61*VLOOKUP('Données projet'!$B$14,Paramètres!$A$1:$I$89,3,0)*VLOOKUP('Données projet'!$B$14,Paramètres!$A$1:$I$89,5,0)</f>
        <v>120.86806666476529</v>
      </c>
      <c r="DQ61" s="13">
        <f t="shared" si="43"/>
        <v>31.877376577870812</v>
      </c>
      <c r="DR61" s="20">
        <f t="shared" si="16"/>
        <v>266.03164698092456</v>
      </c>
      <c r="DS61" s="59">
        <f t="shared" si="17"/>
        <v>559.36498031425788</v>
      </c>
      <c r="DT61" s="59">
        <f ca="1">AVERAGE(OFFSET($DS$3,0,0,'Données projet'!$E$14+1,1))-AVERAGE(OFFSET($H$3,0,0,'Données projet'!$E$14+1,1))</f>
        <v>148.22129593028302</v>
      </c>
      <c r="DU61" s="59">
        <f t="shared" si="44"/>
        <v>102.97015482019975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206.46911999999992</v>
      </c>
      <c r="EL61" s="13">
        <f t="shared" si="45"/>
        <v>51.163239774028327</v>
      </c>
      <c r="EM61" s="20">
        <f t="shared" si="19"/>
        <v>448.70969327309916</v>
      </c>
      <c r="EN61" s="59">
        <f t="shared" si="20"/>
        <v>742.04302660643248</v>
      </c>
      <c r="EO61" s="59">
        <f ca="1">AVERAGE(OFFSET($EN$3,0,0,'Données projet'!$E$15+1,1))-AVERAGE(OFFSET($H$3,0,0,'Données projet'!$E$15+1,1))</f>
        <v>278.53123771916404</v>
      </c>
      <c r="EP61" s="59">
        <f t="shared" si="46"/>
        <v>283.79094702030869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26.184359323589515</v>
      </c>
      <c r="EW61" s="21">
        <f>EXP(-LN(2)/25)*EW60+(1-EXP(-LN(2)/25))/(LN(2)/25)*Calculateur!ER61*Calculateur!ET61*VLOOKUP('Données projet'!$B$15,Paramètres!$A$1:$I$89,3,0)*0.475*44/12</f>
        <v>8.9521789806953258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35.136538304284841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>
        <f>VLOOKUP(A61,'Données projet'!$A$217:$I$237,2,0)</f>
        <v>187.98717948717947</v>
      </c>
      <c r="FC61" s="12">
        <f>VLOOKUP(A61,'Données projet'!$A$217:$I$237,9,0)</f>
        <v>7.2307692307692264</v>
      </c>
      <c r="FD61" s="12">
        <f t="array" ref="FD61">INDEX(FC:FC,MIN(IF(ISNUMBER(FC61:FC257),ROW(FC61:FC257),"")))</f>
        <v>7.2307692307692264</v>
      </c>
      <c r="FE61" s="12">
        <f>IF('Données projet'!$A$218&gt;35,FE60+FD61-FM60,IF(A61&lt;'Données projet'!$A$218,$FB$205^A61,IF(A61='Données projet'!$A$218,'Données projet'!$B$218,FE60+FD61-FM60)))</f>
        <v>187.98717948717959</v>
      </c>
      <c r="FF61" s="17">
        <f>FE61*VLOOKUP('Données projet'!$B$16,Paramètres!$A$1:$I$89,3,0)*VLOOKUP('Données projet'!$B$16,Paramètres!$A$1:$I$89,5,0)</f>
        <v>170.09080000000009</v>
      </c>
      <c r="FG61" s="13">
        <f t="shared" si="47"/>
        <v>43.1103591327537</v>
      </c>
      <c r="FH61" s="20">
        <f t="shared" si="22"/>
        <v>371.32535215621283</v>
      </c>
      <c r="FI61" s="59">
        <f t="shared" si="23"/>
        <v>664.65868548954609</v>
      </c>
      <c r="FJ61" s="59">
        <f ca="1">AVERAGE(OFFSET($FI$3,0,0,'Données projet'!$E$16+1,1))-AVERAGE(OFFSET($H$3,0,0,'Données projet'!$E$16+1,1))</f>
        <v>335.99493768537013</v>
      </c>
      <c r="FK61" s="59">
        <f t="shared" si="48"/>
        <v>150.85164849522778</v>
      </c>
      <c r="FL61" s="15">
        <f>IF(ISNA(VLOOKUP(A61,'Données projet'!$A$217:$I$237,3,0)),0,VLOOKUP(A61,'Données projet'!$A$217:$I$237,3,0))</f>
        <v>3</v>
      </c>
      <c r="FM61" s="15">
        <f>IF(ISNA(VLOOKUP(A61,'Données projet'!$A$217:$I$237,4,0)),0,VLOOKUP(A61,'Données projet'!$A$217:$I$237,4,0))</f>
        <v>35.88461538461538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6.6</v>
      </c>
      <c r="FZ61" s="12">
        <f>IF('Données projet'!$A$244&gt;35,FZ60+FY61-GH60,IF(A61&lt;'Données projet'!$A$244,$FW$205^A61,IF(A61='Données projet'!$A$244,'Données projet'!$B$244,FZ60+FY61-GH60)))</f>
        <v>232.8000000000001</v>
      </c>
      <c r="GA61" s="17">
        <f>FZ61*VLOOKUP('Données projet'!$B$17,Paramètres!$A$1:$I$89,3,0)*VLOOKUP('Données projet'!$B$17,Paramètres!$A$1:$I$89,5,0)</f>
        <v>203.37408000000013</v>
      </c>
      <c r="GB61" s="13">
        <f t="shared" si="49"/>
        <v>50.484964849140624</v>
      </c>
      <c r="GC61" s="20">
        <f t="shared" si="25"/>
        <v>442.1378364455868</v>
      </c>
      <c r="GD61" s="59">
        <f t="shared" si="26"/>
        <v>735.47116977892006</v>
      </c>
      <c r="GE61" s="59">
        <f ca="1">AVERAGE(OFFSET($GD$3,0,0,'Données projet'!$E$17+1,1))-AVERAGE(OFFSET($H$3,0,0,'Données projet'!$E$17+1,1))</f>
        <v>319.57811113658374</v>
      </c>
      <c r="GF61" s="59">
        <f t="shared" si="50"/>
        <v>322.03572137403245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16.513966035456864</v>
      </c>
      <c r="GM61" s="21">
        <f>EXP(-LN(2)/25)*GM60+(1-EXP(-LN(2)/25))/(LN(2)/25)*Calculateur!GH61*Calculateur!GJ61*VLOOKUP('Données projet'!$B$17,Paramètres!$A$1:$I$89,3,0)*0.475*44/12</f>
        <v>20.787544138746522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37.301510174203386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15.286813191428573</v>
      </c>
      <c r="N62" s="13">
        <f>IF('Données projet'!$A$36&gt;35,N61+M62-V61,IF(A62&lt;'Données projet'!$A$36,$K$205^A62,IF(A62='Données projet'!$A$36,'Données projet'!$B$36,N61+M62-V61)))</f>
        <v>425.22417582571444</v>
      </c>
      <c r="O62" s="13">
        <f>N62*VLOOKUP('Données projet'!$B$9,Paramètres!$A$1:$I$89,3,0)*VLOOKUP('Données projet'!$B$9,Paramètres!$A$1:$I$89,5,0)</f>
        <v>204.53282857216863</v>
      </c>
      <c r="P62" s="13">
        <f t="shared" si="33"/>
        <v>50.739043189527465</v>
      </c>
      <c r="Q62" s="20">
        <f t="shared" si="53"/>
        <v>444.59850998495403</v>
      </c>
      <c r="R62" s="59">
        <f t="shared" si="0"/>
        <v>737.93184331828729</v>
      </c>
      <c r="S62" s="59">
        <f ca="1">AVERAGE(OFFSET($R$3,0,0,'Données projet'!$E$9+1,1))-AVERAGE(OFFSET($H$3,0,0,'Données projet'!$E$9+1,1))</f>
        <v>226.41956082453015</v>
      </c>
      <c r="T62" s="59">
        <f t="shared" si="34"/>
        <v>317.95076157570446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9.7393162477777775</v>
      </c>
      <c r="AI62" s="13">
        <f>IF('Données projet'!$A$62&gt;35,AI61+AH62-AQ61,IF(A62&lt;'Données projet'!$A$62,$AF$205^A62,IF(A62='Données projet'!$A$62,'Données projet'!$B$62,AI61+AH62-AQ61)))</f>
        <v>205.45940170888906</v>
      </c>
      <c r="AJ62" s="13">
        <f>AI62*VLOOKUP('Données projet'!$B$10,Paramètres!$A$1:$I$89,3,0)*VLOOKUP('Données projet'!$B$10,Paramètres!$A$1:$I$89,5,0)</f>
        <v>176.28416666622684</v>
      </c>
      <c r="AK62" s="13">
        <f t="shared" si="35"/>
        <v>44.494480748912508</v>
      </c>
      <c r="AL62" s="20">
        <f t="shared" si="4"/>
        <v>384.52281091470104</v>
      </c>
      <c r="AM62" s="59">
        <f t="shared" si="5"/>
        <v>677.8561442480343</v>
      </c>
      <c r="AN62" s="59">
        <f ca="1">AVERAGE(OFFSET($AM$3,0,0,'Données projet'!$E$10+1,1))-AVERAGE(OFFSET($H$3,0,0,'Données projet'!$E$10+1,1))</f>
        <v>257.80662231827404</v>
      </c>
      <c r="AO62" s="59">
        <f t="shared" si="36"/>
        <v>184.04558520039876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-4.5474735088646412E-13</v>
      </c>
      <c r="BE62" s="13">
        <f>BD62*VLOOKUP('Données projet'!$B$11,Paramètres!$A$1:$I$89,3,0)*VLOOKUP('Données projet'!$B$11,Paramètres!$A$1:$I$89,5,0)</f>
        <v>-2.5420376914553347E-13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300.90952915835157</v>
      </c>
      <c r="BJ62" s="59">
        <f t="shared" si="38"/>
        <v>402.81783992925256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209.39478685784422</v>
      </c>
      <c r="BQ62" s="21">
        <f>EXP(-LN(2)/25)*BQ61+(1-EXP(-LN(2)/25))/(LN(2)/25)*Calculateur!BL62*Calculateur!BN62*VLOOKUP('Données projet'!$B$11,Paramètres!$A$1:$I$89,3,0)*0.475*44/12</f>
        <v>52.113924694337207</v>
      </c>
      <c r="BR62" s="21">
        <f>EXP(-LN(2)/2)*BR61+(1-EXP(-LN(2)/2))/(LN(2)/2)*BL62*BO62*VLOOKUP('Données projet'!$B$11,Paramètres!$A$1:$I$89,3,0)*0.475*44/12</f>
        <v>8.4109273193642071</v>
      </c>
      <c r="BS62" s="22">
        <f t="shared" si="9"/>
        <v>269.9196388715456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380.79230769999998</v>
      </c>
      <c r="BW62" s="12">
        <f>VLOOKUP(A62,'Données projet'!$A$113:$I$133,9,0)</f>
        <v>18.026373631428573</v>
      </c>
      <c r="BX62" s="12">
        <f t="array" ref="BX62">INDEX(BW:BW,MIN(IF(ISNUMBER(BW62:BW258),ROW(BW62:BW258),"")))</f>
        <v>18.026373631428573</v>
      </c>
      <c r="BY62" s="12">
        <f>IF('Données projet'!$A$114&gt;35,BY61+BX62-CG61,IF(A62&lt;'Données projet'!$A$114,$BV$205^A62,IF(A62='Données projet'!$A$114,'Données projet'!$B$114,BY61+BX62-CG61)))</f>
        <v>380.79230769999998</v>
      </c>
      <c r="BZ62" s="13">
        <f>BY62*VLOOKUP('Données projet'!$B$12,Paramètres!$A$1:$I$89,3,0)*VLOOKUP('Données projet'!$B$12,Paramètres!$A$1:$I$89,5,0)</f>
        <v>188.11140000379999</v>
      </c>
      <c r="CA62" s="13">
        <f t="shared" si="39"/>
        <v>47.122167756825696</v>
      </c>
      <c r="CB62" s="20">
        <f t="shared" si="10"/>
        <v>409.69846384975637</v>
      </c>
      <c r="CC62" s="59">
        <f t="shared" si="11"/>
        <v>703.03179718308968</v>
      </c>
      <c r="CD62" s="59">
        <f ca="1">AVERAGE(OFFSET($CC$3,0,0,'Données projet'!$E$12+1,1))-AVERAGE(OFFSET($H$3,0,0,'Données projet'!$E$12+1,1))</f>
        <v>246.05217890269194</v>
      </c>
      <c r="CE62" s="59">
        <f t="shared" si="40"/>
        <v>155.54297071424327</v>
      </c>
      <c r="CF62" s="15">
        <f>IF(ISNA(VLOOKUP(A62,'Données projet'!$A$113:$I$133,3,0)),0,VLOOKUP(A62,'Données projet'!$A$113:$I$133,3,0))</f>
        <v>3</v>
      </c>
      <c r="CG62" s="15">
        <f>IF(ISNA(VLOOKUP(A62,'Données projet'!$A$113:$I$133,4,0)),0,VLOOKUP(A62,'Données projet'!$A$113:$I$133,4,0))</f>
        <v>93.915384619999998</v>
      </c>
      <c r="CH62" s="16">
        <f>IF(ISNA(VLOOKUP(A62,'Données projet'!$A$113:$I$133,5,0)),0%,VLOOKUP(A62,'Données projet'!$A$113:$I$133,5,0)*VLOOKUP('Données projet'!$B$12,Paramètres!$A$1:$I$89,7,0))</f>
        <v>0.38500000000000001</v>
      </c>
      <c r="CI62" s="16">
        <f>IF(ISNA(VLOOKUP(A62,'Données projet'!$A$113:$I$133,6,0)),0%,VLOOKUP(A62,'Données projet'!$A$113:$I$133,6,0)*VLOOKUP('Données projet'!$B$12,Paramètres!$A$1:$I$89,7,0))</f>
        <v>9.3500000000000014E-2</v>
      </c>
      <c r="CJ62" s="16">
        <f>IF(ISNA(VLOOKUP(A62,'Données projet'!$A$113:$I$133,7,0)),0%,VLOOKUP(A62,'Données projet'!$A$113:$I$133,7,0))</f>
        <v>0.13</v>
      </c>
      <c r="CK62" s="21">
        <f>EXP(-LN(2)/35)*CK61+(1-EXP(-LN(2)/35))/(LN(2)/35)*CG62*CH62*VLOOKUP('Données projet'!$B$12,Paramètres!$A$1:$I$89,3,0)*0.475*44/12</f>
        <v>40.282620383202342</v>
      </c>
      <c r="CL62" s="21">
        <f>EXP(-LN(2)/25)*CL61+(1-EXP(-LN(2)/25))/(LN(2)/25)*Calculateur!CG62*Calculateur!CI62*VLOOKUP('Données projet'!$B$12,Paramètres!$A$1:$I$89,3,0)*0.475*44/12</f>
        <v>29.475600620996925</v>
      </c>
      <c r="CM62" s="21">
        <f>EXP(-LN(2)/2)*CM61+(1-EXP(-LN(2)/2))/(LN(2)/2)*CG62*CJ62*VLOOKUP('Données projet'!$B$12,Paramètres!$A$1:$I$89,3,0)*0.475*44/12</f>
        <v>7.5953925511573388</v>
      </c>
      <c r="CN62" s="22">
        <f t="shared" si="12"/>
        <v>77.353613555356617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10.663076919</v>
      </c>
      <c r="CT62" s="12">
        <f>IF('Données projet'!$A$140&gt;35,CT61+CS62-DB61,IF(A62&lt;'Données projet'!$A$140,$CQ$205^A62,IF(A62='Données projet'!$A$140,'Données projet'!$B$140,CT61+CS62-DB61)))</f>
        <v>331.75999998099985</v>
      </c>
      <c r="CU62" s="17">
        <f>CT62*VLOOKUP('Données projet'!$B$13,Paramètres!$A$1:$I$89,3,0)*VLOOKUP('Données projet'!$B$13,Paramètres!$A$1:$I$89,5,0)</f>
        <v>198.39247998863792</v>
      </c>
      <c r="CV62" s="13">
        <f t="shared" si="41"/>
        <v>49.390717723010837</v>
      </c>
      <c r="CW62" s="20">
        <f t="shared" si="13"/>
        <v>431.55573601445491</v>
      </c>
      <c r="CX62" s="59">
        <f t="shared" si="14"/>
        <v>724.88906934778822</v>
      </c>
      <c r="CY62" s="59">
        <f ca="1">AVERAGE(OFFSET($CX$3,0,0,'Données projet'!$E$13+1,1))-AVERAGE(OFFSET($H$3,0,0,'Données projet'!$E$13+1,1))</f>
        <v>237.036496933921</v>
      </c>
      <c r="CZ62" s="59">
        <f t="shared" si="42"/>
        <v>191.04289413665344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32.808840931198517</v>
      </c>
      <c r="DG62" s="21">
        <f>EXP(-LN(2)/25)*DG61+(1-EXP(-LN(2)/25))/(LN(2)/25)*Calculateur!DB62*Calculateur!DD62*VLOOKUP('Données projet'!$B$13,Paramètres!$A$1:$I$89,3,0)*0.475*44/12</f>
        <v>10.642295424039883</v>
      </c>
      <c r="DH62" s="21">
        <f>EXP(-LN(2)/2)*DH61+(1-EXP(-LN(2)/2))/(LN(2)/2)*DB62*DE62*VLOOKUP('Données projet'!$B$13,Paramètres!$A$1:$I$89,3,0)*0.475*44/12</f>
        <v>0.22569016210486678</v>
      </c>
      <c r="DI62" s="22">
        <f t="shared" si="15"/>
        <v>43.676826517343272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6.2897435913333322</v>
      </c>
      <c r="DO62" s="12">
        <f>IF('Données projet'!$A$166&gt;35,DO61+DN62-DW61,IF(A62&lt;'Données projet'!$A$166,$DL$205^A62,IF(A62='Données projet'!$A$166,'Données projet'!$B$166,DO61+DN62-DW61)))</f>
        <v>208.41025640866658</v>
      </c>
      <c r="DP62" s="17">
        <f>DO62*VLOOKUP('Données projet'!$B$14,Paramètres!$A$1:$I$89,3,0)*VLOOKUP('Données projet'!$B$14,Paramètres!$A$1:$I$89,5,0)</f>
        <v>124.62933333238263</v>
      </c>
      <c r="DQ62" s="13">
        <f t="shared" si="43"/>
        <v>32.752325172894579</v>
      </c>
      <c r="DR62" s="20">
        <f t="shared" si="16"/>
        <v>274.10638856335783</v>
      </c>
      <c r="DS62" s="59">
        <f t="shared" si="17"/>
        <v>567.43972189669114</v>
      </c>
      <c r="DT62" s="59">
        <f ca="1">AVERAGE(OFFSET($DS$3,0,0,'Données projet'!$E$14+1,1))-AVERAGE(OFFSET($H$3,0,0,'Données projet'!$E$14+1,1))</f>
        <v>148.22129593028302</v>
      </c>
      <c r="DU62" s="59">
        <f t="shared" si="44"/>
        <v>102.97015482019975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211.01495999999992</v>
      </c>
      <c r="EL62" s="13">
        <f t="shared" si="45"/>
        <v>52.15731771796959</v>
      </c>
      <c r="EM62" s="20">
        <f t="shared" si="19"/>
        <v>458.35838369213019</v>
      </c>
      <c r="EN62" s="59">
        <f t="shared" si="20"/>
        <v>751.6917170254635</v>
      </c>
      <c r="EO62" s="59">
        <f ca="1">AVERAGE(OFFSET($EN$3,0,0,'Données projet'!$E$15+1,1))-AVERAGE(OFFSET($H$3,0,0,'Données projet'!$E$15+1,1))</f>
        <v>278.53123771916404</v>
      </c>
      <c r="EP62" s="59">
        <f t="shared" si="46"/>
        <v>283.79094702030869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25.670900008136119</v>
      </c>
      <c r="EW62" s="21">
        <f>EXP(-LN(2)/25)*EW61+(1-EXP(-LN(2)/25))/(LN(2)/25)*Calculateur!ER62*Calculateur!ET62*VLOOKUP('Données projet'!$B$15,Paramètres!$A$1:$I$89,3,0)*0.475*44/12</f>
        <v>8.7073811756935804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34.378281183829699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6.9975961538461569</v>
      </c>
      <c r="FE62" s="12">
        <f>IF('Données projet'!$A$218&gt;35,FE61+FD62-FM61,IF(A62&lt;'Données projet'!$A$218,$FB$205^A62,IF(A62='Données projet'!$A$218,'Données projet'!$B$218,FE61+FD62-FM61)))</f>
        <v>159.10016025641036</v>
      </c>
      <c r="FF62" s="17">
        <f>FE62*VLOOKUP('Données projet'!$B$16,Paramètres!$A$1:$I$89,3,0)*VLOOKUP('Données projet'!$B$16,Paramètres!$A$1:$I$89,5,0)</f>
        <v>143.95382500000008</v>
      </c>
      <c r="FG62" s="13">
        <f t="shared" si="47"/>
        <v>37.201297925394456</v>
      </c>
      <c r="FH62" s="20">
        <f t="shared" si="22"/>
        <v>315.51183909506216</v>
      </c>
      <c r="FI62" s="59">
        <f t="shared" si="23"/>
        <v>608.84517242839547</v>
      </c>
      <c r="FJ62" s="59">
        <f ca="1">AVERAGE(OFFSET($FI$3,0,0,'Données projet'!$E$16+1,1))-AVERAGE(OFFSET($H$3,0,0,'Données projet'!$E$16+1,1))</f>
        <v>335.99493768537013</v>
      </c>
      <c r="FK62" s="59">
        <f t="shared" si="48"/>
        <v>150.85164849522778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6.6</v>
      </c>
      <c r="FZ62" s="12">
        <f>IF('Données projet'!$A$244&gt;35,FZ61+FY62-GH61,IF(A62&lt;'Données projet'!$A$244,$FW$205^A62,IF(A62='Données projet'!$A$244,'Données projet'!$B$244,FZ61+FY62-GH61)))</f>
        <v>239.40000000000009</v>
      </c>
      <c r="GA62" s="17">
        <f>FZ62*VLOOKUP('Données projet'!$B$17,Paramètres!$A$1:$I$89,3,0)*VLOOKUP('Données projet'!$B$17,Paramètres!$A$1:$I$89,5,0)</f>
        <v>209.13984000000008</v>
      </c>
      <c r="GB62" s="13">
        <f t="shared" si="49"/>
        <v>51.747574219710266</v>
      </c>
      <c r="GC62" s="20">
        <f t="shared" si="25"/>
        <v>454.37891309932888</v>
      </c>
      <c r="GD62" s="59">
        <f t="shared" si="26"/>
        <v>747.71224643266214</v>
      </c>
      <c r="GE62" s="59">
        <f ca="1">AVERAGE(OFFSET($GD$3,0,0,'Données projet'!$E$17+1,1))-AVERAGE(OFFSET($H$3,0,0,'Données projet'!$E$17+1,1))</f>
        <v>319.57811113658374</v>
      </c>
      <c r="GF62" s="59">
        <f t="shared" si="50"/>
        <v>322.03572137403245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16.190137234026256</v>
      </c>
      <c r="GM62" s="21">
        <f>EXP(-LN(2)/25)*GM61+(1-EXP(-LN(2)/25))/(LN(2)/25)*Calculateur!GH62*Calculateur!GJ62*VLOOKUP('Données projet'!$B$17,Paramètres!$A$1:$I$89,3,0)*0.475*44/12</f>
        <v>20.219107651103062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36.409244885129318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15.286813191428573</v>
      </c>
      <c r="N63" s="13">
        <f>IF('Données projet'!$A$36&gt;35,N62+M63-V62,IF(A63&lt;'Données projet'!$A$36,$K$205^A63,IF(A63='Données projet'!$A$36,'Données projet'!$B$36,N62+M63-V62)))</f>
        <v>440.510989017143</v>
      </c>
      <c r="O63" s="13">
        <f>N63*VLOOKUP('Données projet'!$B$9,Paramètres!$A$1:$I$89,3,0)*VLOOKUP('Données projet'!$B$9,Paramètres!$A$1:$I$89,5,0)</f>
        <v>211.8857857172458</v>
      </c>
      <c r="P63" s="13">
        <f t="shared" si="33"/>
        <v>52.347462667225166</v>
      </c>
      <c r="Q63" s="20">
        <f t="shared" si="53"/>
        <v>460.20624093628697</v>
      </c>
      <c r="R63" s="59">
        <f t="shared" si="0"/>
        <v>753.53957426962029</v>
      </c>
      <c r="S63" s="59">
        <f ca="1">AVERAGE(OFFSET($R$3,0,0,'Données projet'!$E$9+1,1))-AVERAGE(OFFSET($H$3,0,0,'Données projet'!$E$9+1,1))</f>
        <v>226.41956082453015</v>
      </c>
      <c r="T63" s="59">
        <f t="shared" si="34"/>
        <v>317.95076157570446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9.7393162477777775</v>
      </c>
      <c r="AI63" s="13">
        <f>IF('Données projet'!$A$62&gt;35,AI62+AH63-AQ62,IF(A63&lt;'Données projet'!$A$62,$AF$205^A63,IF(A63='Données projet'!$A$62,'Données projet'!$B$62,AI62+AH63-AQ62)))</f>
        <v>215.19871795666683</v>
      </c>
      <c r="AJ63" s="13">
        <f>AI63*VLOOKUP('Données projet'!$B$10,Paramètres!$A$1:$I$89,3,0)*VLOOKUP('Données projet'!$B$10,Paramètres!$A$1:$I$89,5,0)</f>
        <v>184.64050000682016</v>
      </c>
      <c r="AK63" s="13">
        <f t="shared" si="35"/>
        <v>46.353077503144</v>
      </c>
      <c r="AL63" s="20">
        <f t="shared" si="4"/>
        <v>402.31381416318754</v>
      </c>
      <c r="AM63" s="59">
        <f t="shared" si="5"/>
        <v>695.6471474965208</v>
      </c>
      <c r="AN63" s="59">
        <f ca="1">AVERAGE(OFFSET($AM$3,0,0,'Données projet'!$E$10+1,1))-AVERAGE(OFFSET($H$3,0,0,'Données projet'!$E$10+1,1))</f>
        <v>257.80662231827404</v>
      </c>
      <c r="AO63" s="59">
        <f t="shared" si="36"/>
        <v>184.04558520039876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-4.5474735088646412E-13</v>
      </c>
      <c r="BE63" s="13">
        <f>BD63*VLOOKUP('Données projet'!$B$11,Paramètres!$A$1:$I$89,3,0)*VLOOKUP('Données projet'!$B$11,Paramètres!$A$1:$I$89,5,0)</f>
        <v>-2.5420376914553347E-13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300.90952915835157</v>
      </c>
      <c r="BJ63" s="59">
        <f t="shared" si="38"/>
        <v>402.81783992925256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205.28868280577075</v>
      </c>
      <c r="BQ63" s="21">
        <f>EXP(-LN(2)/25)*BQ62+(1-EXP(-LN(2)/25))/(LN(2)/25)*Calculateur!BL63*Calculateur!BN63*VLOOKUP('Données projet'!$B$11,Paramètres!$A$1:$I$89,3,0)*0.475*44/12</f>
        <v>50.688866683018368</v>
      </c>
      <c r="BR63" s="21">
        <f>EXP(-LN(2)/2)*BR62+(1-EXP(-LN(2)/2))/(LN(2)/2)*BL63*BO63*VLOOKUP('Données projet'!$B$11,Paramètres!$A$1:$I$89,3,0)*0.475*44/12</f>
        <v>5.9474237435896216</v>
      </c>
      <c r="BS63" s="22">
        <f t="shared" si="9"/>
        <v>261.92497323237876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16.8980769275</v>
      </c>
      <c r="BY63" s="12">
        <f>IF('Données projet'!$A$114&gt;35,BY62+BX63-CG62,IF(A63&lt;'Données projet'!$A$114,$BV$205^A63,IF(A63='Données projet'!$A$114,'Données projet'!$B$114,BY62+BX63-CG62)))</f>
        <v>303.77500000749995</v>
      </c>
      <c r="BZ63" s="13">
        <f>BY63*VLOOKUP('Données projet'!$B$12,Paramètres!$A$1:$I$89,3,0)*VLOOKUP('Données projet'!$B$12,Paramètres!$A$1:$I$89,5,0)</f>
        <v>150.06485000370498</v>
      </c>
      <c r="CA63" s="13">
        <f t="shared" si="39"/>
        <v>38.593322646141253</v>
      </c>
      <c r="CB63" s="20">
        <f t="shared" si="10"/>
        <v>328.57965069848217</v>
      </c>
      <c r="CC63" s="59">
        <f t="shared" si="11"/>
        <v>621.91298403181554</v>
      </c>
      <c r="CD63" s="59">
        <f ca="1">AVERAGE(OFFSET($CC$3,0,0,'Données projet'!$E$12+1,1))-AVERAGE(OFFSET($H$3,0,0,'Données projet'!$E$12+1,1))</f>
        <v>246.05217890269194</v>
      </c>
      <c r="CE63" s="59">
        <f t="shared" si="40"/>
        <v>155.54297071424327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39.492702767460095</v>
      </c>
      <c r="CL63" s="21">
        <f>EXP(-LN(2)/25)*CL62+(1-EXP(-LN(2)/25))/(LN(2)/25)*Calculateur!CG63*Calculateur!CI63*VLOOKUP('Données projet'!$B$12,Paramètres!$A$1:$I$89,3,0)*0.475*44/12</f>
        <v>28.669588771961294</v>
      </c>
      <c r="CM63" s="21">
        <f>EXP(-LN(2)/2)*CM62+(1-EXP(-LN(2)/2))/(LN(2)/2)*CG63*CJ63*VLOOKUP('Données projet'!$B$12,Paramètres!$A$1:$I$89,3,0)*0.475*44/12</f>
        <v>5.3707535786971459</v>
      </c>
      <c r="CN63" s="22">
        <f t="shared" si="12"/>
        <v>73.533045118118537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342.42307690000001</v>
      </c>
      <c r="CR63" s="12">
        <f>VLOOKUP(A63,'Données projet'!$A$139:$I$159,9,0)</f>
        <v>10.663076919</v>
      </c>
      <c r="CS63" s="12">
        <f t="array" ref="CS63">INDEX(CR:CR,MIN(IF(ISNUMBER(CR63:CR259),ROW(CR63:CR259),"")))</f>
        <v>10.663076919</v>
      </c>
      <c r="CT63" s="12">
        <f>IF('Données projet'!$A$140&gt;35,CT62+CS63-DB62,IF(A63&lt;'Données projet'!$A$140,$CQ$205^A63,IF(A63='Données projet'!$A$140,'Données projet'!$B$140,CT62+CS63-DB62)))</f>
        <v>342.42307689999984</v>
      </c>
      <c r="CU63" s="17">
        <f>CT63*VLOOKUP('Données projet'!$B$13,Paramètres!$A$1:$I$89,3,0)*VLOOKUP('Données projet'!$B$13,Paramètres!$A$1:$I$89,5,0)</f>
        <v>204.76899998619993</v>
      </c>
      <c r="CV63" s="13">
        <f t="shared" si="41"/>
        <v>50.790807819229485</v>
      </c>
      <c r="CW63" s="20">
        <f t="shared" si="13"/>
        <v>445.09999859445628</v>
      </c>
      <c r="CX63" s="59">
        <f t="shared" si="14"/>
        <v>738.4333319277896</v>
      </c>
      <c r="CY63" s="59">
        <f ca="1">AVERAGE(OFFSET($CX$3,0,0,'Données projet'!$E$13+1,1))-AVERAGE(OFFSET($H$3,0,0,'Données projet'!$E$13+1,1))</f>
        <v>237.036496933921</v>
      </c>
      <c r="CZ63" s="59">
        <f t="shared" si="42"/>
        <v>191.04289413665344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54.261538459999997</v>
      </c>
      <c r="DC63" s="16">
        <f>IF(ISNA(VLOOKUP(A63,'Données projet'!$A$139:$I$159,5,0)),0%,VLOOKUP(A63,'Données projet'!$A$139:$I$159,5,0)*VLOOKUP('Données projet'!$B$13,Paramètres!$A$1:$I$89,7,0))</f>
        <v>0.315</v>
      </c>
      <c r="DD63" s="16">
        <f>IF(ISNA(VLOOKUP(A63,'Données projet'!$A$139:$I$159,6,0)),0%,VLOOKUP(A63,'Données projet'!$A$139:$I$159,6,0)*VLOOKUP('Données projet'!$B$13,Paramètres!$A$1:$I$89,7,0))</f>
        <v>7.6500000000000012E-2</v>
      </c>
      <c r="DE63" s="16">
        <f>IF(ISNA(VLOOKUP(A63,'Données projet'!$A$139:$I$159,7,0)),0%,VLOOKUP(A63,'Données projet'!$A$139:$I$159,7,0))</f>
        <v>0.13</v>
      </c>
      <c r="DF63" s="21">
        <f>EXP(-LN(2)/35)*DF62+(1-EXP(-LN(2)/35))/(LN(2)/35)*DB63*DC63*VLOOKUP('Données projet'!$B$13,Paramètres!$A$1:$I$89,3,0)*0.475*44/12</f>
        <v>45.724621205473859</v>
      </c>
      <c r="DG63" s="21">
        <f>EXP(-LN(2)/25)*DG62+(1-EXP(-LN(2)/25))/(LN(2)/25)*Calculateur!DB63*Calculateur!DD63*VLOOKUP('Données projet'!$B$13,Paramètres!$A$1:$I$89,3,0)*0.475*44/12</f>
        <v>13.631250155301084</v>
      </c>
      <c r="DH63" s="21">
        <f>EXP(-LN(2)/2)*DH62+(1-EXP(-LN(2)/2))/(LN(2)/2)*DB63*DE63*VLOOKUP('Données projet'!$B$13,Paramètres!$A$1:$I$89,3,0)*0.475*44/12</f>
        <v>4.9356734867335383</v>
      </c>
      <c r="DI63" s="22">
        <f t="shared" si="15"/>
        <v>64.291544847508476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214.7</v>
      </c>
      <c r="DM63" s="12">
        <f>VLOOKUP(A63,'Données projet'!$A$165:$I$185,9,0)</f>
        <v>6.2897435913333322</v>
      </c>
      <c r="DN63" s="12">
        <f t="array" ref="DN63">INDEX(DM:DM,MIN(IF(ISNUMBER(DM63:DM259),ROW(DM63:DM259),"")))</f>
        <v>6.2897435913333322</v>
      </c>
      <c r="DO63" s="12">
        <f>IF('Données projet'!$A$166&gt;35,DO62+DN63-DW62,IF(A63&lt;'Données projet'!$A$166,$DL$205^A63,IF(A63='Données projet'!$A$166,'Données projet'!$B$166,DO62+DN63-DW62)))</f>
        <v>214.6999999999999</v>
      </c>
      <c r="DP63" s="17">
        <f>DO63*VLOOKUP('Données projet'!$B$14,Paramètres!$A$1:$I$89,3,0)*VLOOKUP('Données projet'!$B$14,Paramètres!$A$1:$I$89,5,0)</f>
        <v>128.39059999999995</v>
      </c>
      <c r="DQ63" s="13">
        <f t="shared" si="43"/>
        <v>33.624205053747964</v>
      </c>
      <c r="DR63" s="20">
        <f t="shared" si="16"/>
        <v>282.17578546861091</v>
      </c>
      <c r="DS63" s="59">
        <f t="shared" si="17"/>
        <v>575.50911880194417</v>
      </c>
      <c r="DT63" s="59">
        <f ca="1">AVERAGE(OFFSET($DS$3,0,0,'Données projet'!$E$14+1,1))-AVERAGE(OFFSET($H$3,0,0,'Données projet'!$E$14+1,1))</f>
        <v>148.22129593028302</v>
      </c>
      <c r="DU63" s="59">
        <f t="shared" si="44"/>
        <v>102.97015482019975</v>
      </c>
      <c r="DV63" s="15">
        <f>IF(ISNA(VLOOKUP(A63,'Données projet'!$A$165:$I$185,3,0)),0,VLOOKUP(A63,'Données projet'!$A$165:$I$185,3,0))</f>
        <v>2</v>
      </c>
      <c r="DW63" s="15">
        <f>IF(ISNA(VLOOKUP(A63,'Données projet'!$A$165:$I$185,4,0)),0,VLOOKUP(A63,'Données projet'!$A$165:$I$185,4,0))</f>
        <v>63.34615385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215.56079999999992</v>
      </c>
      <c r="EL63" s="13">
        <f t="shared" si="45"/>
        <v>53.14890585638225</v>
      </c>
      <c r="EM63" s="20">
        <f t="shared" si="19"/>
        <v>468.00273769986558</v>
      </c>
      <c r="EN63" s="59">
        <f t="shared" si="20"/>
        <v>761.33607103319889</v>
      </c>
      <c r="EO63" s="59">
        <f ca="1">AVERAGE(OFFSET($EN$3,0,0,'Données projet'!$E$15+1,1))-AVERAGE(OFFSET($H$3,0,0,'Données projet'!$E$15+1,1))</f>
        <v>278.53123771916404</v>
      </c>
      <c r="EP63" s="59">
        <f t="shared" si="46"/>
        <v>283.79094702030869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0.39990000000000003</v>
      </c>
      <c r="ET63" s="16">
        <f>IF(ISNA(VLOOKUP(A63,'Données projet'!$A$191:$I$211,6,0)),0%,VLOOKUP(A63,'Données projet'!$A$191:$I$211,6,0)*VLOOKUP('Données projet'!$B$15,Paramètres!$A$1:$I$89,7,0))</f>
        <v>3.0100000000000002E-2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29.705347514176253</v>
      </c>
      <c r="EW63" s="21">
        <f>EXP(-LN(2)/25)*EW62+(1-EXP(-LN(2)/25))/(LN(2)/25)*Calculateur!ER63*Calculateur!ET63*VLOOKUP('Données projet'!$B$15,Paramètres!$A$1:$I$89,3,0)*0.475*44/12</f>
        <v>8.8094902504701587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38.514837764646416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6.9975961538461569</v>
      </c>
      <c r="FE63" s="12">
        <f>IF('Données projet'!$A$218&gt;35,FE62+FD63-FM62,IF(A63&lt;'Données projet'!$A$218,$FB$205^A63,IF(A63='Données projet'!$A$218,'Données projet'!$B$218,FE62+FD63-FM62)))</f>
        <v>166.09775641025652</v>
      </c>
      <c r="FF63" s="17">
        <f>FE63*VLOOKUP('Données projet'!$B$16,Paramètres!$A$1:$I$89,3,0)*VLOOKUP('Données projet'!$B$16,Paramètres!$A$1:$I$89,5,0)</f>
        <v>150.2852500000001</v>
      </c>
      <c r="FG63" s="13">
        <f t="shared" si="47"/>
        <v>38.643402537471268</v>
      </c>
      <c r="FH63" s="20">
        <f t="shared" si="22"/>
        <v>329.05073650276262</v>
      </c>
      <c r="FI63" s="59">
        <f t="shared" si="23"/>
        <v>622.38406983609593</v>
      </c>
      <c r="FJ63" s="59">
        <f ca="1">AVERAGE(OFFSET($FI$3,0,0,'Données projet'!$E$16+1,1))-AVERAGE(OFFSET($H$3,0,0,'Données projet'!$E$16+1,1))</f>
        <v>335.99493768537013</v>
      </c>
      <c r="FK63" s="59">
        <f t="shared" si="48"/>
        <v>150.85164849522778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246</v>
      </c>
      <c r="FX63" s="12">
        <f>VLOOKUP(A63,'Données projet'!$A$243:$I$263,9,0)</f>
        <v>6.6</v>
      </c>
      <c r="FY63" s="12">
        <f t="array" ref="FY63">INDEX(FX:FX,MIN(IF(ISNUMBER(FX63:FX259),ROW(FX63:FX259),"")))</f>
        <v>6.6</v>
      </c>
      <c r="FZ63" s="12">
        <f>IF('Données projet'!$A$244&gt;35,FZ62+FY63-GH62,IF(A63&lt;'Données projet'!$A$244,$FW$205^A63,IF(A63='Données projet'!$A$244,'Données projet'!$B$244,FZ62+FY63-GH62)))</f>
        <v>246.00000000000009</v>
      </c>
      <c r="GA63" s="17">
        <f>FZ63*VLOOKUP('Données projet'!$B$17,Paramètres!$A$1:$I$89,3,0)*VLOOKUP('Données projet'!$B$17,Paramètres!$A$1:$I$89,5,0)</f>
        <v>214.90560000000008</v>
      </c>
      <c r="GB63" s="13">
        <f t="shared" si="49"/>
        <v>53.006137800892326</v>
      </c>
      <c r="GC63" s="20">
        <f t="shared" si="25"/>
        <v>466.61294333655428</v>
      </c>
      <c r="GD63" s="59">
        <f t="shared" si="26"/>
        <v>759.94627666988754</v>
      </c>
      <c r="GE63" s="59">
        <f ca="1">AVERAGE(OFFSET($GD$3,0,0,'Données projet'!$E$17+1,1))-AVERAGE(OFFSET($H$3,0,0,'Données projet'!$E$17+1,1))</f>
        <v>319.57811113658374</v>
      </c>
      <c r="GF63" s="59">
        <f t="shared" si="50"/>
        <v>322.03572137403245</v>
      </c>
      <c r="GG63" s="15">
        <f>IF(ISNA(VLOOKUP(A63,'Données projet'!$A$243:$I$263,3,0)),0,VLOOKUP(A63,'Données projet'!$A$243:$I$263,3,0))</f>
        <v>9</v>
      </c>
      <c r="GH63" s="15" t="str">
        <f>IF(ISNA(VLOOKUP(A63,'Données projet'!$A$243:$I$263,4,0)),0,VLOOKUP(A63,'Données projet'!$A$243:$I$263,4,0))</f>
        <v>24</v>
      </c>
      <c r="GI63" s="16">
        <f>IF(ISNA(VLOOKUP(A63,'Données projet'!$A$243:$I$263,5,0)),0%,VLOOKUP(A63,'Données projet'!$A$243:$I$263,5,0)*VLOOKUP('Données projet'!$B$17,Paramètres!$A$1:$I$89,7,0))</f>
        <v>0.215</v>
      </c>
      <c r="GJ63" s="16">
        <f>IF(ISNA(VLOOKUP(A63,'Données projet'!$A$243:$I$263,6,0)),0%,VLOOKUP(A63,'Données projet'!$A$243:$I$263,6,0)*VLOOKUP('Données projet'!$B$17,Paramètres!$A$1:$I$89,7,0))</f>
        <v>0.17200000000000001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20.855871363445164</v>
      </c>
      <c r="GM63" s="21">
        <f>EXP(-LN(2)/25)*GM62+(1-EXP(-LN(2)/25))/(LN(2)/25)*Calculateur!GH63*Calculateur!GJ63*VLOOKUP('Données projet'!$B$17,Paramètres!$A$1:$I$89,3,0)*0.475*44/12</f>
        <v>23.63708871938184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44.492960082827004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15.286813191428573</v>
      </c>
      <c r="N64" s="13">
        <f>IF('Données projet'!$A$36&gt;35,N63+M64-V63,IF(A64&lt;'Données projet'!$A$36,$K$205^A64,IF(A64='Données projet'!$A$36,'Données projet'!$B$36,N63+M64-V63)))</f>
        <v>455.79780220857157</v>
      </c>
      <c r="O64" s="13">
        <f>N64*VLOOKUP('Données projet'!$B$9,Paramètres!$A$1:$I$89,3,0)*VLOOKUP('Données projet'!$B$9,Paramètres!$A$1:$I$89,5,0)</f>
        <v>219.23874286232294</v>
      </c>
      <c r="P64" s="13">
        <f t="shared" si="33"/>
        <v>53.94939687935927</v>
      </c>
      <c r="Q64" s="20">
        <f t="shared" si="53"/>
        <v>475.80267671676319</v>
      </c>
      <c r="R64" s="59">
        <f t="shared" si="0"/>
        <v>769.1360100500965</v>
      </c>
      <c r="S64" s="59">
        <f ca="1">AVERAGE(OFFSET($R$3,0,0,'Données projet'!$E$9+1,1))-AVERAGE(OFFSET($H$3,0,0,'Données projet'!$E$9+1,1))</f>
        <v>226.41956082453015</v>
      </c>
      <c r="T64" s="59">
        <f t="shared" si="34"/>
        <v>317.95076157570446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9.7393162477777775</v>
      </c>
      <c r="AI64" s="13">
        <f>IF('Données projet'!$A$62&gt;35,AI63+AH64-AQ63,IF(A64&lt;'Données projet'!$A$62,$AF$205^A64,IF(A64='Données projet'!$A$62,'Données projet'!$B$62,AI63+AH64-AQ63)))</f>
        <v>224.93803420444459</v>
      </c>
      <c r="AJ64" s="13">
        <f>AI64*VLOOKUP('Données projet'!$B$10,Paramètres!$A$1:$I$89,3,0)*VLOOKUP('Données projet'!$B$10,Paramètres!$A$1:$I$89,5,0)</f>
        <v>192.99683334741349</v>
      </c>
      <c r="AK64" s="13">
        <f t="shared" si="35"/>
        <v>48.201905482501452</v>
      </c>
      <c r="AL64" s="20">
        <f t="shared" si="4"/>
        <v>420.08780346210182</v>
      </c>
      <c r="AM64" s="59">
        <f t="shared" si="5"/>
        <v>713.42113679543513</v>
      </c>
      <c r="AN64" s="59">
        <f ca="1">AVERAGE(OFFSET($AM$3,0,0,'Données projet'!$E$10+1,1))-AVERAGE(OFFSET($H$3,0,0,'Données projet'!$E$10+1,1))</f>
        <v>257.80662231827404</v>
      </c>
      <c r="AO64" s="59">
        <f t="shared" si="36"/>
        <v>184.04558520039876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-4.5474735088646412E-13</v>
      </c>
      <c r="BE64" s="13">
        <f>BD64*VLOOKUP('Données projet'!$B$11,Paramètres!$A$1:$I$89,3,0)*VLOOKUP('Données projet'!$B$11,Paramètres!$A$1:$I$89,5,0)</f>
        <v>-2.5420376914553347E-13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300.90952915835157</v>
      </c>
      <c r="BJ64" s="59">
        <f t="shared" si="38"/>
        <v>402.81783992925256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201.26309694968228</v>
      </c>
      <c r="BQ64" s="21">
        <f>EXP(-LN(2)/25)*BQ63+(1-EXP(-LN(2)/25))/(LN(2)/25)*Calculateur!BL64*Calculateur!BN64*VLOOKUP('Données projet'!$B$11,Paramètres!$A$1:$I$89,3,0)*0.475*44/12</f>
        <v>49.30277695795958</v>
      </c>
      <c r="BR64" s="21">
        <f>EXP(-LN(2)/2)*BR63+(1-EXP(-LN(2)/2))/(LN(2)/2)*BL64*BO64*VLOOKUP('Données projet'!$B$11,Paramètres!$A$1:$I$89,3,0)*0.475*44/12</f>
        <v>4.2054636596821044</v>
      </c>
      <c r="BS64" s="22">
        <f t="shared" si="9"/>
        <v>254.77133756732394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16.8980769275</v>
      </c>
      <c r="BY64" s="12">
        <f>IF('Données projet'!$A$114&gt;35,BY63+BX64-CG63,IF(A64&lt;'Données projet'!$A$114,$BV$205^A64,IF(A64='Données projet'!$A$114,'Données projet'!$B$114,BY63+BX64-CG63)))</f>
        <v>320.67307693499993</v>
      </c>
      <c r="BZ64" s="13">
        <f>BY64*VLOOKUP('Données projet'!$B$12,Paramètres!$A$1:$I$89,3,0)*VLOOKUP('Données projet'!$B$12,Paramètres!$A$1:$I$89,5,0)</f>
        <v>158.41250000588997</v>
      </c>
      <c r="CA64" s="13">
        <f t="shared" si="39"/>
        <v>40.484242818532429</v>
      </c>
      <c r="CB64" s="20">
        <f t="shared" si="10"/>
        <v>346.41182708586899</v>
      </c>
      <c r="CC64" s="59">
        <f t="shared" si="11"/>
        <v>639.74516041920231</v>
      </c>
      <c r="CD64" s="59">
        <f ca="1">AVERAGE(OFFSET($CC$3,0,0,'Données projet'!$E$12+1,1))-AVERAGE(OFFSET($H$3,0,0,'Données projet'!$E$12+1,1))</f>
        <v>246.05217890269194</v>
      </c>
      <c r="CE64" s="59">
        <f t="shared" si="40"/>
        <v>155.54297071424327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38.718274954360382</v>
      </c>
      <c r="CL64" s="21">
        <f>EXP(-LN(2)/25)*CL63+(1-EXP(-LN(2)/25))/(LN(2)/25)*Calculateur!CG64*Calculateur!CI64*VLOOKUP('Données projet'!$B$12,Paramètres!$A$1:$I$89,3,0)*0.475*44/12</f>
        <v>27.885617359323863</v>
      </c>
      <c r="CM64" s="21">
        <f>EXP(-LN(2)/2)*CM63+(1-EXP(-LN(2)/2))/(LN(2)/2)*CG64*CJ64*VLOOKUP('Données projet'!$B$12,Paramètres!$A$1:$I$89,3,0)*0.475*44/12</f>
        <v>3.7976962755786698</v>
      </c>
      <c r="CN64" s="22">
        <f t="shared" si="12"/>
        <v>70.401588589262914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9.1830769260000018</v>
      </c>
      <c r="CT64" s="12">
        <f>IF('Données projet'!$A$140&gt;35,CT63+CS64-DB63,IF(A64&lt;'Données projet'!$A$140,$CQ$205^A64,IF(A64='Données projet'!$A$140,'Données projet'!$B$140,CT63+CS64-DB63)))</f>
        <v>297.34461536599986</v>
      </c>
      <c r="CU64" s="17">
        <f>CT64*VLOOKUP('Données projet'!$B$13,Paramètres!$A$1:$I$89,3,0)*VLOOKUP('Données projet'!$B$13,Paramètres!$A$1:$I$89,5,0)</f>
        <v>177.81207998886791</v>
      </c>
      <c r="CV64" s="13">
        <f t="shared" si="41"/>
        <v>44.835068350586702</v>
      </c>
      <c r="CW64" s="20">
        <f t="shared" si="13"/>
        <v>387.7771166912168</v>
      </c>
      <c r="CX64" s="59">
        <f t="shared" si="14"/>
        <v>681.11045002455012</v>
      </c>
      <c r="CY64" s="59">
        <f ca="1">AVERAGE(OFFSET($CX$3,0,0,'Données projet'!$E$13+1,1))-AVERAGE(OFFSET($H$3,0,0,'Données projet'!$E$13+1,1))</f>
        <v>237.036496933921</v>
      </c>
      <c r="CZ64" s="59">
        <f t="shared" si="42"/>
        <v>191.04289413665344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44.827989272899615</v>
      </c>
      <c r="DG64" s="21">
        <f>EXP(-LN(2)/25)*DG63+(1-EXP(-LN(2)/25))/(LN(2)/25)*Calculateur!DB64*Calculateur!DD64*VLOOKUP('Données projet'!$B$13,Paramètres!$A$1:$I$89,3,0)*0.475*44/12</f>
        <v>13.258502902968084</v>
      </c>
      <c r="DH64" s="21">
        <f>EXP(-LN(2)/2)*DH63+(1-EXP(-LN(2)/2))/(LN(2)/2)*DB64*DE64*VLOOKUP('Données projet'!$B$13,Paramètres!$A$1:$I$89,3,0)*0.475*44/12</f>
        <v>3.4900481921919364</v>
      </c>
      <c r="DI64" s="22">
        <f t="shared" si="15"/>
        <v>61.576540368059632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5.7112820500000021</v>
      </c>
      <c r="DO64" s="12">
        <f>IF('Données projet'!$A$166&gt;35,DO63+DN64-DW63,IF(A64&lt;'Données projet'!$A$166,$DL$205^A64,IF(A64='Données projet'!$A$166,'Données projet'!$B$166,DO63+DN64-DW63)))</f>
        <v>157.06512819999989</v>
      </c>
      <c r="DP64" s="17">
        <f>DO64*VLOOKUP('Données projet'!$B$14,Paramètres!$A$1:$I$89,3,0)*VLOOKUP('Données projet'!$B$14,Paramètres!$A$1:$I$89,5,0)</f>
        <v>93.924946663599954</v>
      </c>
      <c r="DQ64" s="13">
        <f t="shared" si="43"/>
        <v>25.50946312978423</v>
      </c>
      <c r="DR64" s="20">
        <f t="shared" si="16"/>
        <v>208.01493039014414</v>
      </c>
      <c r="DS64" s="59">
        <f t="shared" si="17"/>
        <v>501.34826372347743</v>
      </c>
      <c r="DT64" s="59">
        <f ca="1">AVERAGE(OFFSET($DS$3,0,0,'Données projet'!$E$14+1,1))-AVERAGE(OFFSET($H$3,0,0,'Données projet'!$E$14+1,1))</f>
        <v>148.22129593028302</v>
      </c>
      <c r="DU64" s="59">
        <f t="shared" si="44"/>
        <v>102.97015482019975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209.10863999999989</v>
      </c>
      <c r="EL64" s="13">
        <f t="shared" si="45"/>
        <v>51.740752917407036</v>
      </c>
      <c r="EM64" s="20">
        <f t="shared" si="19"/>
        <v>454.31269266448368</v>
      </c>
      <c r="EN64" s="59">
        <f t="shared" si="20"/>
        <v>747.64602599781699</v>
      </c>
      <c r="EO64" s="59">
        <f ca="1">AVERAGE(OFFSET($EN$3,0,0,'Données projet'!$E$15+1,1))-AVERAGE(OFFSET($H$3,0,0,'Données projet'!$E$15+1,1))</f>
        <v>278.53123771916404</v>
      </c>
      <c r="EP64" s="59">
        <f t="shared" si="46"/>
        <v>283.79094702030869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29.122843767896189</v>
      </c>
      <c r="EW64" s="21">
        <f>EXP(-LN(2)/25)*EW63+(1-EXP(-LN(2)/25))/(LN(2)/25)*Calculateur!ER64*Calculateur!ET64*VLOOKUP('Données projet'!$B$15,Paramètres!$A$1:$I$89,3,0)*0.475*44/12</f>
        <v>8.5685942763000948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37.691438044196282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6.9975961538461569</v>
      </c>
      <c r="FE64" s="12">
        <f>IF('Données projet'!$A$218&gt;35,FE63+FD64-FM63,IF(A64&lt;'Données projet'!$A$218,$FB$205^A64,IF(A64='Données projet'!$A$218,'Données projet'!$B$218,FE63+FD64-FM63)))</f>
        <v>173.09535256410268</v>
      </c>
      <c r="FF64" s="17">
        <f>FE64*VLOOKUP('Données projet'!$B$16,Paramètres!$A$1:$I$89,3,0)*VLOOKUP('Données projet'!$B$16,Paramètres!$A$1:$I$89,5,0)</f>
        <v>156.6166750000001</v>
      </c>
      <c r="FG64" s="13">
        <f t="shared" si="47"/>
        <v>40.078450376926597</v>
      </c>
      <c r="FH64" s="20">
        <f t="shared" si="22"/>
        <v>342.57734336481394</v>
      </c>
      <c r="FI64" s="59">
        <f t="shared" si="23"/>
        <v>635.9106766981472</v>
      </c>
      <c r="FJ64" s="59">
        <f ca="1">AVERAGE(OFFSET($FI$3,0,0,'Données projet'!$E$16+1,1))-AVERAGE(OFFSET($H$3,0,0,'Données projet'!$E$16+1,1))</f>
        <v>335.99493768537013</v>
      </c>
      <c r="FK64" s="59">
        <f t="shared" si="48"/>
        <v>150.85164849522778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6</v>
      </c>
      <c r="FZ64" s="12">
        <f>IF('Données projet'!$A$244&gt;35,FZ63+FY64-GH63,IF(A64&lt;'Données projet'!$A$244,$FW$205^A64,IF(A64='Données projet'!$A$244,'Données projet'!$B$244,FZ63+FY64-GH63)))</f>
        <v>228.00000000000009</v>
      </c>
      <c r="GA64" s="17">
        <f>FZ64*VLOOKUP('Données projet'!$B$17,Paramètres!$A$1:$I$89,3,0)*VLOOKUP('Données projet'!$B$17,Paramètres!$A$1:$I$89,5,0)</f>
        <v>199.18080000000012</v>
      </c>
      <c r="GB64" s="13">
        <f t="shared" si="49"/>
        <v>49.564089376413726</v>
      </c>
      <c r="GC64" s="20">
        <f t="shared" si="25"/>
        <v>433.2306823305874</v>
      </c>
      <c r="GD64" s="59">
        <f t="shared" si="26"/>
        <v>726.56401566392071</v>
      </c>
      <c r="GE64" s="59">
        <f ca="1">AVERAGE(OFFSET($GD$3,0,0,'Données projet'!$E$17+1,1))-AVERAGE(OFFSET($H$3,0,0,'Données projet'!$E$17+1,1))</f>
        <v>319.57811113658374</v>
      </c>
      <c r="GF64" s="59">
        <f t="shared" si="50"/>
        <v>322.03572137403245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20.44690044683346</v>
      </c>
      <c r="GM64" s="21">
        <f>EXP(-LN(2)/25)*GM63+(1-EXP(-LN(2)/25))/(LN(2)/25)*Calculateur!GH64*Calculateur!GJ64*VLOOKUP('Données projet'!$B$17,Paramètres!$A$1:$I$89,3,0)*0.475*44/12</f>
        <v>22.990731285329872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43.437631732163332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471.08461540000002</v>
      </c>
      <c r="L65" s="12">
        <f>VLOOKUP(A65,'Données projet'!$A$35:$I$55,9,0)</f>
        <v>15.286813191428573</v>
      </c>
      <c r="M65" s="12">
        <f t="array" ref="M65">INDEX(L:L,MIN(IF(ISNUMBER(L65:L261),ROW(L65:L261),"")))</f>
        <v>15.286813191428573</v>
      </c>
      <c r="N65" s="13">
        <f>IF('Données projet'!$A$36&gt;35,N64+M65-V64,IF(A65&lt;'Données projet'!$A$36,$K$205^A65,IF(A65='Données projet'!$A$36,'Données projet'!$B$36,N64+M65-V64)))</f>
        <v>471.08461540000013</v>
      </c>
      <c r="O65" s="13">
        <f>N65*VLOOKUP('Données projet'!$B$9,Paramètres!$A$1:$I$89,3,0)*VLOOKUP('Données projet'!$B$9,Paramètres!$A$1:$I$89,5,0)</f>
        <v>226.59170000740008</v>
      </c>
      <c r="P65" s="13">
        <f t="shared" si="33"/>
        <v>55.545088269294354</v>
      </c>
      <c r="Q65" s="20">
        <f t="shared" si="53"/>
        <v>491.38823958190954</v>
      </c>
      <c r="R65" s="59">
        <f t="shared" si="0"/>
        <v>784.72157291524286</v>
      </c>
      <c r="S65" s="59">
        <f ca="1">AVERAGE(OFFSET($R$3,0,0,'Données projet'!$E$9+1,1))-AVERAGE(OFFSET($H$3,0,0,'Données projet'!$E$9+1,1))</f>
        <v>226.41956082453015</v>
      </c>
      <c r="T65" s="59">
        <f t="shared" si="34"/>
        <v>317.95076157570446</v>
      </c>
      <c r="U65" s="15">
        <f>IF(ISNA(VLOOKUP(A65,'Données projet'!$A$35:$I$55,3,0)),0,VLOOKUP(A65,'Données projet'!$A$35:$I$55,3,0))</f>
        <v>7</v>
      </c>
      <c r="V65" s="15">
        <f>IF(ISNA(VLOOKUP(A65,'Données projet'!$A$35:$I$55,4,0)),0,VLOOKUP(A65,'Données projet'!$A$35:$I$55,4,0))</f>
        <v>471.08461540000002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9.7393162477777775</v>
      </c>
      <c r="AI65" s="13">
        <f>IF('Données projet'!$A$62&gt;35,AI64+AH65-AQ64,IF(A65&lt;'Données projet'!$A$62,$AF$205^A65,IF(A65='Données projet'!$A$62,'Données projet'!$B$62,AI64+AH65-AQ64)))</f>
        <v>234.67735045222236</v>
      </c>
      <c r="AJ65" s="13">
        <f>AI65*VLOOKUP('Données projet'!$B$10,Paramètres!$A$1:$I$89,3,0)*VLOOKUP('Données projet'!$B$10,Paramètres!$A$1:$I$89,5,0)</f>
        <v>201.35316668800678</v>
      </c>
      <c r="AK65" s="13">
        <f t="shared" si="35"/>
        <v>50.041435999140788</v>
      </c>
      <c r="AL65" s="20">
        <f t="shared" si="4"/>
        <v>437.8455996801153</v>
      </c>
      <c r="AM65" s="59">
        <f t="shared" si="5"/>
        <v>731.17893301344861</v>
      </c>
      <c r="AN65" s="59">
        <f ca="1">AVERAGE(OFFSET($AM$3,0,0,'Données projet'!$E$10+1,1))-AVERAGE(OFFSET($H$3,0,0,'Données projet'!$E$10+1,1))</f>
        <v>257.80662231827404</v>
      </c>
      <c r="AO65" s="59">
        <f t="shared" si="36"/>
        <v>184.04558520039876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-4.5474735088646412E-13</v>
      </c>
      <c r="BE65" s="13">
        <f>BD65*VLOOKUP('Données projet'!$B$11,Paramètres!$A$1:$I$89,3,0)*VLOOKUP('Données projet'!$B$11,Paramètres!$A$1:$I$89,5,0)</f>
        <v>-2.5420376914553347E-13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300.90952915835157</v>
      </c>
      <c r="BJ65" s="59">
        <f t="shared" si="38"/>
        <v>402.81783992925256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197.31645037686675</v>
      </c>
      <c r="BQ65" s="21">
        <f>EXP(-LN(2)/25)*BQ64+(1-EXP(-LN(2)/25))/(LN(2)/25)*Calculateur!BL65*Calculateur!BN65*VLOOKUP('Données projet'!$B$11,Paramètres!$A$1:$I$89,3,0)*0.475*44/12</f>
        <v>47.954589929323816</v>
      </c>
      <c r="BR65" s="21">
        <f>EXP(-LN(2)/2)*BR64+(1-EXP(-LN(2)/2))/(LN(2)/2)*BL65*BO65*VLOOKUP('Données projet'!$B$11,Paramètres!$A$1:$I$89,3,0)*0.475*44/12</f>
        <v>2.9737118717948112</v>
      </c>
      <c r="BS65" s="22">
        <f t="shared" si="9"/>
        <v>248.24475217798539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16.8980769275</v>
      </c>
      <c r="BY65" s="12">
        <f>IF('Données projet'!$A$114&gt;35,BY64+BX65-CG64,IF(A65&lt;'Données projet'!$A$114,$BV$205^A65,IF(A65='Données projet'!$A$114,'Données projet'!$B$114,BY64+BX65-CG64)))</f>
        <v>337.57115386249995</v>
      </c>
      <c r="BZ65" s="13">
        <f>BY65*VLOOKUP('Données projet'!$B$12,Paramètres!$A$1:$I$89,3,0)*VLOOKUP('Données projet'!$B$12,Paramètres!$A$1:$I$89,5,0)</f>
        <v>166.76015000807499</v>
      </c>
      <c r="CA65" s="13">
        <f t="shared" si="39"/>
        <v>42.363594360620034</v>
      </c>
      <c r="CB65" s="20">
        <f t="shared" si="10"/>
        <v>364.22385477547709</v>
      </c>
      <c r="CC65" s="59">
        <f t="shared" si="11"/>
        <v>657.55718810881035</v>
      </c>
      <c r="CD65" s="59">
        <f ca="1">AVERAGE(OFFSET($CC$3,0,0,'Données projet'!$E$12+1,1))-AVERAGE(OFFSET($H$3,0,0,'Données projet'!$E$12+1,1))</f>
        <v>246.05217890269194</v>
      </c>
      <c r="CE65" s="59">
        <f t="shared" si="40"/>
        <v>155.54297071424327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37.959033198321229</v>
      </c>
      <c r="CL65" s="21">
        <f>EXP(-LN(2)/25)*CL64+(1-EXP(-LN(2)/25))/(LN(2)/25)*Calculateur!CG65*Calculateur!CI65*VLOOKUP('Données projet'!$B$12,Paramètres!$A$1:$I$89,3,0)*0.475*44/12</f>
        <v>27.123083686192267</v>
      </c>
      <c r="CM65" s="21">
        <f>EXP(-LN(2)/2)*CM64+(1-EXP(-LN(2)/2))/(LN(2)/2)*CG65*CJ65*VLOOKUP('Données projet'!$B$12,Paramètres!$A$1:$I$89,3,0)*0.475*44/12</f>
        <v>2.6853767893485734</v>
      </c>
      <c r="CN65" s="22">
        <f t="shared" si="12"/>
        <v>67.767493673862063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9.1830769260000018</v>
      </c>
      <c r="CT65" s="12">
        <f>IF('Données projet'!$A$140&gt;35,CT64+CS65-DB64,IF(A65&lt;'Données projet'!$A$140,$CQ$205^A65,IF(A65='Données projet'!$A$140,'Données projet'!$B$140,CT64+CS65-DB64)))</f>
        <v>306.52769229199987</v>
      </c>
      <c r="CU65" s="17">
        <f>CT65*VLOOKUP('Données projet'!$B$13,Paramètres!$A$1:$I$89,3,0)*VLOOKUP('Données projet'!$B$13,Paramètres!$A$1:$I$89,5,0)</f>
        <v>183.30355999061592</v>
      </c>
      <c r="CV65" s="13">
        <f t="shared" si="41"/>
        <v>46.056387639410666</v>
      </c>
      <c r="CW65" s="20">
        <f t="shared" si="13"/>
        <v>399.46857545562966</v>
      </c>
      <c r="CX65" s="59">
        <f t="shared" si="14"/>
        <v>692.80190878896292</v>
      </c>
      <c r="CY65" s="59">
        <f ca="1">AVERAGE(OFFSET($CX$3,0,0,'Données projet'!$E$13+1,1))-AVERAGE(OFFSET($H$3,0,0,'Données projet'!$E$13+1,1))</f>
        <v>237.036496933921</v>
      </c>
      <c r="CZ65" s="59">
        <f t="shared" si="42"/>
        <v>191.04289413665344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43.948939745631677</v>
      </c>
      <c r="DG65" s="21">
        <f>EXP(-LN(2)/25)*DG64+(1-EXP(-LN(2)/25))/(LN(2)/25)*Calculateur!DB65*Calculateur!DD65*VLOOKUP('Données projet'!$B$13,Paramètres!$A$1:$I$89,3,0)*0.475*44/12</f>
        <v>12.895948443852058</v>
      </c>
      <c r="DH65" s="21">
        <f>EXP(-LN(2)/2)*DH64+(1-EXP(-LN(2)/2))/(LN(2)/2)*DB65*DE65*VLOOKUP('Données projet'!$B$13,Paramètres!$A$1:$I$89,3,0)*0.475*44/12</f>
        <v>2.4678367433667696</v>
      </c>
      <c r="DI65" s="22">
        <f t="shared" si="15"/>
        <v>59.3127249328505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5.7112820500000021</v>
      </c>
      <c r="DO65" s="12">
        <f>IF('Données projet'!$A$166&gt;35,DO64+DN65-DW64,IF(A65&lt;'Données projet'!$A$166,$DL$205^A65,IF(A65='Données projet'!$A$166,'Données projet'!$B$166,DO64+DN65-DW64)))</f>
        <v>162.77641024999988</v>
      </c>
      <c r="DP65" s="17">
        <f>DO65*VLOOKUP('Données projet'!$B$14,Paramètres!$A$1:$I$89,3,0)*VLOOKUP('Données projet'!$B$14,Paramètres!$A$1:$I$89,5,0)</f>
        <v>97.340293329499929</v>
      </c>
      <c r="DQ65" s="13">
        <f t="shared" si="43"/>
        <v>26.327368423456729</v>
      </c>
      <c r="DR65" s="20">
        <f t="shared" si="16"/>
        <v>215.38784421973284</v>
      </c>
      <c r="DS65" s="59">
        <f t="shared" si="17"/>
        <v>508.72117755306613</v>
      </c>
      <c r="DT65" s="59">
        <f ca="1">AVERAGE(OFFSET($DS$3,0,0,'Données projet'!$E$14+1,1))-AVERAGE(OFFSET($H$3,0,0,'Données projet'!$E$14+1,1))</f>
        <v>148.22129593028302</v>
      </c>
      <c r="DU65" s="59">
        <f t="shared" si="44"/>
        <v>102.97015482019975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212.92127999999988</v>
      </c>
      <c r="EL65" s="13">
        <f t="shared" si="45"/>
        <v>52.57344469809297</v>
      </c>
      <c r="EM65" s="20">
        <f t="shared" si="19"/>
        <v>462.40331218251168</v>
      </c>
      <c r="EN65" s="59">
        <f t="shared" si="20"/>
        <v>755.736645515845</v>
      </c>
      <c r="EO65" s="59">
        <f ca="1">AVERAGE(OFFSET($EN$3,0,0,'Données projet'!$E$15+1,1))-AVERAGE(OFFSET($H$3,0,0,'Données projet'!$E$15+1,1))</f>
        <v>278.53123771916404</v>
      </c>
      <c r="EP65" s="59">
        <f t="shared" si="46"/>
        <v>283.79094702030869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28.551762564788476</v>
      </c>
      <c r="EW65" s="21">
        <f>EXP(-LN(2)/25)*EW64+(1-EXP(-LN(2)/25))/(LN(2)/25)*Calculateur!ER65*Calculateur!ET65*VLOOKUP('Données projet'!$B$15,Paramètres!$A$1:$I$89,3,0)*0.475*44/12</f>
        <v>8.3342856152118792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36.886048180000358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6.9975961538461569</v>
      </c>
      <c r="FE65" s="12">
        <f>IF('Données projet'!$A$218&gt;35,FE64+FD65-FM64,IF(A65&lt;'Données projet'!$A$218,$FB$205^A65,IF(A65='Données projet'!$A$218,'Données projet'!$B$218,FE64+FD65-FM64)))</f>
        <v>180.09294871794884</v>
      </c>
      <c r="FF65" s="17">
        <f>FE65*VLOOKUP('Données projet'!$B$16,Paramètres!$A$1:$I$89,3,0)*VLOOKUP('Données projet'!$B$16,Paramètres!$A$1:$I$89,5,0)</f>
        <v>162.94810000000012</v>
      </c>
      <c r="FG65" s="13">
        <f t="shared" si="47"/>
        <v>41.506759357421522</v>
      </c>
      <c r="FH65" s="20">
        <f t="shared" si="22"/>
        <v>356.09221338084268</v>
      </c>
      <c r="FI65" s="59">
        <f t="shared" si="23"/>
        <v>649.42554671417599</v>
      </c>
      <c r="FJ65" s="59">
        <f ca="1">AVERAGE(OFFSET($FI$3,0,0,'Données projet'!$E$16+1,1))-AVERAGE(OFFSET($H$3,0,0,'Données projet'!$E$16+1,1))</f>
        <v>335.99493768537013</v>
      </c>
      <c r="FK65" s="59">
        <f t="shared" si="48"/>
        <v>150.85164849522778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6</v>
      </c>
      <c r="FZ65" s="12">
        <f>IF('Données projet'!$A$244&gt;35,FZ64+FY65-GH64,IF(A65&lt;'Données projet'!$A$244,$FW$205^A65,IF(A65='Données projet'!$A$244,'Données projet'!$B$244,FZ64+FY65-GH64)))</f>
        <v>234.00000000000009</v>
      </c>
      <c r="GA65" s="17">
        <f>FZ65*VLOOKUP('Données projet'!$B$17,Paramètres!$A$1:$I$89,3,0)*VLOOKUP('Données projet'!$B$17,Paramètres!$A$1:$I$89,5,0)</f>
        <v>204.4224000000001</v>
      </c>
      <c r="GB65" s="13">
        <f t="shared" si="49"/>
        <v>50.714836797527312</v>
      </c>
      <c r="GC65" s="20">
        <f t="shared" si="25"/>
        <v>444.3640207556935</v>
      </c>
      <c r="GD65" s="59">
        <f t="shared" si="26"/>
        <v>737.69735408902682</v>
      </c>
      <c r="GE65" s="59">
        <f ca="1">AVERAGE(OFFSET($GD$3,0,0,'Données projet'!$E$17+1,1))-AVERAGE(OFFSET($H$3,0,0,'Données projet'!$E$17+1,1))</f>
        <v>319.57811113658374</v>
      </c>
      <c r="GF65" s="59">
        <f t="shared" si="50"/>
        <v>322.03572137403245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20.045949200448881</v>
      </c>
      <c r="GM65" s="21">
        <f>EXP(-LN(2)/25)*GM64+(1-EXP(-LN(2)/25))/(LN(2)/25)*Calculateur!GH65*Calculateur!GJ65*VLOOKUP('Données projet'!$B$17,Paramètres!$A$1:$I$89,3,0)*0.475*44/12</f>
        <v>22.362048529302513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42.407997729751393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5.4683368944097308E-14</v>
      </c>
      <c r="P66" s="13">
        <f t="shared" si="33"/>
        <v>8.8129432816788268E-13</v>
      </c>
      <c r="Q66" s="20">
        <f t="shared" si="53"/>
        <v>1.6301611558033651E-12</v>
      </c>
      <c r="R66" s="59">
        <f t="shared" si="0"/>
        <v>293.33333333333496</v>
      </c>
      <c r="S66" s="59">
        <f ca="1">AVERAGE(OFFSET($R$3,0,0,'Données projet'!$E$9+1,1))-AVERAGE(OFFSET($H$3,0,0,'Données projet'!$E$9+1,1))</f>
        <v>226.41956082453015</v>
      </c>
      <c r="T66" s="59">
        <f t="shared" si="34"/>
        <v>317.95076157570446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244.41666670000001</v>
      </c>
      <c r="AG66" s="12">
        <f>VLOOKUP(A66,'Données projet'!$A$61:$I$81,9,0)</f>
        <v>9.7393162477777775</v>
      </c>
      <c r="AH66" s="12">
        <f t="array" ref="AH66">INDEX(AG:AG,MIN(IF(ISNUMBER(AG66:AG262),ROW(AG66:AG262),"")))</f>
        <v>9.7393162477777775</v>
      </c>
      <c r="AI66" s="13">
        <f>IF('Données projet'!$A$62&gt;35,AI65+AH66-AQ65,IF(A66&lt;'Données projet'!$A$62,$AF$205^A66,IF(A66='Données projet'!$A$62,'Données projet'!$B$62,AI65+AH66-AQ65)))</f>
        <v>244.41666670000012</v>
      </c>
      <c r="AJ66" s="13">
        <f>AI66*VLOOKUP('Données projet'!$B$10,Paramètres!$A$1:$I$89,3,0)*VLOOKUP('Données projet'!$B$10,Paramètres!$A$1:$I$89,5,0)</f>
        <v>209.7095000286001</v>
      </c>
      <c r="AK66" s="13">
        <f t="shared" si="35"/>
        <v>51.872099032145009</v>
      </c>
      <c r="AL66" s="20">
        <f t="shared" si="4"/>
        <v>455.5879516974644</v>
      </c>
      <c r="AM66" s="59">
        <f t="shared" si="5"/>
        <v>748.92128503079766</v>
      </c>
      <c r="AN66" s="59">
        <f ca="1">AVERAGE(OFFSET($AM$3,0,0,'Données projet'!$E$10+1,1))-AVERAGE(OFFSET($H$3,0,0,'Données projet'!$E$10+1,1))</f>
        <v>257.80662231827404</v>
      </c>
      <c r="AO66" s="59">
        <f t="shared" si="36"/>
        <v>184.04558520039876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64.628205129999998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-4.5474735088646412E-13</v>
      </c>
      <c r="BE66" s="13">
        <f>BD66*VLOOKUP('Données projet'!$B$11,Paramètres!$A$1:$I$89,3,0)*VLOOKUP('Données projet'!$B$11,Paramètres!$A$1:$I$89,5,0)</f>
        <v>-2.5420376914553347E-13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300.90952915835157</v>
      </c>
      <c r="BJ66" s="59">
        <f t="shared" si="38"/>
        <v>402.81783992925256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193.44719513612745</v>
      </c>
      <c r="BQ66" s="21">
        <f>EXP(-LN(2)/25)*BQ65+(1-EXP(-LN(2)/25))/(LN(2)/25)*Calculateur!BL66*Calculateur!BN66*VLOOKUP('Données projet'!$B$11,Paramètres!$A$1:$I$89,3,0)*0.475*44/12</f>
        <v>46.643269145884176</v>
      </c>
      <c r="BR66" s="21">
        <f>EXP(-LN(2)/2)*BR65+(1-EXP(-LN(2)/2))/(LN(2)/2)*BL66*BO66*VLOOKUP('Données projet'!$B$11,Paramètres!$A$1:$I$89,3,0)*0.475*44/12</f>
        <v>2.1027318298410522</v>
      </c>
      <c r="BS66" s="22">
        <f t="shared" si="9"/>
        <v>242.19319611185267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16.8980769275</v>
      </c>
      <c r="BY66" s="12">
        <f>IF('Données projet'!$A$114&gt;35,BY65+BX66-CG65,IF(A66&lt;'Données projet'!$A$114,$BV$205^A66,IF(A66='Données projet'!$A$114,'Données projet'!$B$114,BY65+BX66-CG65)))</f>
        <v>354.46923078999998</v>
      </c>
      <c r="BZ66" s="13">
        <f>BY66*VLOOKUP('Données projet'!$B$12,Paramètres!$A$1:$I$89,3,0)*VLOOKUP('Données projet'!$B$12,Paramètres!$A$1:$I$89,5,0)</f>
        <v>175.10780001026001</v>
      </c>
      <c r="CA66" s="13">
        <f t="shared" si="39"/>
        <v>44.232022452173766</v>
      </c>
      <c r="CB66" s="20">
        <f t="shared" si="10"/>
        <v>382.0168574554055</v>
      </c>
      <c r="CC66" s="59">
        <f t="shared" si="11"/>
        <v>675.35019078873881</v>
      </c>
      <c r="CD66" s="59">
        <f ca="1">AVERAGE(OFFSET($CC$3,0,0,'Données projet'!$E$12+1,1))-AVERAGE(OFFSET($H$3,0,0,'Données projet'!$E$12+1,1))</f>
        <v>246.05217890269194</v>
      </c>
      <c r="CE66" s="59">
        <f t="shared" si="40"/>
        <v>155.54297071424327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37.21467971002626</v>
      </c>
      <c r="CL66" s="21">
        <f>EXP(-LN(2)/25)*CL65+(1-EXP(-LN(2)/25))/(LN(2)/25)*Calculateur!CG66*Calculateur!CI66*VLOOKUP('Données projet'!$B$12,Paramètres!$A$1:$I$89,3,0)*0.475*44/12</f>
        <v>26.381401536452358</v>
      </c>
      <c r="CM66" s="21">
        <f>EXP(-LN(2)/2)*CM65+(1-EXP(-LN(2)/2))/(LN(2)/2)*CG66*CJ66*VLOOKUP('Données projet'!$B$12,Paramètres!$A$1:$I$89,3,0)*0.475*44/12</f>
        <v>1.8988481377893354</v>
      </c>
      <c r="CN66" s="22">
        <f t="shared" si="12"/>
        <v>65.494929384267948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9.1830769260000018</v>
      </c>
      <c r="CT66" s="12">
        <f>IF('Données projet'!$A$140&gt;35,CT65+CS66-DB65,IF(A66&lt;'Données projet'!$A$140,$CQ$205^A66,IF(A66='Données projet'!$A$140,'Données projet'!$B$140,CT65+CS66-DB65)))</f>
        <v>315.71076921799988</v>
      </c>
      <c r="CU66" s="17">
        <f>CT66*VLOOKUP('Données projet'!$B$13,Paramètres!$A$1:$I$89,3,0)*VLOOKUP('Données projet'!$B$13,Paramètres!$A$1:$I$89,5,0)</f>
        <v>188.79503999236394</v>
      </c>
      <c r="CV66" s="13">
        <f t="shared" si="41"/>
        <v>47.273454741367395</v>
      </c>
      <c r="CW66" s="20">
        <f t="shared" si="13"/>
        <v>411.15262832791541</v>
      </c>
      <c r="CX66" s="59">
        <f t="shared" si="14"/>
        <v>704.48596166124867</v>
      </c>
      <c r="CY66" s="59">
        <f ca="1">AVERAGE(OFFSET($CX$3,0,0,'Données projet'!$E$13+1,1))-AVERAGE(OFFSET($H$3,0,0,'Données projet'!$E$13+1,1))</f>
        <v>237.036496933921</v>
      </c>
      <c r="CZ66" s="59">
        <f t="shared" si="42"/>
        <v>191.04289413665344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43.087127843426188</v>
      </c>
      <c r="DG66" s="21">
        <f>EXP(-LN(2)/25)*DG65+(1-EXP(-LN(2)/25))/(LN(2)/25)*Calculateur!DB66*Calculateur!DD66*VLOOKUP('Données projet'!$B$13,Paramètres!$A$1:$I$89,3,0)*0.475*44/12</f>
        <v>12.543308055486468</v>
      </c>
      <c r="DH66" s="21">
        <f>EXP(-LN(2)/2)*DH65+(1-EXP(-LN(2)/2))/(LN(2)/2)*DB66*DE66*VLOOKUP('Données projet'!$B$13,Paramètres!$A$1:$I$89,3,0)*0.475*44/12</f>
        <v>1.7450240960959684</v>
      </c>
      <c r="DI66" s="22">
        <f t="shared" si="15"/>
        <v>57.375459995008626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5.7112820500000021</v>
      </c>
      <c r="DO66" s="12">
        <f>IF('Données projet'!$A$166&gt;35,DO65+DN66-DW65,IF(A66&lt;'Données projet'!$A$166,$DL$205^A66,IF(A66='Données projet'!$A$166,'Données projet'!$B$166,DO65+DN66-DW65)))</f>
        <v>168.48769229999988</v>
      </c>
      <c r="DP66" s="17">
        <f>DO66*VLOOKUP('Données projet'!$B$14,Paramètres!$A$1:$I$89,3,0)*VLOOKUP('Données projet'!$B$14,Paramètres!$A$1:$I$89,5,0)</f>
        <v>100.75563999539993</v>
      </c>
      <c r="DQ66" s="13">
        <f t="shared" si="43"/>
        <v>27.141939408976214</v>
      </c>
      <c r="DR66" s="20">
        <f t="shared" si="16"/>
        <v>222.7549507959551</v>
      </c>
      <c r="DS66" s="59">
        <f t="shared" si="17"/>
        <v>516.08828412928847</v>
      </c>
      <c r="DT66" s="59">
        <f ca="1">AVERAGE(OFFSET($DS$3,0,0,'Données projet'!$E$14+1,1))-AVERAGE(OFFSET($H$3,0,0,'Données projet'!$E$14+1,1))</f>
        <v>148.22129593028302</v>
      </c>
      <c r="DU66" s="59">
        <f t="shared" si="44"/>
        <v>102.97015482019975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216.7339199999999</v>
      </c>
      <c r="EL66" s="13">
        <f t="shared" si="45"/>
        <v>53.404402610883679</v>
      </c>
      <c r="EM66" s="20">
        <f t="shared" si="19"/>
        <v>470.49091188062221</v>
      </c>
      <c r="EN66" s="59">
        <f t="shared" si="20"/>
        <v>763.82424521395546</v>
      </c>
      <c r="EO66" s="59">
        <f ca="1">AVERAGE(OFFSET($EN$3,0,0,'Données projet'!$E$15+1,1))-AVERAGE(OFFSET($H$3,0,0,'Données projet'!$E$15+1,1))</f>
        <v>278.53123771916404</v>
      </c>
      <c r="EP66" s="59">
        <f t="shared" si="46"/>
        <v>283.79094702030869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27.991879915748562</v>
      </c>
      <c r="EW66" s="21">
        <f>EXP(-LN(2)/25)*EW65+(1-EXP(-LN(2)/25))/(LN(2)/25)*Calculateur!ER66*Calculateur!ET66*VLOOKUP('Données projet'!$B$15,Paramètres!$A$1:$I$89,3,0)*0.475*44/12</f>
        <v>8.1063841367828786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36.098264052531441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6.9975961538461569</v>
      </c>
      <c r="FE66" s="12">
        <f>IF('Données projet'!$A$218&gt;35,FE65+FD66-FM65,IF(A66&lt;'Données projet'!$A$218,$FB$205^A66,IF(A66='Données projet'!$A$218,'Données projet'!$B$218,FE65+FD66-FM65)))</f>
        <v>187.090544871795</v>
      </c>
      <c r="FF66" s="17">
        <f>FE66*VLOOKUP('Données projet'!$B$16,Paramètres!$A$1:$I$89,3,0)*VLOOKUP('Données projet'!$B$16,Paramètres!$A$1:$I$89,5,0)</f>
        <v>169.27952500000012</v>
      </c>
      <c r="FG66" s="13">
        <f t="shared" si="47"/>
        <v>42.928621288335528</v>
      </c>
      <c r="FH66" s="20">
        <f t="shared" si="22"/>
        <v>369.59585478551793</v>
      </c>
      <c r="FI66" s="59">
        <f t="shared" si="23"/>
        <v>662.92918811885124</v>
      </c>
      <c r="FJ66" s="59">
        <f ca="1">AVERAGE(OFFSET($FI$3,0,0,'Données projet'!$E$16+1,1))-AVERAGE(OFFSET($H$3,0,0,'Données projet'!$E$16+1,1))</f>
        <v>335.99493768537013</v>
      </c>
      <c r="FK66" s="59">
        <f t="shared" si="48"/>
        <v>150.85164849522778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6</v>
      </c>
      <c r="FZ66" s="12">
        <f>IF('Données projet'!$A$244&gt;35,FZ65+FY66-GH65,IF(A66&lt;'Données projet'!$A$244,$FW$205^A66,IF(A66='Données projet'!$A$244,'Données projet'!$B$244,FZ65+FY66-GH65)))</f>
        <v>240.00000000000009</v>
      </c>
      <c r="GA66" s="17">
        <f>FZ66*VLOOKUP('Données projet'!$B$17,Paramètres!$A$1:$I$89,3,0)*VLOOKUP('Données projet'!$B$17,Paramètres!$A$1:$I$89,5,0)</f>
        <v>209.6640000000001</v>
      </c>
      <c r="GB66" s="13">
        <f t="shared" si="49"/>
        <v>51.862154403304537</v>
      </c>
      <c r="GC66" s="20">
        <f t="shared" si="25"/>
        <v>455.49138558575561</v>
      </c>
      <c r="GD66" s="59">
        <f t="shared" si="26"/>
        <v>748.82471891908892</v>
      </c>
      <c r="GE66" s="59">
        <f ca="1">AVERAGE(OFFSET($GD$3,0,0,'Données projet'!$E$17+1,1))-AVERAGE(OFFSET($H$3,0,0,'Données projet'!$E$17+1,1))</f>
        <v>319.57811113658374</v>
      </c>
      <c r="GF66" s="59">
        <f t="shared" si="50"/>
        <v>322.03572137403245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19.652860363449793</v>
      </c>
      <c r="GM66" s="21">
        <f>EXP(-LN(2)/25)*GM65+(1-EXP(-LN(2)/25))/(LN(2)/25)*Calculateur!GH66*Calculateur!GJ66*VLOOKUP('Données projet'!$B$17,Paramètres!$A$1:$I$89,3,0)*0.475*44/12</f>
        <v>21.750557136299712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41.403417499749509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5.4683368944097308E-14</v>
      </c>
      <c r="P67" s="13">
        <f t="shared" si="33"/>
        <v>8.8129432816788268E-13</v>
      </c>
      <c r="Q67" s="20">
        <f t="shared" ref="Q67:Q98" si="54">(O67+P67)*0.475*44/12</f>
        <v>1.6301611558033651E-12</v>
      </c>
      <c r="R67" s="59">
        <f t="shared" ref="R67:R130" si="55">Q67+(I67+J67)*44/12</f>
        <v>293.33333333333496</v>
      </c>
      <c r="S67" s="59">
        <f ca="1">AVERAGE(OFFSET($R$3,0,0,'Données projet'!$E$9+1,1))-AVERAGE(OFFSET($H$3,0,0,'Données projet'!$E$9+1,1))</f>
        <v>226.41956082453015</v>
      </c>
      <c r="T67" s="59">
        <f t="shared" si="34"/>
        <v>317.95076157570446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8.9615384588888887</v>
      </c>
      <c r="AI67" s="13">
        <f>IF('Données projet'!$A$62&gt;35,AI66+AH67-AQ66,IF(A67&lt;'Données projet'!$A$62,$AF$205^A67,IF(A67='Données projet'!$A$62,'Données projet'!$B$62,AI66+AH67-AQ66)))</f>
        <v>188.75000002888902</v>
      </c>
      <c r="AJ67" s="13">
        <f>AI67*VLOOKUP('Données projet'!$B$10,Paramètres!$A$1:$I$89,3,0)*VLOOKUP('Données projet'!$B$10,Paramètres!$A$1:$I$89,5,0)</f>
        <v>161.94750002478679</v>
      </c>
      <c r="AK67" s="13">
        <f t="shared" si="35"/>
        <v>41.281469697848678</v>
      </c>
      <c r="AL67" s="20">
        <f t="shared" si="4"/>
        <v>353.95712226692348</v>
      </c>
      <c r="AM67" s="59">
        <f t="shared" si="5"/>
        <v>647.29045560025679</v>
      </c>
      <c r="AN67" s="59">
        <f ca="1">AVERAGE(OFFSET($AM$3,0,0,'Données projet'!$E$10+1,1))-AVERAGE(OFFSET($H$3,0,0,'Données projet'!$E$10+1,1))</f>
        <v>257.80662231827404</v>
      </c>
      <c r="AO67" s="59">
        <f t="shared" si="36"/>
        <v>184.04558520039876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-4.5474735088646412E-13</v>
      </c>
      <c r="BE67" s="13">
        <f>BD67*VLOOKUP('Données projet'!$B$11,Paramètres!$A$1:$I$89,3,0)*VLOOKUP('Données projet'!$B$11,Paramètres!$A$1:$I$89,5,0)</f>
        <v>-2.5420376914553347E-13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300.90952915835157</v>
      </c>
      <c r="BJ67" s="59">
        <f t="shared" si="38"/>
        <v>402.81783992925256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189.65381363064637</v>
      </c>
      <c r="BQ67" s="21">
        <f>EXP(-LN(2)/25)*BQ66+(1-EXP(-LN(2)/25))/(LN(2)/25)*Calculateur!BL67*Calculateur!BN67*VLOOKUP('Données projet'!$B$11,Paramètres!$A$1:$I$89,3,0)*0.475*44/12</f>
        <v>45.367806498227054</v>
      </c>
      <c r="BR67" s="21">
        <f>EXP(-LN(2)/2)*BR66+(1-EXP(-LN(2)/2))/(LN(2)/2)*BL67*BO67*VLOOKUP('Données projet'!$B$11,Paramètres!$A$1:$I$89,3,0)*0.475*44/12</f>
        <v>1.4868559358974056</v>
      </c>
      <c r="BS67" s="22">
        <f t="shared" si="9"/>
        <v>236.50847606477083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16.8980769275</v>
      </c>
      <c r="BY67" s="12">
        <f>IF('Données projet'!$A$114&gt;35,BY66+BX67-CG66,IF(A67&lt;'Données projet'!$A$114,$BV$205^A67,IF(A67='Données projet'!$A$114,'Données projet'!$B$114,BY66+BX67-CG66)))</f>
        <v>371.36730771750001</v>
      </c>
      <c r="BZ67" s="13">
        <f>BY67*VLOOKUP('Données projet'!$B$12,Paramètres!$A$1:$I$89,3,0)*VLOOKUP('Données projet'!$B$12,Paramètres!$A$1:$I$89,5,0)</f>
        <v>183.45545001244503</v>
      </c>
      <c r="CA67" s="13">
        <f t="shared" si="39"/>
        <v>46.090107283774643</v>
      </c>
      <c r="CB67" s="20">
        <f t="shared" si="10"/>
        <v>399.79184562424922</v>
      </c>
      <c r="CC67" s="59">
        <f t="shared" si="11"/>
        <v>693.12517895758253</v>
      </c>
      <c r="CD67" s="59">
        <f ca="1">AVERAGE(OFFSET($CC$3,0,0,'Données projet'!$E$12+1,1))-AVERAGE(OFFSET($H$3,0,0,'Données projet'!$E$12+1,1))</f>
        <v>246.05217890269194</v>
      </c>
      <c r="CE67" s="59">
        <f t="shared" si="40"/>
        <v>155.54297071424327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36.484922539625956</v>
      </c>
      <c r="CL67" s="21">
        <f>EXP(-LN(2)/25)*CL66+(1-EXP(-LN(2)/25))/(LN(2)/25)*Calculateur!CG67*Calculateur!CI67*VLOOKUP('Données projet'!$B$12,Paramètres!$A$1:$I$89,3,0)*0.475*44/12</f>
        <v>25.660000724100456</v>
      </c>
      <c r="CM67" s="21">
        <f>EXP(-LN(2)/2)*CM66+(1-EXP(-LN(2)/2))/(LN(2)/2)*CG67*CJ67*VLOOKUP('Données projet'!$B$12,Paramètres!$A$1:$I$89,3,0)*0.475*44/12</f>
        <v>1.3426883946742869</v>
      </c>
      <c r="CN67" s="22">
        <f t="shared" si="12"/>
        <v>63.487611658400695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9.1830769260000018</v>
      </c>
      <c r="CT67" s="12">
        <f>IF('Données projet'!$A$140&gt;35,CT66+CS67-DB66,IF(A67&lt;'Données projet'!$A$140,$CQ$205^A67,IF(A67='Données projet'!$A$140,'Données projet'!$B$140,CT66+CS67-DB66)))</f>
        <v>324.89384614399989</v>
      </c>
      <c r="CU67" s="17">
        <f>CT67*VLOOKUP('Données projet'!$B$13,Paramètres!$A$1:$I$89,3,0)*VLOOKUP('Données projet'!$B$13,Paramètres!$A$1:$I$89,5,0)</f>
        <v>194.28651999411196</v>
      </c>
      <c r="CV67" s="13">
        <f t="shared" si="41"/>
        <v>48.486407542449726</v>
      </c>
      <c r="CW67" s="20">
        <f t="shared" si="13"/>
        <v>422.82951545951158</v>
      </c>
      <c r="CX67" s="59">
        <f t="shared" si="14"/>
        <v>716.1628487928449</v>
      </c>
      <c r="CY67" s="59">
        <f ca="1">AVERAGE(OFFSET($CX$3,0,0,'Données projet'!$E$13+1,1))-AVERAGE(OFFSET($H$3,0,0,'Données projet'!$E$13+1,1))</f>
        <v>237.036496933921</v>
      </c>
      <c r="CZ67" s="59">
        <f t="shared" si="42"/>
        <v>191.04289413665344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42.242215546969597</v>
      </c>
      <c r="DG67" s="21">
        <f>EXP(-LN(2)/25)*DG66+(1-EXP(-LN(2)/25))/(LN(2)/25)*Calculateur!DB67*Calculateur!DD67*VLOOKUP('Données projet'!$B$13,Paramètres!$A$1:$I$89,3,0)*0.475*44/12</f>
        <v>12.200310637085288</v>
      </c>
      <c r="DH67" s="21">
        <f>EXP(-LN(2)/2)*DH66+(1-EXP(-LN(2)/2))/(LN(2)/2)*DB67*DE67*VLOOKUP('Données projet'!$B$13,Paramètres!$A$1:$I$89,3,0)*0.475*44/12</f>
        <v>1.2339183716833848</v>
      </c>
      <c r="DI67" s="22">
        <f t="shared" si="15"/>
        <v>55.676444555738271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5.7112820500000021</v>
      </c>
      <c r="DO67" s="12">
        <f>IF('Données projet'!$A$166&gt;35,DO66+DN67-DW66,IF(A67&lt;'Données projet'!$A$166,$DL$205^A67,IF(A67='Données projet'!$A$166,'Données projet'!$B$166,DO66+DN67-DW66)))</f>
        <v>174.19897434999987</v>
      </c>
      <c r="DP67" s="17">
        <f>DO67*VLOOKUP('Données projet'!$B$14,Paramètres!$A$1:$I$89,3,0)*VLOOKUP('Données projet'!$B$14,Paramètres!$A$1:$I$89,5,0)</f>
        <v>104.17098666129992</v>
      </c>
      <c r="DQ67" s="13">
        <f t="shared" si="43"/>
        <v>27.9533020668907</v>
      </c>
      <c r="DR67" s="20">
        <f t="shared" si="16"/>
        <v>230.11646953493198</v>
      </c>
      <c r="DS67" s="59">
        <f t="shared" si="17"/>
        <v>523.44980286826535</v>
      </c>
      <c r="DT67" s="59">
        <f ca="1">AVERAGE(OFFSET($DS$3,0,0,'Données projet'!$E$14+1,1))-AVERAGE(OFFSET($H$3,0,0,'Données projet'!$E$14+1,1))</f>
        <v>148.22129593028302</v>
      </c>
      <c r="DU67" s="59">
        <f t="shared" si="44"/>
        <v>102.97015482019975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220.54655999999989</v>
      </c>
      <c r="EL67" s="13">
        <f t="shared" si="45"/>
        <v>54.233660675860236</v>
      </c>
      <c r="EM67" s="20">
        <f t="shared" si="19"/>
        <v>478.57555101045637</v>
      </c>
      <c r="EN67" s="59">
        <f t="shared" si="20"/>
        <v>771.90888434378962</v>
      </c>
      <c r="EO67" s="59">
        <f ca="1">AVERAGE(OFFSET($EN$3,0,0,'Données projet'!$E$15+1,1))-AVERAGE(OFFSET($H$3,0,0,'Données projet'!$E$15+1,1))</f>
        <v>278.53123771916404</v>
      </c>
      <c r="EP67" s="59">
        <f t="shared" si="46"/>
        <v>283.79094702030869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27.442976223961626</v>
      </c>
      <c r="EW67" s="21">
        <f>EXP(-LN(2)/25)*EW66+(1-EXP(-LN(2)/25))/(LN(2)/25)*Calculateur!ER67*Calculateur!ET67*VLOOKUP('Données projet'!$B$15,Paramètres!$A$1:$I$89,3,0)*0.475*44/12</f>
        <v>7.8847146362663363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35.32769086022796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6.9975961538461569</v>
      </c>
      <c r="FE67" s="12">
        <f>IF('Données projet'!$A$218&gt;35,FE66+FD67-FM66,IF(A67&lt;'Données projet'!$A$218,$FB$205^A67,IF(A67='Données projet'!$A$218,'Données projet'!$B$218,FE66+FD67-FM66)))</f>
        <v>194.08814102564116</v>
      </c>
      <c r="FF67" s="17">
        <f>FE67*VLOOKUP('Données projet'!$B$16,Paramètres!$A$1:$I$89,3,0)*VLOOKUP('Données projet'!$B$16,Paramètres!$A$1:$I$89,5,0)</f>
        <v>175.61095000000012</v>
      </c>
      <c r="FG67" s="13">
        <f t="shared" si="47"/>
        <v>44.344304913788697</v>
      </c>
      <c r="FH67" s="20">
        <f t="shared" si="22"/>
        <v>383.08873564151554</v>
      </c>
      <c r="FI67" s="59">
        <f t="shared" si="23"/>
        <v>676.4220689748488</v>
      </c>
      <c r="FJ67" s="59">
        <f ca="1">AVERAGE(OFFSET($FI$3,0,0,'Données projet'!$E$16+1,1))-AVERAGE(OFFSET($H$3,0,0,'Données projet'!$E$16+1,1))</f>
        <v>335.99493768537013</v>
      </c>
      <c r="FK67" s="59">
        <f t="shared" si="48"/>
        <v>150.85164849522778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6</v>
      </c>
      <c r="FZ67" s="12">
        <f>IF('Données projet'!$A$244&gt;35,FZ66+FY67-GH66,IF(A67&lt;'Données projet'!$A$244,$FW$205^A67,IF(A67='Données projet'!$A$244,'Données projet'!$B$244,FZ66+FY67-GH66)))</f>
        <v>246.00000000000009</v>
      </c>
      <c r="GA67" s="17">
        <f>FZ67*VLOOKUP('Données projet'!$B$17,Paramètres!$A$1:$I$89,3,0)*VLOOKUP('Données projet'!$B$17,Paramètres!$A$1:$I$89,5,0)</f>
        <v>214.90560000000008</v>
      </c>
      <c r="GB67" s="13">
        <f t="shared" si="49"/>
        <v>53.006137800892326</v>
      </c>
      <c r="GC67" s="20">
        <f t="shared" si="25"/>
        <v>466.61294333655428</v>
      </c>
      <c r="GD67" s="59">
        <f t="shared" si="26"/>
        <v>759.94627666988754</v>
      </c>
      <c r="GE67" s="59">
        <f ca="1">AVERAGE(OFFSET($GD$3,0,0,'Données projet'!$E$17+1,1))-AVERAGE(OFFSET($H$3,0,0,'Données projet'!$E$17+1,1))</f>
        <v>319.57811113658374</v>
      </c>
      <c r="GF67" s="59">
        <f t="shared" si="50"/>
        <v>322.03572137403245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19.26747975878374</v>
      </c>
      <c r="GM67" s="21">
        <f>EXP(-LN(2)/25)*GM66+(1-EXP(-LN(2)/25))/(LN(2)/25)*Calculateur!GH67*Calculateur!GJ67*VLOOKUP('Données projet'!$B$17,Paramètres!$A$1:$I$89,3,0)*0.475*44/12</f>
        <v>21.155787007595507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40.423266766379243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5.4683368944097308E-14</v>
      </c>
      <c r="P68" s="13">
        <f t="shared" si="33"/>
        <v>8.8129432816788268E-13</v>
      </c>
      <c r="Q68" s="20">
        <f t="shared" si="54"/>
        <v>1.6301611558033651E-12</v>
      </c>
      <c r="R68" s="59">
        <f t="shared" si="55"/>
        <v>293.33333333333496</v>
      </c>
      <c r="S68" s="59">
        <f ca="1">AVERAGE(OFFSET($R$3,0,0,'Données projet'!$E$9+1,1))-AVERAGE(OFFSET($H$3,0,0,'Données projet'!$E$9+1,1))</f>
        <v>226.41956082453015</v>
      </c>
      <c r="T68" s="59">
        <f t="shared" si="34"/>
        <v>317.95076157570446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8.9615384588888887</v>
      </c>
      <c r="AI68" s="13">
        <f>IF('Données projet'!$A$62&gt;35,AI67+AH68-AQ67,IF(A68&lt;'Données projet'!$A$62,$AF$205^A68,IF(A68='Données projet'!$A$62,'Données projet'!$B$62,AI67+AH68-AQ67)))</f>
        <v>197.71153848777791</v>
      </c>
      <c r="AJ68" s="13">
        <f>AI68*VLOOKUP('Données projet'!$B$10,Paramètres!$A$1:$I$89,3,0)*VLOOKUP('Données projet'!$B$10,Paramètres!$A$1:$I$89,5,0)</f>
        <v>169.63650002251347</v>
      </c>
      <c r="AK68" s="13">
        <f t="shared" si="35"/>
        <v>43.008601543018848</v>
      </c>
      <c r="AL68" s="20">
        <f t="shared" ref="AL68:AL131" si="58">(AJ68+AK68)*0.475*44/12</f>
        <v>370.35688522663548</v>
      </c>
      <c r="AM68" s="59">
        <f t="shared" ref="AM68:AM131" si="59">AL68+(AD68+AE68)*44/12</f>
        <v>663.6902185599688</v>
      </c>
      <c r="AN68" s="59">
        <f ca="1">AVERAGE(OFFSET($AM$3,0,0,'Données projet'!$E$10+1,1))-AVERAGE(OFFSET($H$3,0,0,'Données projet'!$E$10+1,1))</f>
        <v>257.80662231827404</v>
      </c>
      <c r="AO68" s="59">
        <f t="shared" si="36"/>
        <v>184.04558520039876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-4.5474735088646412E-13</v>
      </c>
      <c r="BE68" s="13">
        <f>BD68*VLOOKUP('Données projet'!$B$11,Paramètres!$A$1:$I$89,3,0)*VLOOKUP('Données projet'!$B$11,Paramètres!$A$1:$I$89,5,0)</f>
        <v>-2.5420376914553347E-13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300.90952915835157</v>
      </c>
      <c r="BJ68" s="59">
        <f t="shared" si="38"/>
        <v>402.81783992925256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185.93481802275352</v>
      </c>
      <c r="BQ68" s="21">
        <f>EXP(-LN(2)/25)*BQ67+(1-EXP(-LN(2)/25))/(LN(2)/25)*Calculateur!BL68*Calculateur!BN68*VLOOKUP('Données projet'!$B$11,Paramètres!$A$1:$I$89,3,0)*0.475*44/12</f>
        <v>44.127221443743778</v>
      </c>
      <c r="BR68" s="21">
        <f>EXP(-LN(2)/2)*BR67+(1-EXP(-LN(2)/2))/(LN(2)/2)*BL68*BO68*VLOOKUP('Données projet'!$B$11,Paramètres!$A$1:$I$89,3,0)*0.475*44/12</f>
        <v>1.0513659149205261</v>
      </c>
      <c r="BS68" s="22">
        <f t="shared" ref="BS68:BS131" si="63">SUM(BP68:BR68)</f>
        <v>231.11340538141783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16.8980769275</v>
      </c>
      <c r="BY68" s="12">
        <f>IF('Données projet'!$A$114&gt;35,BY67+BX68-CG67,IF(A68&lt;'Données projet'!$A$114,$BV$205^A68,IF(A68='Données projet'!$A$114,'Données projet'!$B$114,BY67+BX68-CG67)))</f>
        <v>388.26538464500004</v>
      </c>
      <c r="BZ68" s="13">
        <f>BY68*VLOOKUP('Données projet'!$B$12,Paramètres!$A$1:$I$89,3,0)*VLOOKUP('Données projet'!$B$12,Paramètres!$A$1:$I$89,5,0)</f>
        <v>191.80310001463005</v>
      </c>
      <c r="CA68" s="13">
        <f t="shared" si="39"/>
        <v>47.938373261397253</v>
      </c>
      <c r="CB68" s="20">
        <f t="shared" ref="CB68:CB131" si="64">(BZ68+CA68)*0.475*44/12</f>
        <v>417.54973262241424</v>
      </c>
      <c r="CC68" s="59">
        <f t="shared" ref="CC68:CC131" si="65">CB68+(BT68+BU68)*44/12</f>
        <v>710.8830659557475</v>
      </c>
      <c r="CD68" s="59">
        <f ca="1">AVERAGE(OFFSET($CC$3,0,0,'Données projet'!$E$12+1,1))-AVERAGE(OFFSET($H$3,0,0,'Données projet'!$E$12+1,1))</f>
        <v>246.05217890269194</v>
      </c>
      <c r="CE68" s="59">
        <f t="shared" si="40"/>
        <v>155.54297071424327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35.769475462229281</v>
      </c>
      <c r="CL68" s="21">
        <f>EXP(-LN(2)/25)*CL67+(1-EXP(-LN(2)/25))/(LN(2)/25)*Calculateur!CG68*Calculateur!CI68*VLOOKUP('Données projet'!$B$12,Paramètres!$A$1:$I$89,3,0)*0.475*44/12</f>
        <v>24.958326654899139</v>
      </c>
      <c r="CM68" s="21">
        <f>EXP(-LN(2)/2)*CM67+(1-EXP(-LN(2)/2))/(LN(2)/2)*CG68*CJ68*VLOOKUP('Données projet'!$B$12,Paramètres!$A$1:$I$89,3,0)*0.475*44/12</f>
        <v>0.94942406889466779</v>
      </c>
      <c r="CN68" s="22">
        <f t="shared" ref="CN68:CN131" si="66">SUM(CK68:CM68)</f>
        <v>61.677226186023084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9.1830769260000018</v>
      </c>
      <c r="CT68" s="12">
        <f>IF('Données projet'!$A$140&gt;35,CT67+CS68-DB67,IF(A68&lt;'Données projet'!$A$140,$CQ$205^A68,IF(A68='Données projet'!$A$140,'Données projet'!$B$140,CT67+CS68-DB67)))</f>
        <v>334.07692306999991</v>
      </c>
      <c r="CU68" s="17">
        <f>CT68*VLOOKUP('Données projet'!$B$13,Paramètres!$A$1:$I$89,3,0)*VLOOKUP('Données projet'!$B$13,Paramètres!$A$1:$I$89,5,0)</f>
        <v>199.77799999585997</v>
      </c>
      <c r="CV68" s="13">
        <f t="shared" si="41"/>
        <v>49.695375690582843</v>
      </c>
      <c r="CW68" s="20">
        <f t="shared" ref="CW68:CW131" si="67">(CU68+CV68)*0.475*44/12</f>
        <v>434.49946265388786</v>
      </c>
      <c r="CX68" s="59">
        <f t="shared" ref="CX68:CX131" si="68">CW68+(CO68+CP68)*44/12</f>
        <v>727.83279598722117</v>
      </c>
      <c r="CY68" s="59">
        <f ca="1">AVERAGE(OFFSET($CX$3,0,0,'Données projet'!$E$13+1,1))-AVERAGE(OFFSET($H$3,0,0,'Données projet'!$E$13+1,1))</f>
        <v>237.036496933921</v>
      </c>
      <c r="CZ68" s="59">
        <f t="shared" si="42"/>
        <v>191.04289413665344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41.4138714653009</v>
      </c>
      <c r="DG68" s="21">
        <f>EXP(-LN(2)/25)*DG67+(1-EXP(-LN(2)/25))/(LN(2)/25)*Calculateur!DB68*Calculateur!DD68*VLOOKUP('Données projet'!$B$13,Paramètres!$A$1:$I$89,3,0)*0.475*44/12</f>
        <v>11.866692501127739</v>
      </c>
      <c r="DH68" s="21">
        <f>EXP(-LN(2)/2)*DH67+(1-EXP(-LN(2)/2))/(LN(2)/2)*DB68*DE68*VLOOKUP('Données projet'!$B$13,Paramètres!$A$1:$I$89,3,0)*0.475*44/12</f>
        <v>0.87251204804798421</v>
      </c>
      <c r="DI68" s="22">
        <f t="shared" ref="DI68:DI131" si="69">SUM(DF68:DH68)</f>
        <v>54.153076014476625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5.7112820500000021</v>
      </c>
      <c r="DO68" s="12">
        <f>IF('Données projet'!$A$166&gt;35,DO67+DN68-DW67,IF(A68&lt;'Données projet'!$A$166,$DL$205^A68,IF(A68='Données projet'!$A$166,'Données projet'!$B$166,DO67+DN68-DW67)))</f>
        <v>179.91025639999987</v>
      </c>
      <c r="DP68" s="17">
        <f>DO68*VLOOKUP('Données projet'!$B$14,Paramètres!$A$1:$I$89,3,0)*VLOOKUP('Données projet'!$B$14,Paramètres!$A$1:$I$89,5,0)</f>
        <v>107.58633332719992</v>
      </c>
      <c r="DQ68" s="13">
        <f t="shared" si="43"/>
        <v>28.76157364808785</v>
      </c>
      <c r="DR68" s="20">
        <f t="shared" ref="DR68:DR131" si="70">(DP68+DQ68)*0.475*44/12</f>
        <v>237.4726046486262</v>
      </c>
      <c r="DS68" s="59">
        <f t="shared" ref="DS68:DS131" si="71">DR68+(DJ68+DK68)*44/12</f>
        <v>530.80593798195946</v>
      </c>
      <c r="DT68" s="59">
        <f ca="1">AVERAGE(OFFSET($DS$3,0,0,'Données projet'!$E$14+1,1))-AVERAGE(OFFSET($H$3,0,0,'Données projet'!$E$14+1,1))</f>
        <v>148.22129593028302</v>
      </c>
      <c r="DU68" s="59">
        <f t="shared" si="44"/>
        <v>102.97015482019975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224.35919999999987</v>
      </c>
      <c r="EL68" s="13">
        <f t="shared" si="45"/>
        <v>55.061251669487255</v>
      </c>
      <c r="EM68" s="20">
        <f t="shared" ref="EM68:EM131" si="73">(EK68+EL68)*0.475*44/12</f>
        <v>486.65728665769001</v>
      </c>
      <c r="EN68" s="59">
        <f t="shared" ref="EN68:EN131" si="74">EM68+(EE68+EF68)*44/12</f>
        <v>779.99061999102332</v>
      </c>
      <c r="EO68" s="59">
        <f ca="1">AVERAGE(OFFSET($EN$3,0,0,'Données projet'!$E$15+1,1))-AVERAGE(OFFSET($H$3,0,0,'Données projet'!$E$15+1,1))</f>
        <v>278.53123771916404</v>
      </c>
      <c r="EP68" s="59">
        <f t="shared" si="46"/>
        <v>283.79094702030869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0.39560000000000001</v>
      </c>
      <c r="ET68" s="16">
        <f>IF(ISNA(VLOOKUP(A68,'Données projet'!$A$191:$I$211,6,0)),0%,VLOOKUP(A68,'Données projet'!$A$191:$I$211,6,0)*VLOOKUP('Données projet'!$B$15,Paramètres!$A$1:$I$89,7,0))</f>
        <v>3.44E-2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31.073234420128898</v>
      </c>
      <c r="EW68" s="21">
        <f>EXP(-LN(2)/25)*EW67+(1-EXP(-LN(2)/25))/(LN(2)/25)*Calculateur!ER68*Calculateur!ET68*VLOOKUP('Données projet'!$B$15,Paramètres!$A$1:$I$89,3,0)*0.475*44/12</f>
        <v>8.0301489302702276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39.103383350399127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6.9975961538461569</v>
      </c>
      <c r="FE68" s="12">
        <f>IF('Données projet'!$A$218&gt;35,FE67+FD68-FM67,IF(A68&lt;'Données projet'!$A$218,$FB$205^A68,IF(A68='Données projet'!$A$218,'Données projet'!$B$218,FE67+FD68-FM67)))</f>
        <v>201.08573717948732</v>
      </c>
      <c r="FF68" s="17">
        <f>FE68*VLOOKUP('Données projet'!$B$16,Paramètres!$A$1:$I$89,3,0)*VLOOKUP('Données projet'!$B$16,Paramètres!$A$1:$I$89,5,0)</f>
        <v>181.94237500000011</v>
      </c>
      <c r="FG68" s="13">
        <f t="shared" si="47"/>
        <v>45.754058501074866</v>
      </c>
      <c r="FH68" s="20">
        <f t="shared" ref="FH68:FH131" si="76">(FF68+FG68)*0.475*44/12</f>
        <v>396.5712883477056</v>
      </c>
      <c r="FI68" s="59">
        <f t="shared" ref="FI68:FI131" si="77">FH68+(EZ68+FA68)*44/12</f>
        <v>689.90462168103886</v>
      </c>
      <c r="FJ68" s="59">
        <f ca="1">AVERAGE(OFFSET($FI$3,0,0,'Données projet'!$E$16+1,1))-AVERAGE(OFFSET($H$3,0,0,'Données projet'!$E$16+1,1))</f>
        <v>335.99493768537013</v>
      </c>
      <c r="FK68" s="59">
        <f t="shared" si="48"/>
        <v>150.85164849522778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252</v>
      </c>
      <c r="FX68" s="12">
        <f>VLOOKUP(A68,'Données projet'!$A$243:$I$263,9,0)</f>
        <v>6</v>
      </c>
      <c r="FY68" s="12">
        <f t="array" ref="FY68">INDEX(FX:FX,MIN(IF(ISNUMBER(FX68:FX264),ROW(FX68:FX264),"")))</f>
        <v>6</v>
      </c>
      <c r="FZ68" s="12">
        <f>IF('Données projet'!$A$244&gt;35,FZ67+FY68-GH67,IF(A68&lt;'Données projet'!$A$244,$FW$205^A68,IF(A68='Données projet'!$A$244,'Données projet'!$B$244,FZ67+FY68-GH67)))</f>
        <v>252.00000000000009</v>
      </c>
      <c r="GA68" s="17">
        <f>FZ68*VLOOKUP('Données projet'!$B$17,Paramètres!$A$1:$I$89,3,0)*VLOOKUP('Données projet'!$B$17,Paramètres!$A$1:$I$89,5,0)</f>
        <v>220.14720000000011</v>
      </c>
      <c r="GB68" s="13">
        <f t="shared" si="49"/>
        <v>54.146877667769687</v>
      </c>
      <c r="GC68" s="20">
        <f t="shared" ref="GC68:GC131" si="79">(GA68+GB68)*0.475*44/12</f>
        <v>477.72885193803239</v>
      </c>
      <c r="GD68" s="59">
        <f t="shared" ref="GD68:GD131" si="80">GC68+(FU68+FV68)*44/12</f>
        <v>771.06218527136571</v>
      </c>
      <c r="GE68" s="59">
        <f ca="1">AVERAGE(OFFSET($GD$3,0,0,'Données projet'!$E$17+1,1))-AVERAGE(OFFSET($H$3,0,0,'Données projet'!$E$17+1,1))</f>
        <v>319.57811113658374</v>
      </c>
      <c r="GF68" s="59">
        <f t="shared" si="50"/>
        <v>322.03572137403245</v>
      </c>
      <c r="GG68" s="15">
        <f>IF(ISNA(VLOOKUP(A68,'Données projet'!$A$243:$I$263,3,0)),0,VLOOKUP(A68,'Données projet'!$A$243:$I$263,3,0))</f>
        <v>10</v>
      </c>
      <c r="GH68" s="15" t="str">
        <f>IF(ISNA(VLOOKUP(A68,'Données projet'!$A$243:$I$263,4,0)),0,VLOOKUP(A68,'Données projet'!$A$243:$I$263,4,0))</f>
        <v>22</v>
      </c>
      <c r="GI68" s="16">
        <f>IF(ISNA(VLOOKUP(A68,'Données projet'!$A$243:$I$263,5,0)),0%,VLOOKUP(A68,'Données projet'!$A$243:$I$263,5,0)*VLOOKUP('Données projet'!$B$17,Paramètres!$A$1:$I$89,7,0))</f>
        <v>0.25800000000000001</v>
      </c>
      <c r="GJ68" s="16">
        <f>IF(ISNA(VLOOKUP(A68,'Données projet'!$A$243:$I$263,6,0)),0%,VLOOKUP(A68,'Données projet'!$A$243:$I$263,6,0)*VLOOKUP('Données projet'!$B$17,Paramètres!$A$1:$I$89,7,0))</f>
        <v>0.129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24.371190362842707</v>
      </c>
      <c r="GM68" s="21">
        <f>EXP(-LN(2)/25)*GM67+(1-EXP(-LN(2)/25))/(LN(2)/25)*Calculateur!GH68*Calculateur!GJ68*VLOOKUP('Données projet'!$B$17,Paramètres!$A$1:$I$89,3,0)*0.475*44/12</f>
        <v>23.307256520152279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47.67844688299499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5.4683368944097308E-14</v>
      </c>
      <c r="P69" s="13">
        <f t="shared" ref="P69:P132" si="87">EXP(-1.0587+0.8836*LN(O69)+0.284)</f>
        <v>8.8129432816788268E-13</v>
      </c>
      <c r="Q69" s="20">
        <f t="shared" si="54"/>
        <v>1.6301611558033651E-12</v>
      </c>
      <c r="R69" s="59">
        <f t="shared" si="55"/>
        <v>293.33333333333496</v>
      </c>
      <c r="S69" s="59">
        <f ca="1">AVERAGE(OFFSET($R$3,0,0,'Données projet'!$E$9+1,1))-AVERAGE(OFFSET($H$3,0,0,'Données projet'!$E$9+1,1))</f>
        <v>226.41956082453015</v>
      </c>
      <c r="T69" s="59">
        <f t="shared" ref="T69:T132" si="88">$T$3</f>
        <v>317.95076157570446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8.9615384588888887</v>
      </c>
      <c r="AI69" s="13">
        <f>IF('Données projet'!$A$62&gt;35,AI68+AH69-AQ68,IF(A69&lt;'Données projet'!$A$62,$AF$205^A69,IF(A69='Données projet'!$A$62,'Données projet'!$B$62,AI68+AH69-AQ68)))</f>
        <v>206.67307694666681</v>
      </c>
      <c r="AJ69" s="13">
        <f>AI69*VLOOKUP('Données projet'!$B$10,Paramètres!$A$1:$I$89,3,0)*VLOOKUP('Données projet'!$B$10,Paramètres!$A$1:$I$89,5,0)</f>
        <v>177.32550002024016</v>
      </c>
      <c r="AK69" s="13">
        <f t="shared" ref="AK69:AK132" si="89">EXP(-1.0587+0.8836*LN(AJ69)+0.284)</f>
        <v>44.726641775579758</v>
      </c>
      <c r="AL69" s="20">
        <f t="shared" si="58"/>
        <v>386.74081362771966</v>
      </c>
      <c r="AM69" s="59">
        <f t="shared" si="59"/>
        <v>680.07414696105297</v>
      </c>
      <c r="AN69" s="59">
        <f ca="1">AVERAGE(OFFSET($AM$3,0,0,'Données projet'!$E$10+1,1))-AVERAGE(OFFSET($H$3,0,0,'Données projet'!$E$10+1,1))</f>
        <v>257.80662231827404</v>
      </c>
      <c r="AO69" s="59">
        <f t="shared" ref="AO69:AO132" si="90">$AO$3</f>
        <v>184.04558520039876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-4.5474735088646412E-13</v>
      </c>
      <c r="BE69" s="13">
        <f>BD69*VLOOKUP('Données projet'!$B$11,Paramètres!$A$1:$I$89,3,0)*VLOOKUP('Données projet'!$B$11,Paramètres!$A$1:$I$89,5,0)</f>
        <v>-2.5420376914553347E-13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300.90952915835157</v>
      </c>
      <c r="BJ69" s="59">
        <f t="shared" ref="BJ69:BJ132" si="92">$BJ$3</f>
        <v>402.81783992925256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182.28874965036809</v>
      </c>
      <c r="BQ69" s="21">
        <f>EXP(-LN(2)/25)*BQ68+(1-EXP(-LN(2)/25))/(LN(2)/25)*Calculateur!BL69*Calculateur!BN69*VLOOKUP('Données projet'!$B$11,Paramètres!$A$1:$I$89,3,0)*0.475*44/12</f>
        <v>42.92056025281488</v>
      </c>
      <c r="BR69" s="21">
        <f>EXP(-LN(2)/2)*BR68+(1-EXP(-LN(2)/2))/(LN(2)/2)*BL69*BO69*VLOOKUP('Données projet'!$B$11,Paramètres!$A$1:$I$89,3,0)*0.475*44/12</f>
        <v>0.74342796794870281</v>
      </c>
      <c r="BS69" s="22">
        <f t="shared" si="63"/>
        <v>225.95273787113166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16.8980769275</v>
      </c>
      <c r="BY69" s="12">
        <f>IF('Données projet'!$A$114&gt;35,BY68+BX69-CG68,IF(A69&lt;'Données projet'!$A$114,$BV$205^A69,IF(A69='Données projet'!$A$114,'Données projet'!$B$114,BY68+BX69-CG68)))</f>
        <v>405.16346157250007</v>
      </c>
      <c r="BZ69" s="13">
        <f>BY69*VLOOKUP('Données projet'!$B$12,Paramètres!$A$1:$I$89,3,0)*VLOOKUP('Données projet'!$B$12,Paramètres!$A$1:$I$89,5,0)</f>
        <v>200.15075001681507</v>
      </c>
      <c r="CA69" s="13">
        <f t="shared" ref="CA69:CA132" si="93">EXP(-1.0587+0.8836*LN(BZ69)+0.284)</f>
        <v>49.777296563369461</v>
      </c>
      <c r="CB69" s="20">
        <f t="shared" si="64"/>
        <v>435.29134779382133</v>
      </c>
      <c r="CC69" s="59">
        <f t="shared" si="65"/>
        <v>728.62468112715464</v>
      </c>
      <c r="CD69" s="59">
        <f ca="1">AVERAGE(OFFSET($CC$3,0,0,'Données projet'!$E$12+1,1))-AVERAGE(OFFSET($H$3,0,0,'Données projet'!$E$12+1,1))</f>
        <v>246.05217890269194</v>
      </c>
      <c r="CE69" s="59">
        <f t="shared" ref="CE69:CE132" si="94">$CE$3</f>
        <v>155.54297071424327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35.068057865640725</v>
      </c>
      <c r="CL69" s="21">
        <f>EXP(-LN(2)/25)*CL68+(1-EXP(-LN(2)/25))/(LN(2)/25)*Calculateur!CG69*Calculateur!CI69*VLOOKUP('Données projet'!$B$12,Paramètres!$A$1:$I$89,3,0)*0.475*44/12</f>
        <v>24.275839900019566</v>
      </c>
      <c r="CM69" s="21">
        <f>EXP(-LN(2)/2)*CM68+(1-EXP(-LN(2)/2))/(LN(2)/2)*CG69*CJ69*VLOOKUP('Données projet'!$B$12,Paramètres!$A$1:$I$89,3,0)*0.475*44/12</f>
        <v>0.67134419733714357</v>
      </c>
      <c r="CN69" s="22">
        <f t="shared" si="66"/>
        <v>60.015241962997429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9.1830769260000018</v>
      </c>
      <c r="CT69" s="12">
        <f>IF('Données projet'!$A$140&gt;35,CT68+CS69-DB68,IF(A69&lt;'Données projet'!$A$140,$CQ$205^A69,IF(A69='Données projet'!$A$140,'Données projet'!$B$140,CT68+CS69-DB68)))</f>
        <v>343.25999999599992</v>
      </c>
      <c r="CU69" s="17">
        <f>CT69*VLOOKUP('Données projet'!$B$13,Paramètres!$A$1:$I$89,3,0)*VLOOKUP('Données projet'!$B$13,Paramètres!$A$1:$I$89,5,0)</f>
        <v>205.26947999760796</v>
      </c>
      <c r="CV69" s="13">
        <f t="shared" ref="CV69:CV132" si="95">EXP(-1.0587+0.8836*LN(CU69)+0.284)</f>
        <v>50.900481300555839</v>
      </c>
      <c r="CW69" s="20">
        <f t="shared" si="67"/>
        <v>446.16268259430194</v>
      </c>
      <c r="CX69" s="59">
        <f t="shared" si="68"/>
        <v>739.4960159276352</v>
      </c>
      <c r="CY69" s="59">
        <f ca="1">AVERAGE(OFFSET($CX$3,0,0,'Données projet'!$E$13+1,1))-AVERAGE(OFFSET($H$3,0,0,'Données projet'!$E$13+1,1))</f>
        <v>237.036496933921</v>
      </c>
      <c r="CZ69" s="59">
        <f t="shared" ref="CZ69:CZ132" si="96">$CZ$3</f>
        <v>191.04289413665344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40.601770705833729</v>
      </c>
      <c r="DG69" s="21">
        <f>EXP(-LN(2)/25)*DG68+(1-EXP(-LN(2)/25))/(LN(2)/25)*Calculateur!DB69*Calculateur!DD69*VLOOKUP('Données projet'!$B$13,Paramètres!$A$1:$I$89,3,0)*0.475*44/12</f>
        <v>11.542197170642163</v>
      </c>
      <c r="DH69" s="21">
        <f>EXP(-LN(2)/2)*DH68+(1-EXP(-LN(2)/2))/(LN(2)/2)*DB69*DE69*VLOOKUP('Données projet'!$B$13,Paramètres!$A$1:$I$89,3,0)*0.475*44/12</f>
        <v>0.6169591858416924</v>
      </c>
      <c r="DI69" s="22">
        <f t="shared" si="69"/>
        <v>52.760927062317585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5.7112820500000021</v>
      </c>
      <c r="DO69" s="12">
        <f>IF('Données projet'!$A$166&gt;35,DO68+DN69-DW68,IF(A69&lt;'Données projet'!$A$166,$DL$205^A69,IF(A69='Données projet'!$A$166,'Données projet'!$B$166,DO68+DN69-DW68)))</f>
        <v>185.62153844999986</v>
      </c>
      <c r="DP69" s="17">
        <f>DO69*VLOOKUP('Données projet'!$B$14,Paramètres!$A$1:$I$89,3,0)*VLOOKUP('Données projet'!$B$14,Paramètres!$A$1:$I$89,5,0)</f>
        <v>111.00167999309993</v>
      </c>
      <c r="DQ69" s="13">
        <f t="shared" ref="DQ69:DQ132" si="97">EXP(-1.0587+0.8836*LN(DP69)+0.284)</f>
        <v>29.56686353642305</v>
      </c>
      <c r="DR69" s="20">
        <f t="shared" si="70"/>
        <v>244.82354664725247</v>
      </c>
      <c r="DS69" s="59">
        <f t="shared" si="71"/>
        <v>538.15687998058581</v>
      </c>
      <c r="DT69" s="59">
        <f ca="1">AVERAGE(OFFSET($DS$3,0,0,'Données projet'!$E$14+1,1))-AVERAGE(OFFSET($H$3,0,0,'Données projet'!$E$14+1,1))</f>
        <v>148.22129593028302</v>
      </c>
      <c r="DU69" s="59">
        <f t="shared" ref="DU69:DU132" si="98">$DU$3</f>
        <v>102.97015482019975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218.20031999999989</v>
      </c>
      <c r="EL69" s="13">
        <f t="shared" ref="EL69:EL132" si="99">EXP(-1.0587+0.8836*LN(EK69)+0.284)</f>
        <v>53.723547368945667</v>
      </c>
      <c r="EM69" s="20">
        <f t="shared" si="73"/>
        <v>473.60073566758007</v>
      </c>
      <c r="EN69" s="59">
        <f t="shared" si="74"/>
        <v>766.93406900091338</v>
      </c>
      <c r="EO69" s="59">
        <f ca="1">AVERAGE(OFFSET($EN$3,0,0,'Données projet'!$E$15+1,1))-AVERAGE(OFFSET($H$3,0,0,'Données projet'!$E$15+1,1))</f>
        <v>278.53123771916404</v>
      </c>
      <c r="EP69" s="59">
        <f t="shared" ref="EP69:EP132" si="100">$EP$3</f>
        <v>283.79094702030869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30.463907245951734</v>
      </c>
      <c r="EW69" s="21">
        <f>EXP(-LN(2)/25)*EW68+(1-EXP(-LN(2)/25))/(LN(2)/25)*Calculateur!ER69*Calculateur!ET69*VLOOKUP('Données projet'!$B$15,Paramètres!$A$1:$I$89,3,0)*0.475*44/12</f>
        <v>7.8105640854848088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38.274471331436544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208.08333333333334</v>
      </c>
      <c r="FC69" s="12">
        <f>VLOOKUP(A69,'Données projet'!$A$217:$I$237,9,0)</f>
        <v>6.9975961538461569</v>
      </c>
      <c r="FD69" s="12">
        <f t="array" ref="FD69">INDEX(FC:FC,MIN(IF(ISNUMBER(FC69:FC265),ROW(FC69:FC265),"")))</f>
        <v>6.9975961538461569</v>
      </c>
      <c r="FE69" s="12">
        <f>IF('Données projet'!$A$218&gt;35,FE68+FD69-FM68,IF(A69&lt;'Données projet'!$A$218,$FB$205^A69,IF(A69='Données projet'!$A$218,'Données projet'!$B$218,FE68+FD69-FM68)))</f>
        <v>208.08333333333348</v>
      </c>
      <c r="FF69" s="17">
        <f>FE69*VLOOKUP('Données projet'!$B$16,Paramètres!$A$1:$I$89,3,0)*VLOOKUP('Données projet'!$B$16,Paramètres!$A$1:$I$89,5,0)</f>
        <v>188.27380000000014</v>
      </c>
      <c r="FG69" s="13">
        <f t="shared" ref="FG69:FG132" si="101">EXP(-1.0587+0.8836*LN(FF69)+0.284)</f>
        <v>47.158112058671726</v>
      </c>
      <c r="FH69" s="20">
        <f t="shared" si="76"/>
        <v>410.0439135021868</v>
      </c>
      <c r="FI69" s="59">
        <f t="shared" si="77"/>
        <v>703.37724683552005</v>
      </c>
      <c r="FJ69" s="59">
        <f ca="1">AVERAGE(OFFSET($FI$3,0,0,'Données projet'!$E$16+1,1))-AVERAGE(OFFSET($H$3,0,0,'Données projet'!$E$16+1,1))</f>
        <v>335.99493768537013</v>
      </c>
      <c r="FK69" s="59">
        <f t="shared" ref="FK69:FK132" si="102">$FK$3</f>
        <v>150.85164849522778</v>
      </c>
      <c r="FL69" s="15">
        <f>IF(ISNA(VLOOKUP(A69,'Données projet'!$A$217:$I$237,3,0)),0,VLOOKUP(A69,'Données projet'!$A$217:$I$237,3,0))</f>
        <v>4</v>
      </c>
      <c r="FM69" s="15">
        <f>IF(ISNA(VLOOKUP(A69,'Données projet'!$A$217:$I$237,4,0)),0,VLOOKUP(A69,'Données projet'!$A$217:$I$237,4,0))</f>
        <v>39.166666666666664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5.4</v>
      </c>
      <c r="FZ69" s="12">
        <f>IF('Données projet'!$A$244&gt;35,FZ68+FY69-GH68,IF(A69&lt;'Données projet'!$A$244,$FW$205^A69,IF(A69='Données projet'!$A$244,'Données projet'!$B$244,FZ68+FY69-GH68)))</f>
        <v>235.40000000000009</v>
      </c>
      <c r="GA69" s="17">
        <f>FZ69*VLOOKUP('Données projet'!$B$17,Paramètres!$A$1:$I$89,3,0)*VLOOKUP('Données projet'!$B$17,Paramètres!$A$1:$I$89,5,0)</f>
        <v>205.64544000000012</v>
      </c>
      <c r="GB69" s="13">
        <f t="shared" ref="GB69:GB132" si="103">EXP(-1.0587+0.8836*LN(GA69)+0.284)</f>
        <v>50.982847417614401</v>
      </c>
      <c r="GC69" s="20">
        <f t="shared" si="79"/>
        <v>446.96093391901189</v>
      </c>
      <c r="GD69" s="59">
        <f t="shared" si="80"/>
        <v>740.29426725234521</v>
      </c>
      <c r="GE69" s="59">
        <f ca="1">AVERAGE(OFFSET($GD$3,0,0,'Données projet'!$E$17+1,1))-AVERAGE(OFFSET($H$3,0,0,'Données projet'!$E$17+1,1))</f>
        <v>319.57811113658374</v>
      </c>
      <c r="GF69" s="59">
        <f t="shared" ref="GF69:GF132" si="104">$GF$3</f>
        <v>322.03572137403245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23.893286184785691</v>
      </c>
      <c r="GM69" s="21">
        <f>EXP(-LN(2)/25)*GM68+(1-EXP(-LN(2)/25))/(LN(2)/25)*Calculateur!GH69*Calculateur!GJ69*VLOOKUP('Données projet'!$B$17,Paramètres!$A$1:$I$89,3,0)*0.475*44/12</f>
        <v>22.669918364933363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46.563204549719053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5.4683368944097308E-14</v>
      </c>
      <c r="P70" s="13">
        <f t="shared" si="87"/>
        <v>8.8129432816788268E-13</v>
      </c>
      <c r="Q70" s="20">
        <f t="shared" si="54"/>
        <v>1.6301611558033651E-12</v>
      </c>
      <c r="R70" s="59">
        <f t="shared" si="55"/>
        <v>293.33333333333496</v>
      </c>
      <c r="S70" s="59">
        <f ca="1">AVERAGE(OFFSET($R$3,0,0,'Données projet'!$E$9+1,1))-AVERAGE(OFFSET($H$3,0,0,'Données projet'!$E$9+1,1))</f>
        <v>226.41956082453015</v>
      </c>
      <c r="T70" s="59">
        <f t="shared" si="88"/>
        <v>317.95076157570446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8.9615384588888887</v>
      </c>
      <c r="AI70" s="13">
        <f>IF('Données projet'!$A$62&gt;35,AI69+AH70-AQ69,IF(A70&lt;'Données projet'!$A$62,$AF$205^A70,IF(A70='Données projet'!$A$62,'Données projet'!$B$62,AI69+AH70-AQ69)))</f>
        <v>215.63461540555571</v>
      </c>
      <c r="AJ70" s="13">
        <f>AI70*VLOOKUP('Données projet'!$B$10,Paramètres!$A$1:$I$89,3,0)*VLOOKUP('Données projet'!$B$10,Paramètres!$A$1:$I$89,5,0)</f>
        <v>185.01450001796681</v>
      </c>
      <c r="AK70" s="13">
        <f t="shared" si="89"/>
        <v>46.436029675884875</v>
      </c>
      <c r="AL70" s="20">
        <f t="shared" si="58"/>
        <v>403.10967255012497</v>
      </c>
      <c r="AM70" s="59">
        <f t="shared" si="59"/>
        <v>696.44300588345823</v>
      </c>
      <c r="AN70" s="59">
        <f ca="1">AVERAGE(OFFSET($AM$3,0,0,'Données projet'!$E$10+1,1))-AVERAGE(OFFSET($H$3,0,0,'Données projet'!$E$10+1,1))</f>
        <v>257.80662231827404</v>
      </c>
      <c r="AO70" s="59">
        <f t="shared" si="90"/>
        <v>184.04558520039876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-4.5474735088646412E-13</v>
      </c>
      <c r="BE70" s="13">
        <f>BD70*VLOOKUP('Données projet'!$B$11,Paramètres!$A$1:$I$89,3,0)*VLOOKUP('Données projet'!$B$11,Paramètres!$A$1:$I$89,5,0)</f>
        <v>-2.5420376914553347E-13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300.90952915835157</v>
      </c>
      <c r="BJ70" s="59">
        <f t="shared" si="92"/>
        <v>402.81783992925256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178.71417845488304</v>
      </c>
      <c r="BQ70" s="21">
        <f>EXP(-LN(2)/25)*BQ69+(1-EXP(-LN(2)/25))/(LN(2)/25)*Calculateur!BL70*Calculateur!BN70*VLOOKUP('Données projet'!$B$11,Paramètres!$A$1:$I$89,3,0)*0.475*44/12</f>
        <v>41.746895275607493</v>
      </c>
      <c r="BR70" s="21">
        <f>EXP(-LN(2)/2)*BR69+(1-EXP(-LN(2)/2))/(LN(2)/2)*BL70*BO70*VLOOKUP('Données projet'!$B$11,Paramètres!$A$1:$I$89,3,0)*0.475*44/12</f>
        <v>0.52568295746026306</v>
      </c>
      <c r="BS70" s="22">
        <f t="shared" si="63"/>
        <v>220.98675668795082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422.06153849999998</v>
      </c>
      <c r="BW70" s="12">
        <f>VLOOKUP(A70,'Données projet'!$A$113:$I$133,9,0)</f>
        <v>16.8980769275</v>
      </c>
      <c r="BX70" s="12">
        <f t="array" ref="BX70">INDEX(BW:BW,MIN(IF(ISNUMBER(BW70:BW266),ROW(BW70:BW266),"")))</f>
        <v>16.8980769275</v>
      </c>
      <c r="BY70" s="12">
        <f>IF('Données projet'!$A$114&gt;35,BY69+BX70-CG69,IF(A70&lt;'Données projet'!$A$114,$BV$205^A70,IF(A70='Données projet'!$A$114,'Données projet'!$B$114,BY69+BX70-CG69)))</f>
        <v>422.0615385000001</v>
      </c>
      <c r="BZ70" s="13">
        <f>BY70*VLOOKUP('Données projet'!$B$12,Paramètres!$A$1:$I$89,3,0)*VLOOKUP('Données projet'!$B$12,Paramètres!$A$1:$I$89,5,0)</f>
        <v>208.49840001900009</v>
      </c>
      <c r="CA70" s="13">
        <f t="shared" si="93"/>
        <v>51.607311401099636</v>
      </c>
      <c r="CB70" s="20">
        <f t="shared" si="64"/>
        <v>453.01744739000702</v>
      </c>
      <c r="CC70" s="59">
        <f t="shared" si="65"/>
        <v>746.35078072334034</v>
      </c>
      <c r="CD70" s="59">
        <f ca="1">AVERAGE(OFFSET($CC$3,0,0,'Données projet'!$E$12+1,1))-AVERAGE(OFFSET($H$3,0,0,'Données projet'!$E$12+1,1))</f>
        <v>246.05217890269194</v>
      </c>
      <c r="CE70" s="59">
        <f t="shared" si="94"/>
        <v>155.54297071424327</v>
      </c>
      <c r="CF70" s="15">
        <f>IF(ISNA(VLOOKUP(A70,'Données projet'!$A$113:$I$133,3,0)),0,VLOOKUP(A70,'Données projet'!$A$113:$I$133,3,0))</f>
        <v>4</v>
      </c>
      <c r="CG70" s="15">
        <f>IF(ISNA(VLOOKUP(A70,'Données projet'!$A$113:$I$133,4,0)),0,VLOOKUP(A70,'Données projet'!$A$113:$I$133,4,0))</f>
        <v>92.107692310000004</v>
      </c>
      <c r="CH70" s="16">
        <f>IF(ISNA(VLOOKUP(A70,'Données projet'!$A$113:$I$133,5,0)),0%,VLOOKUP(A70,'Données projet'!$A$113:$I$133,5,0)*VLOOKUP('Données projet'!$B$12,Paramètres!$A$1:$I$89,7,0))</f>
        <v>0.38500000000000001</v>
      </c>
      <c r="CI70" s="16">
        <f>IF(ISNA(VLOOKUP(A70,'Données projet'!$A$113:$I$133,6,0)),0%,VLOOKUP(A70,'Données projet'!$A$113:$I$133,6,0)*VLOOKUP('Données projet'!$B$12,Paramètres!$A$1:$I$89,7,0))</f>
        <v>9.3500000000000014E-2</v>
      </c>
      <c r="CJ70" s="16">
        <f>IF(ISNA(VLOOKUP(A70,'Données projet'!$A$113:$I$133,7,0)),0%,VLOOKUP(A70,'Données projet'!$A$113:$I$133,7,0))</f>
        <v>0.13</v>
      </c>
      <c r="CK70" s="21">
        <f>EXP(-LN(2)/35)*CK69+(1-EXP(-LN(2)/35))/(LN(2)/35)*CG70*CH70*VLOOKUP('Données projet'!$B$12,Paramètres!$A$1:$I$89,3,0)*0.475*44/12</f>
        <v>57.619100361821573</v>
      </c>
      <c r="CL70" s="21">
        <f>EXP(-LN(2)/25)*CL69+(1-EXP(-LN(2)/25))/(LN(2)/25)*Calculateur!CG70*Calculateur!CI70*VLOOKUP('Données projet'!$B$12,Paramètres!$A$1:$I$89,3,0)*0.475*44/12</f>
        <v>29.233480115653357</v>
      </c>
      <c r="CM70" s="21">
        <f>EXP(-LN(2)/2)*CM69+(1-EXP(-LN(2)/2))/(LN(2)/2)*CG70*CJ70*VLOOKUP('Données projet'!$B$12,Paramètres!$A$1:$I$89,3,0)*0.475*44/12</f>
        <v>7.1720427027225915</v>
      </c>
      <c r="CN70" s="22">
        <f t="shared" si="66"/>
        <v>94.024623180197523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9.1830769260000018</v>
      </c>
      <c r="CT70" s="12">
        <f>IF('Données projet'!$A$140&gt;35,CT69+CS70-DB69,IF(A70&lt;'Données projet'!$A$140,$CQ$205^A70,IF(A70='Données projet'!$A$140,'Données projet'!$B$140,CT69+CS70-DB69)))</f>
        <v>352.44307692199993</v>
      </c>
      <c r="CU70" s="17">
        <f>CT70*VLOOKUP('Données projet'!$B$13,Paramètres!$A$1:$I$89,3,0)*VLOOKUP('Données projet'!$B$13,Paramètres!$A$1:$I$89,5,0)</f>
        <v>210.76095999935598</v>
      </c>
      <c r="CV70" s="13">
        <f t="shared" si="95"/>
        <v>52.10183958139757</v>
      </c>
      <c r="CW70" s="20">
        <f t="shared" si="67"/>
        <v>457.81937593647899</v>
      </c>
      <c r="CX70" s="59">
        <f t="shared" si="68"/>
        <v>751.15270926981225</v>
      </c>
      <c r="CY70" s="59">
        <f ca="1">AVERAGE(OFFSET($CX$3,0,0,'Données projet'!$E$13+1,1))-AVERAGE(OFFSET($H$3,0,0,'Données projet'!$E$13+1,1))</f>
        <v>237.036496933921</v>
      </c>
      <c r="CZ70" s="59">
        <f t="shared" si="96"/>
        <v>191.04289413665344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39.805594746927156</v>
      </c>
      <c r="DG70" s="21">
        <f>EXP(-LN(2)/25)*DG69+(1-EXP(-LN(2)/25))/(LN(2)/25)*Calculateur!DB70*Calculateur!DD70*VLOOKUP('Données projet'!$B$13,Paramètres!$A$1:$I$89,3,0)*0.475*44/12</f>
        <v>11.226575182033184</v>
      </c>
      <c r="DH70" s="21">
        <f>EXP(-LN(2)/2)*DH69+(1-EXP(-LN(2)/2))/(LN(2)/2)*DB70*DE70*VLOOKUP('Données projet'!$B$13,Paramètres!$A$1:$I$89,3,0)*0.475*44/12</f>
        <v>0.43625602402399211</v>
      </c>
      <c r="DI70" s="22">
        <f t="shared" si="69"/>
        <v>51.468425952984333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5.7112820500000021</v>
      </c>
      <c r="DO70" s="12">
        <f>IF('Données projet'!$A$166&gt;35,DO69+DN70-DW69,IF(A70&lt;'Données projet'!$A$166,$DL$205^A70,IF(A70='Données projet'!$A$166,'Données projet'!$B$166,DO69+DN70-DW69)))</f>
        <v>191.33282049999985</v>
      </c>
      <c r="DP70" s="17">
        <f>DO70*VLOOKUP('Données projet'!$B$14,Paramètres!$A$1:$I$89,3,0)*VLOOKUP('Données projet'!$B$14,Paramètres!$A$1:$I$89,5,0)</f>
        <v>114.41702665899992</v>
      </c>
      <c r="DQ70" s="13">
        <f t="shared" si="97"/>
        <v>30.369274002198086</v>
      </c>
      <c r="DR70" s="20">
        <f t="shared" si="70"/>
        <v>252.16947365158649</v>
      </c>
      <c r="DS70" s="59">
        <f t="shared" si="71"/>
        <v>545.50280698491974</v>
      </c>
      <c r="DT70" s="59">
        <f ca="1">AVERAGE(OFFSET($DS$3,0,0,'Données projet'!$E$14+1,1))-AVERAGE(OFFSET($H$3,0,0,'Données projet'!$E$14+1,1))</f>
        <v>148.22129593028302</v>
      </c>
      <c r="DU70" s="59">
        <f t="shared" si="98"/>
        <v>102.97015482019975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221.57303999999991</v>
      </c>
      <c r="EL70" s="13">
        <f t="shared" si="99"/>
        <v>54.456636294321989</v>
      </c>
      <c r="EM70" s="20">
        <f t="shared" si="73"/>
        <v>480.75168621261065</v>
      </c>
      <c r="EN70" s="59">
        <f t="shared" si="74"/>
        <v>774.08501954594396</v>
      </c>
      <c r="EO70" s="59">
        <f ca="1">AVERAGE(OFFSET($EN$3,0,0,'Données projet'!$E$15+1,1))-AVERAGE(OFFSET($H$3,0,0,'Données projet'!$E$15+1,1))</f>
        <v>278.53123771916404</v>
      </c>
      <c r="EP70" s="59">
        <f t="shared" si="100"/>
        <v>283.79094702030869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29.866528606007304</v>
      </c>
      <c r="EW70" s="21">
        <f>EXP(-LN(2)/25)*EW69+(1-EXP(-LN(2)/25))/(LN(2)/25)*Calculateur!ER70*Calculateur!ET70*VLOOKUP('Données projet'!$B$15,Paramètres!$A$1:$I$89,3,0)*0.475*44/12</f>
        <v>7.5969837998275125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37.46351240583482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6.6995192307692264</v>
      </c>
      <c r="FE70" s="12">
        <f>IF('Données projet'!$A$218&gt;35,FE69+FD70-FM69,IF(A70&lt;'Données projet'!$A$218,$FB$205^A70,IF(A70='Données projet'!$A$218,'Données projet'!$B$218,FE69+FD70-FM69)))</f>
        <v>175.61618589743605</v>
      </c>
      <c r="FF70" s="17">
        <f>FE70*VLOOKUP('Données projet'!$B$16,Paramètres!$A$1:$I$89,3,0)*VLOOKUP('Données projet'!$B$16,Paramètres!$A$1:$I$89,5,0)</f>
        <v>158.89752500000012</v>
      </c>
      <c r="FG70" s="13">
        <f t="shared" si="101"/>
        <v>40.593749114952736</v>
      </c>
      <c r="FH70" s="20">
        <f t="shared" si="76"/>
        <v>347.44730241687625</v>
      </c>
      <c r="FI70" s="59">
        <f t="shared" si="77"/>
        <v>640.78063575020951</v>
      </c>
      <c r="FJ70" s="59">
        <f ca="1">AVERAGE(OFFSET($FI$3,0,0,'Données projet'!$E$16+1,1))-AVERAGE(OFFSET($H$3,0,0,'Données projet'!$E$16+1,1))</f>
        <v>335.99493768537013</v>
      </c>
      <c r="FK70" s="59">
        <f t="shared" si="102"/>
        <v>150.85164849522778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5.4</v>
      </c>
      <c r="FZ70" s="12">
        <f>IF('Données projet'!$A$244&gt;35,FZ69+FY70-GH69,IF(A70&lt;'Données projet'!$A$244,$FW$205^A70,IF(A70='Données projet'!$A$244,'Données projet'!$B$244,FZ69+FY70-GH69)))</f>
        <v>240.8000000000001</v>
      </c>
      <c r="GA70" s="17">
        <f>FZ70*VLOOKUP('Données projet'!$B$17,Paramètres!$A$1:$I$89,3,0)*VLOOKUP('Données projet'!$B$17,Paramètres!$A$1:$I$89,5,0)</f>
        <v>210.3628800000001</v>
      </c>
      <c r="GB70" s="13">
        <f t="shared" si="103"/>
        <v>52.014876138342963</v>
      </c>
      <c r="GC70" s="20">
        <f t="shared" si="79"/>
        <v>456.97459194094745</v>
      </c>
      <c r="GD70" s="59">
        <f t="shared" si="80"/>
        <v>750.30792527428071</v>
      </c>
      <c r="GE70" s="59">
        <f ca="1">AVERAGE(OFFSET($GD$3,0,0,'Données projet'!$E$17+1,1))-AVERAGE(OFFSET($H$3,0,0,'Données projet'!$E$17+1,1))</f>
        <v>319.57811113658374</v>
      </c>
      <c r="GF70" s="59">
        <f t="shared" si="104"/>
        <v>322.03572137403245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23.424753416167604</v>
      </c>
      <c r="GM70" s="21">
        <f>EXP(-LN(2)/25)*GM69+(1-EXP(-LN(2)/25))/(LN(2)/25)*Calculateur!GH70*Calculateur!GJ70*VLOOKUP('Données projet'!$B$17,Paramètres!$A$1:$I$89,3,0)*0.475*44/12</f>
        <v>22.050008255085064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45.474761671252665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5.4683368944097308E-14</v>
      </c>
      <c r="P71" s="13">
        <f t="shared" si="87"/>
        <v>8.8129432816788268E-13</v>
      </c>
      <c r="Q71" s="20">
        <f t="shared" si="54"/>
        <v>1.6301611558033651E-12</v>
      </c>
      <c r="R71" s="59">
        <f t="shared" si="55"/>
        <v>293.33333333333496</v>
      </c>
      <c r="S71" s="59">
        <f ca="1">AVERAGE(OFFSET($R$3,0,0,'Données projet'!$E$9+1,1))-AVERAGE(OFFSET($H$3,0,0,'Données projet'!$E$9+1,1))</f>
        <v>226.41956082453015</v>
      </c>
      <c r="T71" s="59">
        <f t="shared" si="88"/>
        <v>317.95076157570446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8.9615384588888887</v>
      </c>
      <c r="AI71" s="13">
        <f>IF('Données projet'!$A$62&gt;35,AI70+AH71-AQ70,IF(A71&lt;'Données projet'!$A$62,$AF$205^A71,IF(A71='Données projet'!$A$62,'Données projet'!$B$62,AI70+AH71-AQ70)))</f>
        <v>224.5961538644446</v>
      </c>
      <c r="AJ71" s="13">
        <f>AI71*VLOOKUP('Données projet'!$B$10,Paramètres!$A$1:$I$89,3,0)*VLOOKUP('Données projet'!$B$10,Paramètres!$A$1:$I$89,5,0)</f>
        <v>192.70350001569349</v>
      </c>
      <c r="AK71" s="13">
        <f t="shared" si="89"/>
        <v>48.137165946504453</v>
      </c>
      <c r="AL71" s="20">
        <f t="shared" si="58"/>
        <v>419.46415988416135</v>
      </c>
      <c r="AM71" s="59">
        <f t="shared" si="59"/>
        <v>712.79749321749466</v>
      </c>
      <c r="AN71" s="59">
        <f ca="1">AVERAGE(OFFSET($AM$3,0,0,'Données projet'!$E$10+1,1))-AVERAGE(OFFSET($H$3,0,0,'Données projet'!$E$10+1,1))</f>
        <v>257.80662231827404</v>
      </c>
      <c r="AO71" s="59">
        <f t="shared" si="90"/>
        <v>184.04558520039876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-4.5474735088646412E-13</v>
      </c>
      <c r="BE71" s="13">
        <f>BD71*VLOOKUP('Données projet'!$B$11,Paramètres!$A$1:$I$89,3,0)*VLOOKUP('Données projet'!$B$11,Paramètres!$A$1:$I$89,5,0)</f>
        <v>-2.5420376914553347E-13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300.90952915835157</v>
      </c>
      <c r="BJ71" s="59">
        <f t="shared" si="92"/>
        <v>402.81783992925256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175.20970242026831</v>
      </c>
      <c r="BQ71" s="21">
        <f>EXP(-LN(2)/25)*BQ70+(1-EXP(-LN(2)/25))/(LN(2)/25)*Calculateur!BL71*Calculateur!BN71*VLOOKUP('Données projet'!$B$11,Paramètres!$A$1:$I$89,3,0)*0.475*44/12</f>
        <v>40.6053242289222</v>
      </c>
      <c r="BR71" s="21">
        <f>EXP(-LN(2)/2)*BR70+(1-EXP(-LN(2)/2))/(LN(2)/2)*BL71*BO71*VLOOKUP('Données projet'!$B$11,Paramètres!$A$1:$I$89,3,0)*0.475*44/12</f>
        <v>0.3717139839743514</v>
      </c>
      <c r="BS71" s="22">
        <f t="shared" si="63"/>
        <v>216.18674063316487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15.581730763750002</v>
      </c>
      <c r="BY71" s="12">
        <f>IF('Données projet'!$A$114&gt;35,BY70+BX71-CG70,IF(A71&lt;'Données projet'!$A$114,$BV$205^A71,IF(A71='Données projet'!$A$114,'Données projet'!$B$114,BY70+BX71-CG70)))</f>
        <v>345.53557695375008</v>
      </c>
      <c r="BZ71" s="13">
        <f>BY71*VLOOKUP('Données projet'!$B$12,Paramètres!$A$1:$I$89,3,0)*VLOOKUP('Données projet'!$B$12,Paramètres!$A$1:$I$89,5,0)</f>
        <v>170.69457501515257</v>
      </c>
      <c r="CA71" s="13">
        <f t="shared" si="93"/>
        <v>43.245548348355214</v>
      </c>
      <c r="CB71" s="20">
        <f t="shared" si="64"/>
        <v>372.61238152477608</v>
      </c>
      <c r="CC71" s="59">
        <f t="shared" si="65"/>
        <v>665.94571485810934</v>
      </c>
      <c r="CD71" s="59">
        <f ca="1">AVERAGE(OFFSET($CC$3,0,0,'Données projet'!$E$12+1,1))-AVERAGE(OFFSET($H$3,0,0,'Données projet'!$E$12+1,1))</f>
        <v>246.05217890269194</v>
      </c>
      <c r="CE71" s="59">
        <f t="shared" si="94"/>
        <v>155.54297071424327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56.489224947907275</v>
      </c>
      <c r="CL71" s="21">
        <f>EXP(-LN(2)/25)*CL70+(1-EXP(-LN(2)/25))/(LN(2)/25)*Calculateur!CG71*Calculateur!CI71*VLOOKUP('Données projet'!$B$12,Paramètres!$A$1:$I$89,3,0)*0.475*44/12</f>
        <v>28.434089064568912</v>
      </c>
      <c r="CM71" s="21">
        <f>EXP(-LN(2)/2)*CM70+(1-EXP(-LN(2)/2))/(LN(2)/2)*CG71*CJ71*VLOOKUP('Données projet'!$B$12,Paramètres!$A$1:$I$89,3,0)*0.475*44/12</f>
        <v>5.0714000300546385</v>
      </c>
      <c r="CN71" s="22">
        <f t="shared" si="66"/>
        <v>89.994714042530816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9.1830769260000018</v>
      </c>
      <c r="CT71" s="12">
        <f>IF('Données projet'!$A$140&gt;35,CT70+CS71-DB70,IF(A71&lt;'Données projet'!$A$140,$CQ$205^A71,IF(A71='Données projet'!$A$140,'Données projet'!$B$140,CT70+CS71-DB70)))</f>
        <v>361.62615384799994</v>
      </c>
      <c r="CU71" s="17">
        <f>CT71*VLOOKUP('Données projet'!$B$13,Paramètres!$A$1:$I$89,3,0)*VLOOKUP('Données projet'!$B$13,Paramètres!$A$1:$I$89,5,0)</f>
        <v>216.25244000110399</v>
      </c>
      <c r="CV71" s="13">
        <f t="shared" si="95"/>
        <v>53.29955939652622</v>
      </c>
      <c r="CW71" s="20">
        <f t="shared" si="67"/>
        <v>469.46973228420592</v>
      </c>
      <c r="CX71" s="59">
        <f t="shared" si="68"/>
        <v>762.80306561753923</v>
      </c>
      <c r="CY71" s="59">
        <f ca="1">AVERAGE(OFFSET($CX$3,0,0,'Données projet'!$E$13+1,1))-AVERAGE(OFFSET($H$3,0,0,'Données projet'!$E$13+1,1))</f>
        <v>237.036496933921</v>
      </c>
      <c r="CZ71" s="59">
        <f t="shared" si="96"/>
        <v>191.04289413665344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39.025031312955356</v>
      </c>
      <c r="DG71" s="21">
        <f>EXP(-LN(2)/25)*DG70+(1-EXP(-LN(2)/25))/(LN(2)/25)*Calculateur!DB71*Calculateur!DD71*VLOOKUP('Données projet'!$B$13,Paramètres!$A$1:$I$89,3,0)*0.475*44/12</f>
        <v>10.919583893300556</v>
      </c>
      <c r="DH71" s="21">
        <f>EXP(-LN(2)/2)*DH70+(1-EXP(-LN(2)/2))/(LN(2)/2)*DB71*DE71*VLOOKUP('Données projet'!$B$13,Paramètres!$A$1:$I$89,3,0)*0.475*44/12</f>
        <v>0.3084795929208462</v>
      </c>
      <c r="DI71" s="22">
        <f t="shared" si="69"/>
        <v>50.253094799176758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5.7112820500000021</v>
      </c>
      <c r="DO71" s="12">
        <f>IF('Données projet'!$A$166&gt;35,DO70+DN71-DW70,IF(A71&lt;'Données projet'!$A$166,$DL$205^A71,IF(A71='Données projet'!$A$166,'Données projet'!$B$166,DO70+DN71-DW70)))</f>
        <v>197.04410254999985</v>
      </c>
      <c r="DP71" s="17">
        <f>DO71*VLOOKUP('Données projet'!$B$14,Paramètres!$A$1:$I$89,3,0)*VLOOKUP('Données projet'!$B$14,Paramètres!$A$1:$I$89,5,0)</f>
        <v>117.83237332489992</v>
      </c>
      <c r="DQ71" s="13">
        <f t="shared" si="97"/>
        <v>31.168900863146458</v>
      </c>
      <c r="DR71" s="20">
        <f t="shared" si="70"/>
        <v>259.51055254418083</v>
      </c>
      <c r="DS71" s="59">
        <f t="shared" si="71"/>
        <v>552.84388587751414</v>
      </c>
      <c r="DT71" s="59">
        <f ca="1">AVERAGE(OFFSET($DS$3,0,0,'Données projet'!$E$14+1,1))-AVERAGE(OFFSET($H$3,0,0,'Données projet'!$E$14+1,1))</f>
        <v>148.22129593028302</v>
      </c>
      <c r="DU71" s="59">
        <f t="shared" si="98"/>
        <v>102.97015482019975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224.94575999999992</v>
      </c>
      <c r="EL71" s="13">
        <f t="shared" si="99"/>
        <v>55.188427424815572</v>
      </c>
      <c r="EM71" s="20">
        <f t="shared" si="73"/>
        <v>487.90037643155364</v>
      </c>
      <c r="EN71" s="59">
        <f t="shared" si="74"/>
        <v>781.23370976488695</v>
      </c>
      <c r="EO71" s="59">
        <f ca="1">AVERAGE(OFFSET($EN$3,0,0,'Données projet'!$E$15+1,1))-AVERAGE(OFFSET($H$3,0,0,'Données projet'!$E$15+1,1))</f>
        <v>278.53123771916404</v>
      </c>
      <c r="EP71" s="59">
        <f t="shared" si="100"/>
        <v>283.79094702030869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29.280864196827192</v>
      </c>
      <c r="EW71" s="21">
        <f>EXP(-LN(2)/25)*EW70+(1-EXP(-LN(2)/25))/(LN(2)/25)*Calculateur!ER71*Calculateur!ET71*VLOOKUP('Données projet'!$B$15,Paramètres!$A$1:$I$89,3,0)*0.475*44/12</f>
        <v>7.3892438783132146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36.670108075140405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6.6995192307692264</v>
      </c>
      <c r="FE71" s="12">
        <f>IF('Données projet'!$A$218&gt;35,FE70+FD71-FM70,IF(A71&lt;'Données projet'!$A$218,$FB$205^A71,IF(A71='Données projet'!$A$218,'Données projet'!$B$218,FE70+FD71-FM70)))</f>
        <v>182.31570512820528</v>
      </c>
      <c r="FF71" s="17">
        <f>FE71*VLOOKUP('Données projet'!$B$16,Paramètres!$A$1:$I$89,3,0)*VLOOKUP('Données projet'!$B$16,Paramètres!$A$1:$I$89,5,0)</f>
        <v>164.95925000000014</v>
      </c>
      <c r="FG71" s="13">
        <f t="shared" si="101"/>
        <v>41.959093163339809</v>
      </c>
      <c r="FH71" s="20">
        <f t="shared" si="76"/>
        <v>360.38278100948378</v>
      </c>
      <c r="FI71" s="59">
        <f t="shared" si="77"/>
        <v>653.71611434281704</v>
      </c>
      <c r="FJ71" s="59">
        <f ca="1">AVERAGE(OFFSET($FI$3,0,0,'Données projet'!$E$16+1,1))-AVERAGE(OFFSET($H$3,0,0,'Données projet'!$E$16+1,1))</f>
        <v>335.99493768537013</v>
      </c>
      <c r="FK71" s="59">
        <f t="shared" si="102"/>
        <v>150.85164849522778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5.4</v>
      </c>
      <c r="FZ71" s="12">
        <f>IF('Données projet'!$A$244&gt;35,FZ70+FY71-GH70,IF(A71&lt;'Données projet'!$A$244,$FW$205^A71,IF(A71='Données projet'!$A$244,'Données projet'!$B$244,FZ70+FY71-GH70)))</f>
        <v>246.2000000000001</v>
      </c>
      <c r="GA71" s="17">
        <f>FZ71*VLOOKUP('Données projet'!$B$17,Paramètres!$A$1:$I$89,3,0)*VLOOKUP('Données projet'!$B$17,Paramètres!$A$1:$I$89,5,0)</f>
        <v>215.08032000000011</v>
      </c>
      <c r="GB71" s="13">
        <f t="shared" si="103"/>
        <v>53.044214230061506</v>
      </c>
      <c r="GC71" s="20">
        <f t="shared" si="79"/>
        <v>466.983563784024</v>
      </c>
      <c r="GD71" s="59">
        <f t="shared" si="80"/>
        <v>760.31689711735726</v>
      </c>
      <c r="GE71" s="59">
        <f ca="1">AVERAGE(OFFSET($GD$3,0,0,'Données projet'!$E$17+1,1))-AVERAGE(OFFSET($H$3,0,0,'Données projet'!$E$17+1,1))</f>
        <v>319.57811113658374</v>
      </c>
      <c r="GF71" s="59">
        <f t="shared" si="104"/>
        <v>322.03572137403245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22.96540828936535</v>
      </c>
      <c r="GM71" s="21">
        <f>EXP(-LN(2)/25)*GM70+(1-EXP(-LN(2)/25))/(LN(2)/25)*Calculateur!GH71*Calculateur!GJ71*VLOOKUP('Données projet'!$B$17,Paramètres!$A$1:$I$89,3,0)*0.475*44/12</f>
        <v>21.447049619790224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44.412457909155577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5.4683368944097308E-14</v>
      </c>
      <c r="P72" s="13">
        <f t="shared" si="87"/>
        <v>8.8129432816788268E-13</v>
      </c>
      <c r="Q72" s="20">
        <f t="shared" si="54"/>
        <v>1.6301611558033651E-12</v>
      </c>
      <c r="R72" s="59">
        <f t="shared" si="55"/>
        <v>293.33333333333496</v>
      </c>
      <c r="S72" s="59">
        <f ca="1">AVERAGE(OFFSET($R$3,0,0,'Données projet'!$E$9+1,1))-AVERAGE(OFFSET($H$3,0,0,'Données projet'!$E$9+1,1))</f>
        <v>226.41956082453015</v>
      </c>
      <c r="T72" s="59">
        <f t="shared" si="88"/>
        <v>317.95076157570446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8.9615384588888887</v>
      </c>
      <c r="AI72" s="13">
        <f>IF('Données projet'!$A$62&gt;35,AI71+AH72-AQ71,IF(A72&lt;'Données projet'!$A$62,$AF$205^A72,IF(A72='Données projet'!$A$62,'Données projet'!$B$62,AI71+AH72-AQ71)))</f>
        <v>233.5576923233335</v>
      </c>
      <c r="AJ72" s="13">
        <f>AI72*VLOOKUP('Données projet'!$B$10,Paramètres!$A$1:$I$89,3,0)*VLOOKUP('Données projet'!$B$10,Paramètres!$A$1:$I$89,5,0)</f>
        <v>200.39250001342015</v>
      </c>
      <c r="AK72" s="13">
        <f t="shared" si="89"/>
        <v>49.830417503368253</v>
      </c>
      <c r="AL72" s="20">
        <f t="shared" si="58"/>
        <v>435.80491467507318</v>
      </c>
      <c r="AM72" s="59">
        <f t="shared" si="59"/>
        <v>729.13824800840644</v>
      </c>
      <c r="AN72" s="59">
        <f ca="1">AVERAGE(OFFSET($AM$3,0,0,'Données projet'!$E$10+1,1))-AVERAGE(OFFSET($H$3,0,0,'Données projet'!$E$10+1,1))</f>
        <v>257.80662231827404</v>
      </c>
      <c r="AO72" s="59">
        <f t="shared" si="90"/>
        <v>184.04558520039876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-4.5474735088646412E-13</v>
      </c>
      <c r="BE72" s="13">
        <f>BD72*VLOOKUP('Données projet'!$B$11,Paramètres!$A$1:$I$89,3,0)*VLOOKUP('Données projet'!$B$11,Paramètres!$A$1:$I$89,5,0)</f>
        <v>-2.5420376914553347E-13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300.90952915835157</v>
      </c>
      <c r="BJ72" s="59">
        <f t="shared" si="92"/>
        <v>402.81783992925256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171.77394702317306</v>
      </c>
      <c r="BQ72" s="21">
        <f>EXP(-LN(2)/25)*BQ71+(1-EXP(-LN(2)/25))/(LN(2)/25)*Calculateur!BL72*Calculateur!BN72*VLOOKUP('Données projet'!$B$11,Paramètres!$A$1:$I$89,3,0)*0.475*44/12</f>
        <v>39.494969502541124</v>
      </c>
      <c r="BR72" s="21">
        <f>EXP(-LN(2)/2)*BR71+(1-EXP(-LN(2)/2))/(LN(2)/2)*BL72*BO72*VLOOKUP('Données projet'!$B$11,Paramètres!$A$1:$I$89,3,0)*0.475*44/12</f>
        <v>0.26284147873013153</v>
      </c>
      <c r="BS72" s="22">
        <f t="shared" si="63"/>
        <v>211.53175800444433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15.581730763750002</v>
      </c>
      <c r="BY72" s="12">
        <f>IF('Données projet'!$A$114&gt;35,BY71+BX72-CG71,IF(A72&lt;'Données projet'!$A$114,$BV$205^A72,IF(A72='Données projet'!$A$114,'Données projet'!$B$114,BY71+BX72-CG71)))</f>
        <v>361.11730771750007</v>
      </c>
      <c r="BZ72" s="13">
        <f>BY72*VLOOKUP('Données projet'!$B$12,Paramètres!$A$1:$I$89,3,0)*VLOOKUP('Données projet'!$B$12,Paramètres!$A$1:$I$89,5,0)</f>
        <v>178.39195001244505</v>
      </c>
      <c r="CA72" s="13">
        <f t="shared" si="93"/>
        <v>44.964238036417889</v>
      </c>
      <c r="CB72" s="20">
        <f t="shared" si="64"/>
        <v>389.0120275184363</v>
      </c>
      <c r="CC72" s="59">
        <f t="shared" si="65"/>
        <v>682.34536085176956</v>
      </c>
      <c r="CD72" s="59">
        <f ca="1">AVERAGE(OFFSET($CC$3,0,0,'Données projet'!$E$12+1,1))-AVERAGE(OFFSET($H$3,0,0,'Données projet'!$E$12+1,1))</f>
        <v>246.05217890269194</v>
      </c>
      <c r="CE72" s="59">
        <f t="shared" si="94"/>
        <v>155.54297071424327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55.38150570170388</v>
      </c>
      <c r="CL72" s="21">
        <f>EXP(-LN(2)/25)*CL71+(1-EXP(-LN(2)/25))/(LN(2)/25)*Calculateur!CG72*Calculateur!CI72*VLOOKUP('Données projet'!$B$12,Paramètres!$A$1:$I$89,3,0)*0.475*44/12</f>
        <v>27.656557403814517</v>
      </c>
      <c r="CM72" s="21">
        <f>EXP(-LN(2)/2)*CM71+(1-EXP(-LN(2)/2))/(LN(2)/2)*CG72*CJ72*VLOOKUP('Données projet'!$B$12,Paramètres!$A$1:$I$89,3,0)*0.475*44/12</f>
        <v>3.5860213513612962</v>
      </c>
      <c r="CN72" s="22">
        <f t="shared" si="66"/>
        <v>86.6240844568797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9.1830769260000018</v>
      </c>
      <c r="CT72" s="12">
        <f>IF('Données projet'!$A$140&gt;35,CT71+CS72-DB71,IF(A72&lt;'Données projet'!$A$140,$CQ$205^A72,IF(A72='Données projet'!$A$140,'Données projet'!$B$140,CT71+CS72-DB71)))</f>
        <v>370.80923077399996</v>
      </c>
      <c r="CU72" s="17">
        <f>CT72*VLOOKUP('Données projet'!$B$13,Paramètres!$A$1:$I$89,3,0)*VLOOKUP('Données projet'!$B$13,Paramètres!$A$1:$I$89,5,0)</f>
        <v>221.74392000285201</v>
      </c>
      <c r="CV72" s="13">
        <f t="shared" si="95"/>
        <v>54.493743765400303</v>
      </c>
      <c r="CW72" s="20">
        <f t="shared" si="67"/>
        <v>481.11393106303944</v>
      </c>
      <c r="CX72" s="59">
        <f t="shared" si="68"/>
        <v>774.4472643963727</v>
      </c>
      <c r="CY72" s="59">
        <f ca="1">AVERAGE(OFFSET($CX$3,0,0,'Données projet'!$E$13+1,1))-AVERAGE(OFFSET($H$3,0,0,'Données projet'!$E$13+1,1))</f>
        <v>237.036496933921</v>
      </c>
      <c r="CZ72" s="59">
        <f t="shared" si="96"/>
        <v>191.04289413665344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38.259774251827061</v>
      </c>
      <c r="DG72" s="21">
        <f>EXP(-LN(2)/25)*DG71+(1-EXP(-LN(2)/25))/(LN(2)/25)*Calculateur!DB72*Calculateur!DD72*VLOOKUP('Données projet'!$B$13,Paramètres!$A$1:$I$89,3,0)*0.475*44/12</f>
        <v>10.620987297502293</v>
      </c>
      <c r="DH72" s="21">
        <f>EXP(-LN(2)/2)*DH71+(1-EXP(-LN(2)/2))/(LN(2)/2)*DB72*DE72*VLOOKUP('Données projet'!$B$13,Paramètres!$A$1:$I$89,3,0)*0.475*44/12</f>
        <v>0.21812801201199605</v>
      </c>
      <c r="DI72" s="22">
        <f t="shared" si="69"/>
        <v>49.098889561341345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5.7112820500000021</v>
      </c>
      <c r="DO72" s="12">
        <f>IF('Données projet'!$A$166&gt;35,DO71+DN72-DW71,IF(A72&lt;'Données projet'!$A$166,$DL$205^A72,IF(A72='Données projet'!$A$166,'Données projet'!$B$166,DO71+DN72-DW71)))</f>
        <v>202.75538459999984</v>
      </c>
      <c r="DP72" s="17">
        <f>DO72*VLOOKUP('Données projet'!$B$14,Paramètres!$A$1:$I$89,3,0)*VLOOKUP('Données projet'!$B$14,Paramètres!$A$1:$I$89,5,0)</f>
        <v>121.24771999079992</v>
      </c>
      <c r="DQ72" s="13">
        <f t="shared" si="97"/>
        <v>31.965834066631189</v>
      </c>
      <c r="DR72" s="20">
        <f t="shared" si="70"/>
        <v>266.84693998335916</v>
      </c>
      <c r="DS72" s="59">
        <f t="shared" si="71"/>
        <v>560.18027331669248</v>
      </c>
      <c r="DT72" s="59">
        <f ca="1">AVERAGE(OFFSET($DS$3,0,0,'Données projet'!$E$14+1,1))-AVERAGE(OFFSET($H$3,0,0,'Données projet'!$E$14+1,1))</f>
        <v>148.22129593028302</v>
      </c>
      <c r="DU72" s="59">
        <f t="shared" si="98"/>
        <v>102.97015482019975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228.31847999999994</v>
      </c>
      <c r="EL72" s="13">
        <f t="shared" si="99"/>
        <v>55.918942466546987</v>
      </c>
      <c r="EM72" s="20">
        <f t="shared" si="73"/>
        <v>495.04684412923598</v>
      </c>
      <c r="EN72" s="59">
        <f t="shared" si="74"/>
        <v>788.38017746256924</v>
      </c>
      <c r="EO72" s="59">
        <f ca="1">AVERAGE(OFFSET($EN$3,0,0,'Données projet'!$E$15+1,1))-AVERAGE(OFFSET($H$3,0,0,'Données projet'!$E$15+1,1))</f>
        <v>278.53123771916404</v>
      </c>
      <c r="EP72" s="59">
        <f t="shared" si="100"/>
        <v>283.79094702030869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28.706684309491084</v>
      </c>
      <c r="EW72" s="21">
        <f>EXP(-LN(2)/25)*EW71+(1-EXP(-LN(2)/25))/(LN(2)/25)*Calculateur!ER72*Calculateur!ET72*VLOOKUP('Données projet'!$B$15,Paramètres!$A$1:$I$89,3,0)*0.475*44/12</f>
        <v>7.1871846158772925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35.89386892536838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6.6995192307692264</v>
      </c>
      <c r="FE72" s="12">
        <f>IF('Données projet'!$A$218&gt;35,FE71+FD72-FM71,IF(A72&lt;'Données projet'!$A$218,$FB$205^A72,IF(A72='Données projet'!$A$218,'Données projet'!$B$218,FE71+FD72-FM71)))</f>
        <v>189.01522435897451</v>
      </c>
      <c r="FF72" s="17">
        <f>FE72*VLOOKUP('Données projet'!$B$16,Paramètres!$A$1:$I$89,3,0)*VLOOKUP('Données projet'!$B$16,Paramètres!$A$1:$I$89,5,0)</f>
        <v>171.02097500000013</v>
      </c>
      <c r="FG72" s="13">
        <f t="shared" si="101"/>
        <v>43.318608274033679</v>
      </c>
      <c r="FH72" s="20">
        <f t="shared" si="76"/>
        <v>373.30810753560894</v>
      </c>
      <c r="FI72" s="59">
        <f t="shared" si="77"/>
        <v>666.64144086894225</v>
      </c>
      <c r="FJ72" s="59">
        <f ca="1">AVERAGE(OFFSET($FI$3,0,0,'Données projet'!$E$16+1,1))-AVERAGE(OFFSET($H$3,0,0,'Données projet'!$E$16+1,1))</f>
        <v>335.99493768537013</v>
      </c>
      <c r="FK72" s="59">
        <f t="shared" si="102"/>
        <v>150.85164849522778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5.4</v>
      </c>
      <c r="FZ72" s="12">
        <f>IF('Données projet'!$A$244&gt;35,FZ71+FY72-GH71,IF(A72&lt;'Données projet'!$A$244,$FW$205^A72,IF(A72='Données projet'!$A$244,'Données projet'!$B$244,FZ71+FY72-GH71)))</f>
        <v>251.60000000000011</v>
      </c>
      <c r="GA72" s="17">
        <f>FZ72*VLOOKUP('Données projet'!$B$17,Paramètres!$A$1:$I$89,3,0)*VLOOKUP('Données projet'!$B$17,Paramètres!$A$1:$I$89,5,0)</f>
        <v>219.79776000000012</v>
      </c>
      <c r="GB72" s="13">
        <f t="shared" si="103"/>
        <v>54.070927503307431</v>
      </c>
      <c r="GC72" s="20">
        <f t="shared" si="79"/>
        <v>476.98796406826068</v>
      </c>
      <c r="GD72" s="59">
        <f t="shared" si="80"/>
        <v>770.32129740159394</v>
      </c>
      <c r="GE72" s="59">
        <f ca="1">AVERAGE(OFFSET($GD$3,0,0,'Données projet'!$E$17+1,1))-AVERAGE(OFFSET($H$3,0,0,'Données projet'!$E$17+1,1))</f>
        <v>319.57811113658374</v>
      </c>
      <c r="GF72" s="59">
        <f t="shared" si="104"/>
        <v>322.03572137403245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22.515070640326826</v>
      </c>
      <c r="GM72" s="21">
        <f>EXP(-LN(2)/25)*GM71+(1-EXP(-LN(2)/25))/(LN(2)/25)*Calculateur!GH72*Calculateur!GJ72*VLOOKUP('Données projet'!$B$17,Paramètres!$A$1:$I$89,3,0)*0.475*44/12</f>
        <v>20.860578920085739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43.375649560412569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5.4683368944097308E-14</v>
      </c>
      <c r="P73" s="13">
        <f t="shared" si="87"/>
        <v>8.8129432816788268E-13</v>
      </c>
      <c r="Q73" s="20">
        <f t="shared" si="54"/>
        <v>1.6301611558033651E-12</v>
      </c>
      <c r="R73" s="59">
        <f t="shared" si="55"/>
        <v>293.33333333333496</v>
      </c>
      <c r="S73" s="59">
        <f ca="1">AVERAGE(OFFSET($R$3,0,0,'Données projet'!$E$9+1,1))-AVERAGE(OFFSET($H$3,0,0,'Données projet'!$E$9+1,1))</f>
        <v>226.41956082453015</v>
      </c>
      <c r="T73" s="59">
        <f t="shared" si="88"/>
        <v>317.95076157570446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8.9615384588888887</v>
      </c>
      <c r="AI73" s="13">
        <f>IF('Données projet'!$A$62&gt;35,AI72+AH73-AQ72,IF(A73&lt;'Données projet'!$A$62,$AF$205^A73,IF(A73='Données projet'!$A$62,'Données projet'!$B$62,AI72+AH73-AQ72)))</f>
        <v>242.51923078222239</v>
      </c>
      <c r="AJ73" s="13">
        <f>AI73*VLOOKUP('Données projet'!$B$10,Paramètres!$A$1:$I$89,3,0)*VLOOKUP('Données projet'!$B$10,Paramètres!$A$1:$I$89,5,0)</f>
        <v>208.08150001114683</v>
      </c>
      <c r="AK73" s="13">
        <f t="shared" si="89"/>
        <v>51.516121510887096</v>
      </c>
      <c r="AL73" s="20">
        <f t="shared" si="58"/>
        <v>452.13252415087572</v>
      </c>
      <c r="AM73" s="59">
        <f t="shared" si="59"/>
        <v>745.46585748420898</v>
      </c>
      <c r="AN73" s="59">
        <f ca="1">AVERAGE(OFFSET($AM$3,0,0,'Données projet'!$E$10+1,1))-AVERAGE(OFFSET($H$3,0,0,'Données projet'!$E$10+1,1))</f>
        <v>257.80662231827404</v>
      </c>
      <c r="AO73" s="59">
        <f t="shared" si="90"/>
        <v>184.04558520039876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-4.5474735088646412E-13</v>
      </c>
      <c r="BE73" s="13">
        <f>BD73*VLOOKUP('Données projet'!$B$11,Paramètres!$A$1:$I$89,3,0)*VLOOKUP('Données projet'!$B$11,Paramètres!$A$1:$I$89,5,0)</f>
        <v>-2.5420376914553347E-13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300.90952915835157</v>
      </c>
      <c r="BJ73" s="59">
        <f t="shared" si="92"/>
        <v>402.81783992925256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168.40556469381096</v>
      </c>
      <c r="BQ73" s="21">
        <f>EXP(-LN(2)/25)*BQ72+(1-EXP(-LN(2)/25))/(LN(2)/25)*Calculateur!BL73*Calculateur!BN73*VLOOKUP('Données projet'!$B$11,Paramètres!$A$1:$I$89,3,0)*0.475*44/12</f>
        <v>38.414977484543961</v>
      </c>
      <c r="BR73" s="21">
        <f>EXP(-LN(2)/2)*BR72+(1-EXP(-LN(2)/2))/(LN(2)/2)*BL73*BO73*VLOOKUP('Données projet'!$B$11,Paramètres!$A$1:$I$89,3,0)*0.475*44/12</f>
        <v>0.1858569919871757</v>
      </c>
      <c r="BS73" s="22">
        <f t="shared" si="63"/>
        <v>207.00639917034209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15.581730763750002</v>
      </c>
      <c r="BY73" s="12">
        <f>IF('Données projet'!$A$114&gt;35,BY72+BX73-CG72,IF(A73&lt;'Données projet'!$A$114,$BV$205^A73,IF(A73='Données projet'!$A$114,'Données projet'!$B$114,BY72+BX73-CG72)))</f>
        <v>376.69903848125006</v>
      </c>
      <c r="BZ73" s="13">
        <f>BY73*VLOOKUP('Données projet'!$B$12,Paramètres!$A$1:$I$89,3,0)*VLOOKUP('Données projet'!$B$12,Paramètres!$A$1:$I$89,5,0)</f>
        <v>186.08932500973756</v>
      </c>
      <c r="CA73" s="13">
        <f t="shared" si="93"/>
        <v>46.674314415791478</v>
      </c>
      <c r="CB73" s="20">
        <f t="shared" si="64"/>
        <v>405.39667199946308</v>
      </c>
      <c r="CC73" s="59">
        <f t="shared" si="65"/>
        <v>698.7300053327964</v>
      </c>
      <c r="CD73" s="59">
        <f ca="1">AVERAGE(OFFSET($CC$3,0,0,'Données projet'!$E$12+1,1))-AVERAGE(OFFSET($H$3,0,0,'Données projet'!$E$12+1,1))</f>
        <v>246.05217890269194</v>
      </c>
      <c r="CE73" s="59">
        <f t="shared" si="94"/>
        <v>155.54297071424327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54.295508154276504</v>
      </c>
      <c r="CL73" s="21">
        <f>EXP(-LN(2)/25)*CL72+(1-EXP(-LN(2)/25))/(LN(2)/25)*Calculateur!CG73*Calculateur!CI73*VLOOKUP('Données projet'!$B$12,Paramètres!$A$1:$I$89,3,0)*0.475*44/12</f>
        <v>26.900287387212064</v>
      </c>
      <c r="CM73" s="21">
        <f>EXP(-LN(2)/2)*CM72+(1-EXP(-LN(2)/2))/(LN(2)/2)*CG73*CJ73*VLOOKUP('Données projet'!$B$12,Paramètres!$A$1:$I$89,3,0)*0.475*44/12</f>
        <v>2.5357000150273197</v>
      </c>
      <c r="CN73" s="22">
        <f t="shared" si="66"/>
        <v>83.731495556515881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379.99230770000003</v>
      </c>
      <c r="CR73" s="12">
        <f>VLOOKUP(A73,'Données projet'!$A$139:$I$159,9,0)</f>
        <v>9.1830769260000018</v>
      </c>
      <c r="CS73" s="12">
        <f t="array" ref="CS73">INDEX(CR:CR,MIN(IF(ISNUMBER(CR73:CR269),ROW(CR73:CR269),"")))</f>
        <v>9.1830769260000018</v>
      </c>
      <c r="CT73" s="12">
        <f>IF('Données projet'!$A$140&gt;35,CT72+CS73-DB72,IF(A73&lt;'Données projet'!$A$140,$CQ$205^A73,IF(A73='Données projet'!$A$140,'Données projet'!$B$140,CT72+CS73-DB72)))</f>
        <v>379.99230769999997</v>
      </c>
      <c r="CU73" s="17">
        <f>CT73*VLOOKUP('Données projet'!$B$13,Paramètres!$A$1:$I$89,3,0)*VLOOKUP('Données projet'!$B$13,Paramètres!$A$1:$I$89,5,0)</f>
        <v>227.23540000460002</v>
      </c>
      <c r="CV73" s="13">
        <f t="shared" si="95"/>
        <v>55.684490314077429</v>
      </c>
      <c r="CW73" s="20">
        <f t="shared" si="67"/>
        <v>492.75214230502996</v>
      </c>
      <c r="CX73" s="59">
        <f t="shared" si="68"/>
        <v>786.08547563836328</v>
      </c>
      <c r="CY73" s="59">
        <f ca="1">AVERAGE(OFFSET($CX$3,0,0,'Données projet'!$E$13+1,1))-AVERAGE(OFFSET($H$3,0,0,'Données projet'!$E$13+1,1))</f>
        <v>237.036496933921</v>
      </c>
      <c r="CZ73" s="59">
        <f t="shared" si="96"/>
        <v>191.04289413665344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52.669230769999999</v>
      </c>
      <c r="DC73" s="16">
        <f>IF(ISNA(VLOOKUP(A73,'Données projet'!$A$139:$I$159,5,0)),0%,VLOOKUP(A73,'Données projet'!$A$139:$I$159,5,0)*VLOOKUP('Données projet'!$B$13,Paramètres!$A$1:$I$89,7,0))</f>
        <v>0.315</v>
      </c>
      <c r="DD73" s="16">
        <f>IF(ISNA(VLOOKUP(A73,'Données projet'!$A$139:$I$159,6,0)),0%,VLOOKUP(A73,'Données projet'!$A$139:$I$159,6,0)*VLOOKUP('Données projet'!$B$13,Paramètres!$A$1:$I$89,7,0))</f>
        <v>7.6500000000000012E-2</v>
      </c>
      <c r="DE73" s="16">
        <f>IF(ISNA(VLOOKUP(A73,'Données projet'!$A$139:$I$159,7,0)),0%,VLOOKUP(A73,'Données projet'!$A$139:$I$159,7,0))</f>
        <v>0.13</v>
      </c>
      <c r="DF73" s="21">
        <f>EXP(-LN(2)/35)*DF72+(1-EXP(-LN(2)/35))/(LN(2)/35)*DB73*DC73*VLOOKUP('Données projet'!$B$13,Paramètres!$A$1:$I$89,3,0)*0.475*44/12</f>
        <v>50.670771326544667</v>
      </c>
      <c r="DG73" s="21">
        <f>EXP(-LN(2)/25)*DG72+(1-EXP(-LN(2)/25))/(LN(2)/25)*Calculateur!DB73*Calculateur!DD73*VLOOKUP('Données projet'!$B$13,Paramètres!$A$1:$I$89,3,0)*0.475*44/12</f>
        <v>13.514273842522643</v>
      </c>
      <c r="DH73" s="21">
        <f>EXP(-LN(2)/2)*DH72+(1-EXP(-LN(2)/2))/(LN(2)/2)*DB73*DE73*VLOOKUP('Données projet'!$B$13,Paramètres!$A$1:$I$89,3,0)*0.475*44/12</f>
        <v>4.7901717321440307</v>
      </c>
      <c r="DI73" s="22">
        <f t="shared" si="69"/>
        <v>68.97521690121134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5.7112820500000021</v>
      </c>
      <c r="DO73" s="12">
        <f>IF('Données projet'!$A$166&gt;35,DO72+DN73-DW72,IF(A73&lt;'Données projet'!$A$166,$DL$205^A73,IF(A73='Données projet'!$A$166,'Données projet'!$B$166,DO72+DN73-DW72)))</f>
        <v>208.46666664999984</v>
      </c>
      <c r="DP73" s="17">
        <f>DO73*VLOOKUP('Données projet'!$B$14,Paramètres!$A$1:$I$89,3,0)*VLOOKUP('Données projet'!$B$14,Paramètres!$A$1:$I$89,5,0)</f>
        <v>124.66306665669991</v>
      </c>
      <c r="DQ73" s="13">
        <f t="shared" si="97"/>
        <v>32.760158204400241</v>
      </c>
      <c r="DR73" s="20">
        <f t="shared" si="70"/>
        <v>274.17878329974945</v>
      </c>
      <c r="DS73" s="59">
        <f t="shared" si="71"/>
        <v>567.51211663308277</v>
      </c>
      <c r="DT73" s="59">
        <f ca="1">AVERAGE(OFFSET($DS$3,0,0,'Données projet'!$E$14+1,1))-AVERAGE(OFFSET($H$3,0,0,'Données projet'!$E$14+1,1))</f>
        <v>148.22129593028302</v>
      </c>
      <c r="DU73" s="59">
        <f t="shared" si="98"/>
        <v>102.97015482019975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231.69119999999992</v>
      </c>
      <c r="EL73" s="13">
        <f t="shared" si="99"/>
        <v>56.648202447537749</v>
      </c>
      <c r="EM73" s="20">
        <f t="shared" si="73"/>
        <v>502.19112592946141</v>
      </c>
      <c r="EN73" s="59">
        <f t="shared" si="74"/>
        <v>795.52445926279472</v>
      </c>
      <c r="EO73" s="59">
        <f ca="1">AVERAGE(OFFSET($EN$3,0,0,'Données projet'!$E$15+1,1))-AVERAGE(OFFSET($H$3,0,0,'Données projet'!$E$15+1,1))</f>
        <v>278.53123771916404</v>
      </c>
      <c r="EP73" s="59">
        <f t="shared" si="100"/>
        <v>283.79094702030869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0.39560000000000001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32.312161960886947</v>
      </c>
      <c r="EW73" s="21">
        <f>EXP(-LN(2)/25)*EW72+(1-EXP(-LN(2)/25))/(LN(2)/25)*Calculateur!ER73*Calculateur!ET73*VLOOKUP('Données projet'!$B$15,Paramètres!$A$1:$I$89,3,0)*0.475*44/12</f>
        <v>6.9906506745985153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39.302812635485459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6.6995192307692264</v>
      </c>
      <c r="FE73" s="12">
        <f>IF('Données projet'!$A$218&gt;35,FE72+FD73-FM72,IF(A73&lt;'Données projet'!$A$218,$FB$205^A73,IF(A73='Données projet'!$A$218,'Données projet'!$B$218,FE72+FD73-FM72)))</f>
        <v>195.71474358974373</v>
      </c>
      <c r="FF73" s="17">
        <f>FE73*VLOOKUP('Données projet'!$B$16,Paramètres!$A$1:$I$89,3,0)*VLOOKUP('Données projet'!$B$16,Paramètres!$A$1:$I$89,5,0)</f>
        <v>177.08270000000013</v>
      </c>
      <c r="FG73" s="13">
        <f t="shared" si="101"/>
        <v>44.672524721320137</v>
      </c>
      <c r="FH73" s="20">
        <f t="shared" si="76"/>
        <v>386.22368305629948</v>
      </c>
      <c r="FI73" s="59">
        <f t="shared" si="77"/>
        <v>679.55701638963274</v>
      </c>
      <c r="FJ73" s="59">
        <f ca="1">AVERAGE(OFFSET($FI$3,0,0,'Données projet'!$E$16+1,1))-AVERAGE(OFFSET($H$3,0,0,'Données projet'!$E$16+1,1))</f>
        <v>335.99493768537013</v>
      </c>
      <c r="FK73" s="59">
        <f t="shared" si="102"/>
        <v>150.85164849522778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257</v>
      </c>
      <c r="FX73" s="12">
        <f>VLOOKUP(A73,'Données projet'!$A$243:$I$263,9,0)</f>
        <v>5.4</v>
      </c>
      <c r="FY73" s="12">
        <f t="array" ref="FY73">INDEX(FX:FX,MIN(IF(ISNUMBER(FX73:FX269),ROW(FX73:FX269),"")))</f>
        <v>5.4</v>
      </c>
      <c r="FZ73" s="12">
        <f>IF('Données projet'!$A$244&gt;35,FZ72+FY73-GH72,IF(A73&lt;'Données projet'!$A$244,$FW$205^A73,IF(A73='Données projet'!$A$244,'Données projet'!$B$244,FZ72+FY73-GH72)))</f>
        <v>257.00000000000011</v>
      </c>
      <c r="GA73" s="17">
        <f>FZ73*VLOOKUP('Données projet'!$B$17,Paramètres!$A$1:$I$89,3,0)*VLOOKUP('Données projet'!$B$17,Paramètres!$A$1:$I$89,5,0)</f>
        <v>224.51520000000014</v>
      </c>
      <c r="GB73" s="13">
        <f t="shared" si="103"/>
        <v>55.095078782313593</v>
      </c>
      <c r="GC73" s="20">
        <f t="shared" si="79"/>
        <v>486.98790221252966</v>
      </c>
      <c r="GD73" s="59">
        <f t="shared" si="80"/>
        <v>780.32123554586292</v>
      </c>
      <c r="GE73" s="59">
        <f ca="1">AVERAGE(OFFSET($GD$3,0,0,'Données projet'!$E$17+1,1))-AVERAGE(OFFSET($H$3,0,0,'Données projet'!$E$17+1,1))</f>
        <v>319.57811113658374</v>
      </c>
      <c r="GF73" s="59">
        <f t="shared" si="104"/>
        <v>322.03572137403245</v>
      </c>
      <c r="GG73" s="15">
        <f>IF(ISNA(VLOOKUP(A73,'Données projet'!$A$243:$I$263,3,0)),0,VLOOKUP(A73,'Données projet'!$A$243:$I$263,3,0))</f>
        <v>11</v>
      </c>
      <c r="GH73" s="15" t="str">
        <f>IF(ISNA(VLOOKUP(A73,'Données projet'!$A$243:$I$263,4,0)),0,VLOOKUP(A73,'Données projet'!$A$243:$I$263,4,0))</f>
        <v>21</v>
      </c>
      <c r="GI73" s="16">
        <f>IF(ISNA(VLOOKUP(A73,'Données projet'!$A$243:$I$263,5,0)),0%,VLOOKUP(A73,'Données projet'!$A$243:$I$263,5,0)*VLOOKUP('Données projet'!$B$17,Paramètres!$A$1:$I$89,7,0))</f>
        <v>0.25800000000000001</v>
      </c>
      <c r="GJ73" s="16">
        <f>IF(ISNA(VLOOKUP(A73,'Données projet'!$A$243:$I$263,6,0)),0%,VLOOKUP(A73,'Données projet'!$A$243:$I$263,6,0)*VLOOKUP('Données projet'!$B$17,Paramètres!$A$1:$I$89,7,0))</f>
        <v>0.129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27.305937325755103</v>
      </c>
      <c r="GM73" s="21">
        <f>EXP(-LN(2)/25)*GM72+(1-EXP(-LN(2)/25))/(LN(2)/25)*Calculateur!GH73*Calculateur!GJ73*VLOOKUP('Données projet'!$B$17,Paramètres!$A$1:$I$89,3,0)*0.475*44/12</f>
        <v>22.896031112373699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50.201968438128802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5.4683368944097308E-14</v>
      </c>
      <c r="P74" s="13">
        <f t="shared" si="87"/>
        <v>8.8129432816788268E-13</v>
      </c>
      <c r="Q74" s="20">
        <f t="shared" si="54"/>
        <v>1.6301611558033651E-12</v>
      </c>
      <c r="R74" s="59">
        <f t="shared" si="55"/>
        <v>293.33333333333496</v>
      </c>
      <c r="S74" s="59">
        <f ca="1">AVERAGE(OFFSET($R$3,0,0,'Données projet'!$E$9+1,1))-AVERAGE(OFFSET($H$3,0,0,'Données projet'!$E$9+1,1))</f>
        <v>226.41956082453015</v>
      </c>
      <c r="T74" s="59">
        <f t="shared" si="88"/>
        <v>317.95076157570446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8.9615384588888887</v>
      </c>
      <c r="AI74" s="13">
        <f>IF('Données projet'!$A$62&gt;35,AI73+AH74-AQ73,IF(A74&lt;'Données projet'!$A$62,$AF$205^A74,IF(A74='Données projet'!$A$62,'Données projet'!$B$62,AI73+AH74-AQ73)))</f>
        <v>251.48076924111129</v>
      </c>
      <c r="AJ74" s="13">
        <f>AI74*VLOOKUP('Données projet'!$B$10,Paramètres!$A$1:$I$89,3,0)*VLOOKUP('Données projet'!$B$10,Paramètres!$A$1:$I$89,5,0)</f>
        <v>215.77050000887351</v>
      </c>
      <c r="AK74" s="13">
        <f t="shared" si="89"/>
        <v>53.194588803887733</v>
      </c>
      <c r="AL74" s="20">
        <f t="shared" si="58"/>
        <v>468.44752968222582</v>
      </c>
      <c r="AM74" s="59">
        <f t="shared" si="59"/>
        <v>761.78086301555913</v>
      </c>
      <c r="AN74" s="59">
        <f ca="1">AVERAGE(OFFSET($AM$3,0,0,'Données projet'!$E$10+1,1))-AVERAGE(OFFSET($H$3,0,0,'Données projet'!$E$10+1,1))</f>
        <v>257.80662231827404</v>
      </c>
      <c r="AO74" s="59">
        <f t="shared" si="90"/>
        <v>184.04558520039876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-4.5474735088646412E-13</v>
      </c>
      <c r="BE74" s="13">
        <f>BD74*VLOOKUP('Données projet'!$B$11,Paramètres!$A$1:$I$89,3,0)*VLOOKUP('Données projet'!$B$11,Paramètres!$A$1:$I$89,5,0)</f>
        <v>-2.5420376914553347E-13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300.90952915835157</v>
      </c>
      <c r="BJ74" s="59">
        <f t="shared" si="92"/>
        <v>402.81783992925256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165.10323428741731</v>
      </c>
      <c r="BQ74" s="21">
        <f>EXP(-LN(2)/25)*BQ73+(1-EXP(-LN(2)/25))/(LN(2)/25)*Calculateur!BL74*Calculateur!BN74*VLOOKUP('Données projet'!$B$11,Paramètres!$A$1:$I$89,3,0)*0.475*44/12</f>
        <v>37.364517905073242</v>
      </c>
      <c r="BR74" s="21">
        <f>EXP(-LN(2)/2)*BR73+(1-EXP(-LN(2)/2))/(LN(2)/2)*BL74*BO74*VLOOKUP('Données projet'!$B$11,Paramètres!$A$1:$I$89,3,0)*0.475*44/12</f>
        <v>0.13142073936506576</v>
      </c>
      <c r="BS74" s="22">
        <f t="shared" si="63"/>
        <v>202.59917293185561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15.581730763750002</v>
      </c>
      <c r="BY74" s="12">
        <f>IF('Données projet'!$A$114&gt;35,BY73+BX74-CG73,IF(A74&lt;'Données projet'!$A$114,$BV$205^A74,IF(A74='Données projet'!$A$114,'Données projet'!$B$114,BY73+BX74-CG73)))</f>
        <v>392.28076924500004</v>
      </c>
      <c r="BZ74" s="13">
        <f>BY74*VLOOKUP('Données projet'!$B$12,Paramètres!$A$1:$I$89,3,0)*VLOOKUP('Données projet'!$B$12,Paramètres!$A$1:$I$89,5,0)</f>
        <v>193.78670000703002</v>
      </c>
      <c r="CA74" s="13">
        <f t="shared" si="93"/>
        <v>48.376174512115526</v>
      </c>
      <c r="CB74" s="20">
        <f t="shared" si="64"/>
        <v>421.76700645417844</v>
      </c>
      <c r="CC74" s="59">
        <f t="shared" si="65"/>
        <v>715.10033978751176</v>
      </c>
      <c r="CD74" s="59">
        <f ca="1">AVERAGE(OFFSET($CC$3,0,0,'Données projet'!$E$12+1,1))-AVERAGE(OFFSET($H$3,0,0,'Données projet'!$E$12+1,1))</f>
        <v>246.05217890269194</v>
      </c>
      <c r="CE74" s="59">
        <f t="shared" si="94"/>
        <v>155.54297071424327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53.230806356361086</v>
      </c>
      <c r="CL74" s="21">
        <f>EXP(-LN(2)/25)*CL73+(1-EXP(-LN(2)/25))/(LN(2)/25)*Calculateur!CG74*Calculateur!CI74*VLOOKUP('Données projet'!$B$12,Paramètres!$A$1:$I$89,3,0)*0.475*44/12</f>
        <v>26.164697613984117</v>
      </c>
      <c r="CM74" s="21">
        <f>EXP(-LN(2)/2)*CM73+(1-EXP(-LN(2)/2))/(LN(2)/2)*CG74*CJ74*VLOOKUP('Données projet'!$B$12,Paramètres!$A$1:$I$89,3,0)*0.475*44/12</f>
        <v>1.7930106756806483</v>
      </c>
      <c r="CN74" s="22">
        <f t="shared" si="66"/>
        <v>81.188514646025851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7.5584615369999995</v>
      </c>
      <c r="CT74" s="12">
        <f>IF('Données projet'!$A$140&gt;35,CT73+CS74-DB73,IF(A74&lt;'Données projet'!$A$140,$CQ$205^A74,IF(A74='Données projet'!$A$140,'Données projet'!$B$140,CT73+CS74-DB73)))</f>
        <v>334.88153846699993</v>
      </c>
      <c r="CU74" s="17">
        <f>CT74*VLOOKUP('Données projet'!$B$13,Paramètres!$A$1:$I$89,3,0)*VLOOKUP('Données projet'!$B$13,Paramètres!$A$1:$I$89,5,0)</f>
        <v>200.25916000326598</v>
      </c>
      <c r="CV74" s="13">
        <f t="shared" si="95"/>
        <v>49.801118956845002</v>
      </c>
      <c r="CW74" s="20">
        <f t="shared" si="67"/>
        <v>435.52165252219328</v>
      </c>
      <c r="CX74" s="59">
        <f t="shared" si="68"/>
        <v>728.85498585552659</v>
      </c>
      <c r="CY74" s="59">
        <f ca="1">AVERAGE(OFFSET($CX$3,0,0,'Données projet'!$E$13+1,1))-AVERAGE(OFFSET($H$3,0,0,'Données projet'!$E$13+1,1))</f>
        <v>237.036496933921</v>
      </c>
      <c r="CZ74" s="59">
        <f t="shared" si="96"/>
        <v>191.04289413665344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49.677148406949911</v>
      </c>
      <c r="DG74" s="21">
        <f>EXP(-LN(2)/25)*DG73+(1-EXP(-LN(2)/25))/(LN(2)/25)*Calculateur!DB74*Calculateur!DD74*VLOOKUP('Données projet'!$B$13,Paramètres!$A$1:$I$89,3,0)*0.475*44/12</f>
        <v>13.144725313614087</v>
      </c>
      <c r="DH74" s="21">
        <f>EXP(-LN(2)/2)*DH73+(1-EXP(-LN(2)/2))/(LN(2)/2)*DB74*DE74*VLOOKUP('Données projet'!$B$13,Paramètres!$A$1:$I$89,3,0)*0.475*44/12</f>
        <v>3.3871629148471545</v>
      </c>
      <c r="DI74" s="22">
        <f t="shared" si="69"/>
        <v>66.209036635411152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5.7112820500000021</v>
      </c>
      <c r="DO74" s="12">
        <f>IF('Données projet'!$A$166&gt;35,DO73+DN74-DW73,IF(A74&lt;'Données projet'!$A$166,$DL$205^A74,IF(A74='Données projet'!$A$166,'Données projet'!$B$166,DO73+DN74-DW73)))</f>
        <v>214.17794869999983</v>
      </c>
      <c r="DP74" s="17">
        <f>DO74*VLOOKUP('Données projet'!$B$14,Paramètres!$A$1:$I$89,3,0)*VLOOKUP('Données projet'!$B$14,Paramètres!$A$1:$I$89,5,0)</f>
        <v>128.07841332259991</v>
      </c>
      <c r="DQ74" s="13">
        <f t="shared" si="97"/>
        <v>33.551952969345628</v>
      </c>
      <c r="DR74" s="20">
        <f t="shared" si="70"/>
        <v>281.50622129180516</v>
      </c>
      <c r="DS74" s="59">
        <f t="shared" si="71"/>
        <v>574.83955462513848</v>
      </c>
      <c r="DT74" s="59">
        <f ca="1">AVERAGE(OFFSET($DS$3,0,0,'Données projet'!$E$14+1,1))-AVERAGE(OFFSET($H$3,0,0,'Données projet'!$E$14+1,1))</f>
        <v>148.22129593028302</v>
      </c>
      <c r="DU74" s="59">
        <f t="shared" si="98"/>
        <v>102.97015482019975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225.23903999999993</v>
      </c>
      <c r="EL74" s="13">
        <f t="shared" si="99"/>
        <v>55.252000822487368</v>
      </c>
      <c r="EM74" s="20">
        <f t="shared" si="73"/>
        <v>488.52189609916542</v>
      </c>
      <c r="EN74" s="59">
        <f t="shared" si="74"/>
        <v>781.85522943249873</v>
      </c>
      <c r="EO74" s="59">
        <f ca="1">AVERAGE(OFFSET($EN$3,0,0,'Données projet'!$E$15+1,1))-AVERAGE(OFFSET($H$3,0,0,'Données projet'!$E$15+1,1))</f>
        <v>278.53123771916404</v>
      </c>
      <c r="EP74" s="59">
        <f t="shared" si="100"/>
        <v>283.79094702030869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31.6785401733067</v>
      </c>
      <c r="EW74" s="21">
        <f>EXP(-LN(2)/25)*EW73+(1-EXP(-LN(2)/25))/(LN(2)/25)*Calculateur!ER74*Calculateur!ET74*VLOOKUP('Données projet'!$B$15,Paramètres!$A$1:$I$89,3,0)*0.475*44/12</f>
        <v>6.7994909642792773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38.47803113758598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6.6995192307692264</v>
      </c>
      <c r="FE74" s="12">
        <f>IF('Données projet'!$A$218&gt;35,FE73+FD74-FM73,IF(A74&lt;'Données projet'!$A$218,$FB$205^A74,IF(A74='Données projet'!$A$218,'Données projet'!$B$218,FE73+FD74-FM73)))</f>
        <v>202.41426282051296</v>
      </c>
      <c r="FF74" s="17">
        <f>FE74*VLOOKUP('Données projet'!$B$16,Paramètres!$A$1:$I$89,3,0)*VLOOKUP('Données projet'!$B$16,Paramètres!$A$1:$I$89,5,0)</f>
        <v>183.14442500000013</v>
      </c>
      <c r="FG74" s="13">
        <f t="shared" si="101"/>
        <v>46.02105612019141</v>
      </c>
      <c r="FH74" s="20">
        <f t="shared" si="76"/>
        <v>399.12987961766686</v>
      </c>
      <c r="FI74" s="59">
        <f t="shared" si="77"/>
        <v>692.46321295100017</v>
      </c>
      <c r="FJ74" s="59">
        <f ca="1">AVERAGE(OFFSET($FI$3,0,0,'Données projet'!$E$16+1,1))-AVERAGE(OFFSET($H$3,0,0,'Données projet'!$E$16+1,1))</f>
        <v>335.99493768537013</v>
      </c>
      <c r="FK74" s="59">
        <f t="shared" si="102"/>
        <v>150.85164849522778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5</v>
      </c>
      <c r="FZ74" s="12">
        <f>IF('Données projet'!$A$244&gt;35,FZ73+FY74-GH73,IF(A74&lt;'Données projet'!$A$244,$FW$205^A74,IF(A74='Données projet'!$A$244,'Données projet'!$B$244,FZ73+FY74-GH73)))</f>
        <v>241.00000000000011</v>
      </c>
      <c r="GA74" s="17">
        <f>FZ74*VLOOKUP('Données projet'!$B$17,Paramètres!$A$1:$I$89,3,0)*VLOOKUP('Données projet'!$B$17,Paramètres!$A$1:$I$89,5,0)</f>
        <v>210.53760000000011</v>
      </c>
      <c r="GB74" s="13">
        <f t="shared" si="103"/>
        <v>52.053047337322276</v>
      </c>
      <c r="GC74" s="20">
        <f t="shared" si="79"/>
        <v>457.34537744583645</v>
      </c>
      <c r="GD74" s="59">
        <f t="shared" si="80"/>
        <v>750.67871077916971</v>
      </c>
      <c r="GE74" s="59">
        <f ca="1">AVERAGE(OFFSET($GD$3,0,0,'Données projet'!$E$17+1,1))-AVERAGE(OFFSET($H$3,0,0,'Données projet'!$E$17+1,1))</f>
        <v>319.57811113658374</v>
      </c>
      <c r="GF74" s="59">
        <f t="shared" si="104"/>
        <v>322.03572137403245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26.77048454977427</v>
      </c>
      <c r="GM74" s="21">
        <f>EXP(-LN(2)/25)*GM73+(1-EXP(-LN(2)/25))/(LN(2)/25)*Calculateur!GH74*Calculateur!GJ74*VLOOKUP('Données projet'!$B$17,Paramètres!$A$1:$I$89,3,0)*0.475*44/12</f>
        <v>22.269937937555895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49.040422487330162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5.4683368944097308E-14</v>
      </c>
      <c r="P75" s="13">
        <f t="shared" si="87"/>
        <v>8.8129432816788268E-13</v>
      </c>
      <c r="Q75" s="20">
        <f t="shared" si="54"/>
        <v>1.6301611558033651E-12</v>
      </c>
      <c r="R75" s="59">
        <f t="shared" si="55"/>
        <v>293.33333333333496</v>
      </c>
      <c r="S75" s="59">
        <f ca="1">AVERAGE(OFFSET($R$3,0,0,'Données projet'!$E$9+1,1))-AVERAGE(OFFSET($H$3,0,0,'Données projet'!$E$9+1,1))</f>
        <v>226.41956082453015</v>
      </c>
      <c r="T75" s="59">
        <f t="shared" si="88"/>
        <v>317.95076157570446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260.44230770000001</v>
      </c>
      <c r="AG75" s="12">
        <f>VLOOKUP(A75,'Données projet'!$A$61:$I$81,9,0)</f>
        <v>8.9615384588888887</v>
      </c>
      <c r="AH75" s="12">
        <f t="array" ref="AH75">INDEX(AG:AG,MIN(IF(ISNUMBER(AG75:AG271),ROW(AG75:AG271),"")))</f>
        <v>8.9615384588888887</v>
      </c>
      <c r="AI75" s="13">
        <f>IF('Données projet'!$A$62&gt;35,AI74+AH75-AQ74,IF(A75&lt;'Données projet'!$A$62,$AF$205^A75,IF(A75='Données projet'!$A$62,'Données projet'!$B$62,AI74+AH75-AQ74)))</f>
        <v>260.44230770000019</v>
      </c>
      <c r="AJ75" s="13">
        <f>AI75*VLOOKUP('Données projet'!$B$10,Paramètres!$A$1:$I$89,3,0)*VLOOKUP('Données projet'!$B$10,Paramètres!$A$1:$I$89,5,0)</f>
        <v>223.45950000660019</v>
      </c>
      <c r="AK75" s="13">
        <f t="shared" si="89"/>
        <v>54.866106808076985</v>
      </c>
      <c r="AL75" s="20">
        <f t="shared" si="58"/>
        <v>484.75043186889616</v>
      </c>
      <c r="AM75" s="59">
        <f t="shared" si="59"/>
        <v>778.08376520222942</v>
      </c>
      <c r="AN75" s="59">
        <f ca="1">AVERAGE(OFFSET($AM$3,0,0,'Données projet'!$E$10+1,1))-AVERAGE(OFFSET($H$3,0,0,'Données projet'!$E$10+1,1))</f>
        <v>257.80662231827404</v>
      </c>
      <c r="AO75" s="59">
        <f t="shared" si="90"/>
        <v>184.04558520039876</v>
      </c>
      <c r="AP75" s="15">
        <f>IF(ISNA(VLOOKUP(A75,'Données projet'!$A$61:$I$81,3,0)),0,VLOOKUP(A75,'Données projet'!$A$61:$I$81,3,0))</f>
        <v>5</v>
      </c>
      <c r="AQ75" s="15">
        <f>IF(ISNA(VLOOKUP(A75,'Données projet'!$A$61:$I$81,4,0)),0,VLOOKUP(A75,'Données projet'!$A$61:$I$81,4,0))</f>
        <v>62.551282049999998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-4.5474735088646412E-13</v>
      </c>
      <c r="BE75" s="13">
        <f>BD75*VLOOKUP('Données projet'!$B$11,Paramètres!$A$1:$I$89,3,0)*VLOOKUP('Données projet'!$B$11,Paramètres!$A$1:$I$89,5,0)</f>
        <v>-2.5420376914553347E-13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300.90952915835157</v>
      </c>
      <c r="BJ75" s="59">
        <f t="shared" si="92"/>
        <v>402.81783992925256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161.86566056607037</v>
      </c>
      <c r="BQ75" s="21">
        <f>EXP(-LN(2)/25)*BQ74+(1-EXP(-LN(2)/25))/(LN(2)/25)*Calculateur!BL75*Calculateur!BN75*VLOOKUP('Données projet'!$B$11,Paramètres!$A$1:$I$89,3,0)*0.475*44/12</f>
        <v>36.342783198044415</v>
      </c>
      <c r="BR75" s="21">
        <f>EXP(-LN(2)/2)*BR74+(1-EXP(-LN(2)/2))/(LN(2)/2)*BL75*BO75*VLOOKUP('Données projet'!$B$11,Paramètres!$A$1:$I$89,3,0)*0.475*44/12</f>
        <v>9.2928495993587851E-2</v>
      </c>
      <c r="BS75" s="22">
        <f t="shared" si="63"/>
        <v>198.30137226010839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15.581730763750002</v>
      </c>
      <c r="BY75" s="12">
        <f>IF('Données projet'!$A$114&gt;35,BY74+BX75-CG74,IF(A75&lt;'Données projet'!$A$114,$BV$205^A75,IF(A75='Données projet'!$A$114,'Données projet'!$B$114,BY74+BX75-CG74)))</f>
        <v>407.86250000875003</v>
      </c>
      <c r="BZ75" s="13">
        <f>BY75*VLOOKUP('Données projet'!$B$12,Paramètres!$A$1:$I$89,3,0)*VLOOKUP('Données projet'!$B$12,Paramètres!$A$1:$I$89,5,0)</f>
        <v>201.48407500432251</v>
      </c>
      <c r="CA75" s="13">
        <f t="shared" si="93"/>
        <v>50.070182025185765</v>
      </c>
      <c r="CB75" s="20">
        <f t="shared" si="64"/>
        <v>438.12366432639357</v>
      </c>
      <c r="CC75" s="59">
        <f t="shared" si="65"/>
        <v>731.45699765972688</v>
      </c>
      <c r="CD75" s="59">
        <f ca="1">AVERAGE(OFFSET($CC$3,0,0,'Données projet'!$E$12+1,1))-AVERAGE(OFFSET($H$3,0,0,'Données projet'!$E$12+1,1))</f>
        <v>246.05217890269194</v>
      </c>
      <c r="CE75" s="59">
        <f t="shared" si="94"/>
        <v>155.54297071424327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52.186982711298818</v>
      </c>
      <c r="CL75" s="21">
        <f>EXP(-LN(2)/25)*CL74+(1-EXP(-LN(2)/25))/(LN(2)/25)*Calculateur!CG75*Calculateur!CI75*VLOOKUP('Données projet'!$B$12,Paramètres!$A$1:$I$89,3,0)*0.475*44/12</f>
        <v>25.449222581788074</v>
      </c>
      <c r="CM75" s="21">
        <f>EXP(-LN(2)/2)*CM74+(1-EXP(-LN(2)/2))/(LN(2)/2)*CG75*CJ75*VLOOKUP('Données projet'!$B$12,Paramètres!$A$1:$I$89,3,0)*0.475*44/12</f>
        <v>1.2678500075136601</v>
      </c>
      <c r="CN75" s="22">
        <f t="shared" si="66"/>
        <v>78.904055300600547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7.5584615369999995</v>
      </c>
      <c r="CT75" s="12">
        <f>IF('Données projet'!$A$140&gt;35,CT74+CS75-DB74,IF(A75&lt;'Données projet'!$A$140,$CQ$205^A75,IF(A75='Données projet'!$A$140,'Données projet'!$B$140,CT74+CS75-DB74)))</f>
        <v>342.4400000039999</v>
      </c>
      <c r="CU75" s="17">
        <f>CT75*VLOOKUP('Données projet'!$B$13,Paramètres!$A$1:$I$89,3,0)*VLOOKUP('Données projet'!$B$13,Paramètres!$A$1:$I$89,5,0)</f>
        <v>204.77912000239198</v>
      </c>
      <c r="CV75" s="13">
        <f t="shared" si="95"/>
        <v>50.7930257938702</v>
      </c>
      <c r="CW75" s="20">
        <f t="shared" si="67"/>
        <v>445.12148726182323</v>
      </c>
      <c r="CX75" s="59">
        <f t="shared" si="68"/>
        <v>738.45482059515655</v>
      </c>
      <c r="CY75" s="59">
        <f ca="1">AVERAGE(OFFSET($CX$3,0,0,'Données projet'!$E$13+1,1))-AVERAGE(OFFSET($H$3,0,0,'Données projet'!$E$13+1,1))</f>
        <v>237.036496933921</v>
      </c>
      <c r="CZ75" s="59">
        <f t="shared" si="96"/>
        <v>191.04289413665344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48.703009826758269</v>
      </c>
      <c r="DG75" s="21">
        <f>EXP(-LN(2)/25)*DG74+(1-EXP(-LN(2)/25))/(LN(2)/25)*Calculateur!DB75*Calculateur!DD75*VLOOKUP('Données projet'!$B$13,Paramètres!$A$1:$I$89,3,0)*0.475*44/12</f>
        <v>12.785282108662248</v>
      </c>
      <c r="DH75" s="21">
        <f>EXP(-LN(2)/2)*DH74+(1-EXP(-LN(2)/2))/(LN(2)/2)*DB75*DE75*VLOOKUP('Données projet'!$B$13,Paramètres!$A$1:$I$89,3,0)*0.475*44/12</f>
        <v>2.3950858660720153</v>
      </c>
      <c r="DI75" s="22">
        <f t="shared" si="69"/>
        <v>63.883377801492536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5.7112820500000021</v>
      </c>
      <c r="DO75" s="12">
        <f>IF('Données projet'!$A$166&gt;35,DO74+DN75-DW74,IF(A75&lt;'Données projet'!$A$166,$DL$205^A75,IF(A75='Données projet'!$A$166,'Données projet'!$B$166,DO74+DN75-DW74)))</f>
        <v>219.88923074999983</v>
      </c>
      <c r="DP75" s="17">
        <f>DO75*VLOOKUP('Données projet'!$B$14,Paramètres!$A$1:$I$89,3,0)*VLOOKUP('Données projet'!$B$14,Paramètres!$A$1:$I$89,5,0)</f>
        <v>131.4937599884999</v>
      </c>
      <c r="DQ75" s="13">
        <f t="shared" si="97"/>
        <v>34.341293562172602</v>
      </c>
      <c r="DR75" s="20">
        <f t="shared" si="70"/>
        <v>288.82938493408795</v>
      </c>
      <c r="DS75" s="59">
        <f t="shared" si="71"/>
        <v>582.16271826742127</v>
      </c>
      <c r="DT75" s="59">
        <f ca="1">AVERAGE(OFFSET($DS$3,0,0,'Données projet'!$E$14+1,1))-AVERAGE(OFFSET($H$3,0,0,'Données projet'!$E$14+1,1))</f>
        <v>148.22129593028302</v>
      </c>
      <c r="DU75" s="59">
        <f t="shared" si="98"/>
        <v>102.97015482019975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228.31847999999994</v>
      </c>
      <c r="EL75" s="13">
        <f t="shared" si="99"/>
        <v>55.918942466546987</v>
      </c>
      <c r="EM75" s="20">
        <f t="shared" si="73"/>
        <v>495.04684412923598</v>
      </c>
      <c r="EN75" s="59">
        <f t="shared" si="74"/>
        <v>788.38017746256924</v>
      </c>
      <c r="EO75" s="59">
        <f ca="1">AVERAGE(OFFSET($EN$3,0,0,'Données projet'!$E$15+1,1))-AVERAGE(OFFSET($H$3,0,0,'Données projet'!$E$15+1,1))</f>
        <v>278.53123771916404</v>
      </c>
      <c r="EP75" s="59">
        <f t="shared" si="100"/>
        <v>283.79094702030869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31.057343322509773</v>
      </c>
      <c r="EW75" s="21">
        <f>EXP(-LN(2)/25)*EW74+(1-EXP(-LN(2)/25))/(LN(2)/25)*Calculateur!ER75*Calculateur!ET75*VLOOKUP('Données projet'!$B$15,Paramètres!$A$1:$I$89,3,0)*0.475*44/12</f>
        <v>6.6135585262913708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37.670901848801144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6.6995192307692264</v>
      </c>
      <c r="FE75" s="12">
        <f>IF('Données projet'!$A$218&gt;35,FE74+FD75-FM74,IF(A75&lt;'Données projet'!$A$218,$FB$205^A75,IF(A75='Données projet'!$A$218,'Données projet'!$B$218,FE74+FD75-FM74)))</f>
        <v>209.11378205128219</v>
      </c>
      <c r="FF75" s="17">
        <f>FE75*VLOOKUP('Données projet'!$B$16,Paramètres!$A$1:$I$89,3,0)*VLOOKUP('Données projet'!$B$16,Paramètres!$A$1:$I$89,5,0)</f>
        <v>189.20615000000009</v>
      </c>
      <c r="FG75" s="13">
        <f t="shared" si="101"/>
        <v>47.364401142673302</v>
      </c>
      <c r="FH75" s="20">
        <f t="shared" si="76"/>
        <v>412.02704324015616</v>
      </c>
      <c r="FI75" s="59">
        <f t="shared" si="77"/>
        <v>705.36037657348948</v>
      </c>
      <c r="FJ75" s="59">
        <f ca="1">AVERAGE(OFFSET($FI$3,0,0,'Données projet'!$E$16+1,1))-AVERAGE(OFFSET($H$3,0,0,'Données projet'!$E$16+1,1))</f>
        <v>335.99493768537013</v>
      </c>
      <c r="FK75" s="59">
        <f t="shared" si="102"/>
        <v>150.85164849522778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5</v>
      </c>
      <c r="FZ75" s="12">
        <f>IF('Données projet'!$A$244&gt;35,FZ74+FY75-GH74,IF(A75&lt;'Données projet'!$A$244,$FW$205^A75,IF(A75='Données projet'!$A$244,'Données projet'!$B$244,FZ74+FY75-GH74)))</f>
        <v>246.00000000000011</v>
      </c>
      <c r="GA75" s="17">
        <f>FZ75*VLOOKUP('Données projet'!$B$17,Paramètres!$A$1:$I$89,3,0)*VLOOKUP('Données projet'!$B$17,Paramètres!$A$1:$I$89,5,0)</f>
        <v>214.90560000000013</v>
      </c>
      <c r="GB75" s="13">
        <f t="shared" si="103"/>
        <v>53.006137800892375</v>
      </c>
      <c r="GC75" s="20">
        <f t="shared" si="79"/>
        <v>466.61294333655451</v>
      </c>
      <c r="GD75" s="59">
        <f t="shared" si="80"/>
        <v>759.94627666988777</v>
      </c>
      <c r="GE75" s="59">
        <f ca="1">AVERAGE(OFFSET($GD$3,0,0,'Données projet'!$E$17+1,1))-AVERAGE(OFFSET($H$3,0,0,'Données projet'!$E$17+1,1))</f>
        <v>319.57811113658374</v>
      </c>
      <c r="GF75" s="59">
        <f t="shared" si="104"/>
        <v>322.03572137403245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26.24553167613648</v>
      </c>
      <c r="GM75" s="21">
        <f>EXP(-LN(2)/25)*GM74+(1-EXP(-LN(2)/25))/(LN(2)/25)*Calculateur!GH75*Calculateur!GJ75*VLOOKUP('Données projet'!$B$17,Paramètres!$A$1:$I$89,3,0)*0.475*44/12</f>
        <v>21.66096531352829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47.906496989664774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5.4683368944097308E-14</v>
      </c>
      <c r="P76" s="13">
        <f t="shared" si="87"/>
        <v>8.8129432816788268E-13</v>
      </c>
      <c r="Q76" s="20">
        <f t="shared" si="54"/>
        <v>1.6301611558033651E-12</v>
      </c>
      <c r="R76" s="59">
        <f t="shared" si="55"/>
        <v>293.33333333333496</v>
      </c>
      <c r="S76" s="59">
        <f ca="1">AVERAGE(OFFSET($R$3,0,0,'Données projet'!$E$9+1,1))-AVERAGE(OFFSET($H$3,0,0,'Données projet'!$E$9+1,1))</f>
        <v>226.41956082453015</v>
      </c>
      <c r="T76" s="59">
        <f t="shared" si="88"/>
        <v>317.95076157570446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8.0178062722222183</v>
      </c>
      <c r="AI76" s="13">
        <f>IF('Données projet'!$A$62&gt;35,AI75+AH76-AQ75,IF(A76&lt;'Données projet'!$A$62,$AF$205^A76,IF(A76='Données projet'!$A$62,'Données projet'!$B$62,AI75+AH76-AQ75)))</f>
        <v>205.90883192222242</v>
      </c>
      <c r="AJ76" s="13">
        <f>AI76*VLOOKUP('Données projet'!$B$10,Paramètres!$A$1:$I$89,3,0)*VLOOKUP('Données projet'!$B$10,Paramètres!$A$1:$I$89,5,0)</f>
        <v>176.66977778926685</v>
      </c>
      <c r="AK76" s="13">
        <f t="shared" si="89"/>
        <v>44.58046973887464</v>
      </c>
      <c r="AL76" s="20">
        <f t="shared" si="58"/>
        <v>385.34418111151308</v>
      </c>
      <c r="AM76" s="59">
        <f t="shared" si="59"/>
        <v>678.67751444484634</v>
      </c>
      <c r="AN76" s="59">
        <f ca="1">AVERAGE(OFFSET($AM$3,0,0,'Données projet'!$E$10+1,1))-AVERAGE(OFFSET($H$3,0,0,'Données projet'!$E$10+1,1))</f>
        <v>257.80662231827404</v>
      </c>
      <c r="AO76" s="59">
        <f t="shared" si="90"/>
        <v>184.04558520039876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-4.5474735088646412E-13</v>
      </c>
      <c r="BE76" s="13">
        <f>BD76*VLOOKUP('Données projet'!$B$11,Paramètres!$A$1:$I$89,3,0)*VLOOKUP('Données projet'!$B$11,Paramètres!$A$1:$I$89,5,0)</f>
        <v>-2.5420376914553347E-13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300.90952915835157</v>
      </c>
      <c r="BJ76" s="59">
        <f t="shared" si="92"/>
        <v>402.81783992925256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158.69157369067406</v>
      </c>
      <c r="BQ76" s="21">
        <f>EXP(-LN(2)/25)*BQ75+(1-EXP(-LN(2)/25))/(LN(2)/25)*Calculateur!BL76*Calculateur!BN76*VLOOKUP('Données projet'!$B$11,Paramètres!$A$1:$I$89,3,0)*0.475*44/12</f>
        <v>35.348987880309984</v>
      </c>
      <c r="BR76" s="21">
        <f>EXP(-LN(2)/2)*BR75+(1-EXP(-LN(2)/2))/(LN(2)/2)*BL76*BO76*VLOOKUP('Données projet'!$B$11,Paramètres!$A$1:$I$89,3,0)*0.475*44/12</f>
        <v>6.5710369682532882E-2</v>
      </c>
      <c r="BS76" s="22">
        <f t="shared" si="63"/>
        <v>194.10627194066657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15.581730763750002</v>
      </c>
      <c r="BY76" s="12">
        <f>IF('Données projet'!$A$114&gt;35,BY75+BX76-CG75,IF(A76&lt;'Données projet'!$A$114,$BV$205^A76,IF(A76='Données projet'!$A$114,'Données projet'!$B$114,BY75+BX76-CG75)))</f>
        <v>423.44423077250002</v>
      </c>
      <c r="BZ76" s="13">
        <f>BY76*VLOOKUP('Données projet'!$B$12,Paramètres!$A$1:$I$89,3,0)*VLOOKUP('Données projet'!$B$12,Paramètres!$A$1:$I$89,5,0)</f>
        <v>209.18145000161502</v>
      </c>
      <c r="CA76" s="13">
        <f t="shared" si="93"/>
        <v>51.756671291794348</v>
      </c>
      <c r="CB76" s="20">
        <f t="shared" si="64"/>
        <v>454.46722791935463</v>
      </c>
      <c r="CC76" s="59">
        <f t="shared" si="65"/>
        <v>747.80056125268788</v>
      </c>
      <c r="CD76" s="59">
        <f ca="1">AVERAGE(OFFSET($CC$3,0,0,'Données projet'!$E$12+1,1))-AVERAGE(OFFSET($H$3,0,0,'Données projet'!$E$12+1,1))</f>
        <v>246.05217890269194</v>
      </c>
      <c r="CE76" s="59">
        <f t="shared" si="94"/>
        <v>155.54297071424327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51.163627811246663</v>
      </c>
      <c r="CL76" s="21">
        <f>EXP(-LN(2)/25)*CL75+(1-EXP(-LN(2)/25))/(LN(2)/25)*Calculateur!CG76*Calculateur!CI76*VLOOKUP('Données projet'!$B$12,Paramètres!$A$1:$I$89,3,0)*0.475*44/12</f>
        <v>24.753312251972631</v>
      </c>
      <c r="CM76" s="21">
        <f>EXP(-LN(2)/2)*CM75+(1-EXP(-LN(2)/2))/(LN(2)/2)*CG76*CJ76*VLOOKUP('Données projet'!$B$12,Paramètres!$A$1:$I$89,3,0)*0.475*44/12</f>
        <v>0.89650533784032427</v>
      </c>
      <c r="CN76" s="22">
        <f t="shared" si="66"/>
        <v>76.813445401059624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7.5584615369999995</v>
      </c>
      <c r="CT76" s="12">
        <f>IF('Données projet'!$A$140&gt;35,CT75+CS76-DB75,IF(A76&lt;'Données projet'!$A$140,$CQ$205^A76,IF(A76='Données projet'!$A$140,'Données projet'!$B$140,CT75+CS76-DB75)))</f>
        <v>349.99846154099987</v>
      </c>
      <c r="CU76" s="17">
        <f>CT76*VLOOKUP('Données projet'!$B$13,Paramètres!$A$1:$I$89,3,0)*VLOOKUP('Données projet'!$B$13,Paramètres!$A$1:$I$89,5,0)</f>
        <v>209.29908000151792</v>
      </c>
      <c r="CV76" s="13">
        <f t="shared" si="95"/>
        <v>51.782387252948048</v>
      </c>
      <c r="CW76" s="20">
        <f t="shared" si="67"/>
        <v>454.71688880152823</v>
      </c>
      <c r="CX76" s="59">
        <f t="shared" si="68"/>
        <v>748.05022213486154</v>
      </c>
      <c r="CY76" s="59">
        <f ca="1">AVERAGE(OFFSET($CX$3,0,0,'Données projet'!$E$13+1,1))-AVERAGE(OFFSET($H$3,0,0,'Données projet'!$E$13+1,1))</f>
        <v>237.036496933921</v>
      </c>
      <c r="CZ76" s="59">
        <f t="shared" si="96"/>
        <v>191.04289413665344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47.747973509958321</v>
      </c>
      <c r="DG76" s="21">
        <f>EXP(-LN(2)/25)*DG75+(1-EXP(-LN(2)/25))/(LN(2)/25)*Calculateur!DB76*Calculateur!DD76*VLOOKUP('Données projet'!$B$13,Paramètres!$A$1:$I$89,3,0)*0.475*44/12</f>
        <v>12.435667897052113</v>
      </c>
      <c r="DH76" s="21">
        <f>EXP(-LN(2)/2)*DH75+(1-EXP(-LN(2)/2))/(LN(2)/2)*DB76*DE76*VLOOKUP('Données projet'!$B$13,Paramètres!$A$1:$I$89,3,0)*0.475*44/12</f>
        <v>1.6935814574235772</v>
      </c>
      <c r="DI76" s="22">
        <f t="shared" si="69"/>
        <v>61.87722286443401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5.7112820500000021</v>
      </c>
      <c r="DO76" s="12">
        <f>IF('Données projet'!$A$166&gt;35,DO75+DN76-DW75,IF(A76&lt;'Données projet'!$A$166,$DL$205^A76,IF(A76='Données projet'!$A$166,'Données projet'!$B$166,DO75+DN76-DW75)))</f>
        <v>225.60051279999982</v>
      </c>
      <c r="DP76" s="17">
        <f>DO76*VLOOKUP('Données projet'!$B$14,Paramètres!$A$1:$I$89,3,0)*VLOOKUP('Données projet'!$B$14,Paramètres!$A$1:$I$89,5,0)</f>
        <v>134.90910665439989</v>
      </c>
      <c r="DQ76" s="13">
        <f t="shared" si="97"/>
        <v>35.128251054629303</v>
      </c>
      <c r="DR76" s="20">
        <f t="shared" si="70"/>
        <v>296.1483980098925</v>
      </c>
      <c r="DS76" s="59">
        <f t="shared" si="71"/>
        <v>589.48173134322587</v>
      </c>
      <c r="DT76" s="59">
        <f ca="1">AVERAGE(OFFSET($DS$3,0,0,'Données projet'!$E$14+1,1))-AVERAGE(OFFSET($H$3,0,0,'Données projet'!$E$14+1,1))</f>
        <v>148.22129593028302</v>
      </c>
      <c r="DU76" s="59">
        <f t="shared" si="98"/>
        <v>102.97015482019975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231.39791999999991</v>
      </c>
      <c r="EL76" s="13">
        <f t="shared" si="99"/>
        <v>56.584837838715806</v>
      </c>
      <c r="EM76" s="20">
        <f t="shared" si="73"/>
        <v>501.56996990242982</v>
      </c>
      <c r="EN76" s="59">
        <f t="shared" si="74"/>
        <v>794.90330323576313</v>
      </c>
      <c r="EO76" s="59">
        <f ca="1">AVERAGE(OFFSET($EN$3,0,0,'Données projet'!$E$15+1,1))-AVERAGE(OFFSET($H$3,0,0,'Données projet'!$E$15+1,1))</f>
        <v>278.53123771916404</v>
      </c>
      <c r="EP76" s="59">
        <f t="shared" si="100"/>
        <v>283.79094702030869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30.448327763064306</v>
      </c>
      <c r="EW76" s="21">
        <f>EXP(-LN(2)/25)*EW75+(1-EXP(-LN(2)/25))/(LN(2)/25)*Calculateur!ER76*Calculateur!ET76*VLOOKUP('Données projet'!$B$15,Paramètres!$A$1:$I$89,3,0)*0.475*44/12</f>
        <v>6.4327104205980055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36.881038183662312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6.6995192307692264</v>
      </c>
      <c r="FE76" s="12">
        <f>IF('Données projet'!$A$218&gt;35,FE75+FD76-FM75,IF(A76&lt;'Données projet'!$A$218,$FB$205^A76,IF(A76='Données projet'!$A$218,'Données projet'!$B$218,FE75+FD76-FM75)))</f>
        <v>215.81330128205141</v>
      </c>
      <c r="FF76" s="17">
        <f>FE76*VLOOKUP('Données projet'!$B$16,Paramètres!$A$1:$I$89,3,0)*VLOOKUP('Données projet'!$B$16,Paramètres!$A$1:$I$89,5,0)</f>
        <v>195.26787500000012</v>
      </c>
      <c r="FG76" s="13">
        <f t="shared" si="101"/>
        <v>48.702745008025673</v>
      </c>
      <c r="FH76" s="20">
        <f t="shared" si="76"/>
        <v>424.91549651397821</v>
      </c>
      <c r="FI76" s="59">
        <f t="shared" si="77"/>
        <v>718.24882984731153</v>
      </c>
      <c r="FJ76" s="59">
        <f ca="1">AVERAGE(OFFSET($FI$3,0,0,'Données projet'!$E$16+1,1))-AVERAGE(OFFSET($H$3,0,0,'Données projet'!$E$16+1,1))</f>
        <v>335.99493768537013</v>
      </c>
      <c r="FK76" s="59">
        <f t="shared" si="102"/>
        <v>150.85164849522778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5</v>
      </c>
      <c r="FZ76" s="12">
        <f>IF('Données projet'!$A$244&gt;35,FZ75+FY76-GH75,IF(A76&lt;'Données projet'!$A$244,$FW$205^A76,IF(A76='Données projet'!$A$244,'Données projet'!$B$244,FZ75+FY76-GH75)))</f>
        <v>251.00000000000011</v>
      </c>
      <c r="GA76" s="17">
        <f>FZ76*VLOOKUP('Données projet'!$B$17,Paramètres!$A$1:$I$89,3,0)*VLOOKUP('Données projet'!$B$17,Paramètres!$A$1:$I$89,5,0)</f>
        <v>219.27360000000016</v>
      </c>
      <c r="GB76" s="13">
        <f t="shared" si="103"/>
        <v>53.956975893220168</v>
      </c>
      <c r="GC76" s="20">
        <f t="shared" si="79"/>
        <v>475.87658634735868</v>
      </c>
      <c r="GD76" s="59">
        <f t="shared" si="80"/>
        <v>769.209919680692</v>
      </c>
      <c r="GE76" s="59">
        <f ca="1">AVERAGE(OFFSET($GD$3,0,0,'Données projet'!$E$17+1,1))-AVERAGE(OFFSET($H$3,0,0,'Données projet'!$E$17+1,1))</f>
        <v>319.57811113658374</v>
      </c>
      <c r="GF76" s="59">
        <f t="shared" si="104"/>
        <v>322.03572137403245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25.730872808161088</v>
      </c>
      <c r="GM76" s="21">
        <f>EXP(-LN(2)/25)*GM75+(1-EXP(-LN(2)/25))/(LN(2)/25)*Calculateur!GH76*Calculateur!GJ76*VLOOKUP('Données projet'!$B$17,Paramètres!$A$1:$I$89,3,0)*0.475*44/12</f>
        <v>21.068645077929201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46.799517886090285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5.4683368944097308E-14</v>
      </c>
      <c r="P77" s="13">
        <f t="shared" si="87"/>
        <v>8.8129432816788268E-13</v>
      </c>
      <c r="Q77" s="20">
        <f t="shared" si="54"/>
        <v>1.6301611558033651E-12</v>
      </c>
      <c r="R77" s="59">
        <f t="shared" si="55"/>
        <v>293.33333333333496</v>
      </c>
      <c r="S77" s="59">
        <f ca="1">AVERAGE(OFFSET($R$3,0,0,'Données projet'!$E$9+1,1))-AVERAGE(OFFSET($H$3,0,0,'Données projet'!$E$9+1,1))</f>
        <v>226.41956082453015</v>
      </c>
      <c r="T77" s="59">
        <f t="shared" si="88"/>
        <v>317.95076157570446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8.0178062722222183</v>
      </c>
      <c r="AI77" s="13">
        <f>IF('Données projet'!$A$62&gt;35,AI76+AH77-AQ76,IF(A77&lt;'Données projet'!$A$62,$AF$205^A77,IF(A77='Données projet'!$A$62,'Données projet'!$B$62,AI76+AH77-AQ76)))</f>
        <v>213.92663819444465</v>
      </c>
      <c r="AJ77" s="13">
        <f>AI77*VLOOKUP('Données projet'!$B$10,Paramètres!$A$1:$I$89,3,0)*VLOOKUP('Données projet'!$B$10,Paramètres!$A$1:$I$89,5,0)</f>
        <v>183.54905557083353</v>
      </c>
      <c r="AK77" s="13">
        <f t="shared" si="89"/>
        <v>46.110886135881927</v>
      </c>
      <c r="AL77" s="20">
        <f t="shared" si="58"/>
        <v>399.99106513919605</v>
      </c>
      <c r="AM77" s="59">
        <f t="shared" si="59"/>
        <v>693.32439847252931</v>
      </c>
      <c r="AN77" s="59">
        <f ca="1">AVERAGE(OFFSET($AM$3,0,0,'Données projet'!$E$10+1,1))-AVERAGE(OFFSET($H$3,0,0,'Données projet'!$E$10+1,1))</f>
        <v>257.80662231827404</v>
      </c>
      <c r="AO77" s="59">
        <f t="shared" si="90"/>
        <v>184.04558520039876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-4.5474735088646412E-13</v>
      </c>
      <c r="BE77" s="13">
        <f>BD77*VLOOKUP('Données projet'!$B$11,Paramètres!$A$1:$I$89,3,0)*VLOOKUP('Données projet'!$B$11,Paramètres!$A$1:$I$89,5,0)</f>
        <v>-2.5420376914553347E-13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300.90952915835157</v>
      </c>
      <c r="BJ77" s="59">
        <f t="shared" si="92"/>
        <v>402.81783992925256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155.57972872290244</v>
      </c>
      <c r="BQ77" s="21">
        <f>EXP(-LN(2)/25)*BQ76+(1-EXP(-LN(2)/25))/(LN(2)/25)*Calculateur!BL77*Calculateur!BN77*VLOOKUP('Données projet'!$B$11,Paramètres!$A$1:$I$89,3,0)*0.475*44/12</f>
        <v>34.382367947800425</v>
      </c>
      <c r="BR77" s="21">
        <f>EXP(-LN(2)/2)*BR76+(1-EXP(-LN(2)/2))/(LN(2)/2)*BL77*BO77*VLOOKUP('Données projet'!$B$11,Paramètres!$A$1:$I$89,3,0)*0.475*44/12</f>
        <v>4.6464247996793925E-2</v>
      </c>
      <c r="BS77" s="22">
        <f t="shared" si="63"/>
        <v>190.00856091869966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15.581730763750002</v>
      </c>
      <c r="BY77" s="12">
        <f>IF('Données projet'!$A$114&gt;35,BY76+BX77-CG76,IF(A77&lt;'Données projet'!$A$114,$BV$205^A77,IF(A77='Données projet'!$A$114,'Données projet'!$B$114,BY76+BX77-CG76)))</f>
        <v>439.02596153625001</v>
      </c>
      <c r="BZ77" s="13">
        <f>BY77*VLOOKUP('Données projet'!$B$12,Paramètres!$A$1:$I$89,3,0)*VLOOKUP('Données projet'!$B$12,Paramètres!$A$1:$I$89,5,0)</f>
        <v>216.8788249989075</v>
      </c>
      <c r="CA77" s="13">
        <f t="shared" si="93"/>
        <v>53.43595064888234</v>
      </c>
      <c r="CB77" s="20">
        <f t="shared" si="64"/>
        <v>470.79823425323389</v>
      </c>
      <c r="CC77" s="59">
        <f t="shared" si="65"/>
        <v>764.13156758656714</v>
      </c>
      <c r="CD77" s="59">
        <f ca="1">AVERAGE(OFFSET($CC$3,0,0,'Données projet'!$E$12+1,1))-AVERAGE(OFFSET($H$3,0,0,'Données projet'!$E$12+1,1))</f>
        <v>246.05217890269194</v>
      </c>
      <c r="CE77" s="59">
        <f t="shared" si="94"/>
        <v>155.54297071424327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50.160340276599669</v>
      </c>
      <c r="CL77" s="21">
        <f>EXP(-LN(2)/25)*CL76+(1-EXP(-LN(2)/25))/(LN(2)/25)*Calculateur!CG77*Calculateur!CI77*VLOOKUP('Données projet'!$B$12,Paramètres!$A$1:$I$89,3,0)*0.475*44/12</f>
        <v>24.076431626722322</v>
      </c>
      <c r="CM77" s="21">
        <f>EXP(-LN(2)/2)*CM76+(1-EXP(-LN(2)/2))/(LN(2)/2)*CG77*CJ77*VLOOKUP('Données projet'!$B$12,Paramètres!$A$1:$I$89,3,0)*0.475*44/12</f>
        <v>0.63392500375683003</v>
      </c>
      <c r="CN77" s="22">
        <f t="shared" si="66"/>
        <v>74.870696907078823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7.5584615369999995</v>
      </c>
      <c r="CT77" s="12">
        <f>IF('Données projet'!$A$140&gt;35,CT76+CS77-DB76,IF(A77&lt;'Données projet'!$A$140,$CQ$205^A77,IF(A77='Données projet'!$A$140,'Données projet'!$B$140,CT76+CS77-DB76)))</f>
        <v>357.55692307799984</v>
      </c>
      <c r="CU77" s="17">
        <f>CT77*VLOOKUP('Données projet'!$B$13,Paramètres!$A$1:$I$89,3,0)*VLOOKUP('Données projet'!$B$13,Paramètres!$A$1:$I$89,5,0)</f>
        <v>213.81904000064392</v>
      </c>
      <c r="CV77" s="13">
        <f t="shared" si="95"/>
        <v>52.76926463426944</v>
      </c>
      <c r="CW77" s="20">
        <f t="shared" si="67"/>
        <v>464.30796390580741</v>
      </c>
      <c r="CX77" s="59">
        <f t="shared" si="68"/>
        <v>757.64129723914073</v>
      </c>
      <c r="CY77" s="59">
        <f ca="1">AVERAGE(OFFSET($CX$3,0,0,'Données projet'!$E$13+1,1))-AVERAGE(OFFSET($H$3,0,0,'Données projet'!$E$13+1,1))</f>
        <v>237.036496933921</v>
      </c>
      <c r="CZ77" s="59">
        <f t="shared" si="96"/>
        <v>191.04289413665344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46.811664872816181</v>
      </c>
      <c r="DG77" s="21">
        <f>EXP(-LN(2)/25)*DG76+(1-EXP(-LN(2)/25))/(LN(2)/25)*Calculateur!DB77*Calculateur!DD77*VLOOKUP('Données projet'!$B$13,Paramètres!$A$1:$I$89,3,0)*0.475*44/12</f>
        <v>12.095613904443871</v>
      </c>
      <c r="DH77" s="21">
        <f>EXP(-LN(2)/2)*DH76+(1-EXP(-LN(2)/2))/(LN(2)/2)*DB77*DE77*VLOOKUP('Données projet'!$B$13,Paramètres!$A$1:$I$89,3,0)*0.475*44/12</f>
        <v>1.1975429330360077</v>
      </c>
      <c r="DI77" s="22">
        <f t="shared" si="69"/>
        <v>60.104821710296058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5.7112820500000021</v>
      </c>
      <c r="DO77" s="12">
        <f>IF('Données projet'!$A$166&gt;35,DO76+DN77-DW76,IF(A77&lt;'Données projet'!$A$166,$DL$205^A77,IF(A77='Données projet'!$A$166,'Données projet'!$B$166,DO76+DN77-DW76)))</f>
        <v>231.31179484999981</v>
      </c>
      <c r="DP77" s="17">
        <f>DO77*VLOOKUP('Données projet'!$B$14,Paramètres!$A$1:$I$89,3,0)*VLOOKUP('Données projet'!$B$14,Paramètres!$A$1:$I$89,5,0)</f>
        <v>138.32445332029991</v>
      </c>
      <c r="DQ77" s="13">
        <f t="shared" si="97"/>
        <v>35.912892714919813</v>
      </c>
      <c r="DR77" s="20">
        <f t="shared" si="70"/>
        <v>303.46337767800765</v>
      </c>
      <c r="DS77" s="59">
        <f t="shared" si="71"/>
        <v>596.7967110113409</v>
      </c>
      <c r="DT77" s="59">
        <f ca="1">AVERAGE(OFFSET($DS$3,0,0,'Données projet'!$E$14+1,1))-AVERAGE(OFFSET($H$3,0,0,'Données projet'!$E$14+1,1))</f>
        <v>148.22129593028302</v>
      </c>
      <c r="DU77" s="59">
        <f t="shared" si="98"/>
        <v>102.97015482019975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234.47735999999995</v>
      </c>
      <c r="EL77" s="13">
        <f t="shared" si="99"/>
        <v>57.249702472380292</v>
      </c>
      <c r="EM77" s="20">
        <f t="shared" si="73"/>
        <v>508.09130047272885</v>
      </c>
      <c r="EN77" s="59">
        <f t="shared" si="74"/>
        <v>801.42463380606216</v>
      </c>
      <c r="EO77" s="59">
        <f ca="1">AVERAGE(OFFSET($EN$3,0,0,'Données projet'!$E$15+1,1))-AVERAGE(OFFSET($H$3,0,0,'Données projet'!$E$15+1,1))</f>
        <v>278.53123771916404</v>
      </c>
      <c r="EP77" s="59">
        <f t="shared" si="100"/>
        <v>283.79094702030869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29.851254627276752</v>
      </c>
      <c r="EW77" s="21">
        <f>EXP(-LN(2)/25)*EW76+(1-EXP(-LN(2)/25))/(LN(2)/25)*Calculateur!ER77*Calculateur!ET77*VLOOKUP('Données projet'!$B$15,Paramètres!$A$1:$I$89,3,0)*0.475*44/12</f>
        <v>6.2568076158652142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36.108062243141966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>
        <f>VLOOKUP(A77,'Données projet'!$A$217:$I$237,2,0)</f>
        <v>222.5128205128205</v>
      </c>
      <c r="FC77" s="12">
        <f>VLOOKUP(A77,'Données projet'!$A$217:$I$237,9,0)</f>
        <v>6.6995192307692264</v>
      </c>
      <c r="FD77" s="12">
        <f t="array" ref="FD77">INDEX(FC:FC,MIN(IF(ISNUMBER(FC77:FC273),ROW(FC77:FC273),"")))</f>
        <v>6.6995192307692264</v>
      </c>
      <c r="FE77" s="12">
        <f>IF('Données projet'!$A$218&gt;35,FE76+FD77-FM76,IF(A77&lt;'Données projet'!$A$218,$FB$205^A77,IF(A77='Données projet'!$A$218,'Données projet'!$B$218,FE76+FD77-FM76)))</f>
        <v>222.51282051282064</v>
      </c>
      <c r="FF77" s="17">
        <f>FE77*VLOOKUP('Données projet'!$B$16,Paramètres!$A$1:$I$89,3,0)*VLOOKUP('Données projet'!$B$16,Paramètres!$A$1:$I$89,5,0)</f>
        <v>201.32960000000011</v>
      </c>
      <c r="FG77" s="13">
        <f t="shared" si="101"/>
        <v>50.0362607827022</v>
      </c>
      <c r="FH77" s="20">
        <f t="shared" si="76"/>
        <v>437.79554086320655</v>
      </c>
      <c r="FI77" s="59">
        <f t="shared" si="77"/>
        <v>731.12887419653987</v>
      </c>
      <c r="FJ77" s="59">
        <f ca="1">AVERAGE(OFFSET($FI$3,0,0,'Données projet'!$E$16+1,1))-AVERAGE(OFFSET($H$3,0,0,'Données projet'!$E$16+1,1))</f>
        <v>335.99493768537013</v>
      </c>
      <c r="FK77" s="59">
        <f t="shared" si="102"/>
        <v>150.85164849522778</v>
      </c>
      <c r="FL77" s="15">
        <f>IF(ISNA(VLOOKUP(A77,'Données projet'!$A$217:$I$237,3,0)),0,VLOOKUP(A77,'Données projet'!$A$217:$I$237,3,0))</f>
        <v>5</v>
      </c>
      <c r="FM77" s="15">
        <f>IF(ISNA(VLOOKUP(A77,'Données projet'!$A$217:$I$237,4,0)),0,VLOOKUP(A77,'Données projet'!$A$217:$I$237,4,0))</f>
        <v>36.865384615384613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5</v>
      </c>
      <c r="FZ77" s="12">
        <f>IF('Données projet'!$A$244&gt;35,FZ76+FY77-GH76,IF(A77&lt;'Données projet'!$A$244,$FW$205^A77,IF(A77='Données projet'!$A$244,'Données projet'!$B$244,FZ76+FY77-GH76)))</f>
        <v>256.00000000000011</v>
      </c>
      <c r="GA77" s="17">
        <f>FZ77*VLOOKUP('Données projet'!$B$17,Paramètres!$A$1:$I$89,3,0)*VLOOKUP('Données projet'!$B$17,Paramètres!$A$1:$I$89,5,0)</f>
        <v>223.64160000000012</v>
      </c>
      <c r="GB77" s="13">
        <f t="shared" si="103"/>
        <v>54.905611653539218</v>
      </c>
      <c r="GC77" s="20">
        <f t="shared" si="79"/>
        <v>485.13639362991444</v>
      </c>
      <c r="GD77" s="59">
        <f t="shared" si="80"/>
        <v>778.46972696324769</v>
      </c>
      <c r="GE77" s="59">
        <f ca="1">AVERAGE(OFFSET($GD$3,0,0,'Données projet'!$E$17+1,1))-AVERAGE(OFFSET($H$3,0,0,'Données projet'!$E$17+1,1))</f>
        <v>319.57811113658374</v>
      </c>
      <c r="GF77" s="59">
        <f t="shared" si="104"/>
        <v>322.03572137403245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25.22630608667578</v>
      </c>
      <c r="GM77" s="21">
        <f>EXP(-LN(2)/25)*GM76+(1-EXP(-LN(2)/25))/(LN(2)/25)*Calculateur!GH77*Calculateur!GJ77*VLOOKUP('Données projet'!$B$17,Paramètres!$A$1:$I$89,3,0)*0.475*44/12</f>
        <v>20.492521870321337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45.718827956997117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5.4683368944097308E-14</v>
      </c>
      <c r="P78" s="13">
        <f t="shared" si="87"/>
        <v>8.8129432816788268E-13</v>
      </c>
      <c r="Q78" s="20">
        <f t="shared" si="54"/>
        <v>1.6301611558033651E-12</v>
      </c>
      <c r="R78" s="59">
        <f t="shared" si="55"/>
        <v>293.33333333333496</v>
      </c>
      <c r="S78" s="59">
        <f ca="1">AVERAGE(OFFSET($R$3,0,0,'Données projet'!$E$9+1,1))-AVERAGE(OFFSET($H$3,0,0,'Données projet'!$E$9+1,1))</f>
        <v>226.41956082453015</v>
      </c>
      <c r="T78" s="59">
        <f t="shared" si="88"/>
        <v>317.95076157570446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8.0178062722222183</v>
      </c>
      <c r="AI78" s="13">
        <f>IF('Données projet'!$A$62&gt;35,AI77+AH78-AQ77,IF(A78&lt;'Données projet'!$A$62,$AF$205^A78,IF(A78='Données projet'!$A$62,'Données projet'!$B$62,AI77+AH78-AQ77)))</f>
        <v>221.94444446666688</v>
      </c>
      <c r="AJ78" s="13">
        <f>AI78*VLOOKUP('Données projet'!$B$10,Paramètres!$A$1:$I$89,3,0)*VLOOKUP('Données projet'!$B$10,Paramètres!$A$1:$I$89,5,0)</f>
        <v>190.42833335240019</v>
      </c>
      <c r="AK78" s="13">
        <f t="shared" si="89"/>
        <v>47.634638859354354</v>
      </c>
      <c r="AL78" s="20">
        <f t="shared" si="58"/>
        <v>414.62634326880578</v>
      </c>
      <c r="AM78" s="59">
        <f t="shared" si="59"/>
        <v>707.9596766021391</v>
      </c>
      <c r="AN78" s="59">
        <f ca="1">AVERAGE(OFFSET($AM$3,0,0,'Données projet'!$E$10+1,1))-AVERAGE(OFFSET($H$3,0,0,'Données projet'!$E$10+1,1))</f>
        <v>257.80662231827404</v>
      </c>
      <c r="AO78" s="59">
        <f t="shared" si="90"/>
        <v>184.04558520039876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-4.5474735088646412E-13</v>
      </c>
      <c r="BE78" s="13">
        <f>BD78*VLOOKUP('Données projet'!$B$11,Paramètres!$A$1:$I$89,3,0)*VLOOKUP('Données projet'!$B$11,Paramètres!$A$1:$I$89,5,0)</f>
        <v>-2.5420376914553347E-13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300.90952915835157</v>
      </c>
      <c r="BJ78" s="59">
        <f t="shared" si="92"/>
        <v>402.81783992925256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152.52890513691082</v>
      </c>
      <c r="BQ78" s="21">
        <f>EXP(-LN(2)/25)*BQ77+(1-EXP(-LN(2)/25))/(LN(2)/25)*Calculateur!BL78*Calculateur!BN78*VLOOKUP('Données projet'!$B$11,Paramètres!$A$1:$I$89,3,0)*0.475*44/12</f>
        <v>33.442180288177674</v>
      </c>
      <c r="BR78" s="21">
        <f>EXP(-LN(2)/2)*BR77+(1-EXP(-LN(2)/2))/(LN(2)/2)*BL78*BO78*VLOOKUP('Données projet'!$B$11,Paramètres!$A$1:$I$89,3,0)*0.475*44/12</f>
        <v>3.2855184841266441E-2</v>
      </c>
      <c r="BS78" s="22">
        <f t="shared" si="63"/>
        <v>186.00394060992974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454.6076923</v>
      </c>
      <c r="BW78" s="12">
        <f>VLOOKUP(A78,'Données projet'!$A$113:$I$133,9,0)</f>
        <v>15.581730763750002</v>
      </c>
      <c r="BX78" s="12">
        <f t="array" ref="BX78">INDEX(BW:BW,MIN(IF(ISNUMBER(BW78:BW274),ROW(BW78:BW274),"")))</f>
        <v>15.581730763750002</v>
      </c>
      <c r="BY78" s="12">
        <f>IF('Données projet'!$A$114&gt;35,BY77+BX78-CG77,IF(A78&lt;'Données projet'!$A$114,$BV$205^A78,IF(A78='Données projet'!$A$114,'Données projet'!$B$114,BY77+BX78-CG77)))</f>
        <v>454.6076923</v>
      </c>
      <c r="BZ78" s="13">
        <f>BY78*VLOOKUP('Données projet'!$B$12,Paramètres!$A$1:$I$89,3,0)*VLOOKUP('Données projet'!$B$12,Paramètres!$A$1:$I$89,5,0)</f>
        <v>224.57619999620002</v>
      </c>
      <c r="CA78" s="13">
        <f t="shared" si="93"/>
        <v>55.108305305820842</v>
      </c>
      <c r="CB78" s="20">
        <f t="shared" si="64"/>
        <v>487.11718006768632</v>
      </c>
      <c r="CC78" s="59">
        <f t="shared" si="65"/>
        <v>780.45051340101963</v>
      </c>
      <c r="CD78" s="59">
        <f ca="1">AVERAGE(OFFSET($CC$3,0,0,'Données projet'!$E$12+1,1))-AVERAGE(OFFSET($H$3,0,0,'Données projet'!$E$12+1,1))</f>
        <v>246.05217890269194</v>
      </c>
      <c r="CE78" s="59">
        <f t="shared" si="94"/>
        <v>155.54297071424327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86.946153850000002</v>
      </c>
      <c r="CH78" s="16">
        <f>IF(ISNA(VLOOKUP(A78,'Données projet'!$A$113:$I$133,5,0)),0%,VLOOKUP(A78,'Données projet'!$A$113:$I$133,5,0)*VLOOKUP('Données projet'!$B$12,Paramètres!$A$1:$I$89,7,0))</f>
        <v>0.38500000000000001</v>
      </c>
      <c r="CI78" s="16">
        <f>IF(ISNA(VLOOKUP(A78,'Données projet'!$A$113:$I$133,6,0)),0%,VLOOKUP(A78,'Données projet'!$A$113:$I$133,6,0)*VLOOKUP('Données projet'!$B$12,Paramètres!$A$1:$I$89,7,0))</f>
        <v>9.3500000000000014E-2</v>
      </c>
      <c r="CJ78" s="16">
        <f>IF(ISNA(VLOOKUP(A78,'Données projet'!$A$113:$I$133,7,0)),0%,VLOOKUP(A78,'Données projet'!$A$113:$I$133,7,0))</f>
        <v>0.13</v>
      </c>
      <c r="CK78" s="21">
        <f>EXP(-LN(2)/35)*CK77+(1-EXP(-LN(2)/35))/(LN(2)/35)*CG78*CH78*VLOOKUP('Données projet'!$B$12,Paramètres!$A$1:$I$89,3,0)*0.475*44/12</f>
        <v>71.113179811808379</v>
      </c>
      <c r="CL78" s="21">
        <f>EXP(-LN(2)/25)*CL77+(1-EXP(-LN(2)/25))/(LN(2)/25)*Calculateur!CG78*Calculateur!CI78*VLOOKUP('Données projet'!$B$12,Paramètres!$A$1:$I$89,3,0)*0.475*44/12</f>
        <v>28.72450858997265</v>
      </c>
      <c r="CM78" s="21">
        <f>EXP(-LN(2)/2)*CM77+(1-EXP(-LN(2)/2))/(LN(2)/2)*CG78*CJ78*VLOOKUP('Données projet'!$B$12,Paramètres!$A$1:$I$89,3,0)*0.475*44/12</f>
        <v>6.770277768716995</v>
      </c>
      <c r="CN78" s="22">
        <f t="shared" si="66"/>
        <v>106.60796617049803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7.5584615369999995</v>
      </c>
      <c r="CT78" s="12">
        <f>IF('Données projet'!$A$140&gt;35,CT77+CS78-DB77,IF(A78&lt;'Données projet'!$A$140,$CQ$205^A78,IF(A78='Données projet'!$A$140,'Données projet'!$B$140,CT77+CS78-DB77)))</f>
        <v>365.11538461499981</v>
      </c>
      <c r="CU78" s="17">
        <f>CT78*VLOOKUP('Données projet'!$B$13,Paramètres!$A$1:$I$89,3,0)*VLOOKUP('Données projet'!$B$13,Paramètres!$A$1:$I$89,5,0)</f>
        <v>218.3389999997699</v>
      </c>
      <c r="CV78" s="13">
        <f t="shared" si="95"/>
        <v>53.753716498276468</v>
      </c>
      <c r="CW78" s="20">
        <f t="shared" si="67"/>
        <v>473.89481456743061</v>
      </c>
      <c r="CX78" s="59">
        <f t="shared" si="68"/>
        <v>767.22814790076393</v>
      </c>
      <c r="CY78" s="59">
        <f ca="1">AVERAGE(OFFSET($CX$3,0,0,'Données projet'!$E$13+1,1))-AVERAGE(OFFSET($H$3,0,0,'Données projet'!$E$13+1,1))</f>
        <v>237.036496933921</v>
      </c>
      <c r="CZ78" s="59">
        <f t="shared" si="96"/>
        <v>191.04289413665344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45.893716676956522</v>
      </c>
      <c r="DG78" s="21">
        <f>EXP(-LN(2)/25)*DG77+(1-EXP(-LN(2)/25))/(LN(2)/25)*Calculateur!DB78*Calculateur!DD78*VLOOKUP('Données projet'!$B$13,Paramètres!$A$1:$I$89,3,0)*0.475*44/12</f>
        <v>11.764858706146162</v>
      </c>
      <c r="DH78" s="21">
        <f>EXP(-LN(2)/2)*DH77+(1-EXP(-LN(2)/2))/(LN(2)/2)*DB78*DE78*VLOOKUP('Données projet'!$B$13,Paramètres!$A$1:$I$89,3,0)*0.475*44/12</f>
        <v>0.84679072871178862</v>
      </c>
      <c r="DI78" s="22">
        <f t="shared" si="69"/>
        <v>58.505366111814475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237.02307690000001</v>
      </c>
      <c r="DM78" s="12">
        <f>VLOOKUP(A78,'Données projet'!$A$165:$I$185,9,0)</f>
        <v>5.7112820500000021</v>
      </c>
      <c r="DN78" s="12">
        <f t="array" ref="DN78">INDEX(DM:DM,MIN(IF(ISNUMBER(DM78:DM274),ROW(DM78:DM274),"")))</f>
        <v>5.7112820500000021</v>
      </c>
      <c r="DO78" s="12">
        <f>IF('Données projet'!$A$166&gt;35,DO77+DN78-DW77,IF(A78&lt;'Données projet'!$A$166,$DL$205^A78,IF(A78='Données projet'!$A$166,'Données projet'!$B$166,DO77+DN78-DW77)))</f>
        <v>237.02307689999981</v>
      </c>
      <c r="DP78" s="17">
        <f>DO78*VLOOKUP('Données projet'!$B$14,Paramètres!$A$1:$I$89,3,0)*VLOOKUP('Données projet'!$B$14,Paramètres!$A$1:$I$89,5,0)</f>
        <v>141.7397999861999</v>
      </c>
      <c r="DQ78" s="13">
        <f t="shared" si="97"/>
        <v>36.695282300072925</v>
      </c>
      <c r="DR78" s="20">
        <f t="shared" si="70"/>
        <v>310.7744349819252</v>
      </c>
      <c r="DS78" s="59">
        <f t="shared" si="71"/>
        <v>604.10776831525845</v>
      </c>
      <c r="DT78" s="59">
        <f ca="1">AVERAGE(OFFSET($DS$3,0,0,'Données projet'!$E$14+1,1))-AVERAGE(OFFSET($H$3,0,0,'Données projet'!$E$14+1,1))</f>
        <v>148.22129593028302</v>
      </c>
      <c r="DU78" s="59">
        <f t="shared" si="98"/>
        <v>102.97015482019975</v>
      </c>
      <c r="DV78" s="15">
        <f>IF(ISNA(VLOOKUP(A78,'Données projet'!$A$165:$I$185,3,0)),0,VLOOKUP(A78,'Données projet'!$A$165:$I$185,3,0))</f>
        <v>3</v>
      </c>
      <c r="DW78" s="15">
        <f>IF(ISNA(VLOOKUP(A78,'Données projet'!$A$165:$I$185,4,0)),0,VLOOKUP(A78,'Données projet'!$A$165:$I$185,4,0))</f>
        <v>65.015384620000006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237.55679999999992</v>
      </c>
      <c r="EL78" s="13">
        <f t="shared" si="99"/>
        <v>57.913551469467308</v>
      </c>
      <c r="EM78" s="20">
        <f t="shared" si="73"/>
        <v>514.61086214265538</v>
      </c>
      <c r="EN78" s="59">
        <f t="shared" si="74"/>
        <v>807.94419547598864</v>
      </c>
      <c r="EO78" s="59">
        <f ca="1">AVERAGE(OFFSET($EN$3,0,0,'Données projet'!$E$15+1,1))-AVERAGE(OFFSET($H$3,0,0,'Données projet'!$E$15+1,1))</f>
        <v>278.53123771916404</v>
      </c>
      <c r="EP78" s="59">
        <f t="shared" si="100"/>
        <v>283.79094702030869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0.39560000000000001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33.113641935832376</v>
      </c>
      <c r="EW78" s="21">
        <f>EXP(-LN(2)/25)*EW77+(1-EXP(-LN(2)/25))/(LN(2)/25)*Calculateur!ER78*Calculateur!ET78*VLOOKUP('Données projet'!$B$15,Paramètres!$A$1:$I$89,3,0)*0.475*44/12</f>
        <v>6.0857148825781673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39.199356818410543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6.5339743589743566</v>
      </c>
      <c r="FE78" s="12">
        <f>IF('Données projet'!$A$218&gt;35,FE77+FD78-FM77,IF(A78&lt;'Données projet'!$A$218,$FB$205^A78,IF(A78='Données projet'!$A$218,'Données projet'!$B$218,FE77+FD78-FM77)))</f>
        <v>192.18141025641037</v>
      </c>
      <c r="FF78" s="17">
        <f>FE78*VLOOKUP('Données projet'!$B$16,Paramètres!$A$1:$I$89,3,0)*VLOOKUP('Données projet'!$B$16,Paramètres!$A$1:$I$89,5,0)</f>
        <v>173.88574000000008</v>
      </c>
      <c r="FG78" s="13">
        <f t="shared" si="101"/>
        <v>43.959152089733649</v>
      </c>
      <c r="FH78" s="20">
        <f t="shared" si="76"/>
        <v>379.41318705628618</v>
      </c>
      <c r="FI78" s="59">
        <f t="shared" si="77"/>
        <v>672.74652038961949</v>
      </c>
      <c r="FJ78" s="59">
        <f ca="1">AVERAGE(OFFSET($FI$3,0,0,'Données projet'!$E$16+1,1))-AVERAGE(OFFSET($H$3,0,0,'Données projet'!$E$16+1,1))</f>
        <v>335.99493768537013</v>
      </c>
      <c r="FK78" s="59">
        <f t="shared" si="102"/>
        <v>150.85164849522778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261</v>
      </c>
      <c r="FX78" s="12">
        <f>VLOOKUP(A78,'Données projet'!$A$243:$I$263,9,0)</f>
        <v>5</v>
      </c>
      <c r="FY78" s="12">
        <f t="array" ref="FY78">INDEX(FX:FX,MIN(IF(ISNUMBER(FX78:FX274),ROW(FX78:FX274),"")))</f>
        <v>5</v>
      </c>
      <c r="FZ78" s="12">
        <f>IF('Données projet'!$A$244&gt;35,FZ77+FY78-GH77,IF(A78&lt;'Données projet'!$A$244,$FW$205^A78,IF(A78='Données projet'!$A$244,'Données projet'!$B$244,FZ77+FY78-GH77)))</f>
        <v>261.00000000000011</v>
      </c>
      <c r="GA78" s="17">
        <f>FZ78*VLOOKUP('Données projet'!$B$17,Paramètres!$A$1:$I$89,3,0)*VLOOKUP('Données projet'!$B$17,Paramètres!$A$1:$I$89,5,0)</f>
        <v>228.00960000000015</v>
      </c>
      <c r="GB78" s="13">
        <f t="shared" si="103"/>
        <v>55.852093054619878</v>
      </c>
      <c r="GC78" s="20">
        <f t="shared" si="79"/>
        <v>494.39244873679655</v>
      </c>
      <c r="GD78" s="59">
        <f t="shared" si="80"/>
        <v>787.72578207012987</v>
      </c>
      <c r="GE78" s="59">
        <f ca="1">AVERAGE(OFFSET($GD$3,0,0,'Données projet'!$E$17+1,1))-AVERAGE(OFFSET($H$3,0,0,'Données projet'!$E$17+1,1))</f>
        <v>319.57811113658374</v>
      </c>
      <c r="GF78" s="59">
        <f t="shared" si="104"/>
        <v>322.03572137403245</v>
      </c>
      <c r="GG78" s="15">
        <f>IF(ISNA(VLOOKUP(A78,'Données projet'!$A$243:$I$263,3,0)),0,VLOOKUP(A78,'Données projet'!$A$243:$I$263,3,0))</f>
        <v>12</v>
      </c>
      <c r="GH78" s="15" t="str">
        <f>IF(ISNA(VLOOKUP(A78,'Données projet'!$A$243:$I$263,4,0)),0,VLOOKUP(A78,'Données projet'!$A$243:$I$263,4,0))</f>
        <v>19</v>
      </c>
      <c r="GI78" s="16">
        <f>IF(ISNA(VLOOKUP(A78,'Données projet'!$A$243:$I$263,5,0)),0%,VLOOKUP(A78,'Données projet'!$A$243:$I$263,5,0)*VLOOKUP('Données projet'!$B$17,Paramètres!$A$1:$I$89,7,0))</f>
        <v>0.30099999999999999</v>
      </c>
      <c r="GJ78" s="16">
        <f>IF(ISNA(VLOOKUP(A78,'Données projet'!$A$243:$I$263,6,0)),0%,VLOOKUP(A78,'Données projet'!$A$243:$I$263,6,0)*VLOOKUP('Données projet'!$B$17,Paramètres!$A$1:$I$89,7,0))</f>
        <v>8.6000000000000007E-2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30.254694514683045</v>
      </c>
      <c r="GM78" s="21">
        <f>EXP(-LN(2)/25)*GM77+(1-EXP(-LN(2)/25))/(LN(2)/25)*Calculateur!GH78*Calculateur!GJ78*VLOOKUP('Données projet'!$B$17,Paramètres!$A$1:$I$89,3,0)*0.475*44/12</f>
        <v>21.503956927439638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51.758651442122684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5.4683368944097308E-14</v>
      </c>
      <c r="P79" s="13">
        <f t="shared" si="87"/>
        <v>8.8129432816788268E-13</v>
      </c>
      <c r="Q79" s="20">
        <f t="shared" si="54"/>
        <v>1.6301611558033651E-12</v>
      </c>
      <c r="R79" s="59">
        <f t="shared" si="55"/>
        <v>293.33333333333496</v>
      </c>
      <c r="S79" s="59">
        <f ca="1">AVERAGE(OFFSET($R$3,0,0,'Données projet'!$E$9+1,1))-AVERAGE(OFFSET($H$3,0,0,'Données projet'!$E$9+1,1))</f>
        <v>226.41956082453015</v>
      </c>
      <c r="T79" s="59">
        <f t="shared" si="88"/>
        <v>317.95076157570446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8.0178062722222183</v>
      </c>
      <c r="AI79" s="13">
        <f>IF('Données projet'!$A$62&gt;35,AI78+AH79-AQ78,IF(A79&lt;'Données projet'!$A$62,$AF$205^A79,IF(A79='Données projet'!$A$62,'Données projet'!$B$62,AI78+AH79-AQ78)))</f>
        <v>229.96225073888911</v>
      </c>
      <c r="AJ79" s="13">
        <f>AI79*VLOOKUP('Données projet'!$B$10,Paramètres!$A$1:$I$89,3,0)*VLOOKUP('Données projet'!$B$10,Paramètres!$A$1:$I$89,5,0)</f>
        <v>197.30761113396687</v>
      </c>
      <c r="AK79" s="13">
        <f t="shared" si="89"/>
        <v>49.151996211478135</v>
      </c>
      <c r="AL79" s="20">
        <f t="shared" si="58"/>
        <v>429.25048279331673</v>
      </c>
      <c r="AM79" s="59">
        <f t="shared" si="59"/>
        <v>722.58381612665005</v>
      </c>
      <c r="AN79" s="59">
        <f ca="1">AVERAGE(OFFSET($AM$3,0,0,'Données projet'!$E$10+1,1))-AVERAGE(OFFSET($H$3,0,0,'Données projet'!$E$10+1,1))</f>
        <v>257.80662231827404</v>
      </c>
      <c r="AO79" s="59">
        <f t="shared" si="90"/>
        <v>184.04558520039876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-4.5474735088646412E-13</v>
      </c>
      <c r="BE79" s="13">
        <f>BD79*VLOOKUP('Données projet'!$B$11,Paramètres!$A$1:$I$89,3,0)*VLOOKUP('Données projet'!$B$11,Paramètres!$A$1:$I$89,5,0)</f>
        <v>-2.5420376914553347E-13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300.90952915835157</v>
      </c>
      <c r="BJ79" s="59">
        <f t="shared" si="92"/>
        <v>402.81783992925256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149.53790634062184</v>
      </c>
      <c r="BQ79" s="21">
        <f>EXP(-LN(2)/25)*BQ78+(1-EXP(-LN(2)/25))/(LN(2)/25)*Calculateur!BL79*Calculateur!BN79*VLOOKUP('Données projet'!$B$11,Paramètres!$A$1:$I$89,3,0)*0.475*44/12</f>
        <v>32.527702109549629</v>
      </c>
      <c r="BR79" s="21">
        <f>EXP(-LN(2)/2)*BR78+(1-EXP(-LN(2)/2))/(LN(2)/2)*BL79*BO79*VLOOKUP('Données projet'!$B$11,Paramètres!$A$1:$I$89,3,0)*0.475*44/12</f>
        <v>2.3232123998396963E-2</v>
      </c>
      <c r="BS79" s="22">
        <f t="shared" si="63"/>
        <v>182.08884057416986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14.197115381250008</v>
      </c>
      <c r="BY79" s="12">
        <f>IF('Données projet'!$A$114&gt;35,BY78+BX79-CG78,IF(A79&lt;'Données projet'!$A$114,$BV$205^A79,IF(A79='Données projet'!$A$114,'Données projet'!$B$114,BY78+BX79-CG78)))</f>
        <v>381.85865383124997</v>
      </c>
      <c r="BZ79" s="13">
        <f>BY79*VLOOKUP('Données projet'!$B$12,Paramètres!$A$1:$I$89,3,0)*VLOOKUP('Données projet'!$B$12,Paramètres!$A$1:$I$89,5,0)</f>
        <v>188.63817499263749</v>
      </c>
      <c r="CA79" s="13">
        <f t="shared" si="93"/>
        <v>47.23874674616782</v>
      </c>
      <c r="CB79" s="20">
        <f t="shared" si="64"/>
        <v>410.81897202841924</v>
      </c>
      <c r="CC79" s="59">
        <f t="shared" si="65"/>
        <v>704.1523053617525</v>
      </c>
      <c r="CD79" s="59">
        <f ca="1">AVERAGE(OFFSET($CC$3,0,0,'Données projet'!$E$12+1,1))-AVERAGE(OFFSET($H$3,0,0,'Données projet'!$E$12+1,1))</f>
        <v>246.05217890269194</v>
      </c>
      <c r="CE79" s="59">
        <f t="shared" si="94"/>
        <v>155.54297071424327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69.718693730455598</v>
      </c>
      <c r="CL79" s="21">
        <f>EXP(-LN(2)/25)*CL78+(1-EXP(-LN(2)/25))/(LN(2)/25)*Calculateur!CG79*Calculateur!CI79*VLOOKUP('Données projet'!$B$12,Paramètres!$A$1:$I$89,3,0)*0.475*44/12</f>
        <v>27.939035392023591</v>
      </c>
      <c r="CM79" s="21">
        <f>EXP(-LN(2)/2)*CM78+(1-EXP(-LN(2)/2))/(LN(2)/2)*CG79*CJ79*VLOOKUP('Données projet'!$B$12,Paramètres!$A$1:$I$89,3,0)*0.475*44/12</f>
        <v>4.7873093207763153</v>
      </c>
      <c r="CN79" s="22">
        <f t="shared" si="66"/>
        <v>102.44503844325551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7.5584615369999995</v>
      </c>
      <c r="CT79" s="12">
        <f>IF('Données projet'!$A$140&gt;35,CT78+CS79-DB78,IF(A79&lt;'Données projet'!$A$140,$CQ$205^A79,IF(A79='Données projet'!$A$140,'Données projet'!$B$140,CT78+CS79-DB78)))</f>
        <v>372.67384615199978</v>
      </c>
      <c r="CU79" s="17">
        <f>CT79*VLOOKUP('Données projet'!$B$13,Paramètres!$A$1:$I$89,3,0)*VLOOKUP('Données projet'!$B$13,Paramètres!$A$1:$I$89,5,0)</f>
        <v>222.8589599988959</v>
      </c>
      <c r="CV79" s="13">
        <f t="shared" si="95"/>
        <v>54.735798842253544</v>
      </c>
      <c r="CW79" s="20">
        <f t="shared" si="67"/>
        <v>483.47753831500194</v>
      </c>
      <c r="CX79" s="59">
        <f t="shared" si="68"/>
        <v>776.81087164833525</v>
      </c>
      <c r="CY79" s="59">
        <f ca="1">AVERAGE(OFFSET($CX$3,0,0,'Données projet'!$E$13+1,1))-AVERAGE(OFFSET($H$3,0,0,'Données projet'!$E$13+1,1))</f>
        <v>237.036496933921</v>
      </c>
      <c r="CZ79" s="59">
        <f t="shared" si="96"/>
        <v>191.04289413665344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44.993768885324556</v>
      </c>
      <c r="DG79" s="21">
        <f>EXP(-LN(2)/25)*DG78+(1-EXP(-LN(2)/25))/(LN(2)/25)*Calculateur!DB79*Calculateur!DD79*VLOOKUP('Données projet'!$B$13,Paramètres!$A$1:$I$89,3,0)*0.475*44/12</f>
        <v>11.443148026139564</v>
      </c>
      <c r="DH79" s="21">
        <f>EXP(-LN(2)/2)*DH78+(1-EXP(-LN(2)/2))/(LN(2)/2)*DB79*DE79*VLOOKUP('Données projet'!$B$13,Paramètres!$A$1:$I$89,3,0)*0.475*44/12</f>
        <v>0.59877146651800384</v>
      </c>
      <c r="DI79" s="22">
        <f t="shared" si="69"/>
        <v>57.035688377982126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5.3805128213333315</v>
      </c>
      <c r="DO79" s="12">
        <f>IF('Données projet'!$A$166&gt;35,DO78+DN79-DW78,IF(A79&lt;'Données projet'!$A$166,$DL$205^A79,IF(A79='Données projet'!$A$166,'Données projet'!$B$166,DO78+DN79-DW78)))</f>
        <v>177.38820510133314</v>
      </c>
      <c r="DP79" s="17">
        <f>DO79*VLOOKUP('Données projet'!$B$14,Paramètres!$A$1:$I$89,3,0)*VLOOKUP('Données projet'!$B$14,Paramètres!$A$1:$I$89,5,0)</f>
        <v>106.07814665059722</v>
      </c>
      <c r="DQ79" s="13">
        <f t="shared" si="97"/>
        <v>28.405022048719832</v>
      </c>
      <c r="DR79" s="20">
        <f t="shared" si="70"/>
        <v>234.22485215131053</v>
      </c>
      <c r="DS79" s="59">
        <f t="shared" si="71"/>
        <v>527.5581854846439</v>
      </c>
      <c r="DT79" s="59">
        <f ca="1">AVERAGE(OFFSET($DS$3,0,0,'Données projet'!$E$14+1,1))-AVERAGE(OFFSET($H$3,0,0,'Données projet'!$E$14+1,1))</f>
        <v>148.22129593028302</v>
      </c>
      <c r="DU79" s="59">
        <f t="shared" si="98"/>
        <v>102.97015482019975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231.39791999999991</v>
      </c>
      <c r="EL79" s="13">
        <f t="shared" si="99"/>
        <v>56.584837838715806</v>
      </c>
      <c r="EM79" s="20">
        <f t="shared" si="73"/>
        <v>501.56996990242982</v>
      </c>
      <c r="EN79" s="59">
        <f t="shared" si="74"/>
        <v>794.90330323576313</v>
      </c>
      <c r="EO79" s="59">
        <f ca="1">AVERAGE(OFFSET($EN$3,0,0,'Données projet'!$E$15+1,1))-AVERAGE(OFFSET($H$3,0,0,'Données projet'!$E$15+1,1))</f>
        <v>278.53123771916404</v>
      </c>
      <c r="EP79" s="59">
        <f t="shared" si="100"/>
        <v>283.79094702030869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32.464303614797963</v>
      </c>
      <c r="EW79" s="21">
        <f>EXP(-LN(2)/25)*EW78+(1-EXP(-LN(2)/25))/(LN(2)/25)*Calculateur!ER79*Calculateur!ET79*VLOOKUP('Données projet'!$B$15,Paramètres!$A$1:$I$89,3,0)*0.475*44/12</f>
        <v>5.9193006890802309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38.383604303878194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6.5339743589743566</v>
      </c>
      <c r="FE79" s="12">
        <f>IF('Données projet'!$A$218&gt;35,FE78+FD79-FM78,IF(A79&lt;'Données projet'!$A$218,$FB$205^A79,IF(A79='Données projet'!$A$218,'Données projet'!$B$218,FE78+FD79-FM78)))</f>
        <v>198.71538461538472</v>
      </c>
      <c r="FF79" s="17">
        <f>FE79*VLOOKUP('Données projet'!$B$16,Paramètres!$A$1:$I$89,3,0)*VLOOKUP('Données projet'!$B$16,Paramètres!$A$1:$I$89,5,0)</f>
        <v>179.7976800000001</v>
      </c>
      <c r="FG79" s="13">
        <f t="shared" si="101"/>
        <v>45.277170748284568</v>
      </c>
      <c r="FH79" s="20">
        <f t="shared" si="76"/>
        <v>392.00536505326244</v>
      </c>
      <c r="FI79" s="59">
        <f t="shared" si="77"/>
        <v>685.33869838659575</v>
      </c>
      <c r="FJ79" s="59">
        <f ca="1">AVERAGE(OFFSET($FI$3,0,0,'Données projet'!$E$16+1,1))-AVERAGE(OFFSET($H$3,0,0,'Données projet'!$E$16+1,1))</f>
        <v>335.99493768537013</v>
      </c>
      <c r="FK79" s="59">
        <f t="shared" si="102"/>
        <v>150.85164849522778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4.4000000000000004</v>
      </c>
      <c r="FZ79" s="12">
        <f>IF('Données projet'!$A$244&gt;35,FZ78+FY79-GH78,IF(A79&lt;'Données projet'!$A$244,$FW$205^A79,IF(A79='Données projet'!$A$244,'Données projet'!$B$244,FZ78+FY79-GH78)))</f>
        <v>246.40000000000009</v>
      </c>
      <c r="GA79" s="17">
        <f>FZ79*VLOOKUP('Données projet'!$B$17,Paramètres!$A$1:$I$89,3,0)*VLOOKUP('Données projet'!$B$17,Paramètres!$A$1:$I$89,5,0)</f>
        <v>215.25504000000012</v>
      </c>
      <c r="GB79" s="13">
        <f t="shared" si="103"/>
        <v>53.082287058997267</v>
      </c>
      <c r="GC79" s="20">
        <f t="shared" si="79"/>
        <v>467.35417796108709</v>
      </c>
      <c r="GD79" s="59">
        <f t="shared" si="80"/>
        <v>760.68751129442035</v>
      </c>
      <c r="GE79" s="59">
        <f ca="1">AVERAGE(OFFSET($GD$3,0,0,'Données projet'!$E$17+1,1))-AVERAGE(OFFSET($H$3,0,0,'Données projet'!$E$17+1,1))</f>
        <v>319.57811113658374</v>
      </c>
      <c r="GF79" s="59">
        <f t="shared" si="104"/>
        <v>322.03572137403245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29.661418408791629</v>
      </c>
      <c r="GM79" s="21">
        <f>EXP(-LN(2)/25)*GM78+(1-EXP(-LN(2)/25))/(LN(2)/25)*Calculateur!GH79*Calculateur!GJ79*VLOOKUP('Données projet'!$B$17,Paramètres!$A$1:$I$89,3,0)*0.475*44/12</f>
        <v>20.915930094414854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50.57734850320648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5.4683368944097308E-14</v>
      </c>
      <c r="P80" s="13">
        <f t="shared" si="87"/>
        <v>8.8129432816788268E-13</v>
      </c>
      <c r="Q80" s="20">
        <f t="shared" si="54"/>
        <v>1.6301611558033651E-12</v>
      </c>
      <c r="R80" s="59">
        <f t="shared" si="55"/>
        <v>293.33333333333496</v>
      </c>
      <c r="S80" s="59">
        <f ca="1">AVERAGE(OFFSET($R$3,0,0,'Données projet'!$E$9+1,1))-AVERAGE(OFFSET($H$3,0,0,'Données projet'!$E$9+1,1))</f>
        <v>226.41956082453015</v>
      </c>
      <c r="T80" s="59">
        <f t="shared" si="88"/>
        <v>317.95076157570446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8.0178062722222183</v>
      </c>
      <c r="AI80" s="13">
        <f>IF('Données projet'!$A$62&gt;35,AI79+AH80-AQ79,IF(A80&lt;'Données projet'!$A$62,$AF$205^A80,IF(A80='Données projet'!$A$62,'Données projet'!$B$62,AI79+AH80-AQ79)))</f>
        <v>237.98005701111134</v>
      </c>
      <c r="AJ80" s="13">
        <f>AI80*VLOOKUP('Données projet'!$B$10,Paramètres!$A$1:$I$89,3,0)*VLOOKUP('Données projet'!$B$10,Paramètres!$A$1:$I$89,5,0)</f>
        <v>204.18688891553356</v>
      </c>
      <c r="AK80" s="13">
        <f t="shared" si="89"/>
        <v>50.66320672437525</v>
      </c>
      <c r="AL80" s="20">
        <f t="shared" si="58"/>
        <v>443.86391657284116</v>
      </c>
      <c r="AM80" s="59">
        <f t="shared" si="59"/>
        <v>737.19724990617442</v>
      </c>
      <c r="AN80" s="59">
        <f ca="1">AVERAGE(OFFSET($AM$3,0,0,'Données projet'!$E$10+1,1))-AVERAGE(OFFSET($H$3,0,0,'Données projet'!$E$10+1,1))</f>
        <v>257.80662231827404</v>
      </c>
      <c r="AO80" s="59">
        <f t="shared" si="90"/>
        <v>184.04558520039876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-4.5474735088646412E-13</v>
      </c>
      <c r="BE80" s="13">
        <f>BD80*VLOOKUP('Données projet'!$B$11,Paramètres!$A$1:$I$89,3,0)*VLOOKUP('Données projet'!$B$11,Paramètres!$A$1:$I$89,5,0)</f>
        <v>-2.5420376914553347E-13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300.90952915835157</v>
      </c>
      <c r="BJ80" s="59">
        <f t="shared" si="92"/>
        <v>402.81783992925256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146.60555920639896</v>
      </c>
      <c r="BQ80" s="21">
        <f>EXP(-LN(2)/25)*BQ79+(1-EXP(-LN(2)/25))/(LN(2)/25)*Calculateur!BL80*Calculateur!BN80*VLOOKUP('Données projet'!$B$11,Paramètres!$A$1:$I$89,3,0)*0.475*44/12</f>
        <v>31.638230384806484</v>
      </c>
      <c r="BR80" s="21">
        <f>EXP(-LN(2)/2)*BR79+(1-EXP(-LN(2)/2))/(LN(2)/2)*BL80*BO80*VLOOKUP('Données projet'!$B$11,Paramètres!$A$1:$I$89,3,0)*0.475*44/12</f>
        <v>1.6427592420633221E-2</v>
      </c>
      <c r="BS80" s="22">
        <f t="shared" si="63"/>
        <v>178.26021718362608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14.197115381250008</v>
      </c>
      <c r="BY80" s="12">
        <f>IF('Données projet'!$A$114&gt;35,BY79+BX80-CG79,IF(A80&lt;'Données projet'!$A$114,$BV$205^A80,IF(A80='Données projet'!$A$114,'Données projet'!$B$114,BY79+BX80-CG79)))</f>
        <v>396.05576921249997</v>
      </c>
      <c r="BZ80" s="13">
        <f>BY80*VLOOKUP('Données projet'!$B$12,Paramètres!$A$1:$I$89,3,0)*VLOOKUP('Données projet'!$B$12,Paramètres!$A$1:$I$89,5,0)</f>
        <v>195.65154999097498</v>
      </c>
      <c r="CA80" s="13">
        <f t="shared" si="93"/>
        <v>48.787290841163049</v>
      </c>
      <c r="CB80" s="20">
        <f t="shared" si="64"/>
        <v>425.73098111597369</v>
      </c>
      <c r="CC80" s="59">
        <f t="shared" si="65"/>
        <v>719.06431444930695</v>
      </c>
      <c r="CD80" s="59">
        <f ca="1">AVERAGE(OFFSET($CC$3,0,0,'Données projet'!$E$12+1,1))-AVERAGE(OFFSET($H$3,0,0,'Données projet'!$E$12+1,1))</f>
        <v>246.05217890269194</v>
      </c>
      <c r="CE80" s="59">
        <f t="shared" si="94"/>
        <v>155.54297071424327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68.351552670605628</v>
      </c>
      <c r="CL80" s="21">
        <f>EXP(-LN(2)/25)*CL79+(1-EXP(-LN(2)/25))/(LN(2)/25)*Calculateur!CG80*Calculateur!CI80*VLOOKUP('Données projet'!$B$12,Paramètres!$A$1:$I$89,3,0)*0.475*44/12</f>
        <v>27.175040999978691</v>
      </c>
      <c r="CM80" s="21">
        <f>EXP(-LN(2)/2)*CM79+(1-EXP(-LN(2)/2))/(LN(2)/2)*CG80*CJ80*VLOOKUP('Données projet'!$B$12,Paramètres!$A$1:$I$89,3,0)*0.475*44/12</f>
        <v>3.3851388843584975</v>
      </c>
      <c r="CN80" s="22">
        <f t="shared" si="66"/>
        <v>98.911732554942816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7.5584615369999995</v>
      </c>
      <c r="CT80" s="12">
        <f>IF('Données projet'!$A$140&gt;35,CT79+CS80-DB79,IF(A80&lt;'Données projet'!$A$140,$CQ$205^A80,IF(A80='Données projet'!$A$140,'Données projet'!$B$140,CT79+CS80-DB79)))</f>
        <v>380.23230768899975</v>
      </c>
      <c r="CU80" s="17">
        <f>CT80*VLOOKUP('Données projet'!$B$13,Paramètres!$A$1:$I$89,3,0)*VLOOKUP('Données projet'!$B$13,Paramètres!$A$1:$I$89,5,0)</f>
        <v>227.37891999802187</v>
      </c>
      <c r="CV80" s="13">
        <f t="shared" si="95"/>
        <v>55.715565262187205</v>
      </c>
      <c r="CW80" s="20">
        <f t="shared" si="67"/>
        <v>493.05622849486417</v>
      </c>
      <c r="CX80" s="59">
        <f t="shared" si="68"/>
        <v>786.38956182819743</v>
      </c>
      <c r="CY80" s="59">
        <f ca="1">AVERAGE(OFFSET($CX$3,0,0,'Données projet'!$E$13+1,1))-AVERAGE(OFFSET($H$3,0,0,'Données projet'!$E$13+1,1))</f>
        <v>237.036496933921</v>
      </c>
      <c r="CZ80" s="59">
        <f t="shared" si="96"/>
        <v>191.04289413665344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44.111468520972544</v>
      </c>
      <c r="DG80" s="21">
        <f>EXP(-LN(2)/25)*DG79+(1-EXP(-LN(2)/25))/(LN(2)/25)*Calculateur!DB80*Calculateur!DD80*VLOOKUP('Données projet'!$B$13,Paramètres!$A$1:$I$89,3,0)*0.475*44/12</f>
        <v>11.130234541595776</v>
      </c>
      <c r="DH80" s="21">
        <f>EXP(-LN(2)/2)*DH79+(1-EXP(-LN(2)/2))/(LN(2)/2)*DB80*DE80*VLOOKUP('Données projet'!$B$13,Paramètres!$A$1:$I$89,3,0)*0.475*44/12</f>
        <v>0.42339536435589431</v>
      </c>
      <c r="DI80" s="22">
        <f t="shared" si="69"/>
        <v>55.665098426924217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5.3805128213333315</v>
      </c>
      <c r="DO80" s="12">
        <f>IF('Données projet'!$A$166&gt;35,DO79+DN80-DW79,IF(A80&lt;'Données projet'!$A$166,$DL$205^A80,IF(A80='Données projet'!$A$166,'Données projet'!$B$166,DO79+DN80-DW79)))</f>
        <v>182.76871792266647</v>
      </c>
      <c r="DP80" s="17">
        <f>DO80*VLOOKUP('Données projet'!$B$14,Paramètres!$A$1:$I$89,3,0)*VLOOKUP('Données projet'!$B$14,Paramètres!$A$1:$I$89,5,0)</f>
        <v>109.29569331775456</v>
      </c>
      <c r="DQ80" s="13">
        <f t="shared" si="97"/>
        <v>29.164982440682689</v>
      </c>
      <c r="DR80" s="20">
        <f t="shared" si="70"/>
        <v>241.15234361261153</v>
      </c>
      <c r="DS80" s="59">
        <f t="shared" si="71"/>
        <v>534.48567694594487</v>
      </c>
      <c r="DT80" s="59">
        <f ca="1">AVERAGE(OFFSET($DS$3,0,0,'Données projet'!$E$14+1,1))-AVERAGE(OFFSET($H$3,0,0,'Données projet'!$E$14+1,1))</f>
        <v>148.22129593028302</v>
      </c>
      <c r="DU80" s="59">
        <f t="shared" si="98"/>
        <v>102.97015482019975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234.03743999999998</v>
      </c>
      <c r="EL80" s="13">
        <f t="shared" si="99"/>
        <v>57.154784339928739</v>
      </c>
      <c r="EM80" s="20">
        <f t="shared" si="73"/>
        <v>507.15979072537579</v>
      </c>
      <c r="EN80" s="59">
        <f t="shared" si="74"/>
        <v>800.4931240587091</v>
      </c>
      <c r="EO80" s="59">
        <f ca="1">AVERAGE(OFFSET($EN$3,0,0,'Données projet'!$E$15+1,1))-AVERAGE(OFFSET($H$3,0,0,'Données projet'!$E$15+1,1))</f>
        <v>278.53123771916404</v>
      </c>
      <c r="EP80" s="59">
        <f t="shared" si="100"/>
        <v>283.79094702030869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31.827698422181768</v>
      </c>
      <c r="EW80" s="21">
        <f>EXP(-LN(2)/25)*EW79+(1-EXP(-LN(2)/25))/(LN(2)/25)*Calculateur!ER80*Calculateur!ET80*VLOOKUP('Données projet'!$B$15,Paramètres!$A$1:$I$89,3,0)*0.475*44/12</f>
        <v>5.7574371004548377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37.585135522636605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6.5339743589743566</v>
      </c>
      <c r="FE80" s="12">
        <f>IF('Données projet'!$A$218&gt;35,FE79+FD80-FM79,IF(A80&lt;'Données projet'!$A$218,$FB$205^A80,IF(A80='Données projet'!$A$218,'Données projet'!$B$218,FE79+FD80-FM79)))</f>
        <v>205.24935897435907</v>
      </c>
      <c r="FF80" s="17">
        <f>FE80*VLOOKUP('Données projet'!$B$16,Paramètres!$A$1:$I$89,3,0)*VLOOKUP('Données projet'!$B$16,Paramètres!$A$1:$I$89,5,0)</f>
        <v>185.70962000000009</v>
      </c>
      <c r="FG80" s="13">
        <f t="shared" si="101"/>
        <v>46.590153562220287</v>
      </c>
      <c r="FH80" s="20">
        <f t="shared" si="76"/>
        <v>404.5887722875338</v>
      </c>
      <c r="FI80" s="59">
        <f t="shared" si="77"/>
        <v>697.92210562086711</v>
      </c>
      <c r="FJ80" s="59">
        <f ca="1">AVERAGE(OFFSET($FI$3,0,0,'Données projet'!$E$16+1,1))-AVERAGE(OFFSET($H$3,0,0,'Données projet'!$E$16+1,1))</f>
        <v>335.99493768537013</v>
      </c>
      <c r="FK80" s="59">
        <f t="shared" si="102"/>
        <v>150.85164849522778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4.4000000000000004</v>
      </c>
      <c r="FZ80" s="12">
        <f>IF('Données projet'!$A$244&gt;35,FZ79+FY80-GH79,IF(A80&lt;'Données projet'!$A$244,$FW$205^A80,IF(A80='Données projet'!$A$244,'Données projet'!$B$244,FZ79+FY80-GH79)))</f>
        <v>250.8000000000001</v>
      </c>
      <c r="GA80" s="17">
        <f>FZ80*VLOOKUP('Données projet'!$B$17,Paramètres!$A$1:$I$89,3,0)*VLOOKUP('Données projet'!$B$17,Paramètres!$A$1:$I$89,5,0)</f>
        <v>219.09888000000012</v>
      </c>
      <c r="GB80" s="13">
        <f t="shared" si="103"/>
        <v>53.918984980452286</v>
      </c>
      <c r="GC80" s="20">
        <f t="shared" si="79"/>
        <v>475.50611484095458</v>
      </c>
      <c r="GD80" s="59">
        <f t="shared" si="80"/>
        <v>768.8394481742879</v>
      </c>
      <c r="GE80" s="59">
        <f ca="1">AVERAGE(OFFSET($GD$3,0,0,'Données projet'!$E$17+1,1))-AVERAGE(OFFSET($H$3,0,0,'Données projet'!$E$17+1,1))</f>
        <v>319.57811113658374</v>
      </c>
      <c r="GF80" s="59">
        <f t="shared" si="104"/>
        <v>322.03572137403245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29.079776085474048</v>
      </c>
      <c r="GM80" s="21">
        <f>EXP(-LN(2)/25)*GM79+(1-EXP(-LN(2)/25))/(LN(2)/25)*Calculateur!GH80*Calculateur!GJ80*VLOOKUP('Données projet'!$B$17,Paramètres!$A$1:$I$89,3,0)*0.475*44/12</f>
        <v>20.343982886062122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49.423758971536174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5.4683368944097308E-14</v>
      </c>
      <c r="P81" s="13">
        <f t="shared" si="87"/>
        <v>8.8129432816788268E-13</v>
      </c>
      <c r="Q81" s="20">
        <f t="shared" si="54"/>
        <v>1.6301611558033651E-12</v>
      </c>
      <c r="R81" s="59">
        <f t="shared" si="55"/>
        <v>293.33333333333496</v>
      </c>
      <c r="S81" s="59">
        <f ca="1">AVERAGE(OFFSET($R$3,0,0,'Données projet'!$E$9+1,1))-AVERAGE(OFFSET($H$3,0,0,'Données projet'!$E$9+1,1))</f>
        <v>226.41956082453015</v>
      </c>
      <c r="T81" s="59">
        <f t="shared" si="88"/>
        <v>317.95076157570446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8.0178062722222183</v>
      </c>
      <c r="AI81" s="13">
        <f>IF('Données projet'!$A$62&gt;35,AI80+AH81-AQ80,IF(A81&lt;'Données projet'!$A$62,$AF$205^A81,IF(A81='Données projet'!$A$62,'Données projet'!$B$62,AI80+AH81-AQ80)))</f>
        <v>245.99786328333357</v>
      </c>
      <c r="AJ81" s="13">
        <f>AI81*VLOOKUP('Données projet'!$B$10,Paramètres!$A$1:$I$89,3,0)*VLOOKUP('Données projet'!$B$10,Paramètres!$A$1:$I$89,5,0)</f>
        <v>211.06616669710024</v>
      </c>
      <c r="AK81" s="13">
        <f t="shared" si="89"/>
        <v>52.168501233398693</v>
      </c>
      <c r="AL81" s="20">
        <f t="shared" si="58"/>
        <v>458.46704664561889</v>
      </c>
      <c r="AM81" s="59">
        <f t="shared" si="59"/>
        <v>751.80037997895215</v>
      </c>
      <c r="AN81" s="59">
        <f ca="1">AVERAGE(OFFSET($AM$3,0,0,'Données projet'!$E$10+1,1))-AVERAGE(OFFSET($H$3,0,0,'Données projet'!$E$10+1,1))</f>
        <v>257.80662231827404</v>
      </c>
      <c r="AO81" s="59">
        <f t="shared" si="90"/>
        <v>184.04558520039876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-4.5474735088646412E-13</v>
      </c>
      <c r="BE81" s="13">
        <f>BD81*VLOOKUP('Données projet'!$B$11,Paramètres!$A$1:$I$89,3,0)*VLOOKUP('Données projet'!$B$11,Paramètres!$A$1:$I$89,5,0)</f>
        <v>-2.5420376914553347E-13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300.90952915835157</v>
      </c>
      <c r="BJ81" s="59">
        <f t="shared" si="92"/>
        <v>402.81783992925256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143.73071361092306</v>
      </c>
      <c r="BQ81" s="21">
        <f>EXP(-LN(2)/25)*BQ80+(1-EXP(-LN(2)/25))/(LN(2)/25)*Calculateur!BL81*Calculateur!BN81*VLOOKUP('Données projet'!$B$11,Paramètres!$A$1:$I$89,3,0)*0.475*44/12</f>
        <v>30.773081311151724</v>
      </c>
      <c r="BR81" s="21">
        <f>EXP(-LN(2)/2)*BR80+(1-EXP(-LN(2)/2))/(LN(2)/2)*BL81*BO81*VLOOKUP('Données projet'!$B$11,Paramètres!$A$1:$I$89,3,0)*0.475*44/12</f>
        <v>1.1616061999198481E-2</v>
      </c>
      <c r="BS81" s="22">
        <f t="shared" si="63"/>
        <v>174.51541098407398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14.197115381250008</v>
      </c>
      <c r="BY81" s="12">
        <f>IF('Données projet'!$A$114&gt;35,BY80+BX81-CG80,IF(A81&lt;'Données projet'!$A$114,$BV$205^A81,IF(A81='Données projet'!$A$114,'Données projet'!$B$114,BY80+BX81-CG80)))</f>
        <v>410.25288459374997</v>
      </c>
      <c r="BZ81" s="13">
        <f>BY81*VLOOKUP('Données projet'!$B$12,Paramètres!$A$1:$I$89,3,0)*VLOOKUP('Données projet'!$B$12,Paramètres!$A$1:$I$89,5,0)</f>
        <v>202.66492498931251</v>
      </c>
      <c r="CA81" s="13">
        <f t="shared" si="93"/>
        <v>50.329385632142241</v>
      </c>
      <c r="CB81" s="20">
        <f t="shared" si="64"/>
        <v>440.63175766570038</v>
      </c>
      <c r="CC81" s="59">
        <f t="shared" si="65"/>
        <v>733.96509099903369</v>
      </c>
      <c r="CD81" s="59">
        <f ca="1">AVERAGE(OFFSET($CC$3,0,0,'Données projet'!$E$12+1,1))-AVERAGE(OFFSET($H$3,0,0,'Données projet'!$E$12+1,1))</f>
        <v>246.05217890269194</v>
      </c>
      <c r="CE81" s="59">
        <f t="shared" si="94"/>
        <v>155.54297071424327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67.011220413065601</v>
      </c>
      <c r="CL81" s="21">
        <f>EXP(-LN(2)/25)*CL80+(1-EXP(-LN(2)/25))/(LN(2)/25)*Calculateur!CG81*Calculateur!CI81*VLOOKUP('Données projet'!$B$12,Paramètres!$A$1:$I$89,3,0)*0.475*44/12</f>
        <v>26.431938074760978</v>
      </c>
      <c r="CM81" s="21">
        <f>EXP(-LN(2)/2)*CM80+(1-EXP(-LN(2)/2))/(LN(2)/2)*CG81*CJ81*VLOOKUP('Données projet'!$B$12,Paramètres!$A$1:$I$89,3,0)*0.475*44/12</f>
        <v>2.3936546603881577</v>
      </c>
      <c r="CN81" s="22">
        <f t="shared" si="66"/>
        <v>95.836813148214731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7.5584615369999995</v>
      </c>
      <c r="CT81" s="12">
        <f>IF('Données projet'!$A$140&gt;35,CT80+CS81-DB80,IF(A81&lt;'Données projet'!$A$140,$CQ$205^A81,IF(A81='Données projet'!$A$140,'Données projet'!$B$140,CT80+CS81-DB80)))</f>
        <v>387.79076922599972</v>
      </c>
      <c r="CU81" s="17">
        <f>CT81*VLOOKUP('Données projet'!$B$13,Paramètres!$A$1:$I$89,3,0)*VLOOKUP('Données projet'!$B$13,Paramètres!$A$1:$I$89,5,0)</f>
        <v>231.89887999714784</v>
      </c>
      <c r="CV81" s="13">
        <f t="shared" si="95"/>
        <v>56.693067101392636</v>
      </c>
      <c r="CW81" s="20">
        <f t="shared" si="67"/>
        <v>502.630974529958</v>
      </c>
      <c r="CX81" s="59">
        <f t="shared" si="68"/>
        <v>795.96430786329131</v>
      </c>
      <c r="CY81" s="59">
        <f ca="1">AVERAGE(OFFSET($CX$3,0,0,'Données projet'!$E$13+1,1))-AVERAGE(OFFSET($H$3,0,0,'Données projet'!$E$13+1,1))</f>
        <v>237.036496933921</v>
      </c>
      <c r="CZ81" s="59">
        <f t="shared" si="96"/>
        <v>191.04289413665344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43.246469528615386</v>
      </c>
      <c r="DG81" s="21">
        <f>EXP(-LN(2)/25)*DG80+(1-EXP(-LN(2)/25))/(LN(2)/25)*Calculateur!DB81*Calculateur!DD81*VLOOKUP('Données projet'!$B$13,Paramètres!$A$1:$I$89,3,0)*0.475*44/12</f>
        <v>10.825877692742244</v>
      </c>
      <c r="DH81" s="21">
        <f>EXP(-LN(2)/2)*DH80+(1-EXP(-LN(2)/2))/(LN(2)/2)*DB81*DE81*VLOOKUP('Données projet'!$B$13,Paramètres!$A$1:$I$89,3,0)*0.475*44/12</f>
        <v>0.29938573325900192</v>
      </c>
      <c r="DI81" s="22">
        <f t="shared" si="69"/>
        <v>54.371732954616633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5.3805128213333315</v>
      </c>
      <c r="DO81" s="12">
        <f>IF('Données projet'!$A$166&gt;35,DO80+DN81-DW80,IF(A81&lt;'Données projet'!$A$166,$DL$205^A81,IF(A81='Données projet'!$A$166,'Données projet'!$B$166,DO80+DN81-DW80)))</f>
        <v>188.14923074399979</v>
      </c>
      <c r="DP81" s="17">
        <f>DO81*VLOOKUP('Données projet'!$B$14,Paramètres!$A$1:$I$89,3,0)*VLOOKUP('Données projet'!$B$14,Paramètres!$A$1:$I$89,5,0)</f>
        <v>112.51323998491188</v>
      </c>
      <c r="DQ81" s="13">
        <f t="shared" si="97"/>
        <v>29.922342744050582</v>
      </c>
      <c r="DR81" s="20">
        <f t="shared" si="70"/>
        <v>248.07530658627624</v>
      </c>
      <c r="DS81" s="59">
        <f t="shared" si="71"/>
        <v>541.40863991960953</v>
      </c>
      <c r="DT81" s="59">
        <f ca="1">AVERAGE(OFFSET($DS$3,0,0,'Données projet'!$E$14+1,1))-AVERAGE(OFFSET($H$3,0,0,'Données projet'!$E$14+1,1))</f>
        <v>148.22129593028302</v>
      </c>
      <c r="DU81" s="59">
        <f t="shared" si="98"/>
        <v>102.97015482019975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236.67695999999998</v>
      </c>
      <c r="EL81" s="13">
        <f t="shared" si="99"/>
        <v>57.723983099802702</v>
      </c>
      <c r="EM81" s="20">
        <f t="shared" si="73"/>
        <v>512.74830923215643</v>
      </c>
      <c r="EN81" s="59">
        <f t="shared" si="74"/>
        <v>806.0816425654898</v>
      </c>
      <c r="EO81" s="59">
        <f ca="1">AVERAGE(OFFSET($EN$3,0,0,'Données projet'!$E$15+1,1))-AVERAGE(OFFSET($H$3,0,0,'Données projet'!$E$15+1,1))</f>
        <v>278.53123771916404</v>
      </c>
      <c r="EP81" s="59">
        <f t="shared" si="100"/>
        <v>283.79094702030869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31.203576669101949</v>
      </c>
      <c r="EW81" s="21">
        <f>EXP(-LN(2)/25)*EW80+(1-EXP(-LN(2)/25))/(LN(2)/25)*Calculateur!ER81*Calculateur!ET81*VLOOKUP('Données projet'!$B$15,Paramètres!$A$1:$I$89,3,0)*0.475*44/12</f>
        <v>5.5999996801724414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36.803576349274394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6.5339743589743566</v>
      </c>
      <c r="FE81" s="12">
        <f>IF('Données projet'!$A$218&gt;35,FE80+FD81-FM80,IF(A81&lt;'Données projet'!$A$218,$FB$205^A81,IF(A81='Données projet'!$A$218,'Données projet'!$B$218,FE80+FD81-FM80)))</f>
        <v>211.78333333333342</v>
      </c>
      <c r="FF81" s="17">
        <f>FE81*VLOOKUP('Données projet'!$B$16,Paramètres!$A$1:$I$89,3,0)*VLOOKUP('Données projet'!$B$16,Paramètres!$A$1:$I$89,5,0)</f>
        <v>191.62156000000007</v>
      </c>
      <c r="FG81" s="13">
        <f t="shared" si="101"/>
        <v>47.898279234721343</v>
      </c>
      <c r="FH81" s="20">
        <f t="shared" si="76"/>
        <v>417.16372000047312</v>
      </c>
      <c r="FI81" s="59">
        <f t="shared" si="77"/>
        <v>710.49705333380643</v>
      </c>
      <c r="FJ81" s="59">
        <f ca="1">AVERAGE(OFFSET($FI$3,0,0,'Données projet'!$E$16+1,1))-AVERAGE(OFFSET($H$3,0,0,'Données projet'!$E$16+1,1))</f>
        <v>335.99493768537013</v>
      </c>
      <c r="FK81" s="59">
        <f t="shared" si="102"/>
        <v>150.85164849522778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4.4000000000000004</v>
      </c>
      <c r="FZ81" s="12">
        <f>IF('Données projet'!$A$244&gt;35,FZ80+FY81-GH80,IF(A81&lt;'Données projet'!$A$244,$FW$205^A81,IF(A81='Données projet'!$A$244,'Données projet'!$B$244,FZ80+FY81-GH80)))</f>
        <v>255.2000000000001</v>
      </c>
      <c r="GA81" s="17">
        <f>FZ81*VLOOKUP('Données projet'!$B$17,Paramètres!$A$1:$I$89,3,0)*VLOOKUP('Données projet'!$B$17,Paramètres!$A$1:$I$89,5,0)</f>
        <v>222.94272000000009</v>
      </c>
      <c r="GB81" s="13">
        <f t="shared" si="103"/>
        <v>54.753975927514929</v>
      </c>
      <c r="GC81" s="20">
        <f t="shared" si="79"/>
        <v>483.65507874042197</v>
      </c>
      <c r="GD81" s="59">
        <f t="shared" si="80"/>
        <v>776.98841207375528</v>
      </c>
      <c r="GE81" s="59">
        <f ca="1">AVERAGE(OFFSET($GD$3,0,0,'Données projet'!$E$17+1,1))-AVERAGE(OFFSET($H$3,0,0,'Données projet'!$E$17+1,1))</f>
        <v>319.57811113658374</v>
      </c>
      <c r="GF81" s="59">
        <f t="shared" si="104"/>
        <v>322.03572137403245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28.509539413349941</v>
      </c>
      <c r="GM81" s="21">
        <f>EXP(-LN(2)/25)*GM80+(1-EXP(-LN(2)/25))/(LN(2)/25)*Calculateur!GH81*Calculateur!GJ81*VLOOKUP('Données projet'!$B$17,Paramètres!$A$1:$I$89,3,0)*0.475*44/12</f>
        <v>19.78767560419919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48.297215017549135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5.4683368944097308E-14</v>
      </c>
      <c r="P82" s="13">
        <f t="shared" si="87"/>
        <v>8.8129432816788268E-13</v>
      </c>
      <c r="Q82" s="20">
        <f t="shared" si="54"/>
        <v>1.6301611558033651E-12</v>
      </c>
      <c r="R82" s="59">
        <f t="shared" si="55"/>
        <v>293.33333333333496</v>
      </c>
      <c r="S82" s="59">
        <f ca="1">AVERAGE(OFFSET($R$3,0,0,'Données projet'!$E$9+1,1))-AVERAGE(OFFSET($H$3,0,0,'Données projet'!$E$9+1,1))</f>
        <v>226.41956082453015</v>
      </c>
      <c r="T82" s="59">
        <f t="shared" si="88"/>
        <v>317.95076157570446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8.0178062722222183</v>
      </c>
      <c r="AI82" s="13">
        <f>IF('Données projet'!$A$62&gt;35,AI81+AH82-AQ81,IF(A82&lt;'Données projet'!$A$62,$AF$205^A82,IF(A82='Données projet'!$A$62,'Données projet'!$B$62,AI81+AH82-AQ81)))</f>
        <v>254.0156695555558</v>
      </c>
      <c r="AJ82" s="13">
        <f>AI82*VLOOKUP('Données projet'!$B$10,Paramètres!$A$1:$I$89,3,0)*VLOOKUP('Données projet'!$B$10,Paramètres!$A$1:$I$89,5,0)</f>
        <v>217.9454444786669</v>
      </c>
      <c r="AK82" s="13">
        <f t="shared" si="89"/>
        <v>53.668094672535553</v>
      </c>
      <c r="AL82" s="20">
        <f t="shared" si="58"/>
        <v>473.06024735501097</v>
      </c>
      <c r="AM82" s="59">
        <f t="shared" si="59"/>
        <v>766.39358068834429</v>
      </c>
      <c r="AN82" s="59">
        <f ca="1">AVERAGE(OFFSET($AM$3,0,0,'Données projet'!$E$10+1,1))-AVERAGE(OFFSET($H$3,0,0,'Données projet'!$E$10+1,1))</f>
        <v>257.80662231827404</v>
      </c>
      <c r="AO82" s="59">
        <f t="shared" si="90"/>
        <v>184.04558520039876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-4.5474735088646412E-13</v>
      </c>
      <c r="BE82" s="13">
        <f>BD82*VLOOKUP('Données projet'!$B$11,Paramètres!$A$1:$I$89,3,0)*VLOOKUP('Données projet'!$B$11,Paramètres!$A$1:$I$89,5,0)</f>
        <v>-2.5420376914553347E-13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300.90952915835157</v>
      </c>
      <c r="BJ82" s="59">
        <f t="shared" si="92"/>
        <v>402.81783992925256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140.91224198409176</v>
      </c>
      <c r="BQ82" s="21">
        <f>EXP(-LN(2)/25)*BQ81+(1-EXP(-LN(2)/25))/(LN(2)/25)*Calculateur!BL82*Calculateur!BN82*VLOOKUP('Données projet'!$B$11,Paramètres!$A$1:$I$89,3,0)*0.475*44/12</f>
        <v>29.931589784412267</v>
      </c>
      <c r="BR82" s="21">
        <f>EXP(-LN(2)/2)*BR81+(1-EXP(-LN(2)/2))/(LN(2)/2)*BL82*BO82*VLOOKUP('Données projet'!$B$11,Paramètres!$A$1:$I$89,3,0)*0.475*44/12</f>
        <v>8.2137962103166103E-3</v>
      </c>
      <c r="BS82" s="22">
        <f t="shared" si="63"/>
        <v>170.85204556471436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14.197115381250008</v>
      </c>
      <c r="BY82" s="12">
        <f>IF('Données projet'!$A$114&gt;35,BY81+BX82-CG81,IF(A82&lt;'Données projet'!$A$114,$BV$205^A82,IF(A82='Données projet'!$A$114,'Données projet'!$B$114,BY81+BX82-CG81)))</f>
        <v>424.44999997499997</v>
      </c>
      <c r="BZ82" s="13">
        <f>BY82*VLOOKUP('Données projet'!$B$12,Paramètres!$A$1:$I$89,3,0)*VLOOKUP('Données projet'!$B$12,Paramètres!$A$1:$I$89,5,0)</f>
        <v>209.67829998764998</v>
      </c>
      <c r="CA82" s="13">
        <f t="shared" si="93"/>
        <v>51.865279880485268</v>
      </c>
      <c r="CB82" s="20">
        <f t="shared" si="64"/>
        <v>455.52173493700224</v>
      </c>
      <c r="CC82" s="59">
        <f t="shared" si="65"/>
        <v>748.85506827033555</v>
      </c>
      <c r="CD82" s="59">
        <f ca="1">AVERAGE(OFFSET($CC$3,0,0,'Données projet'!$E$12+1,1))-AVERAGE(OFFSET($H$3,0,0,'Données projet'!$E$12+1,1))</f>
        <v>246.05217890269194</v>
      </c>
      <c r="CE82" s="59">
        <f t="shared" si="94"/>
        <v>155.54297071424327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65.697171253573984</v>
      </c>
      <c r="CL82" s="21">
        <f>EXP(-LN(2)/25)*CL81+(1-EXP(-LN(2)/25))/(LN(2)/25)*Calculateur!CG82*Calculateur!CI82*VLOOKUP('Données projet'!$B$12,Paramètres!$A$1:$I$89,3,0)*0.475*44/12</f>
        <v>25.709155338111426</v>
      </c>
      <c r="CM82" s="21">
        <f>EXP(-LN(2)/2)*CM81+(1-EXP(-LN(2)/2))/(LN(2)/2)*CG82*CJ82*VLOOKUP('Données projet'!$B$12,Paramètres!$A$1:$I$89,3,0)*0.475*44/12</f>
        <v>1.6925694421792488</v>
      </c>
      <c r="CN82" s="22">
        <f t="shared" si="66"/>
        <v>93.098896033864662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7.5584615369999995</v>
      </c>
      <c r="CT82" s="12">
        <f>IF('Données projet'!$A$140&gt;35,CT81+CS82-DB81,IF(A82&lt;'Données projet'!$A$140,$CQ$205^A82,IF(A82='Données projet'!$A$140,'Données projet'!$B$140,CT81+CS82-DB81)))</f>
        <v>395.3492307629997</v>
      </c>
      <c r="CU82" s="17">
        <f>CT82*VLOOKUP('Données projet'!$B$13,Paramètres!$A$1:$I$89,3,0)*VLOOKUP('Données projet'!$B$13,Paramètres!$A$1:$I$89,5,0)</f>
        <v>236.41883999627385</v>
      </c>
      <c r="CV82" s="13">
        <f t="shared" si="95"/>
        <v>57.668353587224786</v>
      </c>
      <c r="CW82" s="20">
        <f t="shared" si="67"/>
        <v>512.20186215792671</v>
      </c>
      <c r="CX82" s="59">
        <f t="shared" si="68"/>
        <v>805.53519549126008</v>
      </c>
      <c r="CY82" s="59">
        <f ca="1">AVERAGE(OFFSET($CX$3,0,0,'Données projet'!$E$13+1,1))-AVERAGE(OFFSET($H$3,0,0,'Données projet'!$E$13+1,1))</f>
        <v>237.036496933921</v>
      </c>
      <c r="CZ82" s="59">
        <f t="shared" si="96"/>
        <v>191.04289413665344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42.398432638901063</v>
      </c>
      <c r="DG82" s="21">
        <f>EXP(-LN(2)/25)*DG81+(1-EXP(-LN(2)/25))/(LN(2)/25)*Calculateur!DB82*Calculateur!DD82*VLOOKUP('Données projet'!$B$13,Paramètres!$A$1:$I$89,3,0)*0.475*44/12</f>
        <v>10.529843497926043</v>
      </c>
      <c r="DH82" s="21">
        <f>EXP(-LN(2)/2)*DH81+(1-EXP(-LN(2)/2))/(LN(2)/2)*DB82*DE82*VLOOKUP('Données projet'!$B$13,Paramètres!$A$1:$I$89,3,0)*0.475*44/12</f>
        <v>0.21169768217794716</v>
      </c>
      <c r="DI82" s="22">
        <f t="shared" si="69"/>
        <v>53.139973819005057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5.3805128213333315</v>
      </c>
      <c r="DO82" s="12">
        <f>IF('Données projet'!$A$166&gt;35,DO81+DN82-DW81,IF(A82&lt;'Données projet'!$A$166,$DL$205^A82,IF(A82='Données projet'!$A$166,'Données projet'!$B$166,DO81+DN82-DW81)))</f>
        <v>193.52974356533312</v>
      </c>
      <c r="DP82" s="17">
        <f>DO82*VLOOKUP('Données projet'!$B$14,Paramètres!$A$1:$I$89,3,0)*VLOOKUP('Données projet'!$B$14,Paramètres!$A$1:$I$89,5,0)</f>
        <v>115.73078665206923</v>
      </c>
      <c r="DQ82" s="13">
        <f t="shared" si="97"/>
        <v>30.677185853483355</v>
      </c>
      <c r="DR82" s="20">
        <f t="shared" si="70"/>
        <v>254.9938854471707</v>
      </c>
      <c r="DS82" s="59">
        <f t="shared" si="71"/>
        <v>548.32721878050404</v>
      </c>
      <c r="DT82" s="59">
        <f ca="1">AVERAGE(OFFSET($DS$3,0,0,'Données projet'!$E$14+1,1))-AVERAGE(OFFSET($H$3,0,0,'Données projet'!$E$14+1,1))</f>
        <v>148.22129593028302</v>
      </c>
      <c r="DU82" s="59">
        <f t="shared" si="98"/>
        <v>102.97015482019975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239.31647999999998</v>
      </c>
      <c r="EL82" s="13">
        <f t="shared" si="99"/>
        <v>58.292443422481945</v>
      </c>
      <c r="EM82" s="20">
        <f t="shared" si="73"/>
        <v>518.33554162748942</v>
      </c>
      <c r="EN82" s="59">
        <f t="shared" si="74"/>
        <v>811.66887496082268</v>
      </c>
      <c r="EO82" s="59">
        <f ca="1">AVERAGE(OFFSET($EN$3,0,0,'Données projet'!$E$15+1,1))-AVERAGE(OFFSET($H$3,0,0,'Données projet'!$E$15+1,1))</f>
        <v>278.53123771916404</v>
      </c>
      <c r="EP82" s="59">
        <f t="shared" si="100"/>
        <v>283.79094702030869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30.591693562923343</v>
      </c>
      <c r="EW82" s="21">
        <f>EXP(-LN(2)/25)*EW81+(1-EXP(-LN(2)/25))/(LN(2)/25)*Calculateur!ER82*Calculateur!ET82*VLOOKUP('Données projet'!$B$15,Paramètres!$A$1:$I$89,3,0)*0.475*44/12</f>
        <v>5.4468673944269419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36.038560957350285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6.5339743589743566</v>
      </c>
      <c r="FE82" s="12">
        <f>IF('Données projet'!$A$218&gt;35,FE81+FD82-FM81,IF(A82&lt;'Données projet'!$A$218,$FB$205^A82,IF(A82='Données projet'!$A$218,'Données projet'!$B$218,FE81+FD82-FM81)))</f>
        <v>218.31730769230776</v>
      </c>
      <c r="FF82" s="17">
        <f>FE82*VLOOKUP('Données projet'!$B$16,Paramètres!$A$1:$I$89,3,0)*VLOOKUP('Données projet'!$B$16,Paramètres!$A$1:$I$89,5,0)</f>
        <v>197.53350000000006</v>
      </c>
      <c r="FG82" s="13">
        <f t="shared" si="101"/>
        <v>49.201714815770728</v>
      </c>
      <c r="FH82" s="20">
        <f t="shared" si="76"/>
        <v>429.73049913746746</v>
      </c>
      <c r="FI82" s="59">
        <f t="shared" si="77"/>
        <v>723.06383247080078</v>
      </c>
      <c r="FJ82" s="59">
        <f ca="1">AVERAGE(OFFSET($FI$3,0,0,'Données projet'!$E$16+1,1))-AVERAGE(OFFSET($H$3,0,0,'Données projet'!$E$16+1,1))</f>
        <v>335.99493768537013</v>
      </c>
      <c r="FK82" s="59">
        <f t="shared" si="102"/>
        <v>150.85164849522778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4.4000000000000004</v>
      </c>
      <c r="FZ82" s="12">
        <f>IF('Données projet'!$A$244&gt;35,FZ81+FY82-GH81,IF(A82&lt;'Données projet'!$A$244,$FW$205^A82,IF(A82='Données projet'!$A$244,'Données projet'!$B$244,FZ81+FY82-GH81)))</f>
        <v>259.60000000000008</v>
      </c>
      <c r="GA82" s="17">
        <f>FZ82*VLOOKUP('Données projet'!$B$17,Paramètres!$A$1:$I$89,3,0)*VLOOKUP('Données projet'!$B$17,Paramètres!$A$1:$I$89,5,0)</f>
        <v>226.78656000000009</v>
      </c>
      <c r="GB82" s="13">
        <f t="shared" si="103"/>
        <v>55.587292726829872</v>
      </c>
      <c r="GC82" s="20">
        <f t="shared" si="79"/>
        <v>491.8011268325622</v>
      </c>
      <c r="GD82" s="59">
        <f t="shared" si="80"/>
        <v>785.13446016589546</v>
      </c>
      <c r="GE82" s="59">
        <f ca="1">AVERAGE(OFFSET($GD$3,0,0,'Données projet'!$E$17+1,1))-AVERAGE(OFFSET($H$3,0,0,'Données projet'!$E$17+1,1))</f>
        <v>319.57811113658374</v>
      </c>
      <c r="GF82" s="59">
        <f t="shared" si="104"/>
        <v>322.03572137403245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27.950484734556159</v>
      </c>
      <c r="GM82" s="21">
        <f>EXP(-LN(2)/25)*GM81+(1-EXP(-LN(2)/25))/(LN(2)/25)*Calculateur!GH82*Calculateur!GJ82*VLOOKUP('Données projet'!$B$17,Paramètres!$A$1:$I$89,3,0)*0.475*44/12</f>
        <v>19.246580574213731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47.197065308769893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5.4683368944097308E-14</v>
      </c>
      <c r="P83" s="13">
        <f t="shared" si="87"/>
        <v>8.8129432816788268E-13</v>
      </c>
      <c r="Q83" s="20">
        <f t="shared" si="54"/>
        <v>1.6301611558033651E-12</v>
      </c>
      <c r="R83" s="59">
        <f t="shared" si="55"/>
        <v>293.33333333333496</v>
      </c>
      <c r="S83" s="59">
        <f ca="1">AVERAGE(OFFSET($R$3,0,0,'Données projet'!$E$9+1,1))-AVERAGE(OFFSET($H$3,0,0,'Données projet'!$E$9+1,1))</f>
        <v>226.41956082453015</v>
      </c>
      <c r="T83" s="59">
        <f t="shared" si="88"/>
        <v>317.95076157570446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8.0178062722222183</v>
      </c>
      <c r="AI83" s="13">
        <f>IF('Données projet'!$A$62&gt;35,AI82+AH83-AQ82,IF(A83&lt;'Données projet'!$A$62,$AF$205^A83,IF(A83='Données projet'!$A$62,'Données projet'!$B$62,AI82+AH83-AQ82)))</f>
        <v>262.03347582777803</v>
      </c>
      <c r="AJ83" s="13">
        <f>AI83*VLOOKUP('Données projet'!$B$10,Paramètres!$A$1:$I$89,3,0)*VLOOKUP('Données projet'!$B$10,Paramètres!$A$1:$I$89,5,0)</f>
        <v>224.82472226023359</v>
      </c>
      <c r="AK83" s="13">
        <f t="shared" si="89"/>
        <v>55.162187636759541</v>
      </c>
      <c r="AL83" s="20">
        <f t="shared" si="58"/>
        <v>487.64386807059628</v>
      </c>
      <c r="AM83" s="59">
        <f t="shared" si="59"/>
        <v>780.9772014039296</v>
      </c>
      <c r="AN83" s="59">
        <f ca="1">AVERAGE(OFFSET($AM$3,0,0,'Données projet'!$E$10+1,1))-AVERAGE(OFFSET($H$3,0,0,'Données projet'!$E$10+1,1))</f>
        <v>257.80662231827404</v>
      </c>
      <c r="AO83" s="59">
        <f t="shared" si="90"/>
        <v>184.04558520039876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-4.5474735088646412E-13</v>
      </c>
      <c r="BE83" s="13">
        <f>BD83*VLOOKUP('Données projet'!$B$11,Paramètres!$A$1:$I$89,3,0)*VLOOKUP('Données projet'!$B$11,Paramètres!$A$1:$I$89,5,0)</f>
        <v>-2.5420376914553347E-13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300.90952915835157</v>
      </c>
      <c r="BJ83" s="59">
        <f t="shared" si="92"/>
        <v>402.81783992925256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138.14903886676467</v>
      </c>
      <c r="BQ83" s="21">
        <f>EXP(-LN(2)/25)*BQ82+(1-EXP(-LN(2)/25))/(LN(2)/25)*Calculateur!BL83*Calculateur!BN83*VLOOKUP('Données projet'!$B$11,Paramètres!$A$1:$I$89,3,0)*0.475*44/12</f>
        <v>29.113108887723616</v>
      </c>
      <c r="BR83" s="21">
        <f>EXP(-LN(2)/2)*BR82+(1-EXP(-LN(2)/2))/(LN(2)/2)*BL83*BO83*VLOOKUP('Données projet'!$B$11,Paramètres!$A$1:$I$89,3,0)*0.475*44/12</f>
        <v>5.8080309995992407E-3</v>
      </c>
      <c r="BS83" s="22">
        <f t="shared" si="63"/>
        <v>167.26795578548789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14.197115381250008</v>
      </c>
      <c r="BY83" s="12">
        <f>IF('Données projet'!$A$114&gt;35,BY82+BX83-CG82,IF(A83&lt;'Données projet'!$A$114,$BV$205^A83,IF(A83='Données projet'!$A$114,'Données projet'!$B$114,BY82+BX83-CG82)))</f>
        <v>438.64711535624997</v>
      </c>
      <c r="BZ83" s="13">
        <f>BY83*VLOOKUP('Données projet'!$B$12,Paramètres!$A$1:$I$89,3,0)*VLOOKUP('Données projet'!$B$12,Paramètres!$A$1:$I$89,5,0)</f>
        <v>216.6916749859875</v>
      </c>
      <c r="CA83" s="13">
        <f t="shared" si="93"/>
        <v>53.395204762041871</v>
      </c>
      <c r="CB83" s="20">
        <f t="shared" si="64"/>
        <v>470.40131556115119</v>
      </c>
      <c r="CC83" s="59">
        <f t="shared" si="65"/>
        <v>763.73464889448451</v>
      </c>
      <c r="CD83" s="59">
        <f ca="1">AVERAGE(OFFSET($CC$3,0,0,'Données projet'!$E$12+1,1))-AVERAGE(OFFSET($H$3,0,0,'Données projet'!$E$12+1,1))</f>
        <v>246.05217890269194</v>
      </c>
      <c r="CE83" s="59">
        <f t="shared" si="94"/>
        <v>155.54297071424327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64.408889796609145</v>
      </c>
      <c r="CL83" s="21">
        <f>EXP(-LN(2)/25)*CL82+(1-EXP(-LN(2)/25))/(LN(2)/25)*Calculateur!CG83*Calculateur!CI83*VLOOKUP('Données projet'!$B$12,Paramètres!$A$1:$I$89,3,0)*0.475*44/12</f>
        <v>25.006137133405048</v>
      </c>
      <c r="CM83" s="21">
        <f>EXP(-LN(2)/2)*CM82+(1-EXP(-LN(2)/2))/(LN(2)/2)*CG83*CJ83*VLOOKUP('Données projet'!$B$12,Paramètres!$A$1:$I$89,3,0)*0.475*44/12</f>
        <v>1.1968273301940788</v>
      </c>
      <c r="CN83" s="22">
        <f t="shared" si="66"/>
        <v>90.611854260208275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402.90769230000001</v>
      </c>
      <c r="CR83" s="12">
        <f>VLOOKUP(A83,'Données projet'!$A$139:$I$159,9,0)</f>
        <v>7.5584615369999995</v>
      </c>
      <c r="CS83" s="12">
        <f t="array" ref="CS83">INDEX(CR:CR,MIN(IF(ISNUMBER(CR83:CR279),ROW(CR83:CR279),"")))</f>
        <v>7.5584615369999995</v>
      </c>
      <c r="CT83" s="12">
        <f>IF('Données projet'!$A$140&gt;35,CT82+CS83-DB82,IF(A83&lt;'Données projet'!$A$140,$CQ$205^A83,IF(A83='Données projet'!$A$140,'Données projet'!$B$140,CT82+CS83-DB82)))</f>
        <v>402.90769229999967</v>
      </c>
      <c r="CU83" s="17">
        <f>CT83*VLOOKUP('Données projet'!$B$13,Paramètres!$A$1:$I$89,3,0)*VLOOKUP('Données projet'!$B$13,Paramètres!$A$1:$I$89,5,0)</f>
        <v>240.93879999539979</v>
      </c>
      <c r="CV83" s="13">
        <f t="shared" si="95"/>
        <v>58.641471957039371</v>
      </c>
      <c r="CW83" s="20">
        <f t="shared" si="67"/>
        <v>521.7689736504982</v>
      </c>
      <c r="CX83" s="59">
        <f t="shared" si="68"/>
        <v>815.10230698383157</v>
      </c>
      <c r="CY83" s="59">
        <f ca="1">AVERAGE(OFFSET($CX$3,0,0,'Données projet'!$E$13+1,1))-AVERAGE(OFFSET($H$3,0,0,'Données projet'!$E$13+1,1))</f>
        <v>237.036496933921</v>
      </c>
      <c r="CZ83" s="59">
        <f t="shared" si="96"/>
        <v>191.04289413665344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402.90769230000001</v>
      </c>
      <c r="DC83" s="16">
        <f>IF(ISNA(VLOOKUP(A83,'Données projet'!$A$139:$I$159,5,0)),0%,VLOOKUP(A83,'Données projet'!$A$139:$I$159,5,0)*VLOOKUP('Données projet'!$B$13,Paramètres!$A$1:$I$89,7,0))</f>
        <v>0.315</v>
      </c>
      <c r="DD83" s="16">
        <f>IF(ISNA(VLOOKUP(A83,'Données projet'!$A$139:$I$159,6,0)),0%,VLOOKUP(A83,'Données projet'!$A$139:$I$159,6,0)*VLOOKUP('Données projet'!$B$13,Paramètres!$A$1:$I$89,7,0))</f>
        <v>7.6500000000000012E-2</v>
      </c>
      <c r="DE83" s="16">
        <f>IF(ISNA(VLOOKUP(A83,'Données projet'!$A$139:$I$159,7,0)),0%,VLOOKUP(A83,'Données projet'!$A$139:$I$159,7,0))</f>
        <v>0.13</v>
      </c>
      <c r="DF83" s="21">
        <f>EXP(-LN(2)/35)*DF82+(1-EXP(-LN(2)/35))/(LN(2)/35)*DB83*DC83*VLOOKUP('Données projet'!$B$13,Paramètres!$A$1:$I$89,3,0)*0.475*44/12</f>
        <v>142.24759235854117</v>
      </c>
      <c r="DG83" s="21">
        <f>EXP(-LN(2)/25)*DG82+(1-EXP(-LN(2)/25))/(LN(2)/25)*Calculateur!DB83*Calculateur!DD83*VLOOKUP('Données projet'!$B$13,Paramètres!$A$1:$I$89,3,0)*0.475*44/12</f>
        <v>34.596626363138071</v>
      </c>
      <c r="DH83" s="21">
        <f>EXP(-LN(2)/2)*DH82+(1-EXP(-LN(2)/2))/(LN(2)/2)*DB83*DE83*VLOOKUP('Données projet'!$B$13,Paramètres!$A$1:$I$89,3,0)*0.475*44/12</f>
        <v>35.613522707297484</v>
      </c>
      <c r="DI83" s="22">
        <f t="shared" si="69"/>
        <v>212.4577414289767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5.3805128213333315</v>
      </c>
      <c r="DO83" s="12">
        <f>IF('Données projet'!$A$166&gt;35,DO82+DN83-DW82,IF(A83&lt;'Données projet'!$A$166,$DL$205^A83,IF(A83='Données projet'!$A$166,'Données projet'!$B$166,DO82+DN83-DW82)))</f>
        <v>198.91025638666645</v>
      </c>
      <c r="DP83" s="17">
        <f>DO83*VLOOKUP('Données projet'!$B$14,Paramètres!$A$1:$I$89,3,0)*VLOOKUP('Données projet'!$B$14,Paramètres!$A$1:$I$89,5,0)</f>
        <v>118.94833331922655</v>
      </c>
      <c r="DQ83" s="13">
        <f t="shared" si="97"/>
        <v>31.429589792093683</v>
      </c>
      <c r="DR83" s="20">
        <f t="shared" si="70"/>
        <v>261.90821608554938</v>
      </c>
      <c r="DS83" s="59">
        <f t="shared" si="71"/>
        <v>555.24154941888264</v>
      </c>
      <c r="DT83" s="59">
        <f ca="1">AVERAGE(OFFSET($DS$3,0,0,'Données projet'!$E$14+1,1))-AVERAGE(OFFSET($H$3,0,0,'Données projet'!$E$14+1,1))</f>
        <v>148.22129593028302</v>
      </c>
      <c r="DU83" s="59">
        <f t="shared" si="98"/>
        <v>102.97015482019975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241.95599999999999</v>
      </c>
      <c r="EL83" s="13">
        <f t="shared" si="99"/>
        <v>58.860174395053612</v>
      </c>
      <c r="EM83" s="20">
        <f t="shared" si="73"/>
        <v>523.92150373805168</v>
      </c>
      <c r="EN83" s="59">
        <f t="shared" si="74"/>
        <v>817.25483707138505</v>
      </c>
      <c r="EO83" s="59">
        <f ca="1">AVERAGE(OFFSET($EN$3,0,0,'Données projet'!$E$15+1,1))-AVERAGE(OFFSET($H$3,0,0,'Données projet'!$E$15+1,1))</f>
        <v>278.53123771916404</v>
      </c>
      <c r="EP83" s="59">
        <f t="shared" si="100"/>
        <v>283.79094702030869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0.39129999999999998</v>
      </c>
      <c r="ET83" s="16">
        <f>IF(ISNA(VLOOKUP(A83,'Données projet'!$A$191:$I$211,6,0)),0%,VLOOKUP(A83,'Données projet'!$A$191:$I$211,6,0)*VLOOKUP('Données projet'!$B$15,Paramètres!$A$1:$I$89,7,0))</f>
        <v>3.8699999999999998E-2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33.480577187815136</v>
      </c>
      <c r="EW83" s="21">
        <f>EXP(-LN(2)/25)*EW82+(1-EXP(-LN(2)/25))/(LN(2)/25)*Calculateur!ER83*Calculateur!ET83*VLOOKUP('Données projet'!$B$15,Paramètres!$A$1:$I$89,3,0)*0.475*44/12</f>
        <v>5.6416069499226449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39.122184137737783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6.5339743589743566</v>
      </c>
      <c r="FE83" s="12">
        <f>IF('Données projet'!$A$218&gt;35,FE82+FD83-FM82,IF(A83&lt;'Données projet'!$A$218,$FB$205^A83,IF(A83='Données projet'!$A$218,'Données projet'!$B$218,FE82+FD83-FM82)))</f>
        <v>224.85128205128211</v>
      </c>
      <c r="FF83" s="17">
        <f>FE83*VLOOKUP('Données projet'!$B$16,Paramètres!$A$1:$I$89,3,0)*VLOOKUP('Données projet'!$B$16,Paramètres!$A$1:$I$89,5,0)</f>
        <v>203.44544000000002</v>
      </c>
      <c r="FG83" s="13">
        <f t="shared" si="101"/>
        <v>50.50061678781659</v>
      </c>
      <c r="FH83" s="20">
        <f t="shared" si="76"/>
        <v>442.28938223878066</v>
      </c>
      <c r="FI83" s="59">
        <f t="shared" si="77"/>
        <v>735.62271557211398</v>
      </c>
      <c r="FJ83" s="59">
        <f ca="1">AVERAGE(OFFSET($FI$3,0,0,'Données projet'!$E$16+1,1))-AVERAGE(OFFSET($H$3,0,0,'Données projet'!$E$16+1,1))</f>
        <v>335.99493768537013</v>
      </c>
      <c r="FK83" s="59">
        <f t="shared" si="102"/>
        <v>150.85164849522778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264</v>
      </c>
      <c r="FX83" s="12">
        <f>VLOOKUP(A83,'Données projet'!$A$243:$I$263,9,0)</f>
        <v>4.4000000000000004</v>
      </c>
      <c r="FY83" s="12">
        <f t="array" ref="FY83">INDEX(FX:FX,MIN(IF(ISNUMBER(FX83:FX279),ROW(FX83:FX279),"")))</f>
        <v>4.4000000000000004</v>
      </c>
      <c r="FZ83" s="12">
        <f>IF('Données projet'!$A$244&gt;35,FZ82+FY83-GH82,IF(A83&lt;'Données projet'!$A$244,$FW$205^A83,IF(A83='Données projet'!$A$244,'Données projet'!$B$244,FZ82+FY83-GH82)))</f>
        <v>264.00000000000006</v>
      </c>
      <c r="GA83" s="17">
        <f>FZ83*VLOOKUP('Données projet'!$B$17,Paramètres!$A$1:$I$89,3,0)*VLOOKUP('Données projet'!$B$17,Paramètres!$A$1:$I$89,5,0)</f>
        <v>230.63040000000007</v>
      </c>
      <c r="GB83" s="13">
        <f t="shared" si="103"/>
        <v>56.418967028503253</v>
      </c>
      <c r="GC83" s="20">
        <f t="shared" si="79"/>
        <v>499.94431424130994</v>
      </c>
      <c r="GD83" s="59">
        <f t="shared" si="80"/>
        <v>793.2776475746432</v>
      </c>
      <c r="GE83" s="59">
        <f ca="1">AVERAGE(OFFSET($GD$3,0,0,'Données projet'!$E$17+1,1))-AVERAGE(OFFSET($H$3,0,0,'Données projet'!$E$17+1,1))</f>
        <v>319.57811113658374</v>
      </c>
      <c r="GF83" s="59">
        <f t="shared" si="104"/>
        <v>322.03572137403245</v>
      </c>
      <c r="GG83" s="15">
        <f>IF(ISNA(VLOOKUP(A83,'Données projet'!$A$243:$I$263,3,0)),0,VLOOKUP(A83,'Données projet'!$A$243:$I$263,3,0))</f>
        <v>13</v>
      </c>
      <c r="GH83" s="15" t="str">
        <f>IF(ISNA(VLOOKUP(A83,'Données projet'!$A$243:$I$263,4,0)),0,VLOOKUP(A83,'Données projet'!$A$243:$I$263,4,0))</f>
        <v>17</v>
      </c>
      <c r="GI83" s="16">
        <f>IF(ISNA(VLOOKUP(A83,'Données projet'!$A$243:$I$263,5,0)),0%,VLOOKUP(A83,'Données projet'!$A$243:$I$263,5,0)*VLOOKUP('Données projet'!$B$17,Paramètres!$A$1:$I$89,7,0))</f>
        <v>0.30099999999999999</v>
      </c>
      <c r="GJ83" s="16">
        <f>IF(ISNA(VLOOKUP(A83,'Données projet'!$A$243:$I$263,6,0)),0%,VLOOKUP(A83,'Données projet'!$A$243:$I$263,6,0)*VLOOKUP('Données projet'!$B$17,Paramètres!$A$1:$I$89,7,0))</f>
        <v>8.6000000000000007E-2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32.344078848880287</v>
      </c>
      <c r="GM83" s="21">
        <f>EXP(-LN(2)/25)*GM82+(1-EXP(-LN(2)/25))/(LN(2)/25)*Calculateur!GH83*Calculateur!GJ83*VLOOKUP('Données projet'!$B$17,Paramètres!$A$1:$I$89,3,0)*0.475*44/12</f>
        <v>20.126632893667185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52.470711742547472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5.4683368944097308E-14</v>
      </c>
      <c r="P84" s="13">
        <f t="shared" si="87"/>
        <v>8.8129432816788268E-13</v>
      </c>
      <c r="Q84" s="20">
        <f t="shared" si="54"/>
        <v>1.6301611558033651E-12</v>
      </c>
      <c r="R84" s="59">
        <f t="shared" si="55"/>
        <v>293.33333333333496</v>
      </c>
      <c r="S84" s="59">
        <f ca="1">AVERAGE(OFFSET($R$3,0,0,'Données projet'!$E$9+1,1))-AVERAGE(OFFSET($H$3,0,0,'Données projet'!$E$9+1,1))</f>
        <v>226.41956082453015</v>
      </c>
      <c r="T84" s="59">
        <f t="shared" si="88"/>
        <v>317.95076157570446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270.05128209999998</v>
      </c>
      <c r="AG84" s="12">
        <f>VLOOKUP(A84,'Données projet'!$A$61:$I$81,9,0)</f>
        <v>8.0178062722222183</v>
      </c>
      <c r="AH84" s="12">
        <f t="array" ref="AH84">INDEX(AG:AG,MIN(IF(ISNUMBER(AG84:AG280),ROW(AG84:AG280),"")))</f>
        <v>8.0178062722222183</v>
      </c>
      <c r="AI84" s="13">
        <f>IF('Données projet'!$A$62&gt;35,AI83+AH84-AQ83,IF(A84&lt;'Données projet'!$A$62,$AF$205^A84,IF(A84='Données projet'!$A$62,'Données projet'!$B$62,AI83+AH84-AQ83)))</f>
        <v>270.05128210000026</v>
      </c>
      <c r="AJ84" s="13">
        <f>AI84*VLOOKUP('Données projet'!$B$10,Paramètres!$A$1:$I$89,3,0)*VLOOKUP('Données projet'!$B$10,Paramètres!$A$1:$I$89,5,0)</f>
        <v>231.70400004180027</v>
      </c>
      <c r="AK84" s="13">
        <f t="shared" si="89"/>
        <v>56.650967747789984</v>
      </c>
      <c r="AL84" s="20">
        <f t="shared" si="58"/>
        <v>502.21823556686968</v>
      </c>
      <c r="AM84" s="59">
        <f t="shared" si="59"/>
        <v>795.55156890020294</v>
      </c>
      <c r="AN84" s="59">
        <f ca="1">AVERAGE(OFFSET($AM$3,0,0,'Données projet'!$E$10+1,1))-AVERAGE(OFFSET($H$3,0,0,'Données projet'!$E$10+1,1))</f>
        <v>257.80662231827404</v>
      </c>
      <c r="AO84" s="59">
        <f t="shared" si="90"/>
        <v>184.04558520039876</v>
      </c>
      <c r="AP84" s="15">
        <f>IF(ISNA(VLOOKUP(A84,'Données projet'!$A$61:$I$81,3,0)),0,VLOOKUP(A84,'Données projet'!$A$61:$I$81,3,0))</f>
        <v>6</v>
      </c>
      <c r="AQ84" s="15">
        <f>IF(ISNA(VLOOKUP(A84,'Données projet'!$A$61:$I$81,4,0)),0,VLOOKUP(A84,'Données projet'!$A$61:$I$81,4,0))</f>
        <v>57.38461538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-4.5474735088646412E-13</v>
      </c>
      <c r="BE84" s="13">
        <f>BD84*VLOOKUP('Données projet'!$B$11,Paramètres!$A$1:$I$89,3,0)*VLOOKUP('Données projet'!$B$11,Paramètres!$A$1:$I$89,5,0)</f>
        <v>-2.5420376914553347E-13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300.90952915835157</v>
      </c>
      <c r="BJ84" s="59">
        <f t="shared" si="92"/>
        <v>402.81783992925256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135.44002047718089</v>
      </c>
      <c r="BQ84" s="21">
        <f>EXP(-LN(2)/25)*BQ83+(1-EXP(-LN(2)/25))/(LN(2)/25)*Calculateur!BL84*Calculateur!BN84*VLOOKUP('Données projet'!$B$11,Paramètres!$A$1:$I$89,3,0)*0.475*44/12</f>
        <v>28.317009394196955</v>
      </c>
      <c r="BR84" s="21">
        <f>EXP(-LN(2)/2)*BR83+(1-EXP(-LN(2)/2))/(LN(2)/2)*BL84*BO84*VLOOKUP('Données projet'!$B$11,Paramètres!$A$1:$I$89,3,0)*0.475*44/12</f>
        <v>4.1068981051583051E-3</v>
      </c>
      <c r="BS84" s="22">
        <f t="shared" si="63"/>
        <v>163.76113676948302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14.197115381250008</v>
      </c>
      <c r="BY84" s="12">
        <f>IF('Données projet'!$A$114&gt;35,BY83+BX84-CG83,IF(A84&lt;'Données projet'!$A$114,$BV$205^A84,IF(A84='Données projet'!$A$114,'Données projet'!$B$114,BY83+BX84-CG83)))</f>
        <v>452.84423073749997</v>
      </c>
      <c r="BZ84" s="13">
        <f>BY84*VLOOKUP('Données projet'!$B$12,Paramètres!$A$1:$I$89,3,0)*VLOOKUP('Données projet'!$B$12,Paramètres!$A$1:$I$89,5,0)</f>
        <v>223.705049984325</v>
      </c>
      <c r="CA84" s="13">
        <f t="shared" si="93"/>
        <v>54.919375638811431</v>
      </c>
      <c r="CB84" s="20">
        <f t="shared" si="64"/>
        <v>485.27087462696255</v>
      </c>
      <c r="CC84" s="59">
        <f t="shared" si="65"/>
        <v>778.60420796029587</v>
      </c>
      <c r="CD84" s="59">
        <f ca="1">AVERAGE(OFFSET($CC$3,0,0,'Données projet'!$E$12+1,1))-AVERAGE(OFFSET($H$3,0,0,'Données projet'!$E$12+1,1))</f>
        <v>246.05217890269194</v>
      </c>
      <c r="CE84" s="59">
        <f t="shared" si="94"/>
        <v>155.54297071424327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63.14587075324129</v>
      </c>
      <c r="CL84" s="21">
        <f>EXP(-LN(2)/25)*CL83+(1-EXP(-LN(2)/25))/(LN(2)/25)*Calculateur!CG84*Calculateur!CI84*VLOOKUP('Données projet'!$B$12,Paramètres!$A$1:$I$89,3,0)*0.475*44/12</f>
        <v>24.322342998476486</v>
      </c>
      <c r="CM84" s="21">
        <f>EXP(-LN(2)/2)*CM83+(1-EXP(-LN(2)/2))/(LN(2)/2)*CG84*CJ84*VLOOKUP('Données projet'!$B$12,Paramètres!$A$1:$I$89,3,0)*0.475*44/12</f>
        <v>0.84628472108962438</v>
      </c>
      <c r="CN84" s="22">
        <f t="shared" si="66"/>
        <v>88.314498472807401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-3.4106051316484809E-13</v>
      </c>
      <c r="CU84" s="17">
        <f>CT84*VLOOKUP('Données projet'!$B$13,Paramètres!$A$1:$I$89,3,0)*VLOOKUP('Données projet'!$B$13,Paramètres!$A$1:$I$89,5,0)</f>
        <v>-2.0395418687257919E-13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237.036496933921</v>
      </c>
      <c r="CZ84" s="59">
        <f t="shared" si="96"/>
        <v>191.04289413665344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139.45820383485443</v>
      </c>
      <c r="DG84" s="21">
        <f>EXP(-LN(2)/25)*DG83+(1-EXP(-LN(2)/25))/(LN(2)/25)*Calculateur!DB84*Calculateur!DD84*VLOOKUP('Données projet'!$B$13,Paramètres!$A$1:$I$89,3,0)*0.475*44/12</f>
        <v>33.650579795880553</v>
      </c>
      <c r="DH84" s="21">
        <f>EXP(-LN(2)/2)*DH83+(1-EXP(-LN(2)/2))/(LN(2)/2)*DB84*DE84*VLOOKUP('Données projet'!$B$13,Paramètres!$A$1:$I$89,3,0)*0.475*44/12</f>
        <v>25.182563408271147</v>
      </c>
      <c r="DI84" s="22">
        <f t="shared" si="69"/>
        <v>198.29134703900613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5.3805128213333315</v>
      </c>
      <c r="DO84" s="12">
        <f>IF('Données projet'!$A$166&gt;35,DO83+DN84-DW83,IF(A84&lt;'Données projet'!$A$166,$DL$205^A84,IF(A84='Données projet'!$A$166,'Données projet'!$B$166,DO83+DN84-DW83)))</f>
        <v>204.29076920799977</v>
      </c>
      <c r="DP84" s="17">
        <f>DO84*VLOOKUP('Données projet'!$B$14,Paramètres!$A$1:$I$89,3,0)*VLOOKUP('Données projet'!$B$14,Paramètres!$A$1:$I$89,5,0)</f>
        <v>122.16587998638387</v>
      </c>
      <c r="DQ84" s="13">
        <f t="shared" si="97"/>
        <v>32.179628121667683</v>
      </c>
      <c r="DR84" s="20">
        <f t="shared" si="70"/>
        <v>268.81842662152309</v>
      </c>
      <c r="DS84" s="59">
        <f t="shared" si="71"/>
        <v>562.1517599548564</v>
      </c>
      <c r="DT84" s="59">
        <f ca="1">AVERAGE(OFFSET($DS$3,0,0,'Données projet'!$E$14+1,1))-AVERAGE(OFFSET($H$3,0,0,'Données projet'!$E$14+1,1))</f>
        <v>148.22129593028302</v>
      </c>
      <c r="DU84" s="59">
        <f t="shared" si="98"/>
        <v>102.97015482019975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233.89079999999998</v>
      </c>
      <c r="EL84" s="13">
        <f t="shared" si="99"/>
        <v>57.123140349023068</v>
      </c>
      <c r="EM84" s="20">
        <f t="shared" si="73"/>
        <v>506.84927944121517</v>
      </c>
      <c r="EN84" s="59">
        <f t="shared" si="74"/>
        <v>800.18261277454849</v>
      </c>
      <c r="EO84" s="59">
        <f ca="1">AVERAGE(OFFSET($EN$3,0,0,'Données projet'!$E$15+1,1))-AVERAGE(OFFSET($H$3,0,0,'Données projet'!$E$15+1,1))</f>
        <v>278.53123771916404</v>
      </c>
      <c r="EP84" s="59">
        <f t="shared" si="100"/>
        <v>283.79094702030869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32.824043490297747</v>
      </c>
      <c r="EW84" s="21">
        <f>EXP(-LN(2)/25)*EW83+(1-EXP(-LN(2)/25))/(LN(2)/25)*Calculateur!ER84*Calculateur!ET84*VLOOKUP('Données projet'!$B$15,Paramètres!$A$1:$I$89,3,0)*0.475*44/12</f>
        <v>5.4873369111977945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38.311380401495541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6.5339743589743566</v>
      </c>
      <c r="FE84" s="12">
        <f>IF('Données projet'!$A$218&gt;35,FE83+FD84-FM83,IF(A84&lt;'Données projet'!$A$218,$FB$205^A84,IF(A84='Données projet'!$A$218,'Données projet'!$B$218,FE83+FD84-FM83)))</f>
        <v>231.38525641025646</v>
      </c>
      <c r="FF84" s="17">
        <f>FE84*VLOOKUP('Données projet'!$B$16,Paramètres!$A$1:$I$89,3,0)*VLOOKUP('Données projet'!$B$16,Paramètres!$A$1:$I$89,5,0)</f>
        <v>209.35738000000003</v>
      </c>
      <c r="FG84" s="13">
        <f t="shared" si="101"/>
        <v>51.79513202169526</v>
      </c>
      <c r="FH84" s="20">
        <f t="shared" si="76"/>
        <v>454.84062510445273</v>
      </c>
      <c r="FI84" s="59">
        <f t="shared" si="77"/>
        <v>748.17395843778604</v>
      </c>
      <c r="FJ84" s="59">
        <f ca="1">AVERAGE(OFFSET($FI$3,0,0,'Données projet'!$E$16+1,1))-AVERAGE(OFFSET($H$3,0,0,'Données projet'!$E$16+1,1))</f>
        <v>335.99493768537013</v>
      </c>
      <c r="FK84" s="59">
        <f t="shared" si="102"/>
        <v>150.85164849522778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4</v>
      </c>
      <c r="FZ84" s="12">
        <f>IF('Données projet'!$A$244&gt;35,FZ83+FY84-GH83,IF(A84&lt;'Données projet'!$A$244,$FW$205^A84,IF(A84='Données projet'!$A$244,'Données projet'!$B$244,FZ83+FY84-GH83)))</f>
        <v>251.00000000000006</v>
      </c>
      <c r="GA84" s="17">
        <f>FZ84*VLOOKUP('Données projet'!$B$17,Paramètres!$A$1:$I$89,3,0)*VLOOKUP('Données projet'!$B$17,Paramètres!$A$1:$I$89,5,0)</f>
        <v>219.2736000000001</v>
      </c>
      <c r="GB84" s="13">
        <f t="shared" si="103"/>
        <v>53.956975893220125</v>
      </c>
      <c r="GC84" s="20">
        <f t="shared" si="79"/>
        <v>475.87658634735857</v>
      </c>
      <c r="GD84" s="59">
        <f t="shared" si="80"/>
        <v>769.20991968069188</v>
      </c>
      <c r="GE84" s="59">
        <f ca="1">AVERAGE(OFFSET($GD$3,0,0,'Données projet'!$E$17+1,1))-AVERAGE(OFFSET($H$3,0,0,'Données projet'!$E$17+1,1))</f>
        <v>319.57811113658374</v>
      </c>
      <c r="GF84" s="59">
        <f t="shared" si="104"/>
        <v>322.03572137403245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31.709831190593871</v>
      </c>
      <c r="GM84" s="21">
        <f>EXP(-LN(2)/25)*GM83+(1-EXP(-LN(2)/25))/(LN(2)/25)*Calculateur!GH84*Calculateur!GJ84*VLOOKUP('Données projet'!$B$17,Paramètres!$A$1:$I$89,3,0)*0.475*44/12</f>
        <v>19.576269058776234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51.286100249370108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5.4683368944097308E-14</v>
      </c>
      <c r="P85" s="13">
        <f t="shared" si="87"/>
        <v>8.8129432816788268E-13</v>
      </c>
      <c r="Q85" s="20">
        <f t="shared" si="54"/>
        <v>1.6301611558033651E-12</v>
      </c>
      <c r="R85" s="59">
        <f t="shared" si="55"/>
        <v>293.33333333333496</v>
      </c>
      <c r="S85" s="59">
        <f ca="1">AVERAGE(OFFSET($R$3,0,0,'Données projet'!$E$9+1,1))-AVERAGE(OFFSET($H$3,0,0,'Données projet'!$E$9+1,1))</f>
        <v>226.41956082453015</v>
      </c>
      <c r="T85" s="59">
        <f t="shared" si="88"/>
        <v>317.95076157570446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7.1723646644444505</v>
      </c>
      <c r="AI85" s="13">
        <f>IF('Données projet'!$A$62&gt;35,AI84+AH85-AQ84,IF(A85&lt;'Données projet'!$A$62,$AF$205^A85,IF(A85='Données projet'!$A$62,'Données projet'!$B$62,AI84+AH85-AQ84)))</f>
        <v>219.8390313844447</v>
      </c>
      <c r="AJ85" s="13">
        <f>AI85*VLOOKUP('Données projet'!$B$10,Paramètres!$A$1:$I$89,3,0)*VLOOKUP('Données projet'!$B$10,Paramètres!$A$1:$I$89,5,0)</f>
        <v>188.62188892785355</v>
      </c>
      <c r="AK85" s="13">
        <f t="shared" si="89"/>
        <v>47.235143094305059</v>
      </c>
      <c r="AL85" s="20">
        <f t="shared" si="58"/>
        <v>410.78433077192614</v>
      </c>
      <c r="AM85" s="59">
        <f t="shared" si="59"/>
        <v>704.11766410525945</v>
      </c>
      <c r="AN85" s="59">
        <f ca="1">AVERAGE(OFFSET($AM$3,0,0,'Données projet'!$E$10+1,1))-AVERAGE(OFFSET($H$3,0,0,'Données projet'!$E$10+1,1))</f>
        <v>257.80662231827404</v>
      </c>
      <c r="AO85" s="59">
        <f t="shared" si="90"/>
        <v>184.04558520039876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-4.5474735088646412E-13</v>
      </c>
      <c r="BE85" s="13">
        <f>BD85*VLOOKUP('Données projet'!$B$11,Paramètres!$A$1:$I$89,3,0)*VLOOKUP('Données projet'!$B$11,Paramètres!$A$1:$I$89,5,0)</f>
        <v>-2.5420376914553347E-13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300.90952915835157</v>
      </c>
      <c r="BJ85" s="59">
        <f t="shared" si="92"/>
        <v>402.81783992925256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132.78412428587879</v>
      </c>
      <c r="BQ85" s="21">
        <f>EXP(-LN(2)/25)*BQ84+(1-EXP(-LN(2)/25))/(LN(2)/25)*Calculateur!BL85*Calculateur!BN85*VLOOKUP('Données projet'!$B$11,Paramètres!$A$1:$I$89,3,0)*0.475*44/12</f>
        <v>27.542679283185834</v>
      </c>
      <c r="BR85" s="21">
        <f>EXP(-LN(2)/2)*BR84+(1-EXP(-LN(2)/2))/(LN(2)/2)*BL85*BO85*VLOOKUP('Données projet'!$B$11,Paramètres!$A$1:$I$89,3,0)*0.475*44/12</f>
        <v>2.9040154997996203E-3</v>
      </c>
      <c r="BS85" s="22">
        <f t="shared" si="63"/>
        <v>160.32970758456443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14.197115381250008</v>
      </c>
      <c r="BY85" s="12">
        <f>IF('Données projet'!$A$114&gt;35,BY84+BX85-CG84,IF(A85&lt;'Données projet'!$A$114,$BV$205^A85,IF(A85='Données projet'!$A$114,'Données projet'!$B$114,BY84+BX85-CG84)))</f>
        <v>467.04134611874997</v>
      </c>
      <c r="BZ85" s="13">
        <f>BY85*VLOOKUP('Données projet'!$B$12,Paramètres!$A$1:$I$89,3,0)*VLOOKUP('Données projet'!$B$12,Paramètres!$A$1:$I$89,5,0)</f>
        <v>230.71842498266247</v>
      </c>
      <c r="CA85" s="13">
        <f t="shared" si="93"/>
        <v>56.437993602205751</v>
      </c>
      <c r="CB85" s="20">
        <f t="shared" si="64"/>
        <v>500.13076236864549</v>
      </c>
      <c r="CC85" s="59">
        <f t="shared" si="65"/>
        <v>793.46409570197875</v>
      </c>
      <c r="CD85" s="59">
        <f ca="1">AVERAGE(OFFSET($CC$3,0,0,'Données projet'!$E$12+1,1))-AVERAGE(OFFSET($H$3,0,0,'Données projet'!$E$12+1,1))</f>
        <v>246.05217890269194</v>
      </c>
      <c r="CE85" s="59">
        <f t="shared" si="94"/>
        <v>155.54297071424327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61.90761874294833</v>
      </c>
      <c r="CL85" s="21">
        <f>EXP(-LN(2)/25)*CL84+(1-EXP(-LN(2)/25))/(LN(2)/25)*Calculateur!CG85*Calculateur!CI85*VLOOKUP('Données projet'!$B$12,Paramètres!$A$1:$I$89,3,0)*0.475*44/12</f>
        <v>23.657247250126719</v>
      </c>
      <c r="CM85" s="21">
        <f>EXP(-LN(2)/2)*CM84+(1-EXP(-LN(2)/2))/(LN(2)/2)*CG85*CJ85*VLOOKUP('Données projet'!$B$12,Paramètres!$A$1:$I$89,3,0)*0.475*44/12</f>
        <v>0.59841366509703942</v>
      </c>
      <c r="CN85" s="22">
        <f t="shared" si="66"/>
        <v>86.163279658172087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-3.4106051316484809E-13</v>
      </c>
      <c r="CU85" s="17">
        <f>CT85*VLOOKUP('Données projet'!$B$13,Paramètres!$A$1:$I$89,3,0)*VLOOKUP('Données projet'!$B$13,Paramètres!$A$1:$I$89,5,0)</f>
        <v>-2.0395418687257919E-13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237.036496933921</v>
      </c>
      <c r="CZ85" s="59">
        <f t="shared" si="96"/>
        <v>191.04289413665344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136.72351351875818</v>
      </c>
      <c r="DG85" s="21">
        <f>EXP(-LN(2)/25)*DG84+(1-EXP(-LN(2)/25))/(LN(2)/25)*Calculateur!DB85*Calculateur!DD85*VLOOKUP('Données projet'!$B$13,Paramètres!$A$1:$I$89,3,0)*0.475*44/12</f>
        <v>32.730402921755115</v>
      </c>
      <c r="DH85" s="21">
        <f>EXP(-LN(2)/2)*DH84+(1-EXP(-LN(2)/2))/(LN(2)/2)*DB85*DE85*VLOOKUP('Données projet'!$B$13,Paramètres!$A$1:$I$89,3,0)*0.475*44/12</f>
        <v>17.806761353648746</v>
      </c>
      <c r="DI85" s="22">
        <f t="shared" si="69"/>
        <v>187.26067779416204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5.3805128213333315</v>
      </c>
      <c r="DO85" s="12">
        <f>IF('Données projet'!$A$166&gt;35,DO84+DN85-DW84,IF(A85&lt;'Données projet'!$A$166,$DL$205^A85,IF(A85='Données projet'!$A$166,'Données projet'!$B$166,DO84+DN85-DW84)))</f>
        <v>209.6712820293331</v>
      </c>
      <c r="DP85" s="17">
        <f>DO85*VLOOKUP('Données projet'!$B$14,Paramètres!$A$1:$I$89,3,0)*VLOOKUP('Données projet'!$B$14,Paramètres!$A$1:$I$89,5,0)</f>
        <v>125.38342665354121</v>
      </c>
      <c r="DQ85" s="13">
        <f t="shared" si="97"/>
        <v>32.927370308453042</v>
      </c>
      <c r="DR85" s="20">
        <f t="shared" si="70"/>
        <v>275.72463804213999</v>
      </c>
      <c r="DS85" s="59">
        <f t="shared" si="71"/>
        <v>569.05797137547324</v>
      </c>
      <c r="DT85" s="59">
        <f ca="1">AVERAGE(OFFSET($DS$3,0,0,'Données projet'!$E$14+1,1))-AVERAGE(OFFSET($H$3,0,0,'Données projet'!$E$14+1,1))</f>
        <v>148.22129593028302</v>
      </c>
      <c r="DU85" s="59">
        <f t="shared" si="98"/>
        <v>102.97015482019975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233.89079999999998</v>
      </c>
      <c r="EL85" s="13">
        <f t="shared" si="99"/>
        <v>57.123140349023068</v>
      </c>
      <c r="EM85" s="20">
        <f t="shared" si="73"/>
        <v>506.84927944121517</v>
      </c>
      <c r="EN85" s="59">
        <f t="shared" si="74"/>
        <v>800.18261277454849</v>
      </c>
      <c r="EO85" s="59">
        <f ca="1">AVERAGE(OFFSET($EN$3,0,0,'Données projet'!$E$15+1,1))-AVERAGE(OFFSET($H$3,0,0,'Données projet'!$E$15+1,1))</f>
        <v>278.53123771916404</v>
      </c>
      <c r="EP85" s="59">
        <f t="shared" si="100"/>
        <v>283.79094702030869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32.180384018142661</v>
      </c>
      <c r="EW85" s="21">
        <f>EXP(-LN(2)/25)*EW84+(1-EXP(-LN(2)/25))/(LN(2)/25)*Calculateur!ER85*Calculateur!ET85*VLOOKUP('Données projet'!$B$15,Paramètres!$A$1:$I$89,3,0)*0.475*44/12</f>
        <v>5.3372853947945842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37.517669412937245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6.5339743589743566</v>
      </c>
      <c r="FE85" s="12">
        <f>IF('Données projet'!$A$218&gt;35,FE84+FD85-FM84,IF(A85&lt;'Données projet'!$A$218,$FB$205^A85,IF(A85='Données projet'!$A$218,'Données projet'!$B$218,FE84+FD85-FM84)))</f>
        <v>237.91923076923081</v>
      </c>
      <c r="FF85" s="17">
        <f>FE85*VLOOKUP('Données projet'!$B$16,Paramètres!$A$1:$I$89,3,0)*VLOOKUP('Données projet'!$B$16,Paramètres!$A$1:$I$89,5,0)</f>
        <v>215.26932000000002</v>
      </c>
      <c r="FG85" s="13">
        <f t="shared" si="101"/>
        <v>53.085398621543455</v>
      </c>
      <c r="FH85" s="20">
        <f t="shared" si="76"/>
        <v>467.38446826585488</v>
      </c>
      <c r="FI85" s="59">
        <f t="shared" si="77"/>
        <v>760.71780159918819</v>
      </c>
      <c r="FJ85" s="59">
        <f ca="1">AVERAGE(OFFSET($FI$3,0,0,'Données projet'!$E$16+1,1))-AVERAGE(OFFSET($H$3,0,0,'Données projet'!$E$16+1,1))</f>
        <v>335.99493768537013</v>
      </c>
      <c r="FK85" s="59">
        <f t="shared" si="102"/>
        <v>150.85164849522778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4</v>
      </c>
      <c r="FZ85" s="12">
        <f>IF('Données projet'!$A$244&gt;35,FZ84+FY85-GH84,IF(A85&lt;'Données projet'!$A$244,$FW$205^A85,IF(A85='Données projet'!$A$244,'Données projet'!$B$244,FZ84+FY85-GH84)))</f>
        <v>255.00000000000006</v>
      </c>
      <c r="GA85" s="17">
        <f>FZ85*VLOOKUP('Données projet'!$B$17,Paramètres!$A$1:$I$89,3,0)*VLOOKUP('Données projet'!$B$17,Paramètres!$A$1:$I$89,5,0)</f>
        <v>222.76800000000006</v>
      </c>
      <c r="GB85" s="13">
        <f t="shared" si="103"/>
        <v>54.716058356609508</v>
      </c>
      <c r="GC85" s="20">
        <f t="shared" si="79"/>
        <v>483.28473497109502</v>
      </c>
      <c r="GD85" s="59">
        <f t="shared" si="80"/>
        <v>776.61806830442833</v>
      </c>
      <c r="GE85" s="59">
        <f ca="1">AVERAGE(OFFSET($GD$3,0,0,'Données projet'!$E$17+1,1))-AVERAGE(OFFSET($H$3,0,0,'Données projet'!$E$17+1,1))</f>
        <v>319.57811113658374</v>
      </c>
      <c r="GF85" s="59">
        <f t="shared" si="104"/>
        <v>322.03572137403245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31.088020742033578</v>
      </c>
      <c r="GM85" s="21">
        <f>EXP(-LN(2)/25)*GM84+(1-EXP(-LN(2)/25))/(LN(2)/25)*Calculateur!GH85*Calculateur!GJ85*VLOOKUP('Données projet'!$B$17,Paramètres!$A$1:$I$89,3,0)*0.475*44/12</f>
        <v>19.040954951892751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50.128975693926328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5.4683368944097308E-14</v>
      </c>
      <c r="P86" s="13">
        <f t="shared" si="87"/>
        <v>8.8129432816788268E-13</v>
      </c>
      <c r="Q86" s="20">
        <f t="shared" si="54"/>
        <v>1.6301611558033651E-12</v>
      </c>
      <c r="R86" s="59">
        <f t="shared" si="55"/>
        <v>293.33333333333496</v>
      </c>
      <c r="S86" s="59">
        <f ca="1">AVERAGE(OFFSET($R$3,0,0,'Données projet'!$E$9+1,1))-AVERAGE(OFFSET($H$3,0,0,'Données projet'!$E$9+1,1))</f>
        <v>226.41956082453015</v>
      </c>
      <c r="T86" s="59">
        <f t="shared" si="88"/>
        <v>317.95076157570446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7.1723646644444505</v>
      </c>
      <c r="AI86" s="13">
        <f>IF('Données projet'!$A$62&gt;35,AI85+AH86-AQ85,IF(A86&lt;'Données projet'!$A$62,$AF$205^A86,IF(A86='Données projet'!$A$62,'Données projet'!$B$62,AI85+AH86-AQ85)))</f>
        <v>227.01139604888914</v>
      </c>
      <c r="AJ86" s="13">
        <f>AI86*VLOOKUP('Données projet'!$B$10,Paramètres!$A$1:$I$89,3,0)*VLOOKUP('Données projet'!$B$10,Paramètres!$A$1:$I$89,5,0)</f>
        <v>194.7757778099469</v>
      </c>
      <c r="AK86" s="13">
        <f t="shared" si="89"/>
        <v>48.594279167645041</v>
      </c>
      <c r="AL86" s="20">
        <f t="shared" si="58"/>
        <v>423.86951590263931</v>
      </c>
      <c r="AM86" s="59">
        <f t="shared" si="59"/>
        <v>717.20284923597262</v>
      </c>
      <c r="AN86" s="59">
        <f ca="1">AVERAGE(OFFSET($AM$3,0,0,'Données projet'!$E$10+1,1))-AVERAGE(OFFSET($H$3,0,0,'Données projet'!$E$10+1,1))</f>
        <v>257.80662231827404</v>
      </c>
      <c r="AO86" s="59">
        <f t="shared" si="90"/>
        <v>184.04558520039876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-4.5474735088646412E-13</v>
      </c>
      <c r="BE86" s="13">
        <f>BD86*VLOOKUP('Données projet'!$B$11,Paramètres!$A$1:$I$89,3,0)*VLOOKUP('Données projet'!$B$11,Paramètres!$A$1:$I$89,5,0)</f>
        <v>-2.5420376914553347E-13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300.90952915835157</v>
      </c>
      <c r="BJ86" s="59">
        <f t="shared" si="92"/>
        <v>402.81783992925256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130.1803085989514</v>
      </c>
      <c r="BQ86" s="21">
        <f>EXP(-LN(2)/25)*BQ85+(1-EXP(-LN(2)/25))/(LN(2)/25)*Calculateur!BL86*Calculateur!BN86*VLOOKUP('Données projet'!$B$11,Paramètres!$A$1:$I$89,3,0)*0.475*44/12</f>
        <v>26.789523269780563</v>
      </c>
      <c r="BR86" s="21">
        <f>EXP(-LN(2)/2)*BR85+(1-EXP(-LN(2)/2))/(LN(2)/2)*BL86*BO86*VLOOKUP('Données projet'!$B$11,Paramètres!$A$1:$I$89,3,0)*0.475*44/12</f>
        <v>2.0534490525791526E-3</v>
      </c>
      <c r="BS86" s="22">
        <f t="shared" si="63"/>
        <v>156.97188531778454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481.23846150000003</v>
      </c>
      <c r="BW86" s="12">
        <f>VLOOKUP(A86,'Données projet'!$A$113:$I$133,9,0)</f>
        <v>14.197115381250008</v>
      </c>
      <c r="BX86" s="12">
        <f t="array" ref="BX86">INDEX(BW:BW,MIN(IF(ISNUMBER(BW86:BW282),ROW(BW86:BW282),"")))</f>
        <v>14.197115381250008</v>
      </c>
      <c r="BY86" s="12">
        <f>IF('Données projet'!$A$114&gt;35,BY85+BX86-CG85,IF(A86&lt;'Données projet'!$A$114,$BV$205^A86,IF(A86='Données projet'!$A$114,'Données projet'!$B$114,BY85+BX86-CG85)))</f>
        <v>481.23846149999997</v>
      </c>
      <c r="BZ86" s="13">
        <f>BY86*VLOOKUP('Données projet'!$B$12,Paramètres!$A$1:$I$89,3,0)*VLOOKUP('Données projet'!$B$12,Paramètres!$A$1:$I$89,5,0)</f>
        <v>237.73179998099999</v>
      </c>
      <c r="CA86" s="13">
        <f t="shared" si="93"/>
        <v>57.951246823391408</v>
      </c>
      <c r="CB86" s="20">
        <f t="shared" si="64"/>
        <v>514.98130651764825</v>
      </c>
      <c r="CC86" s="59">
        <f t="shared" si="65"/>
        <v>808.31463985098162</v>
      </c>
      <c r="CD86" s="59">
        <f ca="1">AVERAGE(OFFSET($CC$3,0,0,'Données projet'!$E$12+1,1))-AVERAGE(OFFSET($H$3,0,0,'Données projet'!$E$12+1,1))</f>
        <v>246.05217890269194</v>
      </c>
      <c r="CE86" s="59">
        <f t="shared" si="94"/>
        <v>155.54297071424327</v>
      </c>
      <c r="CF86" s="15">
        <f>IF(ISNA(VLOOKUP(A86,'Données projet'!$A$113:$I$133,3,0)),0,VLOOKUP(A86,'Données projet'!$A$113:$I$133,3,0))</f>
        <v>6</v>
      </c>
      <c r="CG86" s="15">
        <f>IF(ISNA(VLOOKUP(A86,'Données projet'!$A$113:$I$133,4,0)),0,VLOOKUP(A86,'Données projet'!$A$113:$I$133,4,0))</f>
        <v>91.153846150000007</v>
      </c>
      <c r="CH86" s="16">
        <f>IF(ISNA(VLOOKUP(A86,'Données projet'!$A$113:$I$133,5,0)),0%,VLOOKUP(A86,'Données projet'!$A$113:$I$133,5,0)*VLOOKUP('Données projet'!$B$12,Paramètres!$A$1:$I$89,7,0))</f>
        <v>0.38500000000000001</v>
      </c>
      <c r="CI86" s="16">
        <f>IF(ISNA(VLOOKUP(A86,'Données projet'!$A$113:$I$133,6,0)),0%,VLOOKUP(A86,'Données projet'!$A$113:$I$133,6,0)*VLOOKUP('Données projet'!$B$12,Paramètres!$A$1:$I$89,7,0))</f>
        <v>9.3500000000000014E-2</v>
      </c>
      <c r="CJ86" s="16">
        <f>IF(ISNA(VLOOKUP(A86,'Données projet'!$A$113:$I$133,7,0)),0%,VLOOKUP(A86,'Données projet'!$A$113:$I$133,7,0))</f>
        <v>0.13</v>
      </c>
      <c r="CK86" s="21">
        <f>EXP(-LN(2)/35)*CK85+(1-EXP(-LN(2)/35))/(LN(2)/35)*CG86*CH86*VLOOKUP('Données projet'!$B$12,Paramètres!$A$1:$I$89,3,0)*0.475*44/12</f>
        <v>83.691699108298039</v>
      </c>
      <c r="CL86" s="21">
        <f>EXP(-LN(2)/25)*CL85+(1-EXP(-LN(2)/25))/(LN(2)/25)*Calculateur!CG86*Calculateur!CI86*VLOOKUP('Données projet'!$B$12,Paramètres!$A$1:$I$89,3,0)*0.475*44/12</f>
        <v>28.573588317514645</v>
      </c>
      <c r="CM86" s="21">
        <f>EXP(-LN(2)/2)*CM85+(1-EXP(-LN(2)/2))/(LN(2)/2)*CG86*CJ86*VLOOKUP('Données projet'!$B$12,Paramètres!$A$1:$I$89,3,0)*0.475*44/12</f>
        <v>7.0511170067553302</v>
      </c>
      <c r="CN86" s="22">
        <f t="shared" si="66"/>
        <v>119.31640443256802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-3.4106051316484809E-13</v>
      </c>
      <c r="CU86" s="17">
        <f>CT86*VLOOKUP('Données projet'!$B$13,Paramètres!$A$1:$I$89,3,0)*VLOOKUP('Données projet'!$B$13,Paramètres!$A$1:$I$89,5,0)</f>
        <v>-2.0395418687257919E-13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237.036496933921</v>
      </c>
      <c r="CZ86" s="59">
        <f t="shared" si="96"/>
        <v>191.04289413665344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134.04244881176419</v>
      </c>
      <c r="DG86" s="21">
        <f>EXP(-LN(2)/25)*DG85+(1-EXP(-LN(2)/25))/(LN(2)/25)*Calculateur!DB86*Calculateur!DD86*VLOOKUP('Données projet'!$B$13,Paramètres!$A$1:$I$89,3,0)*0.475*44/12</f>
        <v>31.835388332642637</v>
      </c>
      <c r="DH86" s="21">
        <f>EXP(-LN(2)/2)*DH85+(1-EXP(-LN(2)/2))/(LN(2)/2)*DB86*DE86*VLOOKUP('Données projet'!$B$13,Paramètres!$A$1:$I$89,3,0)*0.475*44/12</f>
        <v>12.591281704135575</v>
      </c>
      <c r="DI86" s="22">
        <f t="shared" si="69"/>
        <v>178.46911884854242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5.3805128213333315</v>
      </c>
      <c r="DO86" s="12">
        <f>IF('Données projet'!$A$166&gt;35,DO85+DN86-DW85,IF(A86&lt;'Données projet'!$A$166,$DL$205^A86,IF(A86='Données projet'!$A$166,'Données projet'!$B$166,DO85+DN86-DW85)))</f>
        <v>215.05179485066643</v>
      </c>
      <c r="DP86" s="17">
        <f>DO86*VLOOKUP('Données projet'!$B$14,Paramètres!$A$1:$I$89,3,0)*VLOOKUP('Données projet'!$B$14,Paramètres!$A$1:$I$89,5,0)</f>
        <v>128.60097332069853</v>
      </c>
      <c r="DQ86" s="13">
        <f t="shared" si="97"/>
        <v>33.672882050343667</v>
      </c>
      <c r="DR86" s="20">
        <f t="shared" si="70"/>
        <v>282.62696477123183</v>
      </c>
      <c r="DS86" s="59">
        <f t="shared" si="71"/>
        <v>575.96029810456514</v>
      </c>
      <c r="DT86" s="59">
        <f ca="1">AVERAGE(OFFSET($DS$3,0,0,'Données projet'!$E$14+1,1))-AVERAGE(OFFSET($H$3,0,0,'Données projet'!$E$14+1,1))</f>
        <v>148.22129593028302</v>
      </c>
      <c r="DU86" s="59">
        <f t="shared" si="98"/>
        <v>102.97015482019975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233.89079999999998</v>
      </c>
      <c r="EL86" s="13">
        <f t="shared" si="99"/>
        <v>57.123140349023068</v>
      </c>
      <c r="EM86" s="20">
        <f t="shared" si="73"/>
        <v>506.84927944121517</v>
      </c>
      <c r="EN86" s="59">
        <f t="shared" si="74"/>
        <v>800.18261277454849</v>
      </c>
      <c r="EO86" s="59">
        <f ca="1">AVERAGE(OFFSET($EN$3,0,0,'Données projet'!$E$15+1,1))-AVERAGE(OFFSET($H$3,0,0,'Données projet'!$E$15+1,1))</f>
        <v>278.53123771916404</v>
      </c>
      <c r="EP86" s="59">
        <f t="shared" si="100"/>
        <v>283.79094702030869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31.549346315643021</v>
      </c>
      <c r="EW86" s="21">
        <f>EXP(-LN(2)/25)*EW85+(1-EXP(-LN(2)/25))/(LN(2)/25)*Calculateur!ER86*Calculateur!ET86*VLOOKUP('Données projet'!$B$15,Paramètres!$A$1:$I$89,3,0)*0.475*44/12</f>
        <v>5.1913370449982859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36.740683360641306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6.5339743589743566</v>
      </c>
      <c r="FE86" s="12">
        <f>IF('Données projet'!$A$218&gt;35,FE85+FD86-FM85,IF(A86&lt;'Données projet'!$A$218,$FB$205^A86,IF(A86='Données projet'!$A$218,'Données projet'!$B$218,FE85+FD86-FM85)))</f>
        <v>244.45320512820516</v>
      </c>
      <c r="FF86" s="17">
        <f>FE86*VLOOKUP('Données projet'!$B$16,Paramètres!$A$1:$I$89,3,0)*VLOOKUP('Données projet'!$B$16,Paramètres!$A$1:$I$89,5,0)</f>
        <v>221.18126000000004</v>
      </c>
      <c r="FG86" s="13">
        <f t="shared" si="101"/>
        <v>54.371546674285838</v>
      </c>
      <c r="FH86" s="20">
        <f t="shared" si="76"/>
        <v>479.92113829104784</v>
      </c>
      <c r="FI86" s="59">
        <f t="shared" si="77"/>
        <v>773.25447162438115</v>
      </c>
      <c r="FJ86" s="59">
        <f ca="1">AVERAGE(OFFSET($FI$3,0,0,'Données projet'!$E$16+1,1))-AVERAGE(OFFSET($H$3,0,0,'Données projet'!$E$16+1,1))</f>
        <v>335.99493768537013</v>
      </c>
      <c r="FK86" s="59">
        <f t="shared" si="102"/>
        <v>150.85164849522778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4</v>
      </c>
      <c r="FZ86" s="12">
        <f>IF('Données projet'!$A$244&gt;35,FZ85+FY86-GH85,IF(A86&lt;'Données projet'!$A$244,$FW$205^A86,IF(A86='Données projet'!$A$244,'Données projet'!$B$244,FZ85+FY86-GH85)))</f>
        <v>259.00000000000006</v>
      </c>
      <c r="GA86" s="17">
        <f>FZ86*VLOOKUP('Données projet'!$B$17,Paramètres!$A$1:$I$89,3,0)*VLOOKUP('Données projet'!$B$17,Paramètres!$A$1:$I$89,5,0)</f>
        <v>226.26240000000007</v>
      </c>
      <c r="GB86" s="13">
        <f t="shared" si="103"/>
        <v>55.473756029242935</v>
      </c>
      <c r="GC86" s="20">
        <f t="shared" si="79"/>
        <v>490.69047175093164</v>
      </c>
      <c r="GD86" s="59">
        <f t="shared" si="80"/>
        <v>784.02380508426495</v>
      </c>
      <c r="GE86" s="59">
        <f ca="1">AVERAGE(OFFSET($GD$3,0,0,'Données projet'!$E$17+1,1))-AVERAGE(OFFSET($H$3,0,0,'Données projet'!$E$17+1,1))</f>
        <v>319.57811113658374</v>
      </c>
      <c r="GF86" s="59">
        <f t="shared" si="104"/>
        <v>322.03572137403245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30.478403617102629</v>
      </c>
      <c r="GM86" s="21">
        <f>EXP(-LN(2)/25)*GM85+(1-EXP(-LN(2)/25))/(LN(2)/25)*Calculateur!GH86*Calculateur!GJ86*VLOOKUP('Données projet'!$B$17,Paramètres!$A$1:$I$89,3,0)*0.475*44/12</f>
        <v>18.520279037412941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48.998682654515569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5.4683368944097308E-14</v>
      </c>
      <c r="P87" s="13">
        <f t="shared" si="87"/>
        <v>8.8129432816788268E-13</v>
      </c>
      <c r="Q87" s="20">
        <f t="shared" si="54"/>
        <v>1.6301611558033651E-12</v>
      </c>
      <c r="R87" s="59">
        <f t="shared" si="55"/>
        <v>293.33333333333496</v>
      </c>
      <c r="S87" s="59">
        <f ca="1">AVERAGE(OFFSET($R$3,0,0,'Données projet'!$E$9+1,1))-AVERAGE(OFFSET($H$3,0,0,'Données projet'!$E$9+1,1))</f>
        <v>226.41956082453015</v>
      </c>
      <c r="T87" s="59">
        <f t="shared" si="88"/>
        <v>317.95076157570446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7.1723646644444505</v>
      </c>
      <c r="AI87" s="13">
        <f>IF('Données projet'!$A$62&gt;35,AI86+AH87-AQ86,IF(A87&lt;'Données projet'!$A$62,$AF$205^A87,IF(A87='Données projet'!$A$62,'Données projet'!$B$62,AI86+AH87-AQ86)))</f>
        <v>234.18376071333358</v>
      </c>
      <c r="AJ87" s="13">
        <f>AI87*VLOOKUP('Données projet'!$B$10,Paramètres!$A$1:$I$89,3,0)*VLOOKUP('Données projet'!$B$10,Paramètres!$A$1:$I$89,5,0)</f>
        <v>200.92966669204026</v>
      </c>
      <c r="AK87" s="13">
        <f t="shared" si="89"/>
        <v>49.948425148156772</v>
      </c>
      <c r="AL87" s="20">
        <f t="shared" si="58"/>
        <v>436.94600995500986</v>
      </c>
      <c r="AM87" s="59">
        <f t="shared" si="59"/>
        <v>730.27934328834317</v>
      </c>
      <c r="AN87" s="59">
        <f ca="1">AVERAGE(OFFSET($AM$3,0,0,'Données projet'!$E$10+1,1))-AVERAGE(OFFSET($H$3,0,0,'Données projet'!$E$10+1,1))</f>
        <v>257.80662231827404</v>
      </c>
      <c r="AO87" s="59">
        <f t="shared" si="90"/>
        <v>184.04558520039876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-4.5474735088646412E-13</v>
      </c>
      <c r="BE87" s="13">
        <f>BD87*VLOOKUP('Données projet'!$B$11,Paramètres!$A$1:$I$89,3,0)*VLOOKUP('Données projet'!$B$11,Paramètres!$A$1:$I$89,5,0)</f>
        <v>-2.5420376914553347E-13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300.90952915835157</v>
      </c>
      <c r="BJ87" s="59">
        <f t="shared" si="92"/>
        <v>402.81783992925256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127.6275521494739</v>
      </c>
      <c r="BQ87" s="21">
        <f>EXP(-LN(2)/25)*BQ86+(1-EXP(-LN(2)/25))/(LN(2)/25)*Calculateur!BL87*Calculateur!BN87*VLOOKUP('Données projet'!$B$11,Paramètres!$A$1:$I$89,3,0)*0.475*44/12</f>
        <v>26.056962347168614</v>
      </c>
      <c r="BR87" s="21">
        <f>EXP(-LN(2)/2)*BR86+(1-EXP(-LN(2)/2))/(LN(2)/2)*BL87*BO87*VLOOKUP('Données projet'!$B$11,Paramètres!$A$1:$I$89,3,0)*0.475*44/12</f>
        <v>1.4520077498998102E-3</v>
      </c>
      <c r="BS87" s="22">
        <f t="shared" si="63"/>
        <v>153.68596650439241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12.692307693749996</v>
      </c>
      <c r="BY87" s="12">
        <f>IF('Données projet'!$A$114&gt;35,BY86+BX87-CG86,IF(A87&lt;'Données projet'!$A$114,$BV$205^A87,IF(A87='Données projet'!$A$114,'Données projet'!$B$114,BY86+BX87-CG86)))</f>
        <v>402.77692304374995</v>
      </c>
      <c r="BZ87" s="13">
        <f>BY87*VLOOKUP('Données projet'!$B$12,Paramètres!$A$1:$I$89,3,0)*VLOOKUP('Données projet'!$B$12,Paramètres!$A$1:$I$89,5,0)</f>
        <v>198.97179998361247</v>
      </c>
      <c r="CA87" s="13">
        <f t="shared" si="93"/>
        <v>49.51813274179711</v>
      </c>
      <c r="CB87" s="20">
        <f t="shared" si="64"/>
        <v>432.78663283008837</v>
      </c>
      <c r="CC87" s="59">
        <f t="shared" si="65"/>
        <v>726.11996616342162</v>
      </c>
      <c r="CD87" s="59">
        <f ca="1">AVERAGE(OFFSET($CC$3,0,0,'Données projet'!$E$12+1,1))-AVERAGE(OFFSET($H$3,0,0,'Données projet'!$E$12+1,1))</f>
        <v>246.05217890269194</v>
      </c>
      <c r="CE87" s="59">
        <f t="shared" si="94"/>
        <v>155.54297071424327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82.050555935680308</v>
      </c>
      <c r="CL87" s="21">
        <f>EXP(-LN(2)/25)*CL86+(1-EXP(-LN(2)/25))/(LN(2)/25)*Calculateur!CG87*Calculateur!CI87*VLOOKUP('Données projet'!$B$12,Paramètres!$A$1:$I$89,3,0)*0.475*44/12</f>
        <v>27.792242042352502</v>
      </c>
      <c r="CM87" s="21">
        <f>EXP(-LN(2)/2)*CM86+(1-EXP(-LN(2)/2))/(LN(2)/2)*CG87*CJ87*VLOOKUP('Données projet'!$B$12,Paramètres!$A$1:$I$89,3,0)*0.475*44/12</f>
        <v>4.9858926504164858</v>
      </c>
      <c r="CN87" s="22">
        <f t="shared" si="66"/>
        <v>114.82869062844929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-3.4106051316484809E-13</v>
      </c>
      <c r="CU87" s="17">
        <f>CT87*VLOOKUP('Données projet'!$B$13,Paramètres!$A$1:$I$89,3,0)*VLOOKUP('Données projet'!$B$13,Paramètres!$A$1:$I$89,5,0)</f>
        <v>-2.0395418687257919E-13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237.036496933921</v>
      </c>
      <c r="CZ87" s="59">
        <f t="shared" si="96"/>
        <v>191.04289413665344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131.41395814838634</v>
      </c>
      <c r="DG87" s="21">
        <f>EXP(-LN(2)/25)*DG86+(1-EXP(-LN(2)/25))/(LN(2)/25)*Calculateur!DB87*Calculateur!DD87*VLOOKUP('Données projet'!$B$13,Paramètres!$A$1:$I$89,3,0)*0.475*44/12</f>
        <v>30.964847964536212</v>
      </c>
      <c r="DH87" s="21">
        <f>EXP(-LN(2)/2)*DH86+(1-EXP(-LN(2)/2))/(LN(2)/2)*DB87*DE87*VLOOKUP('Données projet'!$B$13,Paramètres!$A$1:$I$89,3,0)*0.475*44/12</f>
        <v>8.9033806768243746</v>
      </c>
      <c r="DI87" s="22">
        <f t="shared" si="69"/>
        <v>171.28218678974693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5.3805128213333315</v>
      </c>
      <c r="DO87" s="12">
        <f>IF('Données projet'!$A$166&gt;35,DO86+DN87-DW86,IF(A87&lt;'Données projet'!$A$166,$DL$205^A87,IF(A87='Données projet'!$A$166,'Données projet'!$B$166,DO86+DN87-DW86)))</f>
        <v>220.43230767199975</v>
      </c>
      <c r="DP87" s="17">
        <f>DO87*VLOOKUP('Données projet'!$B$14,Paramètres!$A$1:$I$89,3,0)*VLOOKUP('Données projet'!$B$14,Paramètres!$A$1:$I$89,5,0)</f>
        <v>131.81851998785586</v>
      </c>
      <c r="DQ87" s="13">
        <f t="shared" si="97"/>
        <v>34.416225570398431</v>
      </c>
      <c r="DR87" s="20">
        <f t="shared" si="70"/>
        <v>289.5255151806262</v>
      </c>
      <c r="DS87" s="59">
        <f t="shared" si="71"/>
        <v>582.85884851395952</v>
      </c>
      <c r="DT87" s="59">
        <f ca="1">AVERAGE(OFFSET($DS$3,0,0,'Données projet'!$E$14+1,1))-AVERAGE(OFFSET($H$3,0,0,'Données projet'!$E$14+1,1))</f>
        <v>148.22129593028302</v>
      </c>
      <c r="DU87" s="59">
        <f t="shared" si="98"/>
        <v>102.97015482019975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233.89079999999998</v>
      </c>
      <c r="EL87" s="13">
        <f t="shared" si="99"/>
        <v>57.123140349023068</v>
      </c>
      <c r="EM87" s="20">
        <f t="shared" si="73"/>
        <v>506.84927944121517</v>
      </c>
      <c r="EN87" s="59">
        <f t="shared" si="74"/>
        <v>800.18261277454849</v>
      </c>
      <c r="EO87" s="59">
        <f ca="1">AVERAGE(OFFSET($EN$3,0,0,'Données projet'!$E$15+1,1))-AVERAGE(OFFSET($H$3,0,0,'Données projet'!$E$15+1,1))</f>
        <v>278.53123771916404</v>
      </c>
      <c r="EP87" s="59">
        <f t="shared" si="100"/>
        <v>283.79094702030869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30.930682877594407</v>
      </c>
      <c r="EW87" s="21">
        <f>EXP(-LN(2)/25)*EW86+(1-EXP(-LN(2)/25))/(LN(2)/25)*Calculateur!ER87*Calculateur!ET87*VLOOKUP('Données projet'!$B$15,Paramètres!$A$1:$I$89,3,0)*0.475*44/12</f>
        <v>5.0493796605022574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35.980062538096661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250.98717948717945</v>
      </c>
      <c r="FC87" s="12">
        <f>VLOOKUP(A87,'Données projet'!$A$217:$I$237,9,0)</f>
        <v>6.5339743589743566</v>
      </c>
      <c r="FD87" s="12">
        <f t="array" ref="FD87">INDEX(FC:FC,MIN(IF(ISNUMBER(FC87:FC283),ROW(FC87:FC283),"")))</f>
        <v>6.5339743589743566</v>
      </c>
      <c r="FE87" s="12">
        <f>IF('Données projet'!$A$218&gt;35,FE86+FD87-FM86,IF(A87&lt;'Données projet'!$A$218,$FB$205^A87,IF(A87='Données projet'!$A$218,'Données projet'!$B$218,FE86+FD87-FM86)))</f>
        <v>250.9871794871795</v>
      </c>
      <c r="FF87" s="17">
        <f>FE87*VLOOKUP('Données projet'!$B$16,Paramètres!$A$1:$I$89,3,0)*VLOOKUP('Données projet'!$B$16,Paramètres!$A$1:$I$89,5,0)</f>
        <v>227.09320000000002</v>
      </c>
      <c r="FG87" s="13">
        <f t="shared" si="101"/>
        <v>55.653698916736445</v>
      </c>
      <c r="FH87" s="20">
        <f t="shared" si="76"/>
        <v>492.45084894664933</v>
      </c>
      <c r="FI87" s="59">
        <f t="shared" si="77"/>
        <v>785.78418227998259</v>
      </c>
      <c r="FJ87" s="59">
        <f ca="1">AVERAGE(OFFSET($FI$3,0,0,'Données projet'!$E$16+1,1))-AVERAGE(OFFSET($H$3,0,0,'Données projet'!$E$16+1,1))</f>
        <v>335.99493768537013</v>
      </c>
      <c r="FK87" s="59">
        <f t="shared" si="102"/>
        <v>150.85164849522778</v>
      </c>
      <c r="FL87" s="15">
        <f>IF(ISNA(VLOOKUP(A87,'Données projet'!$A$217:$I$237,3,0)),0,VLOOKUP(A87,'Données projet'!$A$217:$I$237,3,0))</f>
        <v>6</v>
      </c>
      <c r="FM87" s="15">
        <f>IF(ISNA(VLOOKUP(A87,'Données projet'!$A$217:$I$237,4,0)),0,VLOOKUP(A87,'Données projet'!$A$217:$I$237,4,0))</f>
        <v>47.256410256410255</v>
      </c>
      <c r="FN87" s="16">
        <f>IF(ISNA(VLOOKUP(A87,'Données projet'!$A$217:$I$237,5,0)),0%,VLOOKUP(A87,'Données projet'!$A$217:$I$237,5,0)*VLOOKUP('Données projet'!$B$16,Paramètres!$A$1:$I$89,7,0))</f>
        <v>0.30099999999999999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14.227445350275339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14.227445350275339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4</v>
      </c>
      <c r="FZ87" s="12">
        <f>IF('Données projet'!$A$244&gt;35,FZ86+FY87-GH86,IF(A87&lt;'Données projet'!$A$244,$FW$205^A87,IF(A87='Données projet'!$A$244,'Données projet'!$B$244,FZ86+FY87-GH86)))</f>
        <v>263.00000000000006</v>
      </c>
      <c r="GA87" s="17">
        <f>FZ87*VLOOKUP('Données projet'!$B$17,Paramètres!$A$1:$I$89,3,0)*VLOOKUP('Données projet'!$B$17,Paramètres!$A$1:$I$89,5,0)</f>
        <v>229.75680000000011</v>
      </c>
      <c r="GB87" s="13">
        <f t="shared" si="103"/>
        <v>56.230092767727569</v>
      </c>
      <c r="GC87" s="20">
        <f t="shared" si="79"/>
        <v>498.09383823712568</v>
      </c>
      <c r="GD87" s="59">
        <f t="shared" si="80"/>
        <v>791.427171570459</v>
      </c>
      <c r="GE87" s="59">
        <f ca="1">AVERAGE(OFFSET($GD$3,0,0,'Données projet'!$E$17+1,1))-AVERAGE(OFFSET($H$3,0,0,'Données projet'!$E$17+1,1))</f>
        <v>319.57811113658374</v>
      </c>
      <c r="GF87" s="59">
        <f t="shared" si="104"/>
        <v>322.03572137403245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29.880740712161842</v>
      </c>
      <c r="GM87" s="21">
        <f>EXP(-LN(2)/25)*GM86+(1-EXP(-LN(2)/25))/(LN(2)/25)*Calculateur!GH87*Calculateur!GJ87*VLOOKUP('Données projet'!$B$17,Paramètres!$A$1:$I$89,3,0)*0.475*44/12</f>
        <v>18.013841033195739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47.894581745357584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5.4683368944097308E-14</v>
      </c>
      <c r="P88" s="13">
        <f t="shared" si="87"/>
        <v>8.8129432816788268E-13</v>
      </c>
      <c r="Q88" s="20">
        <f t="shared" si="54"/>
        <v>1.6301611558033651E-12</v>
      </c>
      <c r="R88" s="59">
        <f t="shared" si="55"/>
        <v>293.33333333333496</v>
      </c>
      <c r="S88" s="59">
        <f ca="1">AVERAGE(OFFSET($R$3,0,0,'Données projet'!$E$9+1,1))-AVERAGE(OFFSET($H$3,0,0,'Données projet'!$E$9+1,1))</f>
        <v>226.41956082453015</v>
      </c>
      <c r="T88" s="59">
        <f t="shared" si="88"/>
        <v>317.95076157570446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7.1723646644444505</v>
      </c>
      <c r="AI88" s="13">
        <f>IF('Données projet'!$A$62&gt;35,AI87+AH88-AQ87,IF(A88&lt;'Données projet'!$A$62,$AF$205^A88,IF(A88='Données projet'!$A$62,'Données projet'!$B$62,AI87+AH88-AQ87)))</f>
        <v>241.35612537777803</v>
      </c>
      <c r="AJ88" s="13">
        <f>AI88*VLOOKUP('Données projet'!$B$10,Paramètres!$A$1:$I$89,3,0)*VLOOKUP('Données projet'!$B$10,Paramètres!$A$1:$I$89,5,0)</f>
        <v>207.08355557413358</v>
      </c>
      <c r="AK88" s="13">
        <f t="shared" si="89"/>
        <v>51.297751407709768</v>
      </c>
      <c r="AL88" s="20">
        <f t="shared" si="58"/>
        <v>450.01410966004374</v>
      </c>
      <c r="AM88" s="59">
        <f t="shared" si="59"/>
        <v>743.34744299337706</v>
      </c>
      <c r="AN88" s="59">
        <f ca="1">AVERAGE(OFFSET($AM$3,0,0,'Données projet'!$E$10+1,1))-AVERAGE(OFFSET($H$3,0,0,'Données projet'!$E$10+1,1))</f>
        <v>257.80662231827404</v>
      </c>
      <c r="AO88" s="59">
        <f t="shared" si="90"/>
        <v>184.04558520039876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-4.5474735088646412E-13</v>
      </c>
      <c r="BE88" s="13">
        <f>BD88*VLOOKUP('Données projet'!$B$11,Paramètres!$A$1:$I$89,3,0)*VLOOKUP('Données projet'!$B$11,Paramètres!$A$1:$I$89,5,0)</f>
        <v>-2.5420376914553347E-13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300.90952915835157</v>
      </c>
      <c r="BJ88" s="59">
        <f t="shared" si="92"/>
        <v>402.81783992925256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125.12485369694296</v>
      </c>
      <c r="BQ88" s="21">
        <f>EXP(-LN(2)/25)*BQ87+(1-EXP(-LN(2)/25))/(LN(2)/25)*Calculateur!BL88*Calculateur!BN88*VLOOKUP('Données projet'!$B$11,Paramètres!$A$1:$I$89,3,0)*0.475*44/12</f>
        <v>25.344433341509191</v>
      </c>
      <c r="BR88" s="21">
        <f>EXP(-LN(2)/2)*BR87+(1-EXP(-LN(2)/2))/(LN(2)/2)*BL88*BO88*VLOOKUP('Données projet'!$B$11,Paramètres!$A$1:$I$89,3,0)*0.475*44/12</f>
        <v>1.0267245262895763E-3</v>
      </c>
      <c r="BS88" s="22">
        <f t="shared" si="63"/>
        <v>150.47031376297846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12.692307693749996</v>
      </c>
      <c r="BY88" s="12">
        <f>IF('Données projet'!$A$114&gt;35,BY87+BX88-CG87,IF(A88&lt;'Données projet'!$A$114,$BV$205^A88,IF(A88='Données projet'!$A$114,'Données projet'!$B$114,BY87+BX88-CG87)))</f>
        <v>415.46923073749997</v>
      </c>
      <c r="BZ88" s="13">
        <f>BY88*VLOOKUP('Données projet'!$B$12,Paramètres!$A$1:$I$89,3,0)*VLOOKUP('Données projet'!$B$12,Paramètres!$A$1:$I$89,5,0)</f>
        <v>205.24179998432501</v>
      </c>
      <c r="CA88" s="13">
        <f t="shared" si="93"/>
        <v>50.894416410718804</v>
      </c>
      <c r="CB88" s="20">
        <f t="shared" si="64"/>
        <v>446.10391022136793</v>
      </c>
      <c r="CC88" s="59">
        <f t="shared" si="65"/>
        <v>739.43724355470124</v>
      </c>
      <c r="CD88" s="59">
        <f ca="1">AVERAGE(OFFSET($CC$3,0,0,'Données projet'!$E$12+1,1))-AVERAGE(OFFSET($H$3,0,0,'Données projet'!$E$12+1,1))</f>
        <v>246.05217890269194</v>
      </c>
      <c r="CE88" s="59">
        <f t="shared" si="94"/>
        <v>155.54297071424327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80.441594579679119</v>
      </c>
      <c r="CL88" s="21">
        <f>EXP(-LN(2)/25)*CL87+(1-EXP(-LN(2)/25))/(LN(2)/25)*Calculateur!CG88*Calculateur!CI88*VLOOKUP('Données projet'!$B$12,Paramètres!$A$1:$I$89,3,0)*0.475*44/12</f>
        <v>27.032261722173885</v>
      </c>
      <c r="CM88" s="21">
        <f>EXP(-LN(2)/2)*CM87+(1-EXP(-LN(2)/2))/(LN(2)/2)*CG88*CJ88*VLOOKUP('Données projet'!$B$12,Paramètres!$A$1:$I$89,3,0)*0.475*44/12</f>
        <v>3.5255585033776655</v>
      </c>
      <c r="CN88" s="22">
        <f t="shared" si="66"/>
        <v>110.99941480523067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-3.4106051316484809E-13</v>
      </c>
      <c r="CU88" s="17">
        <f>CT88*VLOOKUP('Données projet'!$B$13,Paramètres!$A$1:$I$89,3,0)*VLOOKUP('Données projet'!$B$13,Paramètres!$A$1:$I$89,5,0)</f>
        <v>-2.0395418687257919E-13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237.036496933921</v>
      </c>
      <c r="CZ88" s="59">
        <f t="shared" si="96"/>
        <v>191.04289413665344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128.83701058369635</v>
      </c>
      <c r="DG88" s="21">
        <f>EXP(-LN(2)/25)*DG87+(1-EXP(-LN(2)/25))/(LN(2)/25)*Calculateur!DB88*Calculateur!DD88*VLOOKUP('Données projet'!$B$13,Paramètres!$A$1:$I$89,3,0)*0.475*44/12</f>
        <v>30.118112568575384</v>
      </c>
      <c r="DH88" s="21">
        <f>EXP(-LN(2)/2)*DH87+(1-EXP(-LN(2)/2))/(LN(2)/2)*DB88*DE88*VLOOKUP('Données projet'!$B$13,Paramètres!$A$1:$I$89,3,0)*0.475*44/12</f>
        <v>6.2956408520677885</v>
      </c>
      <c r="DI88" s="22">
        <f t="shared" si="69"/>
        <v>165.25076400433952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5.3805128213333315</v>
      </c>
      <c r="DO88" s="12">
        <f>IF('Données projet'!$A$166&gt;35,DO87+DN88-DW87,IF(A88&lt;'Données projet'!$A$166,$DL$205^A88,IF(A88='Données projet'!$A$166,'Données projet'!$B$166,DO87+DN88-DW87)))</f>
        <v>225.81282049333308</v>
      </c>
      <c r="DP88" s="17">
        <f>DO88*VLOOKUP('Données projet'!$B$14,Paramètres!$A$1:$I$89,3,0)*VLOOKUP('Données projet'!$B$14,Paramètres!$A$1:$I$89,5,0)</f>
        <v>135.0360666550132</v>
      </c>
      <c r="DQ88" s="13">
        <f t="shared" si="97"/>
        <v>35.15745988089548</v>
      </c>
      <c r="DR88" s="20">
        <f t="shared" si="70"/>
        <v>296.42039205004096</v>
      </c>
      <c r="DS88" s="59">
        <f t="shared" si="71"/>
        <v>589.75372538337433</v>
      </c>
      <c r="DT88" s="59">
        <f ca="1">AVERAGE(OFFSET($DS$3,0,0,'Données projet'!$E$14+1,1))-AVERAGE(OFFSET($H$3,0,0,'Données projet'!$E$14+1,1))</f>
        <v>148.22129593028302</v>
      </c>
      <c r="DU88" s="59">
        <f t="shared" si="98"/>
        <v>102.97015482019975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233.89079999999998</v>
      </c>
      <c r="EL88" s="13">
        <f t="shared" si="99"/>
        <v>57.123140349023068</v>
      </c>
      <c r="EM88" s="20">
        <f t="shared" si="73"/>
        <v>506.84927944121517</v>
      </c>
      <c r="EN88" s="59">
        <f t="shared" si="74"/>
        <v>800.18261277454849</v>
      </c>
      <c r="EO88" s="59">
        <f ca="1">AVERAGE(OFFSET($EN$3,0,0,'Données projet'!$E$15+1,1))-AVERAGE(OFFSET($H$3,0,0,'Données projet'!$E$15+1,1))</f>
        <v>278.53123771916404</v>
      </c>
      <c r="EP88" s="59">
        <f t="shared" si="100"/>
        <v>283.79094702030869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30.324151052218486</v>
      </c>
      <c r="EW88" s="21">
        <f>EXP(-LN(2)/25)*EW87+(1-EXP(-LN(2)/25))/(LN(2)/25)*Calculateur!ER88*Calculateur!ET88*VLOOKUP('Données projet'!$B$15,Paramètres!$A$1:$I$89,3,0)*0.475*44/12</f>
        <v>4.9113041081504871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35.235455160368971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6.2512820512820522</v>
      </c>
      <c r="FE88" s="12">
        <f>IF('Données projet'!$A$218&gt;35,FE87+FD88-FM87,IF(A88&lt;'Données projet'!$A$218,$FB$205^A88,IF(A88='Données projet'!$A$218,'Données projet'!$B$218,FE87+FD88-FM87)))</f>
        <v>209.98205128205129</v>
      </c>
      <c r="FF88" s="17">
        <f>FE88*VLOOKUP('Données projet'!$B$16,Paramètres!$A$1:$I$89,3,0)*VLOOKUP('Données projet'!$B$16,Paramètres!$A$1:$I$89,5,0)</f>
        <v>189.99176</v>
      </c>
      <c r="FG88" s="13">
        <f t="shared" si="101"/>
        <v>47.538131099623079</v>
      </c>
      <c r="FH88" s="20">
        <f t="shared" si="76"/>
        <v>413.69789366517688</v>
      </c>
      <c r="FI88" s="59">
        <f t="shared" si="77"/>
        <v>707.03122699851019</v>
      </c>
      <c r="FJ88" s="59">
        <f ca="1">AVERAGE(OFFSET($FI$3,0,0,'Données projet'!$E$16+1,1))-AVERAGE(OFFSET($H$3,0,0,'Données projet'!$E$16+1,1))</f>
        <v>335.99493768537013</v>
      </c>
      <c r="FK88" s="59">
        <f t="shared" si="102"/>
        <v>150.85164849522778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13.948453824841232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13.948453824841232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267</v>
      </c>
      <c r="FX88" s="12">
        <f>VLOOKUP(A88,'Données projet'!$A$243:$I$263,9,0)</f>
        <v>4</v>
      </c>
      <c r="FY88" s="12">
        <f t="array" ref="FY88">INDEX(FX:FX,MIN(IF(ISNUMBER(FX88:FX284),ROW(FX88:FX284),"")))</f>
        <v>4</v>
      </c>
      <c r="FZ88" s="12">
        <f>IF('Données projet'!$A$244&gt;35,FZ87+FY88-GH87,IF(A88&lt;'Données projet'!$A$244,$FW$205^A88,IF(A88='Données projet'!$A$244,'Données projet'!$B$244,FZ87+FY88-GH87)))</f>
        <v>267.00000000000006</v>
      </c>
      <c r="GA88" s="17">
        <f>FZ88*VLOOKUP('Données projet'!$B$17,Paramètres!$A$1:$I$89,3,0)*VLOOKUP('Données projet'!$B$17,Paramètres!$A$1:$I$89,5,0)</f>
        <v>233.25120000000007</v>
      </c>
      <c r="GB88" s="13">
        <f t="shared" si="103"/>
        <v>56.985091661350914</v>
      </c>
      <c r="GC88" s="20">
        <f t="shared" si="79"/>
        <v>505.49487464351961</v>
      </c>
      <c r="GD88" s="59">
        <f t="shared" si="80"/>
        <v>798.82820797685292</v>
      </c>
      <c r="GE88" s="59">
        <f ca="1">AVERAGE(OFFSET($GD$3,0,0,'Données projet'!$E$17+1,1))-AVERAGE(OFFSET($H$3,0,0,'Données projet'!$E$17+1,1))</f>
        <v>319.57811113658374</v>
      </c>
      <c r="GF88" s="59">
        <f t="shared" si="104"/>
        <v>322.03572137403245</v>
      </c>
      <c r="GG88" s="15">
        <f>IF(ISNA(VLOOKUP(A88,'Données projet'!$A$243:$I$263,3,0)),0,VLOOKUP(A88,'Données projet'!$A$243:$I$263,3,0))</f>
        <v>14</v>
      </c>
      <c r="GH88" s="15" t="str">
        <f>IF(ISNA(VLOOKUP(A88,'Données projet'!$A$243:$I$263,4,0)),0,VLOOKUP(A88,'Données projet'!$A$243:$I$263,4,0))</f>
        <v>16</v>
      </c>
      <c r="GI88" s="16">
        <f>IF(ISNA(VLOOKUP(A88,'Données projet'!$A$243:$I$263,5,0)),0%,VLOOKUP(A88,'Données projet'!$A$243:$I$263,5,0)*VLOOKUP('Données projet'!$B$17,Paramètres!$A$1:$I$89,7,0))</f>
        <v>0.34400000000000003</v>
      </c>
      <c r="GJ88" s="16">
        <f>IF(ISNA(VLOOKUP(A88,'Données projet'!$A$243:$I$263,6,0)),0%,VLOOKUP(A88,'Données projet'!$A$243:$I$263,6,0)*VLOOKUP('Données projet'!$B$17,Paramètres!$A$1:$I$89,7,0))</f>
        <v>4.3000000000000003E-2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34.610224647522728</v>
      </c>
      <c r="GM88" s="21">
        <f>EXP(-LN(2)/25)*GM87+(1-EXP(-LN(2)/25))/(LN(2)/25)*Calculateur!GH88*Calculateur!GJ88*VLOOKUP('Données projet'!$B$17,Paramètres!$A$1:$I$89,3,0)*0.475*44/12</f>
        <v>18.183063874548747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52.793288522071478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5.4683368944097308E-14</v>
      </c>
      <c r="P89" s="13">
        <f t="shared" si="87"/>
        <v>8.8129432816788268E-13</v>
      </c>
      <c r="Q89" s="20">
        <f t="shared" si="54"/>
        <v>1.6301611558033651E-12</v>
      </c>
      <c r="R89" s="59">
        <f t="shared" si="55"/>
        <v>293.33333333333496</v>
      </c>
      <c r="S89" s="59">
        <f ca="1">AVERAGE(OFFSET($R$3,0,0,'Données projet'!$E$9+1,1))-AVERAGE(OFFSET($H$3,0,0,'Données projet'!$E$9+1,1))</f>
        <v>226.41956082453015</v>
      </c>
      <c r="T89" s="59">
        <f t="shared" si="88"/>
        <v>317.95076157570446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7.1723646644444505</v>
      </c>
      <c r="AI89" s="13">
        <f>IF('Données projet'!$A$62&gt;35,AI88+AH89-AQ88,IF(A89&lt;'Données projet'!$A$62,$AF$205^A89,IF(A89='Données projet'!$A$62,'Données projet'!$B$62,AI88+AH89-AQ88)))</f>
        <v>248.52849004222247</v>
      </c>
      <c r="AJ89" s="13">
        <f>AI89*VLOOKUP('Données projet'!$B$10,Paramètres!$A$1:$I$89,3,0)*VLOOKUP('Données projet'!$B$10,Paramètres!$A$1:$I$89,5,0)</f>
        <v>213.23744445622691</v>
      </c>
      <c r="AK89" s="13">
        <f t="shared" si="89"/>
        <v>52.642417616727649</v>
      </c>
      <c r="AL89" s="20">
        <f t="shared" si="58"/>
        <v>463.07409311039578</v>
      </c>
      <c r="AM89" s="59">
        <f t="shared" si="59"/>
        <v>756.40742644372904</v>
      </c>
      <c r="AN89" s="59">
        <f ca="1">AVERAGE(OFFSET($AM$3,0,0,'Données projet'!$E$10+1,1))-AVERAGE(OFFSET($H$3,0,0,'Données projet'!$E$10+1,1))</f>
        <v>257.80662231827404</v>
      </c>
      <c r="AO89" s="59">
        <f t="shared" si="90"/>
        <v>184.04558520039876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-4.5474735088646412E-13</v>
      </c>
      <c r="BE89" s="13">
        <f>BD89*VLOOKUP('Données projet'!$B$11,Paramètres!$A$1:$I$89,3,0)*VLOOKUP('Données projet'!$B$11,Paramètres!$A$1:$I$89,5,0)</f>
        <v>-2.5420376914553347E-13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300.90952915835157</v>
      </c>
      <c r="BJ89" s="59">
        <f t="shared" si="92"/>
        <v>402.81783992925256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122.67123163457083</v>
      </c>
      <c r="BQ89" s="21">
        <f>EXP(-LN(2)/25)*BQ88+(1-EXP(-LN(2)/25))/(LN(2)/25)*Calculateur!BL89*Calculateur!BN89*VLOOKUP('Données projet'!$B$11,Paramètres!$A$1:$I$89,3,0)*0.475*44/12</f>
        <v>24.651388478979797</v>
      </c>
      <c r="BR89" s="21">
        <f>EXP(-LN(2)/2)*BR88+(1-EXP(-LN(2)/2))/(LN(2)/2)*BL89*BO89*VLOOKUP('Données projet'!$B$11,Paramètres!$A$1:$I$89,3,0)*0.475*44/12</f>
        <v>7.2600387494990508E-4</v>
      </c>
      <c r="BS89" s="22">
        <f t="shared" si="63"/>
        <v>147.32334611742556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12.692307693749996</v>
      </c>
      <c r="BY89" s="12">
        <f>IF('Données projet'!$A$114&gt;35,BY88+BX89-CG88,IF(A89&lt;'Données projet'!$A$114,$BV$205^A89,IF(A89='Données projet'!$A$114,'Données projet'!$B$114,BY88+BX89-CG88)))</f>
        <v>428.16153843124994</v>
      </c>
      <c r="BZ89" s="13">
        <f>BY89*VLOOKUP('Données projet'!$B$12,Paramètres!$A$1:$I$89,3,0)*VLOOKUP('Données projet'!$B$12,Paramètres!$A$1:$I$89,5,0)</f>
        <v>211.51179998503747</v>
      </c>
      <c r="CA89" s="13">
        <f t="shared" si="93"/>
        <v>52.265813982387414</v>
      </c>
      <c r="CB89" s="20">
        <f t="shared" si="64"/>
        <v>459.41267765993166</v>
      </c>
      <c r="CC89" s="59">
        <f t="shared" si="65"/>
        <v>752.74601099326492</v>
      </c>
      <c r="CD89" s="59">
        <f ca="1">AVERAGE(OFFSET($CC$3,0,0,'Données projet'!$E$12+1,1))-AVERAGE(OFFSET($H$3,0,0,'Données projet'!$E$12+1,1))</f>
        <v>246.05217890269194</v>
      </c>
      <c r="CE89" s="59">
        <f t="shared" si="94"/>
        <v>155.54297071424327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78.864183974499582</v>
      </c>
      <c r="CL89" s="21">
        <f>EXP(-LN(2)/25)*CL88+(1-EXP(-LN(2)/25))/(LN(2)/25)*Calculateur!CG89*Calculateur!CI89*VLOOKUP('Données projet'!$B$12,Paramètres!$A$1:$I$89,3,0)*0.475*44/12</f>
        <v>26.293063103816181</v>
      </c>
      <c r="CM89" s="21">
        <f>EXP(-LN(2)/2)*CM88+(1-EXP(-LN(2)/2))/(LN(2)/2)*CG89*CJ89*VLOOKUP('Données projet'!$B$12,Paramètres!$A$1:$I$89,3,0)*0.475*44/12</f>
        <v>2.4929463252082429</v>
      </c>
      <c r="CN89" s="22">
        <f t="shared" si="66"/>
        <v>107.650193403524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-3.4106051316484809E-13</v>
      </c>
      <c r="CU89" s="17">
        <f>CT89*VLOOKUP('Données projet'!$B$13,Paramètres!$A$1:$I$89,3,0)*VLOOKUP('Données projet'!$B$13,Paramètres!$A$1:$I$89,5,0)</f>
        <v>-2.0395418687257919E-13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237.036496933921</v>
      </c>
      <c r="CZ89" s="59">
        <f t="shared" si="96"/>
        <v>191.04289413665344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126.31059538896712</v>
      </c>
      <c r="DG89" s="21">
        <f>EXP(-LN(2)/25)*DG88+(1-EXP(-LN(2)/25))/(LN(2)/25)*Calculateur!DB89*Calculateur!DD89*VLOOKUP('Données projet'!$B$13,Paramètres!$A$1:$I$89,3,0)*0.475*44/12</f>
        <v>29.294531196544987</v>
      </c>
      <c r="DH89" s="21">
        <f>EXP(-LN(2)/2)*DH88+(1-EXP(-LN(2)/2))/(LN(2)/2)*DB89*DE89*VLOOKUP('Données projet'!$B$13,Paramètres!$A$1:$I$89,3,0)*0.475*44/12</f>
        <v>4.4516903384121873</v>
      </c>
      <c r="DI89" s="22">
        <f t="shared" si="69"/>
        <v>160.05681692392429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5.3805128213333315</v>
      </c>
      <c r="DO89" s="12">
        <f>IF('Données projet'!$A$166&gt;35,DO88+DN89-DW88,IF(A89&lt;'Données projet'!$A$166,$DL$205^A89,IF(A89='Données projet'!$A$166,'Données projet'!$B$166,DO88+DN89-DW88)))</f>
        <v>231.1933333146664</v>
      </c>
      <c r="DP89" s="17">
        <f>DO89*VLOOKUP('Données projet'!$B$14,Paramètres!$A$1:$I$89,3,0)*VLOOKUP('Données projet'!$B$14,Paramètres!$A$1:$I$89,5,0)</f>
        <v>138.25361332217054</v>
      </c>
      <c r="DQ89" s="13">
        <f t="shared" si="97"/>
        <v>35.89664102151022</v>
      </c>
      <c r="DR89" s="20">
        <f t="shared" si="70"/>
        <v>303.31169298191065</v>
      </c>
      <c r="DS89" s="59">
        <f t="shared" si="71"/>
        <v>596.64502631524397</v>
      </c>
      <c r="DT89" s="59">
        <f ca="1">AVERAGE(OFFSET($DS$3,0,0,'Données projet'!$E$14+1,1))-AVERAGE(OFFSET($H$3,0,0,'Données projet'!$E$14+1,1))</f>
        <v>148.22129593028302</v>
      </c>
      <c r="DU89" s="59">
        <f t="shared" si="98"/>
        <v>102.97015482019975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233.89079999999998</v>
      </c>
      <c r="EL89" s="13">
        <f t="shared" si="99"/>
        <v>57.123140349023068</v>
      </c>
      <c r="EM89" s="20">
        <f t="shared" si="73"/>
        <v>506.84927944121517</v>
      </c>
      <c r="EN89" s="59">
        <f t="shared" si="74"/>
        <v>800.18261277454849</v>
      </c>
      <c r="EO89" s="59">
        <f ca="1">AVERAGE(OFFSET($EN$3,0,0,'Données projet'!$E$15+1,1))-AVERAGE(OFFSET($H$3,0,0,'Données projet'!$E$15+1,1))</f>
        <v>278.53123771916404</v>
      </c>
      <c r="EP89" s="59">
        <f t="shared" si="100"/>
        <v>283.79094702030869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29.729512945990304</v>
      </c>
      <c r="EW89" s="21">
        <f>EXP(-LN(2)/25)*EW88+(1-EXP(-LN(2)/25))/(LN(2)/25)*Calculateur!ER89*Calculateur!ET89*VLOOKUP('Données projet'!$B$15,Paramètres!$A$1:$I$89,3,0)*0.475*44/12</f>
        <v>4.7770042390388543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34.506517185029161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6.2512820512820522</v>
      </c>
      <c r="FE89" s="12">
        <f>IF('Données projet'!$A$218&gt;35,FE88+FD89-FM88,IF(A89&lt;'Données projet'!$A$218,$FB$205^A89,IF(A89='Données projet'!$A$218,'Données projet'!$B$218,FE88+FD89-FM88)))</f>
        <v>216.23333333333335</v>
      </c>
      <c r="FF89" s="17">
        <f>FE89*VLOOKUP('Données projet'!$B$16,Paramètres!$A$1:$I$89,3,0)*VLOOKUP('Données projet'!$B$16,Paramètres!$A$1:$I$89,5,0)</f>
        <v>195.64792</v>
      </c>
      <c r="FG89" s="13">
        <f t="shared" si="101"/>
        <v>48.786491034291537</v>
      </c>
      <c r="FH89" s="20">
        <f t="shared" si="76"/>
        <v>425.72326588472441</v>
      </c>
      <c r="FI89" s="59">
        <f t="shared" si="77"/>
        <v>719.05659921805773</v>
      </c>
      <c r="FJ89" s="59">
        <f ca="1">AVERAGE(OFFSET($FI$3,0,0,'Données projet'!$E$16+1,1))-AVERAGE(OFFSET($H$3,0,0,'Données projet'!$E$16+1,1))</f>
        <v>335.99493768537013</v>
      </c>
      <c r="FK89" s="59">
        <f t="shared" si="102"/>
        <v>150.85164849522778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13.674933153052862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13.674933153052862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3.4</v>
      </c>
      <c r="FZ89" s="12">
        <f>IF('Données projet'!$A$244&gt;35,FZ88+FY89-GH88,IF(A89&lt;'Données projet'!$A$244,$FW$205^A89,IF(A89='Données projet'!$A$244,'Données projet'!$B$244,FZ88+FY89-GH88)))</f>
        <v>254.40000000000003</v>
      </c>
      <c r="GA89" s="17">
        <f>FZ89*VLOOKUP('Données projet'!$B$17,Paramètres!$A$1:$I$89,3,0)*VLOOKUP('Données projet'!$B$17,Paramètres!$A$1:$I$89,5,0)</f>
        <v>222.24384000000006</v>
      </c>
      <c r="GB89" s="13">
        <f t="shared" si="103"/>
        <v>54.602284860895942</v>
      </c>
      <c r="GC89" s="20">
        <f t="shared" si="79"/>
        <v>482.17366746606058</v>
      </c>
      <c r="GD89" s="59">
        <f t="shared" si="80"/>
        <v>775.50700079939384</v>
      </c>
      <c r="GE89" s="59">
        <f ca="1">AVERAGE(OFFSET($GD$3,0,0,'Données projet'!$E$17+1,1))-AVERAGE(OFFSET($H$3,0,0,'Données projet'!$E$17+1,1))</f>
        <v>319.57811113658374</v>
      </c>
      <c r="GF89" s="59">
        <f t="shared" si="104"/>
        <v>322.03572137403245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33.931539252337387</v>
      </c>
      <c r="GM89" s="21">
        <f>EXP(-LN(2)/25)*GM88+(1-EXP(-LN(2)/25))/(LN(2)/25)*Calculateur!GH89*Calculateur!GJ89*VLOOKUP('Données projet'!$B$17,Paramètres!$A$1:$I$89,3,0)*0.475*44/12</f>
        <v>17.685847036693442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51.617386289030833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5.4683368944097308E-14</v>
      </c>
      <c r="P90" s="13">
        <f t="shared" si="87"/>
        <v>8.8129432816788268E-13</v>
      </c>
      <c r="Q90" s="20">
        <f t="shared" si="54"/>
        <v>1.6301611558033651E-12</v>
      </c>
      <c r="R90" s="59">
        <f t="shared" si="55"/>
        <v>293.33333333333496</v>
      </c>
      <c r="S90" s="59">
        <f ca="1">AVERAGE(OFFSET($R$3,0,0,'Données projet'!$E$9+1,1))-AVERAGE(OFFSET($H$3,0,0,'Données projet'!$E$9+1,1))</f>
        <v>226.41956082453015</v>
      </c>
      <c r="T90" s="59">
        <f t="shared" si="88"/>
        <v>317.95076157570446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7.1723646644444505</v>
      </c>
      <c r="AI90" s="13">
        <f>IF('Données projet'!$A$62&gt;35,AI89+AH90-AQ89,IF(A90&lt;'Données projet'!$A$62,$AF$205^A90,IF(A90='Données projet'!$A$62,'Données projet'!$B$62,AI89+AH90-AQ89)))</f>
        <v>255.70085470666692</v>
      </c>
      <c r="AJ90" s="13">
        <f>AI90*VLOOKUP('Données projet'!$B$10,Paramètres!$A$1:$I$89,3,0)*VLOOKUP('Données projet'!$B$10,Paramètres!$A$1:$I$89,5,0)</f>
        <v>219.39133333832024</v>
      </c>
      <c r="AK90" s="13">
        <f t="shared" si="89"/>
        <v>53.982573705573223</v>
      </c>
      <c r="AL90" s="20">
        <f t="shared" si="58"/>
        <v>476.12622143478103</v>
      </c>
      <c r="AM90" s="59">
        <f t="shared" si="59"/>
        <v>769.45955476811434</v>
      </c>
      <c r="AN90" s="59">
        <f ca="1">AVERAGE(OFFSET($AM$3,0,0,'Données projet'!$E$10+1,1))-AVERAGE(OFFSET($H$3,0,0,'Données projet'!$E$10+1,1))</f>
        <v>257.80662231827404</v>
      </c>
      <c r="AO90" s="59">
        <f t="shared" si="90"/>
        <v>184.04558520039876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-4.5474735088646412E-13</v>
      </c>
      <c r="BE90" s="13">
        <f>BD90*VLOOKUP('Données projet'!$B$11,Paramètres!$A$1:$I$89,3,0)*VLOOKUP('Données projet'!$B$11,Paramètres!$A$1:$I$89,5,0)</f>
        <v>-2.5420376914553347E-13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300.90952915835157</v>
      </c>
      <c r="BJ90" s="59">
        <f t="shared" si="92"/>
        <v>402.81783992925256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120.26572360428013</v>
      </c>
      <c r="BQ90" s="21">
        <f>EXP(-LN(2)/25)*BQ89+(1-EXP(-LN(2)/25))/(LN(2)/25)*Calculateur!BL90*Calculateur!BN90*VLOOKUP('Données projet'!$B$11,Paramètres!$A$1:$I$89,3,0)*0.475*44/12</f>
        <v>23.977294964661915</v>
      </c>
      <c r="BR90" s="21">
        <f>EXP(-LN(2)/2)*BR89+(1-EXP(-LN(2)/2))/(LN(2)/2)*BL90*BO90*VLOOKUP('Données projet'!$B$11,Paramètres!$A$1:$I$89,3,0)*0.475*44/12</f>
        <v>5.1336226314478814E-4</v>
      </c>
      <c r="BS90" s="22">
        <f t="shared" si="63"/>
        <v>144.24353193120518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12.692307693749996</v>
      </c>
      <c r="BY90" s="12">
        <f>IF('Données projet'!$A$114&gt;35,BY89+BX90-CG89,IF(A90&lt;'Données projet'!$A$114,$BV$205^A90,IF(A90='Données projet'!$A$114,'Données projet'!$B$114,BY89+BX90-CG89)))</f>
        <v>440.8538461249999</v>
      </c>
      <c r="BZ90" s="13">
        <f>BY90*VLOOKUP('Données projet'!$B$12,Paramètres!$A$1:$I$89,3,0)*VLOOKUP('Données projet'!$B$12,Paramètres!$A$1:$I$89,5,0)</f>
        <v>217.78179998574996</v>
      </c>
      <c r="CA90" s="13">
        <f t="shared" si="93"/>
        <v>53.632486927901205</v>
      </c>
      <c r="CB90" s="20">
        <f t="shared" si="64"/>
        <v>472.71321637460909</v>
      </c>
      <c r="CC90" s="59">
        <f t="shared" si="65"/>
        <v>766.0465497079424</v>
      </c>
      <c r="CD90" s="59">
        <f ca="1">AVERAGE(OFFSET($CC$3,0,0,'Données projet'!$E$12+1,1))-AVERAGE(OFFSET($H$3,0,0,'Données projet'!$E$12+1,1))</f>
        <v>246.05217890269194</v>
      </c>
      <c r="CE90" s="59">
        <f t="shared" si="94"/>
        <v>155.54297071424327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77.317705429162146</v>
      </c>
      <c r="CL90" s="21">
        <f>EXP(-LN(2)/25)*CL89+(1-EXP(-LN(2)/25))/(LN(2)/25)*Calculateur!CG90*Calculateur!CI90*VLOOKUP('Données projet'!$B$12,Paramètres!$A$1:$I$89,3,0)*0.475*44/12</f>
        <v>25.574077910550233</v>
      </c>
      <c r="CM90" s="21">
        <f>EXP(-LN(2)/2)*CM89+(1-EXP(-LN(2)/2))/(LN(2)/2)*CG90*CJ90*VLOOKUP('Données projet'!$B$12,Paramètres!$A$1:$I$89,3,0)*0.475*44/12</f>
        <v>1.7627792516888328</v>
      </c>
      <c r="CN90" s="22">
        <f t="shared" si="66"/>
        <v>104.6545625914012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-3.4106051316484809E-13</v>
      </c>
      <c r="CU90" s="17">
        <f>CT90*VLOOKUP('Données projet'!$B$13,Paramètres!$A$1:$I$89,3,0)*VLOOKUP('Données projet'!$B$13,Paramètres!$A$1:$I$89,5,0)</f>
        <v>-2.0395418687257919E-13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237.036496933921</v>
      </c>
      <c r="CZ90" s="59">
        <f t="shared" si="96"/>
        <v>191.04289413665344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123.83372165524541</v>
      </c>
      <c r="DG90" s="21">
        <f>EXP(-LN(2)/25)*DG89+(1-EXP(-LN(2)/25))/(LN(2)/25)*Calculateur!DB90*Calculateur!DD90*VLOOKUP('Données projet'!$B$13,Paramètres!$A$1:$I$89,3,0)*0.475*44/12</f>
        <v>28.493470700443023</v>
      </c>
      <c r="DH90" s="21">
        <f>EXP(-LN(2)/2)*DH89+(1-EXP(-LN(2)/2))/(LN(2)/2)*DB90*DE90*VLOOKUP('Données projet'!$B$13,Paramètres!$A$1:$I$89,3,0)*0.475*44/12</f>
        <v>3.1478204260338942</v>
      </c>
      <c r="DI90" s="22">
        <f t="shared" si="69"/>
        <v>155.47501278172231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5.3805128213333315</v>
      </c>
      <c r="DO90" s="12">
        <f>IF('Données projet'!$A$166&gt;35,DO89+DN90-DW89,IF(A90&lt;'Données projet'!$A$166,$DL$205^A90,IF(A90='Données projet'!$A$166,'Données projet'!$B$166,DO89+DN90-DW89)))</f>
        <v>236.57384613599973</v>
      </c>
      <c r="DP90" s="17">
        <f>DO90*VLOOKUP('Données projet'!$B$14,Paramètres!$A$1:$I$89,3,0)*VLOOKUP('Données projet'!$B$14,Paramètres!$A$1:$I$89,5,0)</f>
        <v>141.47115998932784</v>
      </c>
      <c r="DQ90" s="13">
        <f t="shared" si="97"/>
        <v>36.633822274696868</v>
      </c>
      <c r="DR90" s="20">
        <f t="shared" si="70"/>
        <v>310.19951077650973</v>
      </c>
      <c r="DS90" s="59">
        <f t="shared" si="71"/>
        <v>603.53284410984304</v>
      </c>
      <c r="DT90" s="59">
        <f ca="1">AVERAGE(OFFSET($DS$3,0,0,'Données projet'!$E$14+1,1))-AVERAGE(OFFSET($H$3,0,0,'Données projet'!$E$14+1,1))</f>
        <v>148.22129593028302</v>
      </c>
      <c r="DU90" s="59">
        <f t="shared" si="98"/>
        <v>102.97015482019975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233.89079999999998</v>
      </c>
      <c r="EL90" s="13">
        <f t="shared" si="99"/>
        <v>57.123140349023068</v>
      </c>
      <c r="EM90" s="20">
        <f t="shared" si="73"/>
        <v>506.84927944121517</v>
      </c>
      <c r="EN90" s="59">
        <f t="shared" si="74"/>
        <v>800.18261277454849</v>
      </c>
      <c r="EO90" s="59">
        <f ca="1">AVERAGE(OFFSET($EN$3,0,0,'Données projet'!$E$15+1,1))-AVERAGE(OFFSET($H$3,0,0,'Données projet'!$E$15+1,1))</f>
        <v>278.53123771916404</v>
      </c>
      <c r="EP90" s="59">
        <f t="shared" si="100"/>
        <v>283.79094702030869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29.146535330331826</v>
      </c>
      <c r="EW90" s="21">
        <f>EXP(-LN(2)/25)*EW89+(1-EXP(-LN(2)/25))/(LN(2)/25)*Calculateur!ER90*Calculateur!ET90*VLOOKUP('Données projet'!$B$15,Paramètres!$A$1:$I$89,3,0)*0.475*44/12</f>
        <v>4.6463768069106015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33.792912137242425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6.2512820512820522</v>
      </c>
      <c r="FE90" s="12">
        <f>IF('Données projet'!$A$218&gt;35,FE89+FD90-FM89,IF(A90&lt;'Données projet'!$A$218,$FB$205^A90,IF(A90='Données projet'!$A$218,'Données projet'!$B$218,FE89+FD90-FM89)))</f>
        <v>222.48461538461541</v>
      </c>
      <c r="FF90" s="17">
        <f>FE90*VLOOKUP('Données projet'!$B$16,Paramètres!$A$1:$I$89,3,0)*VLOOKUP('Données projet'!$B$16,Paramètres!$A$1:$I$89,5,0)</f>
        <v>201.30408000000003</v>
      </c>
      <c r="FG90" s="13">
        <f t="shared" si="101"/>
        <v>50.030656541767812</v>
      </c>
      <c r="FH90" s="20">
        <f t="shared" si="76"/>
        <v>437.74133281024564</v>
      </c>
      <c r="FI90" s="59">
        <f t="shared" si="77"/>
        <v>731.07466614357895</v>
      </c>
      <c r="FJ90" s="59">
        <f ca="1">AVERAGE(OFFSET($FI$3,0,0,'Données projet'!$E$16+1,1))-AVERAGE(OFFSET($H$3,0,0,'Données projet'!$E$16+1,1))</f>
        <v>335.99493768537013</v>
      </c>
      <c r="FK90" s="59">
        <f t="shared" si="102"/>
        <v>150.85164849522778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13.406776054807125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13.406776054807125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3.4</v>
      </c>
      <c r="FZ90" s="12">
        <f>IF('Données projet'!$A$244&gt;35,FZ89+FY90-GH89,IF(A90&lt;'Données projet'!$A$244,$FW$205^A90,IF(A90='Données projet'!$A$244,'Données projet'!$B$244,FZ89+FY90-GH89)))</f>
        <v>257.8</v>
      </c>
      <c r="GA90" s="17">
        <f>FZ90*VLOOKUP('Données projet'!$B$17,Paramètres!$A$1:$I$89,3,0)*VLOOKUP('Données projet'!$B$17,Paramètres!$A$1:$I$89,5,0)</f>
        <v>225.21408000000005</v>
      </c>
      <c r="GB90" s="13">
        <f t="shared" si="103"/>
        <v>55.246590695846493</v>
      </c>
      <c r="GC90" s="20">
        <f t="shared" si="79"/>
        <v>488.46900146193275</v>
      </c>
      <c r="GD90" s="59">
        <f t="shared" si="80"/>
        <v>781.80233479526601</v>
      </c>
      <c r="GE90" s="59">
        <f ca="1">AVERAGE(OFFSET($GD$3,0,0,'Données projet'!$E$17+1,1))-AVERAGE(OFFSET($H$3,0,0,'Données projet'!$E$17+1,1))</f>
        <v>319.57811113658374</v>
      </c>
      <c r="GF90" s="59">
        <f t="shared" si="104"/>
        <v>322.03572137403245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33.266162463794416</v>
      </c>
      <c r="GM90" s="21">
        <f>EXP(-LN(2)/25)*GM89+(1-EXP(-LN(2)/25))/(LN(2)/25)*Calculateur!GH90*Calculateur!GJ90*VLOOKUP('Données projet'!$B$17,Paramètres!$A$1:$I$89,3,0)*0.475*44/12</f>
        <v>17.202226619416784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50.4683890832112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5.4683368944097308E-14</v>
      </c>
      <c r="P91" s="13">
        <f t="shared" si="87"/>
        <v>8.8129432816788268E-13</v>
      </c>
      <c r="Q91" s="20">
        <f t="shared" si="54"/>
        <v>1.6301611558033651E-12</v>
      </c>
      <c r="R91" s="59">
        <f t="shared" si="55"/>
        <v>293.33333333333496</v>
      </c>
      <c r="S91" s="59">
        <f ca="1">AVERAGE(OFFSET($R$3,0,0,'Données projet'!$E$9+1,1))-AVERAGE(OFFSET($H$3,0,0,'Données projet'!$E$9+1,1))</f>
        <v>226.41956082453015</v>
      </c>
      <c r="T91" s="59">
        <f t="shared" si="88"/>
        <v>317.95076157570446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7.1723646644444505</v>
      </c>
      <c r="AI91" s="13">
        <f>IF('Données projet'!$A$62&gt;35,AI90+AH91-AQ90,IF(A91&lt;'Données projet'!$A$62,$AF$205^A91,IF(A91='Données projet'!$A$62,'Données projet'!$B$62,AI90+AH91-AQ90)))</f>
        <v>262.87321937111136</v>
      </c>
      <c r="AJ91" s="13">
        <f>AI91*VLOOKUP('Données projet'!$B$10,Paramètres!$A$1:$I$89,3,0)*VLOOKUP('Données projet'!$B$10,Paramètres!$A$1:$I$89,5,0)</f>
        <v>225.54522222041359</v>
      </c>
      <c r="AK91" s="13">
        <f t="shared" si="89"/>
        <v>55.318360715034544</v>
      </c>
      <c r="AL91" s="20">
        <f t="shared" si="58"/>
        <v>489.17074027923871</v>
      </c>
      <c r="AM91" s="59">
        <f t="shared" si="59"/>
        <v>782.50407361257203</v>
      </c>
      <c r="AN91" s="59">
        <f ca="1">AVERAGE(OFFSET($AM$3,0,0,'Données projet'!$E$10+1,1))-AVERAGE(OFFSET($H$3,0,0,'Données projet'!$E$10+1,1))</f>
        <v>257.80662231827404</v>
      </c>
      <c r="AO91" s="59">
        <f t="shared" si="90"/>
        <v>184.04558520039876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-4.5474735088646412E-13</v>
      </c>
      <c r="BE91" s="13">
        <f>BD91*VLOOKUP('Données projet'!$B$11,Paramètres!$A$1:$I$89,3,0)*VLOOKUP('Données projet'!$B$11,Paramètres!$A$1:$I$89,5,0)</f>
        <v>-2.5420376914553347E-13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300.90952915835157</v>
      </c>
      <c r="BJ91" s="59">
        <f t="shared" si="92"/>
        <v>402.81783992925256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117.9073861192484</v>
      </c>
      <c r="BQ91" s="21">
        <f>EXP(-LN(2)/25)*BQ90+(1-EXP(-LN(2)/25))/(LN(2)/25)*Calculateur!BL91*Calculateur!BN91*VLOOKUP('Données projet'!$B$11,Paramètres!$A$1:$I$89,3,0)*0.475*44/12</f>
        <v>23.321634572942095</v>
      </c>
      <c r="BR91" s="21">
        <f>EXP(-LN(2)/2)*BR90+(1-EXP(-LN(2)/2))/(LN(2)/2)*BL91*BO91*VLOOKUP('Données projet'!$B$11,Paramètres!$A$1:$I$89,3,0)*0.475*44/12</f>
        <v>3.6300193747495254E-4</v>
      </c>
      <c r="BS91" s="22">
        <f t="shared" si="63"/>
        <v>141.22938369412796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12.692307693749996</v>
      </c>
      <c r="BY91" s="12">
        <f>IF('Données projet'!$A$114&gt;35,BY90+BX91-CG90,IF(A91&lt;'Données projet'!$A$114,$BV$205^A91,IF(A91='Données projet'!$A$114,'Données projet'!$B$114,BY90+BX91-CG90)))</f>
        <v>453.54615381874987</v>
      </c>
      <c r="BZ91" s="13">
        <f>BY91*VLOOKUP('Données projet'!$B$12,Paramètres!$A$1:$I$89,3,0)*VLOOKUP('Données projet'!$B$12,Paramètres!$A$1:$I$89,5,0)</f>
        <v>224.05179998646247</v>
      </c>
      <c r="CA91" s="13">
        <f t="shared" si="93"/>
        <v>54.994586891999198</v>
      </c>
      <c r="CB91" s="20">
        <f t="shared" si="64"/>
        <v>486.00579047998735</v>
      </c>
      <c r="CC91" s="59">
        <f t="shared" si="65"/>
        <v>779.33912381332061</v>
      </c>
      <c r="CD91" s="59">
        <f ca="1">AVERAGE(OFFSET($CC$3,0,0,'Données projet'!$E$12+1,1))-AVERAGE(OFFSET($H$3,0,0,'Données projet'!$E$12+1,1))</f>
        <v>246.05217890269194</v>
      </c>
      <c r="CE91" s="59">
        <f t="shared" si="94"/>
        <v>155.54297071424327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75.801552384840008</v>
      </c>
      <c r="CL91" s="21">
        <f>EXP(-LN(2)/25)*CL90+(1-EXP(-LN(2)/25))/(LN(2)/25)*Calculateur!CG91*Calculateur!CI91*VLOOKUP('Données projet'!$B$12,Paramètres!$A$1:$I$89,3,0)*0.475*44/12</f>
        <v>24.874753405203929</v>
      </c>
      <c r="CM91" s="21">
        <f>EXP(-LN(2)/2)*CM90+(1-EXP(-LN(2)/2))/(LN(2)/2)*CG91*CJ91*VLOOKUP('Données projet'!$B$12,Paramètres!$A$1:$I$89,3,0)*0.475*44/12</f>
        <v>1.2464731626041214</v>
      </c>
      <c r="CN91" s="22">
        <f t="shared" si="66"/>
        <v>101.92277895264806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-3.4106051316484809E-13</v>
      </c>
      <c r="CU91" s="17">
        <f>CT91*VLOOKUP('Données projet'!$B$13,Paramètres!$A$1:$I$89,3,0)*VLOOKUP('Données projet'!$B$13,Paramètres!$A$1:$I$89,5,0)</f>
        <v>-2.0395418687257919E-13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237.036496933921</v>
      </c>
      <c r="CZ91" s="59">
        <f t="shared" si="96"/>
        <v>191.04289413665344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121.40541790469818</v>
      </c>
      <c r="DG91" s="21">
        <f>EXP(-LN(2)/25)*DG90+(1-EXP(-LN(2)/25))/(LN(2)/25)*Calculateur!DB91*Calculateur!DD91*VLOOKUP('Données projet'!$B$13,Paramètres!$A$1:$I$89,3,0)*0.475*44/12</f>
        <v>27.714315245732909</v>
      </c>
      <c r="DH91" s="21">
        <f>EXP(-LN(2)/2)*DH90+(1-EXP(-LN(2)/2))/(LN(2)/2)*DB91*DE91*VLOOKUP('Données projet'!$B$13,Paramètres!$A$1:$I$89,3,0)*0.475*44/12</f>
        <v>2.2258451692060937</v>
      </c>
      <c r="DI91" s="22">
        <f t="shared" si="69"/>
        <v>151.34557831963718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5.3805128213333315</v>
      </c>
      <c r="DO91" s="12">
        <f>IF('Données projet'!$A$166&gt;35,DO90+DN91-DW90,IF(A91&lt;'Données projet'!$A$166,$DL$205^A91,IF(A91='Données projet'!$A$166,'Données projet'!$B$166,DO90+DN91-DW90)))</f>
        <v>241.95435895733306</v>
      </c>
      <c r="DP91" s="17">
        <f>DO91*VLOOKUP('Données projet'!$B$14,Paramètres!$A$1:$I$89,3,0)*VLOOKUP('Données projet'!$B$14,Paramètres!$A$1:$I$89,5,0)</f>
        <v>144.68870665648518</v>
      </c>
      <c r="DQ91" s="13">
        <f t="shared" si="97"/>
        <v>37.369054360923478</v>
      </c>
      <c r="DR91" s="20">
        <f t="shared" si="70"/>
        <v>317.08393377198678</v>
      </c>
      <c r="DS91" s="59">
        <f t="shared" si="71"/>
        <v>610.41726710532009</v>
      </c>
      <c r="DT91" s="59">
        <f ca="1">AVERAGE(OFFSET($DS$3,0,0,'Données projet'!$E$14+1,1))-AVERAGE(OFFSET($H$3,0,0,'Données projet'!$E$14+1,1))</f>
        <v>148.22129593028302</v>
      </c>
      <c r="DU91" s="59">
        <f t="shared" si="98"/>
        <v>102.97015482019975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233.89079999999998</v>
      </c>
      <c r="EL91" s="13">
        <f t="shared" si="99"/>
        <v>57.123140349023068</v>
      </c>
      <c r="EM91" s="20">
        <f t="shared" si="73"/>
        <v>506.84927944121517</v>
      </c>
      <c r="EN91" s="59">
        <f t="shared" si="74"/>
        <v>800.18261277454849</v>
      </c>
      <c r="EO91" s="59">
        <f ca="1">AVERAGE(OFFSET($EN$3,0,0,'Données projet'!$E$15+1,1))-AVERAGE(OFFSET($H$3,0,0,'Données projet'!$E$15+1,1))</f>
        <v>278.53123771916404</v>
      </c>
      <c r="EP91" s="59">
        <f t="shared" si="100"/>
        <v>283.79094702030869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28.574989550135175</v>
      </c>
      <c r="EW91" s="21">
        <f>EXP(-LN(2)/25)*EW90+(1-EXP(-LN(2)/25))/(LN(2)/25)*Calculateur!ER91*Calculateur!ET91*VLOOKUP('Données projet'!$B$15,Paramètres!$A$1:$I$89,3,0)*0.475*44/12</f>
        <v>4.5193213887832941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33.094310938918468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6.2512820512820522</v>
      </c>
      <c r="FE91" s="12">
        <f>IF('Données projet'!$A$218&gt;35,FE90+FD91-FM90,IF(A91&lt;'Données projet'!$A$218,$FB$205^A91,IF(A91='Données projet'!$A$218,'Données projet'!$B$218,FE90+FD91-FM90)))</f>
        <v>228.73589743589747</v>
      </c>
      <c r="FF91" s="17">
        <f>FE91*VLOOKUP('Données projet'!$B$16,Paramètres!$A$1:$I$89,3,0)*VLOOKUP('Données projet'!$B$16,Paramètres!$A$1:$I$89,5,0)</f>
        <v>206.96024000000003</v>
      </c>
      <c r="FG91" s="13">
        <f t="shared" si="101"/>
        <v>51.270759013587337</v>
      </c>
      <c r="FH91" s="20">
        <f t="shared" si="76"/>
        <v>449.75232328199803</v>
      </c>
      <c r="FI91" s="59">
        <f t="shared" si="77"/>
        <v>743.08565661533135</v>
      </c>
      <c r="FJ91" s="59">
        <f ca="1">AVERAGE(OFFSET($FI$3,0,0,'Données projet'!$E$16+1,1))-AVERAGE(OFFSET($H$3,0,0,'Données projet'!$E$16+1,1))</f>
        <v>335.99493768537013</v>
      </c>
      <c r="FK91" s="59">
        <f t="shared" si="102"/>
        <v>150.85164849522778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13.143877353698306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13.143877353698306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3.4</v>
      </c>
      <c r="FZ91" s="12">
        <f>IF('Données projet'!$A$244&gt;35,FZ90+FY91-GH90,IF(A91&lt;'Données projet'!$A$244,$FW$205^A91,IF(A91='Données projet'!$A$244,'Données projet'!$B$244,FZ90+FY91-GH90)))</f>
        <v>261.2</v>
      </c>
      <c r="GA91" s="17">
        <f>FZ91*VLOOKUP('Données projet'!$B$17,Paramètres!$A$1:$I$89,3,0)*VLOOKUP('Données projet'!$B$17,Paramètres!$A$1:$I$89,5,0)</f>
        <v>228.18432000000004</v>
      </c>
      <c r="GB91" s="13">
        <f t="shared" si="103"/>
        <v>55.889908157388689</v>
      </c>
      <c r="GC91" s="20">
        <f t="shared" si="79"/>
        <v>494.76261404078542</v>
      </c>
      <c r="GD91" s="59">
        <f t="shared" si="80"/>
        <v>788.09594737411874</v>
      </c>
      <c r="GE91" s="59">
        <f ca="1">AVERAGE(OFFSET($GD$3,0,0,'Données projet'!$E$17+1,1))-AVERAGE(OFFSET($H$3,0,0,'Données projet'!$E$17+1,1))</f>
        <v>319.57811113658374</v>
      </c>
      <c r="GF91" s="59">
        <f t="shared" si="104"/>
        <v>322.03572137403245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32.613833308235002</v>
      </c>
      <c r="GM91" s="21">
        <f>EXP(-LN(2)/25)*GM90+(1-EXP(-LN(2)/25))/(LN(2)/25)*Calculateur!GH91*Calculateur!GJ91*VLOOKUP('Données projet'!$B$17,Paramètres!$A$1:$I$89,3,0)*0.475*44/12</f>
        <v>16.731830827883051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49.345664136118053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5.4683368944097308E-14</v>
      </c>
      <c r="P92" s="13">
        <f t="shared" si="87"/>
        <v>8.8129432816788268E-13</v>
      </c>
      <c r="Q92" s="20">
        <f t="shared" si="54"/>
        <v>1.6301611558033651E-12</v>
      </c>
      <c r="R92" s="59">
        <f t="shared" si="55"/>
        <v>293.33333333333496</v>
      </c>
      <c r="S92" s="59">
        <f ca="1">AVERAGE(OFFSET($R$3,0,0,'Données projet'!$E$9+1,1))-AVERAGE(OFFSET($H$3,0,0,'Données projet'!$E$9+1,1))</f>
        <v>226.41956082453015</v>
      </c>
      <c r="T92" s="59">
        <f t="shared" si="88"/>
        <v>317.95076157570446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7.1723646644444505</v>
      </c>
      <c r="AI92" s="13">
        <f>IF('Données projet'!$A$62&gt;35,AI91+AH92-AQ91,IF(A92&lt;'Données projet'!$A$62,$AF$205^A92,IF(A92='Données projet'!$A$62,'Données projet'!$B$62,AI91+AH92-AQ91)))</f>
        <v>270.04558403555581</v>
      </c>
      <c r="AJ92" s="13">
        <f>AI92*VLOOKUP('Données projet'!$B$10,Paramètres!$A$1:$I$89,3,0)*VLOOKUP('Données projet'!$B$10,Paramètres!$A$1:$I$89,5,0)</f>
        <v>231.69911110250692</v>
      </c>
      <c r="AK92" s="13">
        <f t="shared" si="89"/>
        <v>56.649911551380129</v>
      </c>
      <c r="AL92" s="20">
        <f t="shared" si="58"/>
        <v>502.20788112218662</v>
      </c>
      <c r="AM92" s="59">
        <f t="shared" si="59"/>
        <v>795.54121445551993</v>
      </c>
      <c r="AN92" s="59">
        <f ca="1">AVERAGE(OFFSET($AM$3,0,0,'Données projet'!$E$10+1,1))-AVERAGE(OFFSET($H$3,0,0,'Données projet'!$E$10+1,1))</f>
        <v>257.80662231827404</v>
      </c>
      <c r="AO92" s="59">
        <f t="shared" si="90"/>
        <v>184.04558520039876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-4.5474735088646412E-13</v>
      </c>
      <c r="BE92" s="13">
        <f>BD92*VLOOKUP('Données projet'!$B$11,Paramètres!$A$1:$I$89,3,0)*VLOOKUP('Données projet'!$B$11,Paramètres!$A$1:$I$89,5,0)</f>
        <v>-2.5420376914553347E-13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300.90952915835157</v>
      </c>
      <c r="BJ92" s="59">
        <f t="shared" si="92"/>
        <v>402.81783992925256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115.59529419385431</v>
      </c>
      <c r="BQ92" s="21">
        <f>EXP(-LN(2)/25)*BQ91+(1-EXP(-LN(2)/25))/(LN(2)/25)*Calculateur!BL92*Calculateur!BN92*VLOOKUP('Données projet'!$B$11,Paramètres!$A$1:$I$89,3,0)*0.475*44/12</f>
        <v>22.683903249113534</v>
      </c>
      <c r="BR92" s="21">
        <f>EXP(-LN(2)/2)*BR91+(1-EXP(-LN(2)/2))/(LN(2)/2)*BL92*BO92*VLOOKUP('Données projet'!$B$11,Paramètres!$A$1:$I$89,3,0)*0.475*44/12</f>
        <v>2.5668113157239407E-4</v>
      </c>
      <c r="BS92" s="22">
        <f t="shared" si="63"/>
        <v>138.2794541240994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12.692307693749996</v>
      </c>
      <c r="BY92" s="12">
        <f>IF('Données projet'!$A$114&gt;35,BY91+BX92-CG91,IF(A92&lt;'Données projet'!$A$114,$BV$205^A92,IF(A92='Données projet'!$A$114,'Données projet'!$B$114,BY91+BX92-CG91)))</f>
        <v>466.23846151249984</v>
      </c>
      <c r="BZ92" s="13">
        <f>BY92*VLOOKUP('Données projet'!$B$12,Paramètres!$A$1:$I$89,3,0)*VLOOKUP('Données projet'!$B$12,Paramètres!$A$1:$I$89,5,0)</f>
        <v>230.32179998717493</v>
      </c>
      <c r="CA92" s="13">
        <f t="shared" si="93"/>
        <v>56.352256549088807</v>
      </c>
      <c r="CB92" s="20">
        <f t="shared" si="64"/>
        <v>499.29064846732598</v>
      </c>
      <c r="CC92" s="59">
        <f t="shared" si="65"/>
        <v>792.62398180065929</v>
      </c>
      <c r="CD92" s="59">
        <f ca="1">AVERAGE(OFFSET($CC$3,0,0,'Données projet'!$E$12+1,1))-AVERAGE(OFFSET($H$3,0,0,'Données projet'!$E$12+1,1))</f>
        <v>246.05217890269194</v>
      </c>
      <c r="CE92" s="59">
        <f t="shared" si="94"/>
        <v>155.54297071424327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74.31513017695498</v>
      </c>
      <c r="CL92" s="21">
        <f>EXP(-LN(2)/25)*CL91+(1-EXP(-LN(2)/25))/(LN(2)/25)*Calculateur!CG92*Calculateur!CI92*VLOOKUP('Données projet'!$B$12,Paramètres!$A$1:$I$89,3,0)*0.475*44/12</f>
        <v>24.194551965232197</v>
      </c>
      <c r="CM92" s="21">
        <f>EXP(-LN(2)/2)*CM91+(1-EXP(-LN(2)/2))/(LN(2)/2)*CG92*CJ92*VLOOKUP('Données projet'!$B$12,Paramètres!$A$1:$I$89,3,0)*0.475*44/12</f>
        <v>0.88138962584441638</v>
      </c>
      <c r="CN92" s="22">
        <f t="shared" si="66"/>
        <v>99.391071768031594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-3.4106051316484809E-13</v>
      </c>
      <c r="CU92" s="17">
        <f>CT92*VLOOKUP('Données projet'!$B$13,Paramètres!$A$1:$I$89,3,0)*VLOOKUP('Données projet'!$B$13,Paramètres!$A$1:$I$89,5,0)</f>
        <v>-2.0395418687257919E-13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237.036496933921</v>
      </c>
      <c r="CZ92" s="59">
        <f t="shared" si="96"/>
        <v>191.04289413665344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119.02473170958014</v>
      </c>
      <c r="DG92" s="21">
        <f>EXP(-LN(2)/25)*DG91+(1-EXP(-LN(2)/25))/(LN(2)/25)*Calculateur!DB92*Calculateur!DD92*VLOOKUP('Données projet'!$B$13,Paramètres!$A$1:$I$89,3,0)*0.475*44/12</f>
        <v>26.956465837905846</v>
      </c>
      <c r="DH92" s="21">
        <f>EXP(-LN(2)/2)*DH91+(1-EXP(-LN(2)/2))/(LN(2)/2)*DB92*DE92*VLOOKUP('Données projet'!$B$13,Paramètres!$A$1:$I$89,3,0)*0.475*44/12</f>
        <v>1.5739102130169471</v>
      </c>
      <c r="DI92" s="22">
        <f t="shared" si="69"/>
        <v>147.55510776050292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5.3805128213333315</v>
      </c>
      <c r="DO92" s="12">
        <f>IF('Données projet'!$A$166&gt;35,DO91+DN92-DW91,IF(A92&lt;'Données projet'!$A$166,$DL$205^A92,IF(A92='Données projet'!$A$166,'Données projet'!$B$166,DO91+DN92-DW91)))</f>
        <v>247.33487177866638</v>
      </c>
      <c r="DP92" s="17">
        <f>DO92*VLOOKUP('Données projet'!$B$14,Paramètres!$A$1:$I$89,3,0)*VLOOKUP('Données projet'!$B$14,Paramètres!$A$1:$I$89,5,0)</f>
        <v>147.90625332364252</v>
      </c>
      <c r="DQ92" s="13">
        <f t="shared" si="97"/>
        <v>38.102385616050476</v>
      </c>
      <c r="DR92" s="20">
        <f t="shared" si="70"/>
        <v>323.9650461532986</v>
      </c>
      <c r="DS92" s="59">
        <f t="shared" si="71"/>
        <v>617.29837948663192</v>
      </c>
      <c r="DT92" s="59">
        <f ca="1">AVERAGE(OFFSET($DS$3,0,0,'Données projet'!$E$14+1,1))-AVERAGE(OFFSET($H$3,0,0,'Données projet'!$E$14+1,1))</f>
        <v>148.22129593028302</v>
      </c>
      <c r="DU92" s="59">
        <f t="shared" si="98"/>
        <v>102.97015482019975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233.89079999999998</v>
      </c>
      <c r="EL92" s="13">
        <f t="shared" si="99"/>
        <v>57.123140349023068</v>
      </c>
      <c r="EM92" s="20">
        <f t="shared" si="73"/>
        <v>506.84927944121517</v>
      </c>
      <c r="EN92" s="59">
        <f t="shared" si="74"/>
        <v>800.18261277454849</v>
      </c>
      <c r="EO92" s="59">
        <f ca="1">AVERAGE(OFFSET($EN$3,0,0,'Données projet'!$E$15+1,1))-AVERAGE(OFFSET($H$3,0,0,'Données projet'!$E$15+1,1))</f>
        <v>278.53123771916404</v>
      </c>
      <c r="EP92" s="59">
        <f t="shared" si="100"/>
        <v>283.79094702030869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28.014651434079678</v>
      </c>
      <c r="EW92" s="21">
        <f>EXP(-LN(2)/25)*EW91+(1-EXP(-LN(2)/25))/(LN(2)/25)*Calculateur!ER92*Calculateur!ET92*VLOOKUP('Données projet'!$B$15,Paramètres!$A$1:$I$89,3,0)*0.475*44/12</f>
        <v>4.395740307746232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32.410391741825912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6.2512820512820522</v>
      </c>
      <c r="FE92" s="12">
        <f>IF('Données projet'!$A$218&gt;35,FE91+FD92-FM91,IF(A92&lt;'Données projet'!$A$218,$FB$205^A92,IF(A92='Données projet'!$A$218,'Données projet'!$B$218,FE91+FD92-FM91)))</f>
        <v>234.98717948717953</v>
      </c>
      <c r="FF92" s="17">
        <f>FE92*VLOOKUP('Données projet'!$B$16,Paramètres!$A$1:$I$89,3,0)*VLOOKUP('Données projet'!$B$16,Paramètres!$A$1:$I$89,5,0)</f>
        <v>212.61640000000003</v>
      </c>
      <c r="FG92" s="13">
        <f t="shared" si="101"/>
        <v>52.506922250744786</v>
      </c>
      <c r="FH92" s="20">
        <f t="shared" si="76"/>
        <v>461.7564529200472</v>
      </c>
      <c r="FI92" s="59">
        <f t="shared" si="77"/>
        <v>755.08978625338045</v>
      </c>
      <c r="FJ92" s="59">
        <f ca="1">AVERAGE(OFFSET($FI$3,0,0,'Données projet'!$E$16+1,1))-AVERAGE(OFFSET($H$3,0,0,'Données projet'!$E$16+1,1))</f>
        <v>335.99493768537013</v>
      </c>
      <c r="FK92" s="59">
        <f t="shared" si="102"/>
        <v>150.85164849522778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12.886133935765857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12.886133935765857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3.4</v>
      </c>
      <c r="FZ92" s="12">
        <f>IF('Données projet'!$A$244&gt;35,FZ91+FY92-GH91,IF(A92&lt;'Données projet'!$A$244,$FW$205^A92,IF(A92='Données projet'!$A$244,'Données projet'!$B$244,FZ91+FY92-GH91)))</f>
        <v>264.59999999999997</v>
      </c>
      <c r="GA92" s="17">
        <f>FZ92*VLOOKUP('Données projet'!$B$17,Paramètres!$A$1:$I$89,3,0)*VLOOKUP('Données projet'!$B$17,Paramètres!$A$1:$I$89,5,0)</f>
        <v>231.15455999999998</v>
      </c>
      <c r="GB92" s="13">
        <f t="shared" si="103"/>
        <v>56.532251598510484</v>
      </c>
      <c r="GC92" s="20">
        <f t="shared" si="79"/>
        <v>501.05453020073901</v>
      </c>
      <c r="GD92" s="59">
        <f t="shared" si="80"/>
        <v>794.38786353407227</v>
      </c>
      <c r="GE92" s="59">
        <f ca="1">AVERAGE(OFFSET($GD$3,0,0,'Données projet'!$E$17+1,1))-AVERAGE(OFFSET($H$3,0,0,'Données projet'!$E$17+1,1))</f>
        <v>319.57811113658374</v>
      </c>
      <c r="GF92" s="59">
        <f t="shared" si="104"/>
        <v>322.03572137403245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31.974295929534613</v>
      </c>
      <c r="GM92" s="21">
        <f>EXP(-LN(2)/25)*GM91+(1-EXP(-LN(2)/25))/(LN(2)/25)*Calculateur!GH92*Calculateur!GJ92*VLOOKUP('Données projet'!$B$17,Paramètres!$A$1:$I$89,3,0)*0.475*44/12</f>
        <v>16.274298034005849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48.248593963540458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5.4683368944097308E-14</v>
      </c>
      <c r="P93" s="13">
        <f t="shared" si="87"/>
        <v>8.8129432816788268E-13</v>
      </c>
      <c r="Q93" s="20">
        <f t="shared" si="54"/>
        <v>1.6301611558033651E-12</v>
      </c>
      <c r="R93" s="59">
        <f t="shared" si="55"/>
        <v>293.33333333333496</v>
      </c>
      <c r="S93" s="59">
        <f ca="1">AVERAGE(OFFSET($R$3,0,0,'Données projet'!$E$9+1,1))-AVERAGE(OFFSET($H$3,0,0,'Données projet'!$E$9+1,1))</f>
        <v>226.41956082453015</v>
      </c>
      <c r="T93" s="59">
        <f t="shared" si="88"/>
        <v>317.95076157570446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277.21794870000002</v>
      </c>
      <c r="AG93" s="12">
        <f>VLOOKUP(A93,'Données projet'!$A$61:$I$81,9,0)</f>
        <v>7.1723646644444505</v>
      </c>
      <c r="AH93" s="12">
        <f t="array" ref="AH93">INDEX(AG:AG,MIN(IF(ISNUMBER(AG93:AG289),ROW(AG93:AG289),"")))</f>
        <v>7.1723646644444505</v>
      </c>
      <c r="AI93" s="13">
        <f>IF('Données projet'!$A$62&gt;35,AI92+AH93-AQ92,IF(A93&lt;'Données projet'!$A$62,$AF$205^A93,IF(A93='Données projet'!$A$62,'Données projet'!$B$62,AI92+AH93-AQ92)))</f>
        <v>277.21794870000025</v>
      </c>
      <c r="AJ93" s="13">
        <f>AI93*VLOOKUP('Données projet'!$B$10,Paramètres!$A$1:$I$89,3,0)*VLOOKUP('Données projet'!$B$10,Paramètres!$A$1:$I$89,5,0)</f>
        <v>237.85299998460025</v>
      </c>
      <c r="AK93" s="13">
        <f t="shared" si="89"/>
        <v>57.977351658942162</v>
      </c>
      <c r="AL93" s="20">
        <f t="shared" si="58"/>
        <v>515.23786244583641</v>
      </c>
      <c r="AM93" s="59">
        <f t="shared" si="59"/>
        <v>808.57119577916978</v>
      </c>
      <c r="AN93" s="59">
        <f ca="1">AVERAGE(OFFSET($AM$3,0,0,'Données projet'!$E$10+1,1))-AVERAGE(OFFSET($H$3,0,0,'Données projet'!$E$10+1,1))</f>
        <v>257.80662231827404</v>
      </c>
      <c r="AO93" s="59">
        <f t="shared" si="90"/>
        <v>184.04558520039876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52.782051279999997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-4.5474735088646412E-13</v>
      </c>
      <c r="BE93" s="13">
        <f>BD93*VLOOKUP('Données projet'!$B$11,Paramètres!$A$1:$I$89,3,0)*VLOOKUP('Données projet'!$B$11,Paramètres!$A$1:$I$89,5,0)</f>
        <v>-2.5420376914553347E-13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300.90952915835157</v>
      </c>
      <c r="BJ93" s="59">
        <f t="shared" si="92"/>
        <v>402.81783992925256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113.32854098088039</v>
      </c>
      <c r="BQ93" s="21">
        <f>EXP(-LN(2)/25)*BQ92+(1-EXP(-LN(2)/25))/(LN(2)/25)*Calculateur!BL93*Calculateur!BN93*VLOOKUP('Données projet'!$B$11,Paramètres!$A$1:$I$89,3,0)*0.475*44/12</f>
        <v>22.063610721871896</v>
      </c>
      <c r="BR93" s="21">
        <f>EXP(-LN(2)/2)*BR92+(1-EXP(-LN(2)/2))/(LN(2)/2)*BL93*BO93*VLOOKUP('Données projet'!$B$11,Paramètres!$A$1:$I$89,3,0)*0.475*44/12</f>
        <v>1.8150096873747627E-4</v>
      </c>
      <c r="BS93" s="22">
        <f t="shared" si="63"/>
        <v>135.39233320372105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12.692307693749996</v>
      </c>
      <c r="BY93" s="12">
        <f>IF('Données projet'!$A$114&gt;35,BY92+BX93-CG92,IF(A93&lt;'Données projet'!$A$114,$BV$205^A93,IF(A93='Données projet'!$A$114,'Données projet'!$B$114,BY92+BX93-CG92)))</f>
        <v>478.93076920624981</v>
      </c>
      <c r="BZ93" s="13">
        <f>BY93*VLOOKUP('Données projet'!$B$12,Paramètres!$A$1:$I$89,3,0)*VLOOKUP('Données projet'!$B$12,Paramètres!$A$1:$I$89,5,0)</f>
        <v>236.59179998788741</v>
      </c>
      <c r="CA93" s="13">
        <f t="shared" si="93"/>
        <v>57.705630363437884</v>
      </c>
      <c r="CB93" s="20">
        <f t="shared" si="64"/>
        <v>512.56802452855823</v>
      </c>
      <c r="CC93" s="59">
        <f t="shared" si="65"/>
        <v>805.90135786189148</v>
      </c>
      <c r="CD93" s="59">
        <f ca="1">AVERAGE(OFFSET($CC$3,0,0,'Données projet'!$E$12+1,1))-AVERAGE(OFFSET($H$3,0,0,'Données projet'!$E$12+1,1))</f>
        <v>246.05217890269194</v>
      </c>
      <c r="CE93" s="59">
        <f t="shared" si="94"/>
        <v>155.54297071424327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72.857855801938555</v>
      </c>
      <c r="CL93" s="21">
        <f>EXP(-LN(2)/25)*CL92+(1-EXP(-LN(2)/25))/(LN(2)/25)*Calculateur!CG93*Calculateur!CI93*VLOOKUP('Données projet'!$B$12,Paramètres!$A$1:$I$89,3,0)*0.475*44/12</f>
        <v>23.532950669406731</v>
      </c>
      <c r="CM93" s="21">
        <f>EXP(-LN(2)/2)*CM92+(1-EXP(-LN(2)/2))/(LN(2)/2)*CG93*CJ93*VLOOKUP('Données projet'!$B$12,Paramètres!$A$1:$I$89,3,0)*0.475*44/12</f>
        <v>0.62323658130206072</v>
      </c>
      <c r="CN93" s="22">
        <f t="shared" si="66"/>
        <v>97.014043052647352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-3.4106051316484809E-13</v>
      </c>
      <c r="CU93" s="17">
        <f>CT93*VLOOKUP('Données projet'!$B$13,Paramètres!$A$1:$I$89,3,0)*VLOOKUP('Données projet'!$B$13,Paramètres!$A$1:$I$89,5,0)</f>
        <v>-2.0395418687257919E-13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237.036496933921</v>
      </c>
      <c r="CZ93" s="59">
        <f t="shared" si="96"/>
        <v>191.04289413665344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116.69072931867316</v>
      </c>
      <c r="DG93" s="21">
        <f>EXP(-LN(2)/25)*DG92+(1-EXP(-LN(2)/25))/(LN(2)/25)*Calculateur!DB93*Calculateur!DD93*VLOOKUP('Données projet'!$B$13,Paramètres!$A$1:$I$89,3,0)*0.475*44/12</f>
        <v>26.219339861989383</v>
      </c>
      <c r="DH93" s="21">
        <f>EXP(-LN(2)/2)*DH92+(1-EXP(-LN(2)/2))/(LN(2)/2)*DB93*DE93*VLOOKUP('Données projet'!$B$13,Paramètres!$A$1:$I$89,3,0)*0.475*44/12</f>
        <v>1.1129225846030468</v>
      </c>
      <c r="DI93" s="22">
        <f t="shared" si="69"/>
        <v>144.0229917652656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252.71538459999999</v>
      </c>
      <c r="DM93" s="12">
        <f>VLOOKUP(A93,'Données projet'!$A$165:$I$185,9,0)</f>
        <v>5.3805128213333315</v>
      </c>
      <c r="DN93" s="12">
        <f t="array" ref="DN93">INDEX(DM:DM,MIN(IF(ISNUMBER(DM93:DM289),ROW(DM93:DM289),"")))</f>
        <v>5.3805128213333315</v>
      </c>
      <c r="DO93" s="12">
        <f>IF('Données projet'!$A$166&gt;35,DO92+DN93-DW92,IF(A93&lt;'Données projet'!$A$166,$DL$205^A93,IF(A93='Données projet'!$A$166,'Données projet'!$B$166,DO92+DN93-DW92)))</f>
        <v>252.71538459999971</v>
      </c>
      <c r="DP93" s="17">
        <f>DO93*VLOOKUP('Données projet'!$B$14,Paramètres!$A$1:$I$89,3,0)*VLOOKUP('Données projet'!$B$14,Paramètres!$A$1:$I$89,5,0)</f>
        <v>151.12379999079982</v>
      </c>
      <c r="DQ93" s="13">
        <f t="shared" si="97"/>
        <v>38.833862152839757</v>
      </c>
      <c r="DR93" s="20">
        <f t="shared" si="70"/>
        <v>330.84292823350557</v>
      </c>
      <c r="DS93" s="59">
        <f t="shared" si="71"/>
        <v>624.17626156683889</v>
      </c>
      <c r="DT93" s="59">
        <f ca="1">AVERAGE(OFFSET($DS$3,0,0,'Données projet'!$E$14+1,1))-AVERAGE(OFFSET($H$3,0,0,'Données projet'!$E$14+1,1))</f>
        <v>148.22129593028302</v>
      </c>
      <c r="DU93" s="59">
        <f t="shared" si="98"/>
        <v>102.97015482019975</v>
      </c>
      <c r="DV93" s="15">
        <f>IF(ISNA(VLOOKUP(A93,'Données projet'!$A$165:$I$185,3,0)),0,VLOOKUP(A93,'Données projet'!$A$165:$I$185,3,0))</f>
        <v>4</v>
      </c>
      <c r="DW93" s="15">
        <f>IF(ISNA(VLOOKUP(A93,'Données projet'!$A$165:$I$185,4,0)),0,VLOOKUP(A93,'Données projet'!$A$165:$I$185,4,0))</f>
        <v>56.623076920000003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233.89079999999998</v>
      </c>
      <c r="EL93" s="13">
        <f t="shared" si="99"/>
        <v>57.123140349023068</v>
      </c>
      <c r="EM93" s="20">
        <f t="shared" si="73"/>
        <v>506.84927944121517</v>
      </c>
      <c r="EN93" s="59">
        <f t="shared" si="74"/>
        <v>800.18261277454849</v>
      </c>
      <c r="EO93" s="59">
        <f ca="1">AVERAGE(OFFSET($EN$3,0,0,'Données projet'!$E$15+1,1))-AVERAGE(OFFSET($H$3,0,0,'Données projet'!$E$15+1,1))</f>
        <v>278.53123771916404</v>
      </c>
      <c r="EP93" s="59">
        <f t="shared" si="100"/>
        <v>283.79094702030869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27.465301206707526</v>
      </c>
      <c r="EW93" s="21">
        <f>EXP(-LN(2)/25)*EW92+(1-EXP(-LN(2)/25))/(LN(2)/25)*Calculateur!ER93*Calculateur!ET93*VLOOKUP('Données projet'!$B$15,Paramètres!$A$1:$I$89,3,0)*0.475*44/12</f>
        <v>4.2755385578689751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31.740839764576499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6.2512820512820522</v>
      </c>
      <c r="FE93" s="12">
        <f>IF('Données projet'!$A$218&gt;35,FE92+FD93-FM92,IF(A93&lt;'Données projet'!$A$218,$FB$205^A93,IF(A93='Données projet'!$A$218,'Données projet'!$B$218,FE92+FD93-FM92)))</f>
        <v>241.23846153846159</v>
      </c>
      <c r="FF93" s="17">
        <f>FE93*VLOOKUP('Données projet'!$B$16,Paramètres!$A$1:$I$89,3,0)*VLOOKUP('Données projet'!$B$16,Paramètres!$A$1:$I$89,5,0)</f>
        <v>218.27256000000003</v>
      </c>
      <c r="FG93" s="13">
        <f t="shared" si="101"/>
        <v>53.739263092310814</v>
      </c>
      <c r="FH93" s="20">
        <f t="shared" si="76"/>
        <v>473.75392521910811</v>
      </c>
      <c r="FI93" s="59">
        <f t="shared" si="77"/>
        <v>767.08725855244143</v>
      </c>
      <c r="FJ93" s="59">
        <f ca="1">AVERAGE(OFFSET($FI$3,0,0,'Données projet'!$E$16+1,1))-AVERAGE(OFFSET($H$3,0,0,'Données projet'!$E$16+1,1))</f>
        <v>335.99493768537013</v>
      </c>
      <c r="FK93" s="59">
        <f t="shared" si="102"/>
        <v>150.85164849522778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12.633444709051101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12.633444709051101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268</v>
      </c>
      <c r="FX93" s="12">
        <f>VLOOKUP(A93,'Données projet'!$A$243:$I$263,9,0)</f>
        <v>3.4</v>
      </c>
      <c r="FY93" s="12">
        <f t="array" ref="FY93">INDEX(FX:FX,MIN(IF(ISNUMBER(FX93:FX289),ROW(FX93:FX289),"")))</f>
        <v>3.4</v>
      </c>
      <c r="FZ93" s="12">
        <f>IF('Données projet'!$A$244&gt;35,FZ92+FY93-GH92,IF(A93&lt;'Données projet'!$A$244,$FW$205^A93,IF(A93='Données projet'!$A$244,'Données projet'!$B$244,FZ92+FY93-GH92)))</f>
        <v>267.99999999999994</v>
      </c>
      <c r="GA93" s="17">
        <f>FZ93*VLOOKUP('Données projet'!$B$17,Paramètres!$A$1:$I$89,3,0)*VLOOKUP('Données projet'!$B$17,Paramètres!$A$1:$I$89,5,0)</f>
        <v>234.12479999999999</v>
      </c>
      <c r="GB93" s="13">
        <f t="shared" si="103"/>
        <v>57.173634982132555</v>
      </c>
      <c r="GC93" s="20">
        <f t="shared" si="79"/>
        <v>507.34477426054747</v>
      </c>
      <c r="GD93" s="59">
        <f t="shared" si="80"/>
        <v>800.67810759388078</v>
      </c>
      <c r="GE93" s="59">
        <f ca="1">AVERAGE(OFFSET($GD$3,0,0,'Données projet'!$E$17+1,1))-AVERAGE(OFFSET($H$3,0,0,'Données projet'!$E$17+1,1))</f>
        <v>319.57811113658374</v>
      </c>
      <c r="GF93" s="59">
        <f t="shared" si="104"/>
        <v>322.03572137403245</v>
      </c>
      <c r="GG93" s="15">
        <f>IF(ISNA(VLOOKUP(A93,'Données projet'!$A$243:$I$263,3,0)),0,VLOOKUP(A93,'Données projet'!$A$243:$I$263,3,0))</f>
        <v>15</v>
      </c>
      <c r="GH93" s="15" t="str">
        <f>IF(ISNA(VLOOKUP(A93,'Données projet'!$A$243:$I$263,4,0)),0,VLOOKUP(A93,'Données projet'!$A$243:$I$263,4,0))</f>
        <v>14</v>
      </c>
      <c r="GI93" s="16">
        <f>IF(ISNA(VLOOKUP(A93,'Données projet'!$A$243:$I$263,5,0)),0%,VLOOKUP(A93,'Données projet'!$A$243:$I$263,5,0)*VLOOKUP('Données projet'!$B$17,Paramètres!$A$1:$I$89,7,0))</f>
        <v>0.34400000000000003</v>
      </c>
      <c r="GJ93" s="16">
        <f>IF(ISNA(VLOOKUP(A93,'Données projet'!$A$243:$I$263,6,0)),0%,VLOOKUP(A93,'Données projet'!$A$243:$I$263,6,0)*VLOOKUP('Données projet'!$B$17,Paramètres!$A$1:$I$89,7,0))</f>
        <v>4.3000000000000003E-2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35.998298144616143</v>
      </c>
      <c r="GM93" s="21">
        <f>EXP(-LN(2)/25)*GM92+(1-EXP(-LN(2)/25))/(LN(2)/25)*Calculateur!GH93*Calculateur!GJ93*VLOOKUP('Données projet'!$B$17,Paramètres!$A$1:$I$89,3,0)*0.475*44/12</f>
        <v>16.408362236186235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52.406660380802379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5.4683368944097308E-14</v>
      </c>
      <c r="P94" s="13">
        <f t="shared" si="87"/>
        <v>8.8129432816788268E-13</v>
      </c>
      <c r="Q94" s="20">
        <f t="shared" si="54"/>
        <v>1.6301611558033651E-12</v>
      </c>
      <c r="R94" s="59">
        <f t="shared" si="55"/>
        <v>293.33333333333496</v>
      </c>
      <c r="S94" s="59">
        <f ca="1">AVERAGE(OFFSET($R$3,0,0,'Données projet'!$E$9+1,1))-AVERAGE(OFFSET($H$3,0,0,'Données projet'!$E$9+1,1))</f>
        <v>226.41956082453015</v>
      </c>
      <c r="T94" s="59">
        <f t="shared" si="88"/>
        <v>317.95076157570446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6.4031339088888863</v>
      </c>
      <c r="AI94" s="13">
        <f>IF('Données projet'!$A$62&gt;35,AI93+AH94-AQ93,IF(A94&lt;'Données projet'!$A$62,$AF$205^A94,IF(A94='Données projet'!$A$62,'Données projet'!$B$62,AI93+AH94-AQ93)))</f>
        <v>230.83903132888915</v>
      </c>
      <c r="AJ94" s="13">
        <f>AI94*VLOOKUP('Données projet'!$B$10,Paramètres!$A$1:$I$89,3,0)*VLOOKUP('Données projet'!$B$10,Paramètres!$A$1:$I$89,5,0)</f>
        <v>198.05988888018692</v>
      </c>
      <c r="AK94" s="13">
        <f t="shared" si="89"/>
        <v>49.317548428048823</v>
      </c>
      <c r="AL94" s="20">
        <f t="shared" si="58"/>
        <v>430.84903664517725</v>
      </c>
      <c r="AM94" s="59">
        <f t="shared" si="59"/>
        <v>724.18236997851056</v>
      </c>
      <c r="AN94" s="59">
        <f ca="1">AVERAGE(OFFSET($AM$3,0,0,'Données projet'!$E$10+1,1))-AVERAGE(OFFSET($H$3,0,0,'Données projet'!$E$10+1,1))</f>
        <v>257.80662231827404</v>
      </c>
      <c r="AO94" s="59">
        <f t="shared" si="90"/>
        <v>184.04558520039876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-4.5474735088646412E-13</v>
      </c>
      <c r="BE94" s="13">
        <f>BD94*VLOOKUP('Données projet'!$B$11,Paramètres!$A$1:$I$89,3,0)*VLOOKUP('Données projet'!$B$11,Paramètres!$A$1:$I$89,5,0)</f>
        <v>-2.5420376914553347E-13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300.90952915835157</v>
      </c>
      <c r="BJ94" s="59">
        <f t="shared" si="92"/>
        <v>402.81783992925256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111.10623741582994</v>
      </c>
      <c r="BQ94" s="21">
        <f>EXP(-LN(2)/25)*BQ93+(1-EXP(-LN(2)/25))/(LN(2)/25)*Calculateur!BL94*Calculateur!BN94*VLOOKUP('Données projet'!$B$11,Paramètres!$A$1:$I$89,3,0)*0.475*44/12</f>
        <v>21.460280126407447</v>
      </c>
      <c r="BR94" s="21">
        <f>EXP(-LN(2)/2)*BR93+(1-EXP(-LN(2)/2))/(LN(2)/2)*BL94*BO94*VLOOKUP('Données projet'!$B$11,Paramètres!$A$1:$I$89,3,0)*0.475*44/12</f>
        <v>1.2834056578619704E-4</v>
      </c>
      <c r="BS94" s="22">
        <f t="shared" si="63"/>
        <v>132.56664588280319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>
        <f>VLOOKUP(A94,'Données projet'!$A$113:$I$133,2,0)</f>
        <v>491.6230769</v>
      </c>
      <c r="BW94" s="12">
        <f>VLOOKUP(A94,'Données projet'!$A$113:$I$133,9,0)</f>
        <v>12.692307693749996</v>
      </c>
      <c r="BX94" s="12">
        <f t="array" ref="BX94">INDEX(BW:BW,MIN(IF(ISNUMBER(BW94:BW290),ROW(BW94:BW290),"")))</f>
        <v>12.692307693749996</v>
      </c>
      <c r="BY94" s="12">
        <f>IF('Données projet'!$A$114&gt;35,BY93+BX94-CG93,IF(A94&lt;'Données projet'!$A$114,$BV$205^A94,IF(A94='Données projet'!$A$114,'Données projet'!$B$114,BY93+BX94-CG93)))</f>
        <v>491.62307689999977</v>
      </c>
      <c r="BZ94" s="13">
        <f>BY94*VLOOKUP('Données projet'!$B$12,Paramètres!$A$1:$I$89,3,0)*VLOOKUP('Données projet'!$B$12,Paramètres!$A$1:$I$89,5,0)</f>
        <v>242.8617999885999</v>
      </c>
      <c r="CA94" s="13">
        <f t="shared" si="93"/>
        <v>59.054835266516065</v>
      </c>
      <c r="CB94" s="20">
        <f t="shared" si="64"/>
        <v>525.83813973599365</v>
      </c>
      <c r="CC94" s="59">
        <f t="shared" si="65"/>
        <v>819.17147306932702</v>
      </c>
      <c r="CD94" s="59">
        <f ca="1">AVERAGE(OFFSET($CC$3,0,0,'Données projet'!$E$12+1,1))-AVERAGE(OFFSET($H$3,0,0,'Données projet'!$E$12+1,1))</f>
        <v>246.05217890269194</v>
      </c>
      <c r="CE94" s="59">
        <f t="shared" si="94"/>
        <v>155.54297071424327</v>
      </c>
      <c r="CF94" s="15">
        <f>IF(ISNA(VLOOKUP(A94,'Données projet'!$A$113:$I$133,3,0)),0,VLOOKUP(A94,'Données projet'!$A$113:$I$133,3,0))</f>
        <v>7</v>
      </c>
      <c r="CG94" s="15">
        <f>IF(ISNA(VLOOKUP(A94,'Données projet'!$A$113:$I$133,4,0)),0,VLOOKUP(A94,'Données projet'!$A$113:$I$133,4,0))</f>
        <v>87.88461538</v>
      </c>
      <c r="CH94" s="16">
        <f>IF(ISNA(VLOOKUP(A94,'Données projet'!$A$113:$I$133,5,0)),0%,VLOOKUP(A94,'Données projet'!$A$113:$I$133,5,0)*VLOOKUP('Données projet'!$B$12,Paramètres!$A$1:$I$89,7,0))</f>
        <v>0.38500000000000001</v>
      </c>
      <c r="CI94" s="16">
        <f>IF(ISNA(VLOOKUP(A94,'Données projet'!$A$113:$I$133,6,0)),0%,VLOOKUP(A94,'Données projet'!$A$113:$I$133,6,0)*VLOOKUP('Données projet'!$B$12,Paramètres!$A$1:$I$89,7,0))</f>
        <v>9.3500000000000014E-2</v>
      </c>
      <c r="CJ94" s="16">
        <f>IF(ISNA(VLOOKUP(A94,'Données projet'!$A$113:$I$133,7,0)),0%,VLOOKUP(A94,'Données projet'!$A$113:$I$133,7,0))</f>
        <v>0.13</v>
      </c>
      <c r="CK94" s="21">
        <f>EXP(-LN(2)/35)*CK93+(1-EXP(-LN(2)/35))/(LN(2)/35)*CG94*CH94*VLOOKUP('Données projet'!$B$12,Paramètres!$A$1:$I$89,3,0)*0.475*44/12</f>
        <v>93.602384083071584</v>
      </c>
      <c r="CL94" s="21">
        <f>EXP(-LN(2)/25)*CL93+(1-EXP(-LN(2)/25))/(LN(2)/25)*Calculateur!CG94*Calculateur!CI94*VLOOKUP('Données projet'!$B$12,Paramètres!$A$1:$I$89,3,0)*0.475*44/12</f>
        <v>28.253164798807418</v>
      </c>
      <c r="CM94" s="21">
        <f>EXP(-LN(2)/2)*CM93+(1-EXP(-LN(2)/2))/(LN(2)/2)*CG94*CJ94*VLOOKUP('Données projet'!$B$12,Paramètres!$A$1:$I$89,3,0)*0.475*44/12</f>
        <v>6.8309572882111116</v>
      </c>
      <c r="CN94" s="22">
        <f t="shared" si="66"/>
        <v>128.68650617009013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-3.4106051316484809E-13</v>
      </c>
      <c r="CU94" s="17">
        <f>CT94*VLOOKUP('Données projet'!$B$13,Paramètres!$A$1:$I$89,3,0)*VLOOKUP('Données projet'!$B$13,Paramètres!$A$1:$I$89,5,0)</f>
        <v>-2.0395418687257919E-13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237.036496933921</v>
      </c>
      <c r="CZ94" s="59">
        <f t="shared" si="96"/>
        <v>191.04289413665344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114.40249529105098</v>
      </c>
      <c r="DG94" s="21">
        <f>EXP(-LN(2)/25)*DG93+(1-EXP(-LN(2)/25))/(LN(2)/25)*Calculateur!DB94*Calculateur!DD94*VLOOKUP('Données projet'!$B$13,Paramètres!$A$1:$I$89,3,0)*0.475*44/12</f>
        <v>25.502370634648123</v>
      </c>
      <c r="DH94" s="21">
        <f>EXP(-LN(2)/2)*DH93+(1-EXP(-LN(2)/2))/(LN(2)/2)*DB94*DE94*VLOOKUP('Données projet'!$B$13,Paramètres!$A$1:$I$89,3,0)*0.475*44/12</f>
        <v>0.78695510650847356</v>
      </c>
      <c r="DI94" s="22">
        <f t="shared" si="69"/>
        <v>140.6918210322076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5.1538461520000025</v>
      </c>
      <c r="DO94" s="12">
        <f>IF('Données projet'!$A$166&gt;35,DO93+DN94-DW93,IF(A94&lt;'Données projet'!$A$166,$DL$205^A94,IF(A94='Données projet'!$A$166,'Données projet'!$B$166,DO93+DN94-DW93)))</f>
        <v>201.24615383199972</v>
      </c>
      <c r="DP94" s="17">
        <f>DO94*VLOOKUP('Données projet'!$B$14,Paramètres!$A$1:$I$89,3,0)*VLOOKUP('Données projet'!$B$14,Paramètres!$A$1:$I$89,5,0)</f>
        <v>120.34519999153584</v>
      </c>
      <c r="DQ94" s="13">
        <f t="shared" si="97"/>
        <v>31.755498058211234</v>
      </c>
      <c r="DR94" s="20">
        <f t="shared" si="70"/>
        <v>264.9087157699762</v>
      </c>
      <c r="DS94" s="59">
        <f t="shared" si="71"/>
        <v>558.24204910330945</v>
      </c>
      <c r="DT94" s="59">
        <f ca="1">AVERAGE(OFFSET($DS$3,0,0,'Données projet'!$E$14+1,1))-AVERAGE(OFFSET($H$3,0,0,'Données projet'!$E$14+1,1))</f>
        <v>148.22129593028302</v>
      </c>
      <c r="DU94" s="59">
        <f t="shared" si="98"/>
        <v>102.97015482019975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233.89079999999998</v>
      </c>
      <c r="EL94" s="13">
        <f t="shared" si="99"/>
        <v>57.123140349023068</v>
      </c>
      <c r="EM94" s="20">
        <f t="shared" si="73"/>
        <v>506.84927944121517</v>
      </c>
      <c r="EN94" s="59">
        <f t="shared" si="74"/>
        <v>800.18261277454849</v>
      </c>
      <c r="EO94" s="59">
        <f ca="1">AVERAGE(OFFSET($EN$3,0,0,'Données projet'!$E$15+1,1))-AVERAGE(OFFSET($H$3,0,0,'Données projet'!$E$15+1,1))</f>
        <v>278.53123771916404</v>
      </c>
      <c r="EP94" s="59">
        <f t="shared" si="100"/>
        <v>283.79094702030869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26.926723402223587</v>
      </c>
      <c r="EW94" s="21">
        <f>EXP(-LN(2)/25)*EW93+(1-EXP(-LN(2)/25))/(LN(2)/25)*Calculateur!ER94*Calculateur!ET94*VLOOKUP('Données projet'!$B$15,Paramètres!$A$1:$I$89,3,0)*0.475*44/12</f>
        <v>4.1586237311632468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31.085347133386833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6.2512820512820522</v>
      </c>
      <c r="FE94" s="12">
        <f>IF('Données projet'!$A$218&gt;35,FE93+FD94-FM93,IF(A94&lt;'Données projet'!$A$218,$FB$205^A94,IF(A94='Données projet'!$A$218,'Données projet'!$B$218,FE93+FD94-FM93)))</f>
        <v>247.48974358974365</v>
      </c>
      <c r="FF94" s="17">
        <f>FE94*VLOOKUP('Données projet'!$B$16,Paramètres!$A$1:$I$89,3,0)*VLOOKUP('Données projet'!$B$16,Paramètres!$A$1:$I$89,5,0)</f>
        <v>223.92872000000003</v>
      </c>
      <c r="FG94" s="13">
        <f t="shared" si="101"/>
        <v>54.967891977057093</v>
      </c>
      <c r="FH94" s="20">
        <f t="shared" si="76"/>
        <v>485.74493252670771</v>
      </c>
      <c r="FI94" s="59">
        <f t="shared" si="77"/>
        <v>779.07826586004103</v>
      </c>
      <c r="FJ94" s="59">
        <f ca="1">AVERAGE(OFFSET($FI$3,0,0,'Données projet'!$E$16+1,1))-AVERAGE(OFFSET($H$3,0,0,'Données projet'!$E$16+1,1))</f>
        <v>335.99493768537013</v>
      </c>
      <c r="FK94" s="59">
        <f t="shared" si="102"/>
        <v>150.85164849522778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12.385710563947013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12.385710563947013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3.2</v>
      </c>
      <c r="FZ94" s="12">
        <f>IF('Données projet'!$A$244&gt;35,FZ93+FY94-GH93,IF(A94&lt;'Données projet'!$A$244,$FW$205^A94,IF(A94='Données projet'!$A$244,'Données projet'!$B$244,FZ93+FY94-GH93)))</f>
        <v>257.19999999999993</v>
      </c>
      <c r="GA94" s="17">
        <f>FZ94*VLOOKUP('Données projet'!$B$17,Paramètres!$A$1:$I$89,3,0)*VLOOKUP('Données projet'!$B$17,Paramètres!$A$1:$I$89,5,0)</f>
        <v>224.68991999999997</v>
      </c>
      <c r="GB94" s="13">
        <f t="shared" si="103"/>
        <v>55.132961900876232</v>
      </c>
      <c r="GC94" s="20">
        <f t="shared" si="79"/>
        <v>487.35818597735943</v>
      </c>
      <c r="GD94" s="59">
        <f t="shared" si="80"/>
        <v>780.69151931069268</v>
      </c>
      <c r="GE94" s="59">
        <f ca="1">AVERAGE(OFFSET($GD$3,0,0,'Données projet'!$E$17+1,1))-AVERAGE(OFFSET($H$3,0,0,'Données projet'!$E$17+1,1))</f>
        <v>319.57811113658374</v>
      </c>
      <c r="GF94" s="59">
        <f t="shared" si="104"/>
        <v>322.03572137403245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35.292393474794032</v>
      </c>
      <c r="GM94" s="21">
        <f>EXP(-LN(2)/25)*GM93+(1-EXP(-LN(2)/25))/(LN(2)/25)*Calculateur!GH94*Calculateur!GJ94*VLOOKUP('Données projet'!$B$17,Paramètres!$A$1:$I$89,3,0)*0.475*44/12</f>
        <v>15.959674707959454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51.25206818275349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5.4683368944097308E-14</v>
      </c>
      <c r="P95" s="13">
        <f t="shared" si="87"/>
        <v>8.8129432816788268E-13</v>
      </c>
      <c r="Q95" s="20">
        <f t="shared" si="54"/>
        <v>1.6301611558033651E-12</v>
      </c>
      <c r="R95" s="59">
        <f t="shared" si="55"/>
        <v>293.33333333333496</v>
      </c>
      <c r="S95" s="59">
        <f ca="1">AVERAGE(OFFSET($R$3,0,0,'Données projet'!$E$9+1,1))-AVERAGE(OFFSET($H$3,0,0,'Données projet'!$E$9+1,1))</f>
        <v>226.41956082453015</v>
      </c>
      <c r="T95" s="59">
        <f t="shared" si="88"/>
        <v>317.95076157570446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6.4031339088888863</v>
      </c>
      <c r="AI95" s="13">
        <f>IF('Données projet'!$A$62&gt;35,AI94+AH95-AQ94,IF(A95&lt;'Données projet'!$A$62,$AF$205^A95,IF(A95='Données projet'!$A$62,'Données projet'!$B$62,AI94+AH95-AQ94)))</f>
        <v>237.24216523777804</v>
      </c>
      <c r="AJ95" s="13">
        <f>AI95*VLOOKUP('Données projet'!$B$10,Paramètres!$A$1:$I$89,3,0)*VLOOKUP('Données projet'!$B$10,Paramètres!$A$1:$I$89,5,0)</f>
        <v>203.55377777401358</v>
      </c>
      <c r="AK95" s="13">
        <f t="shared" si="89"/>
        <v>50.524378125163594</v>
      </c>
      <c r="AL95" s="20">
        <f t="shared" si="58"/>
        <v>442.51945485773354</v>
      </c>
      <c r="AM95" s="59">
        <f t="shared" si="59"/>
        <v>735.85278819106679</v>
      </c>
      <c r="AN95" s="59">
        <f ca="1">AVERAGE(OFFSET($AM$3,0,0,'Données projet'!$E$10+1,1))-AVERAGE(OFFSET($H$3,0,0,'Données projet'!$E$10+1,1))</f>
        <v>257.80662231827404</v>
      </c>
      <c r="AO95" s="59">
        <f t="shared" si="90"/>
        <v>184.04558520039876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-4.5474735088646412E-13</v>
      </c>
      <c r="BE95" s="13">
        <f>BD95*VLOOKUP('Données projet'!$B$11,Paramètres!$A$1:$I$89,3,0)*VLOOKUP('Données projet'!$B$11,Paramètres!$A$1:$I$89,5,0)</f>
        <v>-2.5420376914553347E-13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300.90952915835157</v>
      </c>
      <c r="BJ95" s="59">
        <f t="shared" si="92"/>
        <v>402.81783992925256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108.92751186821879</v>
      </c>
      <c r="BQ95" s="21">
        <f>EXP(-LN(2)/25)*BQ94+(1-EXP(-LN(2)/25))/(LN(2)/25)*Calculateur!BL95*Calculateur!BN95*VLOOKUP('Données projet'!$B$11,Paramètres!$A$1:$I$89,3,0)*0.475*44/12</f>
        <v>20.873447637803753</v>
      </c>
      <c r="BR95" s="21">
        <f>EXP(-LN(2)/2)*BR94+(1-EXP(-LN(2)/2))/(LN(2)/2)*BL95*BO95*VLOOKUP('Données projet'!$B$11,Paramètres!$A$1:$I$89,3,0)*0.475*44/12</f>
        <v>9.0750484368738135E-5</v>
      </c>
      <c r="BS95" s="22">
        <f t="shared" si="63"/>
        <v>129.8010502565069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11.344230772500005</v>
      </c>
      <c r="BY95" s="12">
        <f>IF('Données projet'!$A$114&gt;35,BY94+BX95-CG94,IF(A95&lt;'Données projet'!$A$114,$BV$205^A95,IF(A95='Données projet'!$A$114,'Données projet'!$B$114,BY94+BX95-CG94)))</f>
        <v>415.08269229249976</v>
      </c>
      <c r="BZ95" s="13">
        <f>BY95*VLOOKUP('Données projet'!$B$12,Paramètres!$A$1:$I$89,3,0)*VLOOKUP('Données projet'!$B$12,Paramètres!$A$1:$I$89,5,0)</f>
        <v>205.0508499924949</v>
      </c>
      <c r="CA95" s="13">
        <f t="shared" si="93"/>
        <v>50.852575300588128</v>
      </c>
      <c r="CB95" s="20">
        <f t="shared" si="64"/>
        <v>445.69846571878628</v>
      </c>
      <c r="CC95" s="59">
        <f t="shared" si="65"/>
        <v>739.0317990521196</v>
      </c>
      <c r="CD95" s="59">
        <f ca="1">AVERAGE(OFFSET($CC$3,0,0,'Données projet'!$E$12+1,1))-AVERAGE(OFFSET($H$3,0,0,'Données projet'!$E$12+1,1))</f>
        <v>246.05217890269194</v>
      </c>
      <c r="CE95" s="59">
        <f t="shared" si="94"/>
        <v>155.54297071424327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91.766898423019498</v>
      </c>
      <c r="CL95" s="21">
        <f>EXP(-LN(2)/25)*CL94+(1-EXP(-LN(2)/25))/(LN(2)/25)*Calculateur!CG95*Calculateur!CI95*VLOOKUP('Données projet'!$B$12,Paramètres!$A$1:$I$89,3,0)*0.475*44/12</f>
        <v>27.480580521614666</v>
      </c>
      <c r="CM95" s="21">
        <f>EXP(-LN(2)/2)*CM94+(1-EXP(-LN(2)/2))/(LN(2)/2)*CG95*CJ95*VLOOKUP('Données projet'!$B$12,Paramètres!$A$1:$I$89,3,0)*0.475*44/12</f>
        <v>4.8302162204897465</v>
      </c>
      <c r="CN95" s="22">
        <f t="shared" si="66"/>
        <v>124.07769516512391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-3.4106051316484809E-13</v>
      </c>
      <c r="CU95" s="17">
        <f>CT95*VLOOKUP('Données projet'!$B$13,Paramètres!$A$1:$I$89,3,0)*VLOOKUP('Données projet'!$B$13,Paramètres!$A$1:$I$89,5,0)</f>
        <v>-2.0395418687257919E-13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237.036496933921</v>
      </c>
      <c r="CZ95" s="59">
        <f t="shared" si="96"/>
        <v>191.04289413665344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112.15913213702554</v>
      </c>
      <c r="DG95" s="21">
        <f>EXP(-LN(2)/25)*DG94+(1-EXP(-LN(2)/25))/(LN(2)/25)*Calculateur!DB95*Calculateur!DD95*VLOOKUP('Données projet'!$B$13,Paramètres!$A$1:$I$89,3,0)*0.475*44/12</f>
        <v>24.805006968532286</v>
      </c>
      <c r="DH95" s="21">
        <f>EXP(-LN(2)/2)*DH94+(1-EXP(-LN(2)/2))/(LN(2)/2)*DB95*DE95*VLOOKUP('Données projet'!$B$13,Paramètres!$A$1:$I$89,3,0)*0.475*44/12</f>
        <v>0.55646129230152341</v>
      </c>
      <c r="DI95" s="22">
        <f t="shared" si="69"/>
        <v>137.52060039785934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5.1538461520000025</v>
      </c>
      <c r="DO95" s="12">
        <f>IF('Données projet'!$A$166&gt;35,DO94+DN95-DW94,IF(A95&lt;'Données projet'!$A$166,$DL$205^A95,IF(A95='Données projet'!$A$166,'Données projet'!$B$166,DO94+DN95-DW94)))</f>
        <v>206.39999998399972</v>
      </c>
      <c r="DP95" s="17">
        <f>DO95*VLOOKUP('Données projet'!$B$14,Paramètres!$A$1:$I$89,3,0)*VLOOKUP('Données projet'!$B$14,Paramètres!$A$1:$I$89,5,0)</f>
        <v>123.42719999043184</v>
      </c>
      <c r="DQ95" s="13">
        <f t="shared" si="97"/>
        <v>32.473022668897762</v>
      </c>
      <c r="DR95" s="20">
        <f t="shared" si="70"/>
        <v>271.52622113166575</v>
      </c>
      <c r="DS95" s="59">
        <f t="shared" si="71"/>
        <v>564.85955446499906</v>
      </c>
      <c r="DT95" s="59">
        <f ca="1">AVERAGE(OFFSET($DS$3,0,0,'Données projet'!$E$14+1,1))-AVERAGE(OFFSET($H$3,0,0,'Données projet'!$E$14+1,1))</f>
        <v>148.22129593028302</v>
      </c>
      <c r="DU95" s="59">
        <f t="shared" si="98"/>
        <v>102.97015482019975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233.89079999999998</v>
      </c>
      <c r="EL95" s="13">
        <f t="shared" si="99"/>
        <v>57.123140349023068</v>
      </c>
      <c r="EM95" s="20">
        <f t="shared" si="73"/>
        <v>506.84927944121517</v>
      </c>
      <c r="EN95" s="59">
        <f t="shared" si="74"/>
        <v>800.18261277454849</v>
      </c>
      <c r="EO95" s="59">
        <f ca="1">AVERAGE(OFFSET($EN$3,0,0,'Données projet'!$E$15+1,1))-AVERAGE(OFFSET($H$3,0,0,'Données projet'!$E$15+1,1))</f>
        <v>278.53123771916404</v>
      </c>
      <c r="EP95" s="59">
        <f t="shared" si="100"/>
        <v>283.79094702030869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26.398706779985552</v>
      </c>
      <c r="EW95" s="21">
        <f>EXP(-LN(2)/25)*EW94+(1-EXP(-LN(2)/25))/(LN(2)/25)*Calculateur!ER95*Calculateur!ET95*VLOOKUP('Données projet'!$B$15,Paramètres!$A$1:$I$89,3,0)*0.475*44/12</f>
        <v>4.0449059465420705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30.443612726527622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6.2512820512820522</v>
      </c>
      <c r="FE95" s="12">
        <f>IF('Données projet'!$A$218&gt;35,FE94+FD95-FM94,IF(A95&lt;'Données projet'!$A$218,$FB$205^A95,IF(A95='Données projet'!$A$218,'Données projet'!$B$218,FE94+FD95-FM94)))</f>
        <v>253.74102564102571</v>
      </c>
      <c r="FF95" s="17">
        <f>FE95*VLOOKUP('Données projet'!$B$16,Paramètres!$A$1:$I$89,3,0)*VLOOKUP('Données projet'!$B$16,Paramètres!$A$1:$I$89,5,0)</f>
        <v>229.58488000000003</v>
      </c>
      <c r="FG95" s="13">
        <f t="shared" si="101"/>
        <v>56.192913446740498</v>
      </c>
      <c r="FH95" s="20">
        <f t="shared" si="76"/>
        <v>497.72965691973968</v>
      </c>
      <c r="FI95" s="59">
        <f t="shared" si="77"/>
        <v>791.06299025307294</v>
      </c>
      <c r="FJ95" s="59">
        <f ca="1">AVERAGE(OFFSET($FI$3,0,0,'Données projet'!$E$16+1,1))-AVERAGE(OFFSET($H$3,0,0,'Données projet'!$E$16+1,1))</f>
        <v>335.99493768537013</v>
      </c>
      <c r="FK95" s="59">
        <f t="shared" si="102"/>
        <v>150.85164849522778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12.142834334325508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12.142834334325508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3.2</v>
      </c>
      <c r="FZ95" s="12">
        <f>IF('Données projet'!$A$244&gt;35,FZ94+FY95-GH94,IF(A95&lt;'Données projet'!$A$244,$FW$205^A95,IF(A95='Données projet'!$A$244,'Données projet'!$B$244,FZ94+FY95-GH94)))</f>
        <v>260.39999999999992</v>
      </c>
      <c r="GA95" s="17">
        <f>FZ95*VLOOKUP('Données projet'!$B$17,Paramètres!$A$1:$I$89,3,0)*VLOOKUP('Données projet'!$B$17,Paramètres!$A$1:$I$89,5,0)</f>
        <v>227.48543999999993</v>
      </c>
      <c r="GB95" s="13">
        <f t="shared" si="103"/>
        <v>55.738627496252377</v>
      </c>
      <c r="GC95" s="20">
        <f t="shared" si="79"/>
        <v>493.28191755597277</v>
      </c>
      <c r="GD95" s="59">
        <f t="shared" si="80"/>
        <v>786.61525088930603</v>
      </c>
      <c r="GE95" s="59">
        <f ca="1">AVERAGE(OFFSET($GD$3,0,0,'Données projet'!$E$17+1,1))-AVERAGE(OFFSET($H$3,0,0,'Données projet'!$E$17+1,1))</f>
        <v>319.57811113658374</v>
      </c>
      <c r="GF95" s="59">
        <f t="shared" si="104"/>
        <v>322.03572137403245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34.6003311649878</v>
      </c>
      <c r="GM95" s="21">
        <f>EXP(-LN(2)/25)*GM94+(1-EXP(-LN(2)/25))/(LN(2)/25)*Calculateur!GH95*Calculateur!GJ95*VLOOKUP('Données projet'!$B$17,Paramètres!$A$1:$I$89,3,0)*0.475*44/12</f>
        <v>15.523256563787486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50.123587728775284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5.4683368944097308E-14</v>
      </c>
      <c r="P96" s="13">
        <f t="shared" si="87"/>
        <v>8.8129432816788268E-13</v>
      </c>
      <c r="Q96" s="20">
        <f t="shared" si="54"/>
        <v>1.6301611558033651E-12</v>
      </c>
      <c r="R96" s="59">
        <f t="shared" si="55"/>
        <v>293.33333333333496</v>
      </c>
      <c r="S96" s="59">
        <f ca="1">AVERAGE(OFFSET($R$3,0,0,'Données projet'!$E$9+1,1))-AVERAGE(OFFSET($H$3,0,0,'Données projet'!$E$9+1,1))</f>
        <v>226.41956082453015</v>
      </c>
      <c r="T96" s="59">
        <f t="shared" si="88"/>
        <v>317.95076157570446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6.4031339088888863</v>
      </c>
      <c r="AI96" s="13">
        <f>IF('Données projet'!$A$62&gt;35,AI95+AH96-AQ95,IF(A96&lt;'Données projet'!$A$62,$AF$205^A96,IF(A96='Données projet'!$A$62,'Données projet'!$B$62,AI95+AH96-AQ95)))</f>
        <v>243.64529914666693</v>
      </c>
      <c r="AJ96" s="13">
        <f>AI96*VLOOKUP('Données projet'!$B$10,Paramètres!$A$1:$I$89,3,0)*VLOOKUP('Données projet'!$B$10,Paramètres!$A$1:$I$89,5,0)</f>
        <v>209.04766666784022</v>
      </c>
      <c r="AK96" s="13">
        <f t="shared" si="89"/>
        <v>51.727421885300238</v>
      </c>
      <c r="AL96" s="20">
        <f t="shared" si="58"/>
        <v>454.1832792300529</v>
      </c>
      <c r="AM96" s="59">
        <f t="shared" si="59"/>
        <v>747.51661256338616</v>
      </c>
      <c r="AN96" s="59">
        <f ca="1">AVERAGE(OFFSET($AM$3,0,0,'Données projet'!$E$10+1,1))-AVERAGE(OFFSET($H$3,0,0,'Données projet'!$E$10+1,1))</f>
        <v>257.80662231827404</v>
      </c>
      <c r="AO96" s="59">
        <f t="shared" si="90"/>
        <v>184.04558520039876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-4.5474735088646412E-13</v>
      </c>
      <c r="BE96" s="13">
        <f>BD96*VLOOKUP('Données projet'!$B$11,Paramètres!$A$1:$I$89,3,0)*VLOOKUP('Données projet'!$B$11,Paramètres!$A$1:$I$89,5,0)</f>
        <v>-2.5420376914553347E-13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300.90952915835157</v>
      </c>
      <c r="BJ96" s="59">
        <f t="shared" si="92"/>
        <v>402.81783992925256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106.79150979970493</v>
      </c>
      <c r="BQ96" s="21">
        <f>EXP(-LN(2)/25)*BQ95+(1-EXP(-LN(2)/25))/(LN(2)/25)*Calculateur!BL96*Calculateur!BN96*VLOOKUP('Données projet'!$B$11,Paramètres!$A$1:$I$89,3,0)*0.475*44/12</f>
        <v>20.302662114461107</v>
      </c>
      <c r="BR96" s="21">
        <f>EXP(-LN(2)/2)*BR95+(1-EXP(-LN(2)/2))/(LN(2)/2)*BL96*BO96*VLOOKUP('Données projet'!$B$11,Paramètres!$A$1:$I$89,3,0)*0.475*44/12</f>
        <v>6.4170282893098518E-5</v>
      </c>
      <c r="BS96" s="22">
        <f t="shared" si="63"/>
        <v>127.09423608444892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11.344230772500005</v>
      </c>
      <c r="BY96" s="12">
        <f>IF('Données projet'!$A$114&gt;35,BY95+BX96-CG95,IF(A96&lt;'Données projet'!$A$114,$BV$205^A96,IF(A96='Données projet'!$A$114,'Données projet'!$B$114,BY95+BX96-CG95)))</f>
        <v>426.42692306499976</v>
      </c>
      <c r="BZ96" s="13">
        <f>BY96*VLOOKUP('Données projet'!$B$12,Paramètres!$A$1:$I$89,3,0)*VLOOKUP('Données projet'!$B$12,Paramètres!$A$1:$I$89,5,0)</f>
        <v>210.65489999410991</v>
      </c>
      <c r="CA96" s="13">
        <f t="shared" si="93"/>
        <v>52.078671879179403</v>
      </c>
      <c r="CB96" s="20">
        <f t="shared" si="64"/>
        <v>457.59430434597886</v>
      </c>
      <c r="CC96" s="59">
        <f t="shared" si="65"/>
        <v>750.92763767931217</v>
      </c>
      <c r="CD96" s="59">
        <f ca="1">AVERAGE(OFFSET($CC$3,0,0,'Données projet'!$E$12+1,1))-AVERAGE(OFFSET($H$3,0,0,'Données projet'!$E$12+1,1))</f>
        <v>246.05217890269194</v>
      </c>
      <c r="CE96" s="59">
        <f t="shared" si="94"/>
        <v>155.54297071424327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89.967405517225316</v>
      </c>
      <c r="CL96" s="21">
        <f>EXP(-LN(2)/25)*CL95+(1-EXP(-LN(2)/25))/(LN(2)/25)*Calculateur!CG96*Calculateur!CI96*VLOOKUP('Données projet'!$B$12,Paramètres!$A$1:$I$89,3,0)*0.475*44/12</f>
        <v>26.729122602110191</v>
      </c>
      <c r="CM96" s="21">
        <f>EXP(-LN(2)/2)*CM95+(1-EXP(-LN(2)/2))/(LN(2)/2)*CG96*CJ96*VLOOKUP('Données projet'!$B$12,Paramètres!$A$1:$I$89,3,0)*0.475*44/12</f>
        <v>3.4154786441055562</v>
      </c>
      <c r="CN96" s="22">
        <f t="shared" si="66"/>
        <v>120.11200676344107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-3.4106051316484809E-13</v>
      </c>
      <c r="CU96" s="17">
        <f>CT96*VLOOKUP('Données projet'!$B$13,Paramètres!$A$1:$I$89,3,0)*VLOOKUP('Données projet'!$B$13,Paramètres!$A$1:$I$89,5,0)</f>
        <v>-2.0395418687257919E-13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237.036496933921</v>
      </c>
      <c r="CZ96" s="59">
        <f t="shared" si="96"/>
        <v>191.04289413665344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109.95975996613411</v>
      </c>
      <c r="DG96" s="21">
        <f>EXP(-LN(2)/25)*DG95+(1-EXP(-LN(2)/25))/(LN(2)/25)*Calculateur!DB96*Calculateur!DD96*VLOOKUP('Données projet'!$B$13,Paramètres!$A$1:$I$89,3,0)*0.475*44/12</f>
        <v>24.126712748539148</v>
      </c>
      <c r="DH96" s="21">
        <f>EXP(-LN(2)/2)*DH95+(1-EXP(-LN(2)/2))/(LN(2)/2)*DB96*DE96*VLOOKUP('Données projet'!$B$13,Paramètres!$A$1:$I$89,3,0)*0.475*44/12</f>
        <v>0.39347755325423678</v>
      </c>
      <c r="DI96" s="22">
        <f t="shared" si="69"/>
        <v>134.47995026792751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5.1538461520000025</v>
      </c>
      <c r="DO96" s="12">
        <f>IF('Données projet'!$A$166&gt;35,DO95+DN96-DW95,IF(A96&lt;'Données projet'!$A$166,$DL$205^A96,IF(A96='Données projet'!$A$166,'Données projet'!$B$166,DO95+DN96-DW95)))</f>
        <v>211.55384613599972</v>
      </c>
      <c r="DP96" s="17">
        <f>DO96*VLOOKUP('Données projet'!$B$14,Paramètres!$A$1:$I$89,3,0)*VLOOKUP('Données projet'!$B$14,Paramètres!$A$1:$I$89,5,0)</f>
        <v>126.50919998932784</v>
      </c>
      <c r="DQ96" s="13">
        <f t="shared" si="97"/>
        <v>33.188464572253864</v>
      </c>
      <c r="DR96" s="20">
        <f t="shared" si="70"/>
        <v>278.14009911142142</v>
      </c>
      <c r="DS96" s="59">
        <f t="shared" si="71"/>
        <v>571.47343244475474</v>
      </c>
      <c r="DT96" s="59">
        <f ca="1">AVERAGE(OFFSET($DS$3,0,0,'Données projet'!$E$14+1,1))-AVERAGE(OFFSET($H$3,0,0,'Données projet'!$E$14+1,1))</f>
        <v>148.22129593028302</v>
      </c>
      <c r="DU96" s="59">
        <f t="shared" si="98"/>
        <v>102.97015482019975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233.89079999999998</v>
      </c>
      <c r="EL96" s="13">
        <f t="shared" si="99"/>
        <v>57.123140349023068</v>
      </c>
      <c r="EM96" s="20">
        <f t="shared" si="73"/>
        <v>506.84927944121517</v>
      </c>
      <c r="EN96" s="59">
        <f t="shared" si="74"/>
        <v>800.18261277454849</v>
      </c>
      <c r="EO96" s="59">
        <f ca="1">AVERAGE(OFFSET($EN$3,0,0,'Données projet'!$E$15+1,1))-AVERAGE(OFFSET($H$3,0,0,'Données projet'!$E$15+1,1))</f>
        <v>278.53123771916404</v>
      </c>
      <c r="EP96" s="59">
        <f t="shared" si="100"/>
        <v>283.79094702030869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25.881044241651267</v>
      </c>
      <c r="EW96" s="21">
        <f>EXP(-LN(2)/25)*EW95+(1-EXP(-LN(2)/25))/(LN(2)/25)*Calculateur!ER96*Calculateur!ET96*VLOOKUP('Données projet'!$B$15,Paramètres!$A$1:$I$89,3,0)*0.475*44/12</f>
        <v>3.9342977807215185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29.815342022372786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6.2512820512820522</v>
      </c>
      <c r="FE96" s="12">
        <f>IF('Données projet'!$A$218&gt;35,FE95+FD96-FM95,IF(A96&lt;'Données projet'!$A$218,$FB$205^A96,IF(A96='Données projet'!$A$218,'Données projet'!$B$218,FE95+FD96-FM95)))</f>
        <v>259.99230769230775</v>
      </c>
      <c r="FF96" s="17">
        <f>FE96*VLOOKUP('Données projet'!$B$16,Paramètres!$A$1:$I$89,3,0)*VLOOKUP('Données projet'!$B$16,Paramètres!$A$1:$I$89,5,0)</f>
        <v>235.24104000000005</v>
      </c>
      <c r="FG96" s="13">
        <f t="shared" si="101"/>
        <v>57.414426598394883</v>
      </c>
      <c r="FH96" s="20">
        <f t="shared" si="76"/>
        <v>509.70827099220446</v>
      </c>
      <c r="FI96" s="59">
        <f t="shared" si="77"/>
        <v>803.04160432553772</v>
      </c>
      <c r="FJ96" s="59">
        <f ca="1">AVERAGE(OFFSET($FI$3,0,0,'Données projet'!$E$16+1,1))-AVERAGE(OFFSET($H$3,0,0,'Données projet'!$E$16+1,1))</f>
        <v>335.99493768537013</v>
      </c>
      <c r="FK96" s="59">
        <f t="shared" si="102"/>
        <v>150.85164849522778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11.904720759427008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11.904720759427008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3.2</v>
      </c>
      <c r="FZ96" s="12">
        <f>IF('Données projet'!$A$244&gt;35,FZ95+FY96-GH95,IF(A96&lt;'Données projet'!$A$244,$FW$205^A96,IF(A96='Données projet'!$A$244,'Données projet'!$B$244,FZ95+FY96-GH95)))</f>
        <v>263.59999999999991</v>
      </c>
      <c r="GA96" s="17">
        <f>FZ96*VLOOKUP('Données projet'!$B$17,Paramètres!$A$1:$I$89,3,0)*VLOOKUP('Données projet'!$B$17,Paramètres!$A$1:$I$89,5,0)</f>
        <v>230.28095999999994</v>
      </c>
      <c r="GB96" s="13">
        <f t="shared" si="103"/>
        <v>56.343427334913351</v>
      </c>
      <c r="GC96" s="20">
        <f t="shared" si="79"/>
        <v>499.20414127497389</v>
      </c>
      <c r="GD96" s="59">
        <f t="shared" si="80"/>
        <v>792.53747460830721</v>
      </c>
      <c r="GE96" s="59">
        <f ca="1">AVERAGE(OFFSET($GD$3,0,0,'Données projet'!$E$17+1,1))-AVERAGE(OFFSET($H$3,0,0,'Données projet'!$E$17+1,1))</f>
        <v>319.57811113658374</v>
      </c>
      <c r="GF96" s="59">
        <f t="shared" si="104"/>
        <v>322.03572137403245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33.921839774960539</v>
      </c>
      <c r="GM96" s="21">
        <f>EXP(-LN(2)/25)*GM95+(1-EXP(-LN(2)/25))/(LN(2)/25)*Calculateur!GH96*Calculateur!GJ96*VLOOKUP('Données projet'!$B$17,Paramètres!$A$1:$I$89,3,0)*0.475*44/12</f>
        <v>15.098772296718133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49.02061207167867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5.4683368944097308E-14</v>
      </c>
      <c r="P97" s="13">
        <f t="shared" si="87"/>
        <v>8.8129432816788268E-13</v>
      </c>
      <c r="Q97" s="20">
        <f t="shared" si="54"/>
        <v>1.6301611558033651E-12</v>
      </c>
      <c r="R97" s="59">
        <f t="shared" si="55"/>
        <v>293.33333333333496</v>
      </c>
      <c r="S97" s="59">
        <f ca="1">AVERAGE(OFFSET($R$3,0,0,'Données projet'!$E$9+1,1))-AVERAGE(OFFSET($H$3,0,0,'Données projet'!$E$9+1,1))</f>
        <v>226.41956082453015</v>
      </c>
      <c r="T97" s="59">
        <f t="shared" si="88"/>
        <v>317.95076157570446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6.4031339088888863</v>
      </c>
      <c r="AI97" s="13">
        <f>IF('Données projet'!$A$62&gt;35,AI96+AH97-AQ96,IF(A97&lt;'Données projet'!$A$62,$AF$205^A97,IF(A97='Données projet'!$A$62,'Données projet'!$B$62,AI96+AH97-AQ96)))</f>
        <v>250.04843305555582</v>
      </c>
      <c r="AJ97" s="13">
        <f>AI97*VLOOKUP('Données projet'!$B$10,Paramètres!$A$1:$I$89,3,0)*VLOOKUP('Données projet'!$B$10,Paramètres!$A$1:$I$89,5,0)</f>
        <v>214.54155556166694</v>
      </c>
      <c r="AK97" s="13">
        <f t="shared" si="89"/>
        <v>52.926790642508642</v>
      </c>
      <c r="AL97" s="20">
        <f t="shared" si="58"/>
        <v>465.84070297227248</v>
      </c>
      <c r="AM97" s="59">
        <f t="shared" si="59"/>
        <v>759.1740363056058</v>
      </c>
      <c r="AN97" s="59">
        <f ca="1">AVERAGE(OFFSET($AM$3,0,0,'Données projet'!$E$10+1,1))-AVERAGE(OFFSET($H$3,0,0,'Données projet'!$E$10+1,1))</f>
        <v>257.80662231827404</v>
      </c>
      <c r="AO97" s="59">
        <f t="shared" si="90"/>
        <v>184.04558520039876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-4.5474735088646412E-13</v>
      </c>
      <c r="BE97" s="13">
        <f>BD97*VLOOKUP('Données projet'!$B$11,Paramètres!$A$1:$I$89,3,0)*VLOOKUP('Données projet'!$B$11,Paramètres!$A$1:$I$89,5,0)</f>
        <v>-2.5420376914553347E-13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300.90952915835157</v>
      </c>
      <c r="BJ97" s="59">
        <f t="shared" si="92"/>
        <v>402.81783992925256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104.69739342892201</v>
      </c>
      <c r="BQ97" s="21">
        <f>EXP(-LN(2)/25)*BQ96+(1-EXP(-LN(2)/25))/(LN(2)/25)*Calculateur!BL97*Calculateur!BN97*VLOOKUP('Données projet'!$B$11,Paramètres!$A$1:$I$89,3,0)*0.475*44/12</f>
        <v>19.747484751270569</v>
      </c>
      <c r="BR97" s="21">
        <f>EXP(-LN(2)/2)*BR96+(1-EXP(-LN(2)/2))/(LN(2)/2)*BL97*BO97*VLOOKUP('Données projet'!$B$11,Paramètres!$A$1:$I$89,3,0)*0.475*44/12</f>
        <v>4.5375242184369068E-5</v>
      </c>
      <c r="BS97" s="22">
        <f t="shared" si="63"/>
        <v>124.44492355543476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11.344230772500005</v>
      </c>
      <c r="BY97" s="12">
        <f>IF('Données projet'!$A$114&gt;35,BY96+BX97-CG96,IF(A97&lt;'Données projet'!$A$114,$BV$205^A97,IF(A97='Données projet'!$A$114,'Données projet'!$B$114,BY96+BX97-CG96)))</f>
        <v>437.77115383749975</v>
      </c>
      <c r="BZ97" s="13">
        <f>BY97*VLOOKUP('Données projet'!$B$12,Paramètres!$A$1:$I$89,3,0)*VLOOKUP('Données projet'!$B$12,Paramètres!$A$1:$I$89,5,0)</f>
        <v>216.25894999572486</v>
      </c>
      <c r="CA97" s="13">
        <f t="shared" si="93"/>
        <v>53.300977141703392</v>
      </c>
      <c r="CB97" s="20">
        <f t="shared" si="64"/>
        <v>469.48353976435419</v>
      </c>
      <c r="CC97" s="59">
        <f t="shared" si="65"/>
        <v>762.81687309768745</v>
      </c>
      <c r="CD97" s="59">
        <f ca="1">AVERAGE(OFFSET($CC$3,0,0,'Données projet'!$E$12+1,1))-AVERAGE(OFFSET($H$3,0,0,'Données projet'!$E$12+1,1))</f>
        <v>246.05217890269194</v>
      </c>
      <c r="CE97" s="59">
        <f t="shared" si="94"/>
        <v>155.54297071424327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88.203199569731467</v>
      </c>
      <c r="CL97" s="21">
        <f>EXP(-LN(2)/25)*CL96+(1-EXP(-LN(2)/25))/(LN(2)/25)*Calculateur!CG97*Calculateur!CI97*VLOOKUP('Données projet'!$B$12,Paramètres!$A$1:$I$89,3,0)*0.475*44/12</f>
        <v>25.998213338932022</v>
      </c>
      <c r="CM97" s="21">
        <f>EXP(-LN(2)/2)*CM96+(1-EXP(-LN(2)/2))/(LN(2)/2)*CG97*CJ97*VLOOKUP('Données projet'!$B$12,Paramètres!$A$1:$I$89,3,0)*0.475*44/12</f>
        <v>2.4151081102448737</v>
      </c>
      <c r="CN97" s="22">
        <f t="shared" si="66"/>
        <v>116.61652101890836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-3.4106051316484809E-13</v>
      </c>
      <c r="CU97" s="17">
        <f>CT97*VLOOKUP('Données projet'!$B$13,Paramètres!$A$1:$I$89,3,0)*VLOOKUP('Données projet'!$B$13,Paramètres!$A$1:$I$89,5,0)</f>
        <v>-2.0395418687257919E-13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237.036496933921</v>
      </c>
      <c r="CZ97" s="59">
        <f t="shared" si="96"/>
        <v>191.04289413665344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107.80351614202931</v>
      </c>
      <c r="DG97" s="21">
        <f>EXP(-LN(2)/25)*DG96+(1-EXP(-LN(2)/25))/(LN(2)/25)*Calculateur!DB97*Calculateur!DD97*VLOOKUP('Données projet'!$B$13,Paramètres!$A$1:$I$89,3,0)*0.475*44/12</f>
        <v>23.466966519661664</v>
      </c>
      <c r="DH97" s="21">
        <f>EXP(-LN(2)/2)*DH96+(1-EXP(-LN(2)/2))/(LN(2)/2)*DB97*DE97*VLOOKUP('Données projet'!$B$13,Paramètres!$A$1:$I$89,3,0)*0.475*44/12</f>
        <v>0.27823064615076171</v>
      </c>
      <c r="DI97" s="22">
        <f t="shared" si="69"/>
        <v>131.54871330784175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5.1538461520000025</v>
      </c>
      <c r="DO97" s="12">
        <f>IF('Données projet'!$A$166&gt;35,DO96+DN97-DW96,IF(A97&lt;'Données projet'!$A$166,$DL$205^A97,IF(A97='Données projet'!$A$166,'Données projet'!$B$166,DO96+DN97-DW96)))</f>
        <v>216.70769228799972</v>
      </c>
      <c r="DP97" s="17">
        <f>DO97*VLOOKUP('Données projet'!$B$14,Paramètres!$A$1:$I$89,3,0)*VLOOKUP('Données projet'!$B$14,Paramètres!$A$1:$I$89,5,0)</f>
        <v>129.59119998822385</v>
      </c>
      <c r="DQ97" s="13">
        <f t="shared" si="97"/>
        <v>33.901880343970092</v>
      </c>
      <c r="DR97" s="20">
        <f t="shared" si="70"/>
        <v>284.75044824523775</v>
      </c>
      <c r="DS97" s="59">
        <f t="shared" si="71"/>
        <v>578.08378157857101</v>
      </c>
      <c r="DT97" s="59">
        <f ca="1">AVERAGE(OFFSET($DS$3,0,0,'Données projet'!$E$14+1,1))-AVERAGE(OFFSET($H$3,0,0,'Données projet'!$E$14+1,1))</f>
        <v>148.22129593028302</v>
      </c>
      <c r="DU97" s="59">
        <f t="shared" si="98"/>
        <v>102.97015482019975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233.89079999999998</v>
      </c>
      <c r="EL97" s="13">
        <f t="shared" si="99"/>
        <v>57.123140349023068</v>
      </c>
      <c r="EM97" s="20">
        <f t="shared" si="73"/>
        <v>506.84927944121517</v>
      </c>
      <c r="EN97" s="59">
        <f t="shared" si="74"/>
        <v>800.18261277454849</v>
      </c>
      <c r="EO97" s="59">
        <f ca="1">AVERAGE(OFFSET($EN$3,0,0,'Données projet'!$E$15+1,1))-AVERAGE(OFFSET($H$3,0,0,'Données projet'!$E$15+1,1))</f>
        <v>278.53123771916404</v>
      </c>
      <c r="EP97" s="59">
        <f t="shared" si="100"/>
        <v>283.79094702030869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25.373532749950748</v>
      </c>
      <c r="EW97" s="21">
        <f>EXP(-LN(2)/25)*EW96+(1-EXP(-LN(2)/25))/(LN(2)/25)*Calculateur!ER97*Calculateur!ET97*VLOOKUP('Données projet'!$B$15,Paramètres!$A$1:$I$89,3,0)*0.475*44/12</f>
        <v>3.8267142010119604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29.200246950962708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>
        <f>VLOOKUP(A97,'Données projet'!$A$217:$I$237,2,0)</f>
        <v>266.24358974358972</v>
      </c>
      <c r="FC97" s="12">
        <f>VLOOKUP(A97,'Données projet'!$A$217:$I$237,9,0)</f>
        <v>6.2512820512820522</v>
      </c>
      <c r="FD97" s="12">
        <f t="array" ref="FD97">INDEX(FC:FC,MIN(IF(ISNUMBER(FC97:FC293),ROW(FC97:FC293),"")))</f>
        <v>6.2512820512820522</v>
      </c>
      <c r="FE97" s="12">
        <f>IF('Données projet'!$A$218&gt;35,FE96+FD97-FM96,IF(A97&lt;'Données projet'!$A$218,$FB$205^A97,IF(A97='Données projet'!$A$218,'Données projet'!$B$218,FE96+FD97-FM96)))</f>
        <v>266.24358974358978</v>
      </c>
      <c r="FF97" s="17">
        <f>FE97*VLOOKUP('Données projet'!$B$16,Paramètres!$A$1:$I$89,3,0)*VLOOKUP('Données projet'!$B$16,Paramètres!$A$1:$I$89,5,0)</f>
        <v>240.8972</v>
      </c>
      <c r="FG97" s="13">
        <f t="shared" si="101"/>
        <v>58.632525491897368</v>
      </c>
      <c r="FH97" s="20">
        <f t="shared" si="76"/>
        <v>521.68093856505448</v>
      </c>
      <c r="FI97" s="59">
        <f t="shared" si="77"/>
        <v>815.01427189838773</v>
      </c>
      <c r="FJ97" s="59">
        <f ca="1">AVERAGE(OFFSET($FI$3,0,0,'Données projet'!$E$16+1,1))-AVERAGE(OFFSET($H$3,0,0,'Données projet'!$E$16+1,1))</f>
        <v>335.99493768537013</v>
      </c>
      <c r="FK97" s="59">
        <f t="shared" si="102"/>
        <v>150.85164849522778</v>
      </c>
      <c r="FL97" s="15">
        <f>IF(ISNA(VLOOKUP(A97,'Données projet'!$A$217:$I$237,3,0)),0,VLOOKUP(A97,'Données projet'!$A$217:$I$237,3,0))</f>
        <v>7</v>
      </c>
      <c r="FM97" s="15">
        <f>IF(ISNA(VLOOKUP(A97,'Données projet'!$A$217:$I$237,4,0)),0,VLOOKUP(A97,'Données projet'!$A$217:$I$237,4,0))</f>
        <v>47.243589743589745</v>
      </c>
      <c r="FN97" s="16">
        <f>IF(ISNA(VLOOKUP(A97,'Données projet'!$A$217:$I$237,5,0)),0%,VLOOKUP(A97,'Données projet'!$A$217:$I$237,5,0)*VLOOKUP('Données projet'!$B$16,Paramètres!$A$1:$I$89,7,0))</f>
        <v>0.30099999999999999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25.894861936395486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25.894861936395486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3.2</v>
      </c>
      <c r="FZ97" s="12">
        <f>IF('Données projet'!$A$244&gt;35,FZ96+FY97-GH96,IF(A97&lt;'Données projet'!$A$244,$FW$205^A97,IF(A97='Données projet'!$A$244,'Données projet'!$B$244,FZ96+FY97-GH96)))</f>
        <v>266.7999999999999</v>
      </c>
      <c r="GA97" s="17">
        <f>FZ97*VLOOKUP('Données projet'!$B$17,Paramètres!$A$1:$I$89,3,0)*VLOOKUP('Données projet'!$B$17,Paramètres!$A$1:$I$89,5,0)</f>
        <v>233.07647999999995</v>
      </c>
      <c r="GB97" s="13">
        <f t="shared" si="103"/>
        <v>56.947373142454879</v>
      </c>
      <c r="GC97" s="20">
        <f t="shared" si="79"/>
        <v>505.12487755644207</v>
      </c>
      <c r="GD97" s="59">
        <f t="shared" si="80"/>
        <v>798.45821088977539</v>
      </c>
      <c r="GE97" s="59">
        <f ca="1">AVERAGE(OFFSET($GD$3,0,0,'Données projet'!$E$17+1,1))-AVERAGE(OFFSET($H$3,0,0,'Données projet'!$E$17+1,1))</f>
        <v>319.57811113658374</v>
      </c>
      <c r="GF97" s="59">
        <f t="shared" si="104"/>
        <v>322.03572137403245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33.25665318725283</v>
      </c>
      <c r="GM97" s="21">
        <f>EXP(-LN(2)/25)*GM96+(1-EXP(-LN(2)/25))/(LN(2)/25)*Calculateur!GH97*Calculateur!GJ97*VLOOKUP('Données projet'!$B$17,Paramètres!$A$1:$I$89,3,0)*0.475*44/12</f>
        <v>14.685895574254449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47.942548761507283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5.4683368944097308E-14</v>
      </c>
      <c r="P98" s="13">
        <f t="shared" si="87"/>
        <v>8.8129432816788268E-13</v>
      </c>
      <c r="Q98" s="20">
        <f t="shared" si="54"/>
        <v>1.6301611558033651E-12</v>
      </c>
      <c r="R98" s="59">
        <f t="shared" si="55"/>
        <v>293.33333333333496</v>
      </c>
      <c r="S98" s="59">
        <f ca="1">AVERAGE(OFFSET($R$3,0,0,'Données projet'!$E$9+1,1))-AVERAGE(OFFSET($H$3,0,0,'Données projet'!$E$9+1,1))</f>
        <v>226.41956082453015</v>
      </c>
      <c r="T98" s="59">
        <f t="shared" si="88"/>
        <v>317.95076157570446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6.4031339088888863</v>
      </c>
      <c r="AI98" s="13">
        <f>IF('Données projet'!$A$62&gt;35,AI97+AH98-AQ97,IF(A98&lt;'Données projet'!$A$62,$AF$205^A98,IF(A98='Données projet'!$A$62,'Données projet'!$B$62,AI97+AH98-AQ97)))</f>
        <v>256.45156696444468</v>
      </c>
      <c r="AJ98" s="13">
        <f>AI98*VLOOKUP('Données projet'!$B$10,Paramètres!$A$1:$I$89,3,0)*VLOOKUP('Données projet'!$B$10,Paramètres!$A$1:$I$89,5,0)</f>
        <v>220.03544445549355</v>
      </c>
      <c r="AK98" s="13">
        <f t="shared" si="89"/>
        <v>54.122589325642871</v>
      </c>
      <c r="AL98" s="20">
        <f t="shared" si="58"/>
        <v>477.49190883547925</v>
      </c>
      <c r="AM98" s="59">
        <f t="shared" si="59"/>
        <v>770.82524216881257</v>
      </c>
      <c r="AN98" s="59">
        <f ca="1">AVERAGE(OFFSET($AM$3,0,0,'Données projet'!$E$10+1,1))-AVERAGE(OFFSET($H$3,0,0,'Données projet'!$E$10+1,1))</f>
        <v>257.80662231827404</v>
      </c>
      <c r="AO98" s="59">
        <f t="shared" si="90"/>
        <v>184.04558520039876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-4.5474735088646412E-13</v>
      </c>
      <c r="BE98" s="13">
        <f>BD98*VLOOKUP('Données projet'!$B$11,Paramètres!$A$1:$I$89,3,0)*VLOOKUP('Données projet'!$B$11,Paramètres!$A$1:$I$89,5,0)</f>
        <v>-2.5420376914553347E-13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300.90952915835157</v>
      </c>
      <c r="BJ98" s="59">
        <f t="shared" si="92"/>
        <v>402.81783992925256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102.64434140288527</v>
      </c>
      <c r="BQ98" s="21">
        <f>EXP(-LN(2)/25)*BQ97+(1-EXP(-LN(2)/25))/(LN(2)/25)*Calculateur!BL98*Calculateur!BN98*VLOOKUP('Données projet'!$B$11,Paramètres!$A$1:$I$89,3,0)*0.475*44/12</f>
        <v>19.207488742271988</v>
      </c>
      <c r="BR98" s="21">
        <f>EXP(-LN(2)/2)*BR97+(1-EXP(-LN(2)/2))/(LN(2)/2)*BL98*BO98*VLOOKUP('Données projet'!$B$11,Paramètres!$A$1:$I$89,3,0)*0.475*44/12</f>
        <v>3.2085141446549259E-5</v>
      </c>
      <c r="BS98" s="22">
        <f t="shared" si="63"/>
        <v>121.85186223029871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11.344230772500005</v>
      </c>
      <c r="BY98" s="12">
        <f>IF('Données projet'!$A$114&gt;35,BY97+BX98-CG97,IF(A98&lt;'Données projet'!$A$114,$BV$205^A98,IF(A98='Données projet'!$A$114,'Données projet'!$B$114,BY97+BX98-CG97)))</f>
        <v>449.11538460999975</v>
      </c>
      <c r="BZ98" s="13">
        <f>BY98*VLOOKUP('Données projet'!$B$12,Paramètres!$A$1:$I$89,3,0)*VLOOKUP('Données projet'!$B$12,Paramètres!$A$1:$I$89,5,0)</f>
        <v>221.86299999733987</v>
      </c>
      <c r="CA98" s="13">
        <f t="shared" si="93"/>
        <v>54.5196006303171</v>
      </c>
      <c r="CB98" s="20">
        <f t="shared" si="64"/>
        <v>481.36636275983591</v>
      </c>
      <c r="CC98" s="59">
        <f t="shared" si="65"/>
        <v>774.69969609316922</v>
      </c>
      <c r="CD98" s="59">
        <f ca="1">AVERAGE(OFFSET($CC$3,0,0,'Données projet'!$E$12+1,1))-AVERAGE(OFFSET($H$3,0,0,'Données projet'!$E$12+1,1))</f>
        <v>246.05217890269194</v>
      </c>
      <c r="CE98" s="59">
        <f t="shared" si="94"/>
        <v>155.54297071424327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86.473588624808599</v>
      </c>
      <c r="CL98" s="21">
        <f>EXP(-LN(2)/25)*CL97+(1-EXP(-LN(2)/25))/(LN(2)/25)*Calculateur!CG98*Calculateur!CI98*VLOOKUP('Données projet'!$B$12,Paramètres!$A$1:$I$89,3,0)*0.475*44/12</f>
        <v>25.287290827992305</v>
      </c>
      <c r="CM98" s="21">
        <f>EXP(-LN(2)/2)*CM97+(1-EXP(-LN(2)/2))/(LN(2)/2)*CG98*CJ98*VLOOKUP('Données projet'!$B$12,Paramètres!$A$1:$I$89,3,0)*0.475*44/12</f>
        <v>1.7077393220527783</v>
      </c>
      <c r="CN98" s="22">
        <f t="shared" si="66"/>
        <v>113.46861877485368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-3.4106051316484809E-13</v>
      </c>
      <c r="CU98" s="17">
        <f>CT98*VLOOKUP('Données projet'!$B$13,Paramètres!$A$1:$I$89,3,0)*VLOOKUP('Données projet'!$B$13,Paramètres!$A$1:$I$89,5,0)</f>
        <v>-2.0395418687257919E-13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237.036496933921</v>
      </c>
      <c r="CZ98" s="59">
        <f t="shared" si="96"/>
        <v>191.04289413665344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105.68955494413633</v>
      </c>
      <c r="DG98" s="21">
        <f>EXP(-LN(2)/25)*DG97+(1-EXP(-LN(2)/25))/(LN(2)/25)*Calculateur!DB98*Calculateur!DD98*VLOOKUP('Données projet'!$B$13,Paramètres!$A$1:$I$89,3,0)*0.475*44/12</f>
        <v>22.825261086107382</v>
      </c>
      <c r="DH98" s="21">
        <f>EXP(-LN(2)/2)*DH97+(1-EXP(-LN(2)/2))/(LN(2)/2)*DB98*DE98*VLOOKUP('Données projet'!$B$13,Paramètres!$A$1:$I$89,3,0)*0.475*44/12</f>
        <v>0.19673877662711839</v>
      </c>
      <c r="DI98" s="22">
        <f t="shared" si="69"/>
        <v>128.71155480687082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5.1538461520000025</v>
      </c>
      <c r="DO98" s="12">
        <f>IF('Données projet'!$A$166&gt;35,DO97+DN98-DW97,IF(A98&lt;'Données projet'!$A$166,$DL$205^A98,IF(A98='Données projet'!$A$166,'Données projet'!$B$166,DO97+DN98-DW97)))</f>
        <v>221.86153843999972</v>
      </c>
      <c r="DP98" s="17">
        <f>DO98*VLOOKUP('Données projet'!$B$14,Paramètres!$A$1:$I$89,3,0)*VLOOKUP('Données projet'!$B$14,Paramètres!$A$1:$I$89,5,0)</f>
        <v>132.67319998711983</v>
      </c>
      <c r="DQ98" s="13">
        <f t="shared" si="97"/>
        <v>34.613323715229789</v>
      </c>
      <c r="DR98" s="20">
        <f t="shared" si="70"/>
        <v>291.35736211492559</v>
      </c>
      <c r="DS98" s="59">
        <f t="shared" si="71"/>
        <v>584.69069544825891</v>
      </c>
      <c r="DT98" s="59">
        <f ca="1">AVERAGE(OFFSET($DS$3,0,0,'Données projet'!$E$14+1,1))-AVERAGE(OFFSET($H$3,0,0,'Données projet'!$E$14+1,1))</f>
        <v>148.22129593028302</v>
      </c>
      <c r="DU98" s="59">
        <f t="shared" si="98"/>
        <v>102.97015482019975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233.89079999999998</v>
      </c>
      <c r="EL98" s="13">
        <f t="shared" si="99"/>
        <v>57.123140349023068</v>
      </c>
      <c r="EM98" s="20">
        <f t="shared" si="73"/>
        <v>506.84927944121517</v>
      </c>
      <c r="EN98" s="59">
        <f t="shared" si="74"/>
        <v>800.18261277454849</v>
      </c>
      <c r="EO98" s="59">
        <f ca="1">AVERAGE(OFFSET($EN$3,0,0,'Données projet'!$E$15+1,1))-AVERAGE(OFFSET($H$3,0,0,'Données projet'!$E$15+1,1))</f>
        <v>278.53123771916404</v>
      </c>
      <c r="EP98" s="59">
        <f t="shared" si="100"/>
        <v>283.79094702030869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24.875973249051032</v>
      </c>
      <c r="EW98" s="21">
        <f>EXP(-LN(2)/25)*EW97+(1-EXP(-LN(2)/25))/(LN(2)/25)*Calculateur!ER98*Calculateur!ET98*VLOOKUP('Données projet'!$B$15,Paramètres!$A$1:$I$89,3,0)*0.475*44/12</f>
        <v>3.7220724999471346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28.598045748998167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6.071794871794876</v>
      </c>
      <c r="FE98" s="12">
        <f>IF('Données projet'!$A$218&gt;35,FE97+FD98-FM97,IF(A98&lt;'Données projet'!$A$218,$FB$205^A98,IF(A98='Données projet'!$A$218,'Données projet'!$B$218,FE97+FD98-FM97)))</f>
        <v>225.07179487179488</v>
      </c>
      <c r="FF98" s="17">
        <f>FE98*VLOOKUP('Données projet'!$B$16,Paramètres!$A$1:$I$89,3,0)*VLOOKUP('Données projet'!$B$16,Paramètres!$A$1:$I$89,5,0)</f>
        <v>203.64496</v>
      </c>
      <c r="FG98" s="13">
        <f t="shared" si="101"/>
        <v>50.544375656527151</v>
      </c>
      <c r="FH98" s="20">
        <f t="shared" si="76"/>
        <v>442.71309293511808</v>
      </c>
      <c r="FI98" s="59">
        <f t="shared" si="77"/>
        <v>736.04642626845134</v>
      </c>
      <c r="FJ98" s="59">
        <f ca="1">AVERAGE(OFFSET($FI$3,0,0,'Données projet'!$E$16+1,1))-AVERAGE(OFFSET($H$3,0,0,'Données projet'!$E$16+1,1))</f>
        <v>335.99493768537013</v>
      </c>
      <c r="FK98" s="59">
        <f t="shared" si="102"/>
        <v>150.85164849522778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25.387079488128993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25.387079488128993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270</v>
      </c>
      <c r="FX98" s="12">
        <f>VLOOKUP(A98,'Données projet'!$A$243:$I$263,9,0)</f>
        <v>3.2</v>
      </c>
      <c r="FY98" s="12">
        <f t="array" ref="FY98">INDEX(FX:FX,MIN(IF(ISNUMBER(FX98:FX294),ROW(FX98:FX294),"")))</f>
        <v>3.2</v>
      </c>
      <c r="FZ98" s="12">
        <f>IF('Données projet'!$A$244&gt;35,FZ97+FY98-GH97,IF(A98&lt;'Données projet'!$A$244,$FW$205^A98,IF(A98='Données projet'!$A$244,'Données projet'!$B$244,FZ97+FY98-GH97)))</f>
        <v>269.99999999999989</v>
      </c>
      <c r="GA98" s="17">
        <f>FZ98*VLOOKUP('Données projet'!$B$17,Paramètres!$A$1:$I$89,3,0)*VLOOKUP('Données projet'!$B$17,Paramètres!$A$1:$I$89,5,0)</f>
        <v>235.87199999999996</v>
      </c>
      <c r="GB98" s="13">
        <f t="shared" si="103"/>
        <v>57.550476347015277</v>
      </c>
      <c r="GC98" s="20">
        <f t="shared" si="79"/>
        <v>511.04414630438487</v>
      </c>
      <c r="GD98" s="59">
        <f t="shared" si="80"/>
        <v>804.37747963771812</v>
      </c>
      <c r="GE98" s="59">
        <f ca="1">AVERAGE(OFFSET($GD$3,0,0,'Données projet'!$E$17+1,1))-AVERAGE(OFFSET($H$3,0,0,'Données projet'!$E$17+1,1))</f>
        <v>319.57811113658374</v>
      </c>
      <c r="GF98" s="59">
        <f t="shared" si="104"/>
        <v>322.03572137403245</v>
      </c>
      <c r="GG98" s="15">
        <f>IF(ISNA(VLOOKUP(A98,'Données projet'!$A$243:$I$263,3,0)),0,VLOOKUP(A98,'Données projet'!$A$243:$I$263,3,0))</f>
        <v>16</v>
      </c>
      <c r="GH98" s="15" t="str">
        <f>IF(ISNA(VLOOKUP(A98,'Données projet'!$A$243:$I$263,4,0)),0,VLOOKUP(A98,'Données projet'!$A$243:$I$263,4,0))</f>
        <v>13</v>
      </c>
      <c r="GI98" s="16">
        <f>IF(ISNA(VLOOKUP(A98,'Données projet'!$A$243:$I$263,5,0)),0%,VLOOKUP(A98,'Données projet'!$A$243:$I$263,5,0)*VLOOKUP('Données projet'!$B$17,Paramètres!$A$1:$I$89,7,0))</f>
        <v>0.34400000000000003</v>
      </c>
      <c r="GJ98" s="16">
        <f>IF(ISNA(VLOOKUP(A98,'Données projet'!$A$243:$I$263,6,0)),0%,VLOOKUP(A98,'Données projet'!$A$243:$I$263,6,0)*VLOOKUP('Données projet'!$B$17,Paramètres!$A$1:$I$89,7,0))</f>
        <v>4.3000000000000003E-2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36.923294968966566</v>
      </c>
      <c r="GM98" s="21">
        <f>EXP(-LN(2)/25)*GM97+(1-EXP(-LN(2)/25))/(LN(2)/25)*Calculateur!GH98*Calculateur!GJ98*VLOOKUP('Données projet'!$B$17,Paramètres!$A$1:$I$89,3,0)*0.475*44/12</f>
        <v>14.822031458245164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51.745326427211729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5.4683368944097308E-14</v>
      </c>
      <c r="P99" s="13">
        <f t="shared" si="87"/>
        <v>8.8129432816788268E-13</v>
      </c>
      <c r="Q99" s="20">
        <f t="shared" ref="Q99:Q130" si="107">(O99+P99)*0.475*44/12</f>
        <v>1.6301611558033651E-12</v>
      </c>
      <c r="R99" s="59">
        <f t="shared" si="55"/>
        <v>293.33333333333496</v>
      </c>
      <c r="S99" s="59">
        <f ca="1">AVERAGE(OFFSET($R$3,0,0,'Données projet'!$E$9+1,1))-AVERAGE(OFFSET($H$3,0,0,'Données projet'!$E$9+1,1))</f>
        <v>226.41956082453015</v>
      </c>
      <c r="T99" s="59">
        <f t="shared" si="88"/>
        <v>317.95076157570446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6.4031339088888863</v>
      </c>
      <c r="AI99" s="13">
        <f>IF('Données projet'!$A$62&gt;35,AI98+AH99-AQ98,IF(A99&lt;'Données projet'!$A$62,$AF$205^A99,IF(A99='Données projet'!$A$62,'Données projet'!$B$62,AI98+AH99-AQ98)))</f>
        <v>262.85470087333357</v>
      </c>
      <c r="AJ99" s="13">
        <f>AI99*VLOOKUP('Données projet'!$B$10,Paramètres!$A$1:$I$89,3,0)*VLOOKUP('Données projet'!$B$10,Paramètres!$A$1:$I$89,5,0)</f>
        <v>225.52933334932024</v>
      </c>
      <c r="AK99" s="13">
        <f t="shared" si="89"/>
        <v>55.314917325147889</v>
      </c>
      <c r="AL99" s="20">
        <f t="shared" si="58"/>
        <v>489.13706992469861</v>
      </c>
      <c r="AM99" s="59">
        <f t="shared" si="59"/>
        <v>782.47040325803187</v>
      </c>
      <c r="AN99" s="59">
        <f ca="1">AVERAGE(OFFSET($AM$3,0,0,'Données projet'!$E$10+1,1))-AVERAGE(OFFSET($H$3,0,0,'Données projet'!$E$10+1,1))</f>
        <v>257.80662231827404</v>
      </c>
      <c r="AO99" s="59">
        <f t="shared" si="90"/>
        <v>184.04558520039876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-4.5474735088646412E-13</v>
      </c>
      <c r="BE99" s="13">
        <f>BD99*VLOOKUP('Données projet'!$B$11,Paramètres!$A$1:$I$89,3,0)*VLOOKUP('Données projet'!$B$11,Paramètres!$A$1:$I$89,5,0)</f>
        <v>-2.5420376914553347E-13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300.90952915835157</v>
      </c>
      <c r="BJ99" s="59">
        <f t="shared" si="92"/>
        <v>402.81783992925256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100.63154847484104</v>
      </c>
      <c r="BQ99" s="21">
        <f>EXP(-LN(2)/25)*BQ98+(1-EXP(-LN(2)/25))/(LN(2)/25)*Calculateur!BL99*Calculateur!BN99*VLOOKUP('Données projet'!$B$11,Paramètres!$A$1:$I$89,3,0)*0.475*44/12</f>
        <v>18.682258952536625</v>
      </c>
      <c r="BR99" s="21">
        <f>EXP(-LN(2)/2)*BR98+(1-EXP(-LN(2)/2))/(LN(2)/2)*BL99*BO99*VLOOKUP('Données projet'!$B$11,Paramètres!$A$1:$I$89,3,0)*0.475*44/12</f>
        <v>2.2687621092184534E-5</v>
      </c>
      <c r="BS99" s="22">
        <f t="shared" si="63"/>
        <v>119.31383011499877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11.344230772500005</v>
      </c>
      <c r="BY99" s="12">
        <f>IF('Données projet'!$A$114&gt;35,BY98+BX99-CG98,IF(A99&lt;'Données projet'!$A$114,$BV$205^A99,IF(A99='Données projet'!$A$114,'Données projet'!$B$114,BY98+BX99-CG98)))</f>
        <v>460.45961538249975</v>
      </c>
      <c r="BZ99" s="13">
        <f>BY99*VLOOKUP('Données projet'!$B$12,Paramètres!$A$1:$I$89,3,0)*VLOOKUP('Données projet'!$B$12,Paramètres!$A$1:$I$89,5,0)</f>
        <v>227.46704999895488</v>
      </c>
      <c r="CA99" s="13">
        <f t="shared" si="93"/>
        <v>55.73464603796868</v>
      </c>
      <c r="CB99" s="20">
        <f t="shared" si="64"/>
        <v>493.24295393097515</v>
      </c>
      <c r="CC99" s="59">
        <f t="shared" si="65"/>
        <v>786.57628726430846</v>
      </c>
      <c r="CD99" s="59">
        <f ca="1">AVERAGE(OFFSET($CC$3,0,0,'Données projet'!$E$12+1,1))-AVERAGE(OFFSET($H$3,0,0,'Données projet'!$E$12+1,1))</f>
        <v>246.05217890269194</v>
      </c>
      <c r="CE99" s="59">
        <f t="shared" si="94"/>
        <v>155.54297071424327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84.777894295557161</v>
      </c>
      <c r="CL99" s="21">
        <f>EXP(-LN(2)/25)*CL98+(1-EXP(-LN(2)/25))/(LN(2)/25)*Calculateur!CG99*Calculateur!CI99*VLOOKUP('Données projet'!$B$12,Paramètres!$A$1:$I$89,3,0)*0.475*44/12</f>
        <v>24.595808530500026</v>
      </c>
      <c r="CM99" s="21">
        <f>EXP(-LN(2)/2)*CM98+(1-EXP(-LN(2)/2))/(LN(2)/2)*CG99*CJ99*VLOOKUP('Données projet'!$B$12,Paramètres!$A$1:$I$89,3,0)*0.475*44/12</f>
        <v>1.2075540551224371</v>
      </c>
      <c r="CN99" s="22">
        <f t="shared" si="66"/>
        <v>110.58125688117963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-3.4106051316484809E-13</v>
      </c>
      <c r="CU99" s="17">
        <f>CT99*VLOOKUP('Données projet'!$B$13,Paramètres!$A$1:$I$89,3,0)*VLOOKUP('Données projet'!$B$13,Paramètres!$A$1:$I$89,5,0)</f>
        <v>-2.0395418687257919E-13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237.036496933921</v>
      </c>
      <c r="CZ99" s="59">
        <f t="shared" si="96"/>
        <v>191.04289413665344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103.61704723594502</v>
      </c>
      <c r="DG99" s="21">
        <f>EXP(-LN(2)/25)*DG98+(1-EXP(-LN(2)/25))/(LN(2)/25)*Calculateur!DB99*Calculateur!DD99*VLOOKUP('Données projet'!$B$13,Paramètres!$A$1:$I$89,3,0)*0.475*44/12</f>
        <v>22.201103121379465</v>
      </c>
      <c r="DH99" s="21">
        <f>EXP(-LN(2)/2)*DH98+(1-EXP(-LN(2)/2))/(LN(2)/2)*DB99*DE99*VLOOKUP('Données projet'!$B$13,Paramètres!$A$1:$I$89,3,0)*0.475*44/12</f>
        <v>0.13911532307538085</v>
      </c>
      <c r="DI99" s="22">
        <f t="shared" si="69"/>
        <v>125.95726568039987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5.1538461520000025</v>
      </c>
      <c r="DO99" s="12">
        <f>IF('Données projet'!$A$166&gt;35,DO98+DN99-DW98,IF(A99&lt;'Données projet'!$A$166,$DL$205^A99,IF(A99='Données projet'!$A$166,'Données projet'!$B$166,DO98+DN99-DW98)))</f>
        <v>227.01538459199972</v>
      </c>
      <c r="DP99" s="17">
        <f>DO99*VLOOKUP('Données projet'!$B$14,Paramètres!$A$1:$I$89,3,0)*VLOOKUP('Données projet'!$B$14,Paramètres!$A$1:$I$89,5,0)</f>
        <v>135.75519998601584</v>
      </c>
      <c r="DQ99" s="13">
        <f t="shared" si="97"/>
        <v>35.322845778430747</v>
      </c>
      <c r="DR99" s="20">
        <f t="shared" si="70"/>
        <v>297.96092970641115</v>
      </c>
      <c r="DS99" s="59">
        <f t="shared" si="71"/>
        <v>591.29426303974446</v>
      </c>
      <c r="DT99" s="59">
        <f ca="1">AVERAGE(OFFSET($DS$3,0,0,'Données projet'!$E$14+1,1))-AVERAGE(OFFSET($H$3,0,0,'Données projet'!$E$14+1,1))</f>
        <v>148.22129593028302</v>
      </c>
      <c r="DU99" s="59">
        <f t="shared" si="98"/>
        <v>102.97015482019975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233.89079999999998</v>
      </c>
      <c r="EL99" s="13">
        <f t="shared" si="99"/>
        <v>57.123140349023068</v>
      </c>
      <c r="EM99" s="20">
        <f t="shared" si="73"/>
        <v>506.84927944121517</v>
      </c>
      <c r="EN99" s="59">
        <f t="shared" si="74"/>
        <v>800.18261277454849</v>
      </c>
      <c r="EO99" s="59">
        <f ca="1">AVERAGE(OFFSET($EN$3,0,0,'Données projet'!$E$15+1,1))-AVERAGE(OFFSET($H$3,0,0,'Données projet'!$E$15+1,1))</f>
        <v>278.53123771916404</v>
      </c>
      <c r="EP99" s="59">
        <f t="shared" si="100"/>
        <v>283.79094702030869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24.38817058648263</v>
      </c>
      <c r="EW99" s="21">
        <f>EXP(-LN(2)/25)*EW98+(1-EXP(-LN(2)/25))/(LN(2)/25)*Calculateur!ER99*Calculateur!ET99*VLOOKUP('Données projet'!$B$15,Paramètres!$A$1:$I$89,3,0)*0.475*44/12</f>
        <v>3.6202922317007942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28.008462818183425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6.071794871794876</v>
      </c>
      <c r="FE99" s="12">
        <f>IF('Données projet'!$A$218&gt;35,FE98+FD99-FM98,IF(A99&lt;'Données projet'!$A$218,$FB$205^A99,IF(A99='Données projet'!$A$218,'Données projet'!$B$218,FE98+FD99-FM98)))</f>
        <v>231.14358974358976</v>
      </c>
      <c r="FF99" s="17">
        <f>FE99*VLOOKUP('Données projet'!$B$16,Paramètres!$A$1:$I$89,3,0)*VLOOKUP('Données projet'!$B$16,Paramètres!$A$1:$I$89,5,0)</f>
        <v>209.13872000000001</v>
      </c>
      <c r="FG99" s="13">
        <f t="shared" si="101"/>
        <v>51.747329354497921</v>
      </c>
      <c r="FH99" s="20">
        <f t="shared" si="76"/>
        <v>454.37653595908381</v>
      </c>
      <c r="FI99" s="59">
        <f t="shared" si="77"/>
        <v>747.70986929241712</v>
      </c>
      <c r="FJ99" s="59">
        <f ca="1">AVERAGE(OFFSET($FI$3,0,0,'Données projet'!$E$16+1,1))-AVERAGE(OFFSET($H$3,0,0,'Données projet'!$E$16+1,1))</f>
        <v>335.99493768537013</v>
      </c>
      <c r="FK99" s="59">
        <f t="shared" si="102"/>
        <v>150.85164849522778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24.889254343956296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24.889254343956296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3.2</v>
      </c>
      <c r="FZ99" s="12">
        <f>IF('Données projet'!$A$244&gt;35,FZ98+FY99-GH98,IF(A99&lt;'Données projet'!$A$244,$FW$205^A99,IF(A99='Données projet'!$A$244,'Données projet'!$B$244,FZ98+FY99-GH98)))</f>
        <v>260.19999999999987</v>
      </c>
      <c r="GA99" s="17">
        <f>FZ99*VLOOKUP('Données projet'!$B$17,Paramètres!$A$1:$I$89,3,0)*VLOOKUP('Données projet'!$B$17,Paramètres!$A$1:$I$89,5,0)</f>
        <v>227.31071999999989</v>
      </c>
      <c r="GB99" s="13">
        <f t="shared" si="103"/>
        <v>55.700798883800765</v>
      </c>
      <c r="GC99" s="20">
        <f t="shared" si="79"/>
        <v>492.91172872261944</v>
      </c>
      <c r="GD99" s="59">
        <f t="shared" si="80"/>
        <v>786.24506205595276</v>
      </c>
      <c r="GE99" s="59">
        <f ca="1">AVERAGE(OFFSET($GD$3,0,0,'Données projet'!$E$17+1,1))-AVERAGE(OFFSET($H$3,0,0,'Données projet'!$E$17+1,1))</f>
        <v>319.57811113658374</v>
      </c>
      <c r="GF99" s="59">
        <f t="shared" si="104"/>
        <v>322.03572137403245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36.199251675611301</v>
      </c>
      <c r="GM99" s="21">
        <f>EXP(-LN(2)/25)*GM98+(1-EXP(-LN(2)/25))/(LN(2)/25)*Calculateur!GH99*Calculateur!GJ99*VLOOKUP('Données projet'!$B$17,Paramètres!$A$1:$I$89,3,0)*0.475*44/12</f>
        <v>14.416722228562691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50.615973904173991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5.4683368944097308E-14</v>
      </c>
      <c r="P100" s="13">
        <f t="shared" si="87"/>
        <v>8.8129432816788268E-13</v>
      </c>
      <c r="Q100" s="20">
        <f t="shared" si="107"/>
        <v>1.6301611558033651E-12</v>
      </c>
      <c r="R100" s="59">
        <f t="shared" si="55"/>
        <v>293.33333333333496</v>
      </c>
      <c r="S100" s="59">
        <f ca="1">AVERAGE(OFFSET($R$3,0,0,'Données projet'!$E$9+1,1))-AVERAGE(OFFSET($H$3,0,0,'Données projet'!$E$9+1,1))</f>
        <v>226.41956082453015</v>
      </c>
      <c r="T100" s="59">
        <f t="shared" si="88"/>
        <v>317.95076157570446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6.4031339088888863</v>
      </c>
      <c r="AI100" s="13">
        <f>IF('Données projet'!$A$62&gt;35,AI99+AH100-AQ99,IF(A100&lt;'Données projet'!$A$62,$AF$205^A100,IF(A100='Données projet'!$A$62,'Données projet'!$B$62,AI99+AH100-AQ99)))</f>
        <v>269.25783478222246</v>
      </c>
      <c r="AJ100" s="13">
        <f>AI100*VLOOKUP('Données projet'!$B$10,Paramètres!$A$1:$I$89,3,0)*VLOOKUP('Données projet'!$B$10,Paramètres!$A$1:$I$89,5,0)</f>
        <v>231.0232222431469</v>
      </c>
      <c r="AK100" s="13">
        <f t="shared" si="89"/>
        <v>56.503868913082442</v>
      </c>
      <c r="AL100" s="20">
        <f t="shared" si="58"/>
        <v>500.77635043043279</v>
      </c>
      <c r="AM100" s="59">
        <f t="shared" si="59"/>
        <v>794.10968376376604</v>
      </c>
      <c r="AN100" s="59">
        <f ca="1">AVERAGE(OFFSET($AM$3,0,0,'Données projet'!$E$10+1,1))-AVERAGE(OFFSET($H$3,0,0,'Données projet'!$E$10+1,1))</f>
        <v>257.80662231827404</v>
      </c>
      <c r="AO100" s="59">
        <f t="shared" si="90"/>
        <v>184.04558520039876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-4.5474735088646412E-13</v>
      </c>
      <c r="BE100" s="13">
        <f>BD100*VLOOKUP('Données projet'!$B$11,Paramètres!$A$1:$I$89,3,0)*VLOOKUP('Données projet'!$B$11,Paramètres!$A$1:$I$89,5,0)</f>
        <v>-2.5420376914553347E-13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300.90952915835157</v>
      </c>
      <c r="BJ100" s="59">
        <f t="shared" si="92"/>
        <v>402.81783992925256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98.658225188433292</v>
      </c>
      <c r="BQ100" s="21">
        <f>EXP(-LN(2)/25)*BQ99+(1-EXP(-LN(2)/25))/(LN(2)/25)*Calculateur!BL100*Calculateur!BN100*VLOOKUP('Données projet'!$B$11,Paramètres!$A$1:$I$89,3,0)*0.475*44/12</f>
        <v>18.171391599022211</v>
      </c>
      <c r="BR100" s="21">
        <f>EXP(-LN(2)/2)*BR99+(1-EXP(-LN(2)/2))/(LN(2)/2)*BL100*BO100*VLOOKUP('Données projet'!$B$11,Paramètres!$A$1:$I$89,3,0)*0.475*44/12</f>
        <v>1.6042570723274629E-5</v>
      </c>
      <c r="BS100" s="22">
        <f t="shared" si="63"/>
        <v>116.82963283002623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11.344230772500005</v>
      </c>
      <c r="BY100" s="12">
        <f>IF('Données projet'!$A$114&gt;35,BY99+BX100-CG99,IF(A100&lt;'Données projet'!$A$114,$BV$205^A100,IF(A100='Données projet'!$A$114,'Données projet'!$B$114,BY99+BX100-CG99)))</f>
        <v>471.80384615499975</v>
      </c>
      <c r="BZ100" s="13">
        <f>BY100*VLOOKUP('Données projet'!$B$12,Paramètres!$A$1:$I$89,3,0)*VLOOKUP('Données projet'!$B$12,Paramètres!$A$1:$I$89,5,0)</f>
        <v>233.07110000056988</v>
      </c>
      <c r="CA100" s="13">
        <f t="shared" si="93"/>
        <v>56.946211657026879</v>
      </c>
      <c r="CB100" s="20">
        <f t="shared" si="64"/>
        <v>505.1134844703144</v>
      </c>
      <c r="CC100" s="59">
        <f t="shared" si="65"/>
        <v>798.44681780364772</v>
      </c>
      <c r="CD100" s="59">
        <f ca="1">AVERAGE(OFFSET($CC$3,0,0,'Données projet'!$E$12+1,1))-AVERAGE(OFFSET($H$3,0,0,'Données projet'!$E$12+1,1))</f>
        <v>246.05217890269194</v>
      </c>
      <c r="CE100" s="59">
        <f t="shared" si="94"/>
        <v>155.54297071424327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83.115451497830918</v>
      </c>
      <c r="CL100" s="21">
        <f>EXP(-LN(2)/25)*CL99+(1-EXP(-LN(2)/25))/(LN(2)/25)*Calculateur!CG100*Calculateur!CI100*VLOOKUP('Données projet'!$B$12,Paramètres!$A$1:$I$89,3,0)*0.475*44/12</f>
        <v>23.923234852796146</v>
      </c>
      <c r="CM100" s="21">
        <f>EXP(-LN(2)/2)*CM99+(1-EXP(-LN(2)/2))/(LN(2)/2)*CG100*CJ100*VLOOKUP('Données projet'!$B$12,Paramètres!$A$1:$I$89,3,0)*0.475*44/12</f>
        <v>0.85386966102638928</v>
      </c>
      <c r="CN100" s="22">
        <f t="shared" si="66"/>
        <v>107.89255601165345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-3.4106051316484809E-13</v>
      </c>
      <c r="CU100" s="17">
        <f>CT100*VLOOKUP('Données projet'!$B$13,Paramètres!$A$1:$I$89,3,0)*VLOOKUP('Données projet'!$B$13,Paramètres!$A$1:$I$89,5,0)</f>
        <v>-2.0395418687257919E-13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237.036496933921</v>
      </c>
      <c r="CZ100" s="59">
        <f t="shared" si="96"/>
        <v>191.04289413665344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101.58518013980645</v>
      </c>
      <c r="DG100" s="21">
        <f>EXP(-LN(2)/25)*DG99+(1-EXP(-LN(2)/25))/(LN(2)/25)*Calculateur!DB100*Calculateur!DD100*VLOOKUP('Données projet'!$B$13,Paramètres!$A$1:$I$89,3,0)*0.475*44/12</f>
        <v>21.59401278902007</v>
      </c>
      <c r="DH100" s="21">
        <f>EXP(-LN(2)/2)*DH99+(1-EXP(-LN(2)/2))/(LN(2)/2)*DB100*DE100*VLOOKUP('Données projet'!$B$13,Paramètres!$A$1:$I$89,3,0)*0.475*44/12</f>
        <v>9.8369388313559195E-2</v>
      </c>
      <c r="DI100" s="22">
        <f t="shared" si="69"/>
        <v>123.27756231714008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5.1538461520000025</v>
      </c>
      <c r="DO100" s="12">
        <f>IF('Données projet'!$A$166&gt;35,DO99+DN100-DW99,IF(A100&lt;'Données projet'!$A$166,$DL$205^A100,IF(A100='Données projet'!$A$166,'Données projet'!$B$166,DO99+DN100-DW99)))</f>
        <v>232.16923074399972</v>
      </c>
      <c r="DP100" s="17">
        <f>DO100*VLOOKUP('Données projet'!$B$14,Paramètres!$A$1:$I$89,3,0)*VLOOKUP('Données projet'!$B$14,Paramètres!$A$1:$I$89,5,0)</f>
        <v>138.83719998491185</v>
      </c>
      <c r="DQ100" s="13">
        <f t="shared" si="97"/>
        <v>36.030495173698199</v>
      </c>
      <c r="DR100" s="20">
        <f t="shared" si="70"/>
        <v>304.56123573457916</v>
      </c>
      <c r="DS100" s="59">
        <f t="shared" si="71"/>
        <v>597.89456906791247</v>
      </c>
      <c r="DT100" s="59">
        <f ca="1">AVERAGE(OFFSET($DS$3,0,0,'Données projet'!$E$14+1,1))-AVERAGE(OFFSET($H$3,0,0,'Données projet'!$E$14+1,1))</f>
        <v>148.22129593028302</v>
      </c>
      <c r="DU100" s="59">
        <f t="shared" si="98"/>
        <v>102.97015482019975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233.89079999999998</v>
      </c>
      <c r="EL100" s="13">
        <f t="shared" si="99"/>
        <v>57.123140349023068</v>
      </c>
      <c r="EM100" s="20">
        <f t="shared" si="73"/>
        <v>506.84927944121517</v>
      </c>
      <c r="EN100" s="59">
        <f t="shared" si="74"/>
        <v>800.18261277454849</v>
      </c>
      <c r="EO100" s="59">
        <f ca="1">AVERAGE(OFFSET($EN$3,0,0,'Données projet'!$E$15+1,1))-AVERAGE(OFFSET($H$3,0,0,'Données projet'!$E$15+1,1))</f>
        <v>278.53123771916404</v>
      </c>
      <c r="EP100" s="59">
        <f t="shared" si="100"/>
        <v>283.79094702030869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23.909933436596948</v>
      </c>
      <c r="EW100" s="21">
        <f>EXP(-LN(2)/25)*EW99+(1-EXP(-LN(2)/25))/(LN(2)/25)*Calculateur!ER100*Calculateur!ET100*VLOOKUP('Données projet'!$B$15,Paramètres!$A$1:$I$89,3,0)*0.475*44/12</f>
        <v>3.5212951502420418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27.431228586838991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6.071794871794876</v>
      </c>
      <c r="FE100" s="12">
        <f>IF('Données projet'!$A$218&gt;35,FE99+FD100-FM99,IF(A100&lt;'Données projet'!$A$218,$FB$205^A100,IF(A100='Données projet'!$A$218,'Données projet'!$B$218,FE99+FD100-FM99)))</f>
        <v>237.21538461538464</v>
      </c>
      <c r="FF100" s="17">
        <f>FE100*VLOOKUP('Données projet'!$B$16,Paramètres!$A$1:$I$89,3,0)*VLOOKUP('Données projet'!$B$16,Paramètres!$A$1:$I$89,5,0)</f>
        <v>214.63248000000002</v>
      </c>
      <c r="FG100" s="13">
        <f t="shared" si="101"/>
        <v>52.946610008544852</v>
      </c>
      <c r="FH100" s="20">
        <f t="shared" si="76"/>
        <v>466.03358176488229</v>
      </c>
      <c r="FI100" s="59">
        <f t="shared" si="77"/>
        <v>759.3669150982156</v>
      </c>
      <c r="FJ100" s="59">
        <f ca="1">AVERAGE(OFFSET($FI$3,0,0,'Données projet'!$E$16+1,1))-AVERAGE(OFFSET($H$3,0,0,'Données projet'!$E$16+1,1))</f>
        <v>335.99493768537013</v>
      </c>
      <c r="FK100" s="59">
        <f t="shared" si="102"/>
        <v>150.85164849522778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24.401191247217469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24.401191247217469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3.2</v>
      </c>
      <c r="FZ100" s="12">
        <f>IF('Données projet'!$A$244&gt;35,FZ99+FY100-GH99,IF(A100&lt;'Données projet'!$A$244,$FW$205^A100,IF(A100='Données projet'!$A$244,'Données projet'!$B$244,FZ99+FY100-GH99)))</f>
        <v>263.39999999999986</v>
      </c>
      <c r="GA100" s="17">
        <f>FZ100*VLOOKUP('Données projet'!$B$17,Paramètres!$A$1:$I$89,3,0)*VLOOKUP('Données projet'!$B$17,Paramètres!$A$1:$I$89,5,0)</f>
        <v>230.1062399999999</v>
      </c>
      <c r="GB100" s="13">
        <f t="shared" si="103"/>
        <v>56.30565248558618</v>
      </c>
      <c r="GC100" s="20">
        <f t="shared" si="79"/>
        <v>498.83404607906238</v>
      </c>
      <c r="GD100" s="59">
        <f t="shared" si="80"/>
        <v>792.16737941239569</v>
      </c>
      <c r="GE100" s="59">
        <f ca="1">AVERAGE(OFFSET($GD$3,0,0,'Données projet'!$E$17+1,1))-AVERAGE(OFFSET($H$3,0,0,'Données projet'!$E$17+1,1))</f>
        <v>319.57811113658374</v>
      </c>
      <c r="GF100" s="59">
        <f t="shared" si="104"/>
        <v>322.03572137403245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35.489406429615926</v>
      </c>
      <c r="GM100" s="21">
        <f>EXP(-LN(2)/25)*GM99+(1-EXP(-LN(2)/25))/(LN(2)/25)*Calculateur!GH100*Calculateur!GJ100*VLOOKUP('Données projet'!$B$17,Paramètres!$A$1:$I$89,3,0)*0.475*44/12</f>
        <v>14.022496201080171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49.511902630696099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5.4683368944097308E-14</v>
      </c>
      <c r="P101" s="13">
        <f t="shared" si="87"/>
        <v>8.8129432816788268E-13</v>
      </c>
      <c r="Q101" s="20">
        <f t="shared" si="107"/>
        <v>1.6301611558033651E-12</v>
      </c>
      <c r="R101" s="59">
        <f t="shared" si="55"/>
        <v>293.33333333333496</v>
      </c>
      <c r="S101" s="59">
        <f ca="1">AVERAGE(OFFSET($R$3,0,0,'Données projet'!$E$9+1,1))-AVERAGE(OFFSET($H$3,0,0,'Données projet'!$E$9+1,1))</f>
        <v>226.41956082453015</v>
      </c>
      <c r="T101" s="59">
        <f t="shared" si="88"/>
        <v>317.95076157570446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6.4031339088888863</v>
      </c>
      <c r="AI101" s="13">
        <f>IF('Données projet'!$A$62&gt;35,AI100+AH101-AQ100,IF(A101&lt;'Données projet'!$A$62,$AF$205^A101,IF(A101='Données projet'!$A$62,'Données projet'!$B$62,AI100+AH101-AQ100)))</f>
        <v>275.66096869111135</v>
      </c>
      <c r="AJ101" s="13">
        <f>AI101*VLOOKUP('Données projet'!$B$10,Paramètres!$A$1:$I$89,3,0)*VLOOKUP('Données projet'!$B$10,Paramètres!$A$1:$I$89,5,0)</f>
        <v>236.51711113697357</v>
      </c>
      <c r="AK101" s="13">
        <f t="shared" si="89"/>
        <v>57.689533622062029</v>
      </c>
      <c r="AL101" s="20">
        <f t="shared" si="58"/>
        <v>512.4099062886537</v>
      </c>
      <c r="AM101" s="59">
        <f t="shared" si="59"/>
        <v>805.74323962198696</v>
      </c>
      <c r="AN101" s="59">
        <f ca="1">AVERAGE(OFFSET($AM$3,0,0,'Données projet'!$E$10+1,1))-AVERAGE(OFFSET($H$3,0,0,'Données projet'!$E$10+1,1))</f>
        <v>257.80662231827404</v>
      </c>
      <c r="AO101" s="59">
        <f t="shared" si="90"/>
        <v>184.04558520039876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-4.5474735088646412E-13</v>
      </c>
      <c r="BE101" s="13">
        <f>BD101*VLOOKUP('Données projet'!$B$11,Paramètres!$A$1:$I$89,3,0)*VLOOKUP('Données projet'!$B$11,Paramètres!$A$1:$I$89,5,0)</f>
        <v>-2.5420376914553347E-13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300.90952915835157</v>
      </c>
      <c r="BJ101" s="59">
        <f t="shared" si="92"/>
        <v>402.81783992925256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96.723597568063639</v>
      </c>
      <c r="BQ101" s="21">
        <f>EXP(-LN(2)/25)*BQ100+(1-EXP(-LN(2)/25))/(LN(2)/25)*Calculateur!BL101*Calculateur!BN101*VLOOKUP('Données projet'!$B$11,Paramètres!$A$1:$I$89,3,0)*0.475*44/12</f>
        <v>17.674493940154996</v>
      </c>
      <c r="BR101" s="21">
        <f>EXP(-LN(2)/2)*BR100+(1-EXP(-LN(2)/2))/(LN(2)/2)*BL101*BO101*VLOOKUP('Données projet'!$B$11,Paramètres!$A$1:$I$89,3,0)*0.475*44/12</f>
        <v>1.1343810546092267E-5</v>
      </c>
      <c r="BS101" s="22">
        <f t="shared" si="63"/>
        <v>114.39810285202918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11.344230772500005</v>
      </c>
      <c r="BY101" s="12">
        <f>IF('Données projet'!$A$114&gt;35,BY100+BX101-CG100,IF(A101&lt;'Données projet'!$A$114,$BV$205^A101,IF(A101='Données projet'!$A$114,'Données projet'!$B$114,BY100+BX101-CG100)))</f>
        <v>483.14807692749974</v>
      </c>
      <c r="BZ101" s="13">
        <f>BY101*VLOOKUP('Données projet'!$B$12,Paramètres!$A$1:$I$89,3,0)*VLOOKUP('Données projet'!$B$12,Paramètres!$A$1:$I$89,5,0)</f>
        <v>238.67515000218489</v>
      </c>
      <c r="CA101" s="13">
        <f t="shared" si="93"/>
        <v>58.154390783548365</v>
      </c>
      <c r="CB101" s="20">
        <f t="shared" si="64"/>
        <v>516.97811686848524</v>
      </c>
      <c r="CC101" s="59">
        <f t="shared" si="65"/>
        <v>810.31145020181862</v>
      </c>
      <c r="CD101" s="59">
        <f ca="1">AVERAGE(OFFSET($CC$3,0,0,'Données projet'!$E$12+1,1))-AVERAGE(OFFSET($H$3,0,0,'Données projet'!$E$12+1,1))</f>
        <v>246.05217890269194</v>
      </c>
      <c r="CE101" s="59">
        <f t="shared" si="94"/>
        <v>155.54297071424327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81.485608189378112</v>
      </c>
      <c r="CL101" s="21">
        <f>EXP(-LN(2)/25)*CL100+(1-EXP(-LN(2)/25))/(LN(2)/25)*Calculateur!CG101*Calculateur!CI101*VLOOKUP('Données projet'!$B$12,Paramètres!$A$1:$I$89,3,0)*0.475*44/12</f>
        <v>23.269052737678191</v>
      </c>
      <c r="CM101" s="21">
        <f>EXP(-LN(2)/2)*CM100+(1-EXP(-LN(2)/2))/(LN(2)/2)*CG101*CJ101*VLOOKUP('Données projet'!$B$12,Paramètres!$A$1:$I$89,3,0)*0.475*44/12</f>
        <v>0.60377702756121865</v>
      </c>
      <c r="CN101" s="22">
        <f t="shared" si="66"/>
        <v>105.35843795461753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-3.4106051316484809E-13</v>
      </c>
      <c r="CU101" s="17">
        <f>CT101*VLOOKUP('Données projet'!$B$13,Paramètres!$A$1:$I$89,3,0)*VLOOKUP('Données projet'!$B$13,Paramètres!$A$1:$I$89,5,0)</f>
        <v>-2.0395418687257919E-13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237.036496933921</v>
      </c>
      <c r="CZ101" s="59">
        <f t="shared" si="96"/>
        <v>191.04289413665344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99.593156718106613</v>
      </c>
      <c r="DG101" s="21">
        <f>EXP(-LN(2)/25)*DG100+(1-EXP(-LN(2)/25))/(LN(2)/25)*Calculateur!DB101*Calculateur!DD101*VLOOKUP('Données projet'!$B$13,Paramètres!$A$1:$I$89,3,0)*0.475*44/12</f>
        <v>21.003523373724537</v>
      </c>
      <c r="DH101" s="21">
        <f>EXP(-LN(2)/2)*DH100+(1-EXP(-LN(2)/2))/(LN(2)/2)*DB101*DE101*VLOOKUP('Données projet'!$B$13,Paramètres!$A$1:$I$89,3,0)*0.475*44/12</f>
        <v>6.9557661537690427E-2</v>
      </c>
      <c r="DI101" s="22">
        <f t="shared" si="69"/>
        <v>120.66623775336883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5.1538461520000025</v>
      </c>
      <c r="DO101" s="12">
        <f>IF('Données projet'!$A$166&gt;35,DO100+DN101-DW100,IF(A101&lt;'Données projet'!$A$166,$DL$205^A101,IF(A101='Données projet'!$A$166,'Données projet'!$B$166,DO100+DN101-DW100)))</f>
        <v>237.32307689599972</v>
      </c>
      <c r="DP101" s="17">
        <f>DO101*VLOOKUP('Données projet'!$B$14,Paramètres!$A$1:$I$89,3,0)*VLOOKUP('Données projet'!$B$14,Paramètres!$A$1:$I$89,5,0)</f>
        <v>141.91919998380786</v>
      </c>
      <c r="DQ101" s="13">
        <f t="shared" si="97"/>
        <v>36.73631825836992</v>
      </c>
      <c r="DR101" s="20">
        <f t="shared" si="70"/>
        <v>311.15836093845962</v>
      </c>
      <c r="DS101" s="59">
        <f t="shared" si="71"/>
        <v>604.49169427179299</v>
      </c>
      <c r="DT101" s="59">
        <f ca="1">AVERAGE(OFFSET($DS$3,0,0,'Données projet'!$E$14+1,1))-AVERAGE(OFFSET($H$3,0,0,'Données projet'!$E$14+1,1))</f>
        <v>148.22129593028302</v>
      </c>
      <c r="DU101" s="59">
        <f t="shared" si="98"/>
        <v>102.97015482019975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233.89079999999998</v>
      </c>
      <c r="EL101" s="13">
        <f t="shared" si="99"/>
        <v>57.123140349023068</v>
      </c>
      <c r="EM101" s="20">
        <f t="shared" si="73"/>
        <v>506.84927944121517</v>
      </c>
      <c r="EN101" s="59">
        <f t="shared" si="74"/>
        <v>800.18261277454849</v>
      </c>
      <c r="EO101" s="59">
        <f ca="1">AVERAGE(OFFSET($EN$3,0,0,'Données projet'!$E$15+1,1))-AVERAGE(OFFSET($H$3,0,0,'Données projet'!$E$15+1,1))</f>
        <v>278.53123771916404</v>
      </c>
      <c r="EP101" s="59">
        <f t="shared" si="100"/>
        <v>283.79094702030869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23.441074225524666</v>
      </c>
      <c r="EW101" s="21">
        <f>EXP(-LN(2)/25)*EW100+(1-EXP(-LN(2)/25))/(LN(2)/25)*Calculateur!ER101*Calculateur!ET101*VLOOKUP('Données projet'!$B$15,Paramètres!$A$1:$I$89,3,0)*0.475*44/12</f>
        <v>3.4250051491818092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26.866079374706477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6.071794871794876</v>
      </c>
      <c r="FE101" s="12">
        <f>IF('Données projet'!$A$218&gt;35,FE100+FD101-FM100,IF(A101&lt;'Données projet'!$A$218,$FB$205^A101,IF(A101='Données projet'!$A$218,'Données projet'!$B$218,FE100+FD101-FM100)))</f>
        <v>243.28717948717951</v>
      </c>
      <c r="FF101" s="17">
        <f>FE101*VLOOKUP('Données projet'!$B$16,Paramètres!$A$1:$I$89,3,0)*VLOOKUP('Données projet'!$B$16,Paramètres!$A$1:$I$89,5,0)</f>
        <v>220.12624000000002</v>
      </c>
      <c r="FG101" s="13">
        <f t="shared" si="101"/>
        <v>54.142322444750825</v>
      </c>
      <c r="FH101" s="20">
        <f t="shared" si="76"/>
        <v>477.68441292460778</v>
      </c>
      <c r="FI101" s="59">
        <f t="shared" si="77"/>
        <v>771.0177462579411</v>
      </c>
      <c r="FJ101" s="59">
        <f ca="1">AVERAGE(OFFSET($FI$3,0,0,'Données projet'!$E$16+1,1))-AVERAGE(OFFSET($H$3,0,0,'Données projet'!$E$16+1,1))</f>
        <v>335.99493768537013</v>
      </c>
      <c r="FK101" s="59">
        <f t="shared" si="102"/>
        <v>150.85164849522778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23.922698770116597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23.922698770116597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3.2</v>
      </c>
      <c r="FZ101" s="12">
        <f>IF('Données projet'!$A$244&gt;35,FZ100+FY101-GH100,IF(A101&lt;'Données projet'!$A$244,$FW$205^A101,IF(A101='Données projet'!$A$244,'Données projet'!$B$244,FZ100+FY101-GH100)))</f>
        <v>266.59999999999985</v>
      </c>
      <c r="GA101" s="17">
        <f>FZ101*VLOOKUP('Données projet'!$B$17,Paramètres!$A$1:$I$89,3,0)*VLOOKUP('Données projet'!$B$17,Paramètres!$A$1:$I$89,5,0)</f>
        <v>232.90175999999991</v>
      </c>
      <c r="GB101" s="13">
        <f t="shared" si="103"/>
        <v>56.909651332233828</v>
      </c>
      <c r="GC101" s="20">
        <f t="shared" si="79"/>
        <v>504.7548747369737</v>
      </c>
      <c r="GD101" s="59">
        <f t="shared" si="80"/>
        <v>798.08820807030702</v>
      </c>
      <c r="GE101" s="59">
        <f ca="1">AVERAGE(OFFSET($GD$3,0,0,'Données projet'!$E$17+1,1))-AVERAGE(OFFSET($H$3,0,0,'Données projet'!$E$17+1,1))</f>
        <v>319.57811113658374</v>
      </c>
      <c r="GF101" s="59">
        <f t="shared" si="104"/>
        <v>322.03572137403245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34.793480815931673</v>
      </c>
      <c r="GM101" s="21">
        <f>EXP(-LN(2)/25)*GM100+(1-EXP(-LN(2)/25))/(LN(2)/25)*Calculateur!GH101*Calculateur!GJ101*VLOOKUP('Données projet'!$B$17,Paramètres!$A$1:$I$89,3,0)*0.475*44/12</f>
        <v>13.639050305050608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48.432531120982283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5.4683368944097308E-14</v>
      </c>
      <c r="P102" s="13">
        <f t="shared" si="87"/>
        <v>8.8129432816788268E-13</v>
      </c>
      <c r="Q102" s="20">
        <f t="shared" si="107"/>
        <v>1.6301611558033651E-12</v>
      </c>
      <c r="R102" s="59">
        <f t="shared" si="55"/>
        <v>293.33333333333496</v>
      </c>
      <c r="S102" s="59">
        <f ca="1">AVERAGE(OFFSET($R$3,0,0,'Données projet'!$E$9+1,1))-AVERAGE(OFFSET($H$3,0,0,'Données projet'!$E$9+1,1))</f>
        <v>226.41956082453015</v>
      </c>
      <c r="T102" s="59">
        <f t="shared" si="88"/>
        <v>317.95076157570446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282.06410260000001</v>
      </c>
      <c r="AG102" s="12">
        <f>VLOOKUP(A102,'Données projet'!$A$61:$I$81,9,0)</f>
        <v>6.4031339088888863</v>
      </c>
      <c r="AH102" s="12">
        <f t="array" ref="AH102">INDEX(AG:AG,MIN(IF(ISNUMBER(AG102:AG298),ROW(AG102:AG298),"")))</f>
        <v>6.4031339088888863</v>
      </c>
      <c r="AI102" s="13">
        <f>IF('Données projet'!$A$62&gt;35,AI101+AH102-AQ101,IF(A102&lt;'Données projet'!$A$62,$AF$205^A102,IF(A102='Données projet'!$A$62,'Données projet'!$B$62,AI101+AH102-AQ101)))</f>
        <v>282.06410260000024</v>
      </c>
      <c r="AJ102" s="13">
        <f>AI102*VLOOKUP('Données projet'!$B$10,Paramètres!$A$1:$I$89,3,0)*VLOOKUP('Données projet'!$B$10,Paramètres!$A$1:$I$89,5,0)</f>
        <v>242.01100003080023</v>
      </c>
      <c r="AK102" s="13">
        <f t="shared" si="89"/>
        <v>58.871996588001871</v>
      </c>
      <c r="AL102" s="20">
        <f t="shared" si="58"/>
        <v>524.03788577774696</v>
      </c>
      <c r="AM102" s="59">
        <f t="shared" si="59"/>
        <v>817.37121911108034</v>
      </c>
      <c r="AN102" s="59">
        <f ca="1">AVERAGE(OFFSET($AM$3,0,0,'Données projet'!$E$10+1,1))-AVERAGE(OFFSET($H$3,0,0,'Données projet'!$E$10+1,1))</f>
        <v>257.80662231827404</v>
      </c>
      <c r="AO102" s="59">
        <f t="shared" si="90"/>
        <v>184.04558520039876</v>
      </c>
      <c r="AP102" s="15">
        <f>IF(ISNA(VLOOKUP(A102,'Données projet'!$A$61:$I$81,3,0)),0,VLOOKUP(A102,'Données projet'!$A$61:$I$81,3,0))</f>
        <v>8</v>
      </c>
      <c r="AQ102" s="15">
        <f>IF(ISNA(VLOOKUP(A102,'Données projet'!$A$61:$I$81,4,0)),0,VLOOKUP(A102,'Données projet'!$A$61:$I$81,4,0))</f>
        <v>53.75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-4.5474735088646412E-13</v>
      </c>
      <c r="BE102" s="13">
        <f>BD102*VLOOKUP('Données projet'!$B$11,Paramètres!$A$1:$I$89,3,0)*VLOOKUP('Données projet'!$B$11,Paramètres!$A$1:$I$89,5,0)</f>
        <v>-2.5420376914553347E-13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300.90952915835157</v>
      </c>
      <c r="BJ102" s="59">
        <f t="shared" si="92"/>
        <v>402.81783992925256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94.826906815323099</v>
      </c>
      <c r="BQ102" s="21">
        <f>EXP(-LN(2)/25)*BQ101+(1-EXP(-LN(2)/25))/(LN(2)/25)*Calculateur!BL102*Calculateur!BN102*VLOOKUP('Données projet'!$B$11,Paramètres!$A$1:$I$89,3,0)*0.475*44/12</f>
        <v>17.191183973900216</v>
      </c>
      <c r="BR102" s="21">
        <f>EXP(-LN(2)/2)*BR101+(1-EXP(-LN(2)/2))/(LN(2)/2)*BL102*BO102*VLOOKUP('Données projet'!$B$11,Paramètres!$A$1:$I$89,3,0)*0.475*44/12</f>
        <v>8.0212853616373147E-6</v>
      </c>
      <c r="BS102" s="22">
        <f t="shared" si="63"/>
        <v>112.01809881050869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>
        <f>VLOOKUP(A102,'Données projet'!$A$113:$I$133,2,0)</f>
        <v>494.49230770000003</v>
      </c>
      <c r="BW102" s="12">
        <f>VLOOKUP(A102,'Données projet'!$A$113:$I$133,9,0)</f>
        <v>11.344230772500005</v>
      </c>
      <c r="BX102" s="12">
        <f t="array" ref="BX102">INDEX(BW:BW,MIN(IF(ISNUMBER(BW102:BW298),ROW(BW102:BW298),"")))</f>
        <v>11.344230772500005</v>
      </c>
      <c r="BY102" s="12">
        <f>IF('Données projet'!$A$114&gt;35,BY101+BX102-CG101,IF(A102&lt;'Données projet'!$A$114,$BV$205^A102,IF(A102='Données projet'!$A$114,'Données projet'!$B$114,BY101+BX102-CG101)))</f>
        <v>494.49230769999974</v>
      </c>
      <c r="BZ102" s="13">
        <f>BY102*VLOOKUP('Données projet'!$B$12,Paramètres!$A$1:$I$89,3,0)*VLOOKUP('Données projet'!$B$12,Paramètres!$A$1:$I$89,5,0)</f>
        <v>244.2792000037999</v>
      </c>
      <c r="CA102" s="13">
        <f t="shared" si="93"/>
        <v>59.359272082505974</v>
      </c>
      <c r="CB102" s="20">
        <f t="shared" si="64"/>
        <v>528.83700555031589</v>
      </c>
      <c r="CC102" s="59">
        <f t="shared" si="65"/>
        <v>822.17033888364926</v>
      </c>
      <c r="CD102" s="59">
        <f ca="1">AVERAGE(OFFSET($CC$3,0,0,'Données projet'!$E$12+1,1))-AVERAGE(OFFSET($H$3,0,0,'Données projet'!$E$12+1,1))</f>
        <v>246.05217890269194</v>
      </c>
      <c r="CE102" s="59">
        <f t="shared" si="94"/>
        <v>155.54297071424327</v>
      </c>
      <c r="CF102" s="15">
        <f>IF(ISNA(VLOOKUP(A102,'Données projet'!$A$113:$I$133,3,0)),0,VLOOKUP(A102,'Données projet'!$A$113:$I$133,3,0))</f>
        <v>8</v>
      </c>
      <c r="CG102" s="15">
        <f>IF(ISNA(VLOOKUP(A102,'Données projet'!$A$113:$I$133,4,0)),0,VLOOKUP(A102,'Données projet'!$A$113:$I$133,4,0))</f>
        <v>494.49230770000003</v>
      </c>
      <c r="CH102" s="16">
        <f>IF(ISNA(VLOOKUP(A102,'Données projet'!$A$113:$I$133,5,0)),0%,VLOOKUP(A102,'Données projet'!$A$113:$I$133,5,0)*VLOOKUP('Données projet'!$B$12,Paramètres!$A$1:$I$89,7,0))</f>
        <v>0.38500000000000001</v>
      </c>
      <c r="CI102" s="16">
        <f>IF(ISNA(VLOOKUP(A102,'Données projet'!$A$113:$I$133,6,0)),0%,VLOOKUP(A102,'Données projet'!$A$113:$I$133,6,0)*VLOOKUP('Données projet'!$B$12,Paramètres!$A$1:$I$89,7,0))</f>
        <v>9.3500000000000014E-2</v>
      </c>
      <c r="CJ102" s="16">
        <f>IF(ISNA(VLOOKUP(A102,'Données projet'!$A$113:$I$133,7,0)),0%,VLOOKUP(A102,'Données projet'!$A$113:$I$133,7,0))</f>
        <v>0.13</v>
      </c>
      <c r="CK102" s="21">
        <f>EXP(-LN(2)/35)*CK101+(1-EXP(-LN(2)/35))/(LN(2)/35)*CG102*CH102*VLOOKUP('Données projet'!$B$12,Paramètres!$A$1:$I$89,3,0)*0.475*44/12</f>
        <v>204.64778512647308</v>
      </c>
      <c r="CL102" s="21">
        <f>EXP(-LN(2)/25)*CL101+(1-EXP(-LN(2)/25))/(LN(2)/25)*Calculateur!CG102*Calculateur!CI102*VLOOKUP('Données projet'!$B$12,Paramètres!$A$1:$I$89,3,0)*0.475*44/12</f>
        <v>52.812332781465031</v>
      </c>
      <c r="CM102" s="21">
        <f>EXP(-LN(2)/2)*CM101+(1-EXP(-LN(2)/2))/(LN(2)/2)*CG102*CJ102*VLOOKUP('Données projet'!$B$12,Paramètres!$A$1:$I$89,3,0)*0.475*44/12</f>
        <v>36.382438812083038</v>
      </c>
      <c r="CN102" s="22">
        <f t="shared" si="66"/>
        <v>293.84255672002115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-3.4106051316484809E-13</v>
      </c>
      <c r="CU102" s="17">
        <f>CT102*VLOOKUP('Données projet'!$B$13,Paramètres!$A$1:$I$89,3,0)*VLOOKUP('Données projet'!$B$13,Paramètres!$A$1:$I$89,5,0)</f>
        <v>-2.0395418687257919E-13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237.036496933921</v>
      </c>
      <c r="CZ102" s="59">
        <f t="shared" si="96"/>
        <v>191.04289413665344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97.640195660691987</v>
      </c>
      <c r="DG102" s="21">
        <f>EXP(-LN(2)/25)*DG101+(1-EXP(-LN(2)/25))/(LN(2)/25)*Calculateur!DB102*Calculateur!DD102*VLOOKUP('Données projet'!$B$13,Paramètres!$A$1:$I$89,3,0)*0.475*44/12</f>
        <v>20.429180922542749</v>
      </c>
      <c r="DH102" s="21">
        <f>EXP(-LN(2)/2)*DH101+(1-EXP(-LN(2)/2))/(LN(2)/2)*DB102*DE102*VLOOKUP('Données projet'!$B$13,Paramètres!$A$1:$I$89,3,0)*0.475*44/12</f>
        <v>4.9184694156779597E-2</v>
      </c>
      <c r="DI102" s="22">
        <f t="shared" si="69"/>
        <v>118.11856127739152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5.1538461520000025</v>
      </c>
      <c r="DO102" s="12">
        <f>IF('Données projet'!$A$166&gt;35,DO101+DN102-DW101,IF(A102&lt;'Données projet'!$A$166,$DL$205^A102,IF(A102='Données projet'!$A$166,'Données projet'!$B$166,DO101+DN102-DW101)))</f>
        <v>242.47692304799972</v>
      </c>
      <c r="DP102" s="17">
        <f>DO102*VLOOKUP('Données projet'!$B$14,Paramètres!$A$1:$I$89,3,0)*VLOOKUP('Données projet'!$B$14,Paramètres!$A$1:$I$89,5,0)</f>
        <v>145.00119998270384</v>
      </c>
      <c r="DQ102" s="13">
        <f t="shared" si="97"/>
        <v>37.440359261343175</v>
      </c>
      <c r="DR102" s="20">
        <f t="shared" si="70"/>
        <v>317.75238235004855</v>
      </c>
      <c r="DS102" s="59">
        <f t="shared" si="71"/>
        <v>611.08571568338186</v>
      </c>
      <c r="DT102" s="59">
        <f ca="1">AVERAGE(OFFSET($DS$3,0,0,'Données projet'!$E$14+1,1))-AVERAGE(OFFSET($H$3,0,0,'Données projet'!$E$14+1,1))</f>
        <v>148.22129593028302</v>
      </c>
      <c r="DU102" s="59">
        <f t="shared" si="98"/>
        <v>102.97015482019975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233.89079999999998</v>
      </c>
      <c r="EL102" s="13">
        <f t="shared" si="99"/>
        <v>57.123140349023068</v>
      </c>
      <c r="EM102" s="20">
        <f t="shared" si="73"/>
        <v>506.84927944121517</v>
      </c>
      <c r="EN102" s="59">
        <f t="shared" si="74"/>
        <v>800.18261277454849</v>
      </c>
      <c r="EO102" s="59">
        <f ca="1">AVERAGE(OFFSET($EN$3,0,0,'Données projet'!$E$15+1,1))-AVERAGE(OFFSET($H$3,0,0,'Données projet'!$E$15+1,1))</f>
        <v>278.53123771916404</v>
      </c>
      <c r="EP102" s="59">
        <f t="shared" si="100"/>
        <v>283.79094702030869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22.981409057605632</v>
      </c>
      <c r="EW102" s="21">
        <f>EXP(-LN(2)/25)*EW101+(1-EXP(-LN(2)/25))/(LN(2)/25)*Calculateur!ER102*Calculateur!ET102*VLOOKUP('Données projet'!$B$15,Paramètres!$A$1:$I$89,3,0)*0.475*44/12</f>
        <v>3.3313482032642399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26.312757260869873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6.071794871794876</v>
      </c>
      <c r="FE102" s="12">
        <f>IF('Données projet'!$A$218&gt;35,FE101+FD102-FM101,IF(A102&lt;'Données projet'!$A$218,$FB$205^A102,IF(A102='Données projet'!$A$218,'Données projet'!$B$218,FE101+FD102-FM101)))</f>
        <v>249.35897435897439</v>
      </c>
      <c r="FF102" s="17">
        <f>FE102*VLOOKUP('Données projet'!$B$16,Paramètres!$A$1:$I$89,3,0)*VLOOKUP('Données projet'!$B$16,Paramètres!$A$1:$I$89,5,0)</f>
        <v>225.62000000000003</v>
      </c>
      <c r="FG102" s="13">
        <f t="shared" si="101"/>
        <v>55.334565958624232</v>
      </c>
      <c r="FH102" s="20">
        <f t="shared" si="76"/>
        <v>489.32920237793724</v>
      </c>
      <c r="FI102" s="59">
        <f t="shared" si="77"/>
        <v>782.66253571127049</v>
      </c>
      <c r="FJ102" s="59">
        <f ca="1">AVERAGE(OFFSET($FI$3,0,0,'Données projet'!$E$16+1,1))-AVERAGE(OFFSET($H$3,0,0,'Données projet'!$E$16+1,1))</f>
        <v>335.99493768537013</v>
      </c>
      <c r="FK102" s="59">
        <f t="shared" si="102"/>
        <v>150.85164849522778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23.453589238640077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23.453589238640077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3.2</v>
      </c>
      <c r="FZ102" s="12">
        <f>IF('Données projet'!$A$244&gt;35,FZ101+FY102-GH101,IF(A102&lt;'Données projet'!$A$244,$FW$205^A102,IF(A102='Données projet'!$A$244,'Données projet'!$B$244,FZ101+FY102-GH101)))</f>
        <v>269.79999999999984</v>
      </c>
      <c r="GA102" s="17">
        <f>FZ102*VLOOKUP('Données projet'!$B$17,Paramètres!$A$1:$I$89,3,0)*VLOOKUP('Données projet'!$B$17,Paramètres!$A$1:$I$89,5,0)</f>
        <v>235.69727999999992</v>
      </c>
      <c r="GB102" s="13">
        <f t="shared" si="103"/>
        <v>57.512806870145788</v>
      </c>
      <c r="GC102" s="20">
        <f t="shared" si="79"/>
        <v>510.67423463217045</v>
      </c>
      <c r="GD102" s="59">
        <f t="shared" si="80"/>
        <v>804.00756796550377</v>
      </c>
      <c r="GE102" s="59">
        <f ca="1">AVERAGE(OFFSET($GD$3,0,0,'Données projet'!$E$17+1,1))-AVERAGE(OFFSET($H$3,0,0,'Données projet'!$E$17+1,1))</f>
        <v>319.57811113658374</v>
      </c>
      <c r="GF102" s="59">
        <f t="shared" si="104"/>
        <v>322.03572137403245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34.11120187905906</v>
      </c>
      <c r="GM102" s="21">
        <f>EXP(-LN(2)/25)*GM101+(1-EXP(-LN(2)/25))/(LN(2)/25)*Calculateur!GH102*Calculateur!GJ102*VLOOKUP('Données projet'!$B$17,Paramètres!$A$1:$I$89,3,0)*0.475*44/12</f>
        <v>13.266089757212516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47.377291636271579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5.4683368944097308E-14</v>
      </c>
      <c r="P103" s="13">
        <f t="shared" si="87"/>
        <v>8.8129432816788268E-13</v>
      </c>
      <c r="Q103" s="20">
        <f t="shared" si="107"/>
        <v>1.6301611558033651E-12</v>
      </c>
      <c r="R103" s="59">
        <f t="shared" si="55"/>
        <v>293.33333333333496</v>
      </c>
      <c r="S103" s="59">
        <f ca="1">AVERAGE(OFFSET($R$3,0,0,'Données projet'!$E$9+1,1))-AVERAGE(OFFSET($H$3,0,0,'Données projet'!$E$9+1,1))</f>
        <v>226.41956082453015</v>
      </c>
      <c r="T103" s="59">
        <f t="shared" si="88"/>
        <v>317.95076157570446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5.6367521333333315</v>
      </c>
      <c r="AI103" s="13">
        <f>IF('Données projet'!$A$62&gt;35,AI102+AH103-AQ102,IF(A103&lt;'Données projet'!$A$62,$AF$205^A103,IF(A103='Données projet'!$A$62,'Données projet'!$B$62,AI102+AH103-AQ102)))</f>
        <v>233.95085473333359</v>
      </c>
      <c r="AJ103" s="13">
        <f>AI103*VLOOKUP('Données projet'!$B$10,Paramètres!$A$1:$I$89,3,0)*VLOOKUP('Données projet'!$B$10,Paramètres!$A$1:$I$89,5,0)</f>
        <v>200.72983336120024</v>
      </c>
      <c r="AK103" s="13">
        <f t="shared" si="89"/>
        <v>49.904528989494729</v>
      </c>
      <c r="AL103" s="20">
        <f t="shared" si="58"/>
        <v>436.52151442746043</v>
      </c>
      <c r="AM103" s="59">
        <f t="shared" si="59"/>
        <v>729.85484776079375</v>
      </c>
      <c r="AN103" s="59">
        <f ca="1">AVERAGE(OFFSET($AM$3,0,0,'Données projet'!$E$10+1,1))-AVERAGE(OFFSET($H$3,0,0,'Données projet'!$E$10+1,1))</f>
        <v>257.80662231827404</v>
      </c>
      <c r="AO103" s="59">
        <f t="shared" si="90"/>
        <v>184.04558520039876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-4.5474735088646412E-13</v>
      </c>
      <c r="BE103" s="13">
        <f>BD103*VLOOKUP('Données projet'!$B$11,Paramètres!$A$1:$I$89,3,0)*VLOOKUP('Données projet'!$B$11,Paramètres!$A$1:$I$89,5,0)</f>
        <v>-2.5420376914553347E-13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300.90952915835157</v>
      </c>
      <c r="BJ103" s="59">
        <f t="shared" si="92"/>
        <v>402.81783992925256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92.967409011376674</v>
      </c>
      <c r="BQ103" s="21">
        <f>EXP(-LN(2)/25)*BQ102+(1-EXP(-LN(2)/25))/(LN(2)/25)*Calculateur!BL103*Calculateur!BN103*VLOOKUP('Données projet'!$B$11,Paramètres!$A$1:$I$89,3,0)*0.475*44/12</f>
        <v>16.721090144088841</v>
      </c>
      <c r="BR103" s="21">
        <f>EXP(-LN(2)/2)*BR102+(1-EXP(-LN(2)/2))/(LN(2)/2)*BL103*BO103*VLOOKUP('Données projet'!$B$11,Paramètres!$A$1:$I$89,3,0)*0.475*44/12</f>
        <v>5.6719052730461335E-6</v>
      </c>
      <c r="BS103" s="22">
        <f t="shared" si="63"/>
        <v>109.68850482737078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-2.8421709430404007E-13</v>
      </c>
      <c r="BZ103" s="13">
        <f>BY103*VLOOKUP('Données projet'!$B$12,Paramètres!$A$1:$I$89,3,0)*VLOOKUP('Données projet'!$B$12,Paramètres!$A$1:$I$89,5,0)</f>
        <v>-1.4040324458619578E-13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246.05217890269194</v>
      </c>
      <c r="CE103" s="59">
        <f t="shared" si="94"/>
        <v>155.54297071424327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200.63476688296663</v>
      </c>
      <c r="CL103" s="21">
        <f>EXP(-LN(2)/25)*CL102+(1-EXP(-LN(2)/25))/(LN(2)/25)*Calculateur!CG103*Calculateur!CI103*VLOOKUP('Données projet'!$B$12,Paramètres!$A$1:$I$89,3,0)*0.475*44/12</f>
        <v>51.368176764275994</v>
      </c>
      <c r="CM103" s="21">
        <f>EXP(-LN(2)/2)*CM102+(1-EXP(-LN(2)/2))/(LN(2)/2)*CG103*CJ103*VLOOKUP('Données projet'!$B$12,Paramètres!$A$1:$I$89,3,0)*0.475*44/12</f>
        <v>25.726269200128556</v>
      </c>
      <c r="CN103" s="22">
        <f t="shared" si="66"/>
        <v>277.72921284737117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-3.4106051316484809E-13</v>
      </c>
      <c r="CU103" s="17">
        <f>CT103*VLOOKUP('Données projet'!$B$13,Paramètres!$A$1:$I$89,3,0)*VLOOKUP('Données projet'!$B$13,Paramètres!$A$1:$I$89,5,0)</f>
        <v>-2.0395418687257919E-13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237.036496933921</v>
      </c>
      <c r="CZ103" s="59">
        <f t="shared" si="96"/>
        <v>191.04289413665344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95.725530978424644</v>
      </c>
      <c r="DG103" s="21">
        <f>EXP(-LN(2)/25)*DG102+(1-EXP(-LN(2)/25))/(LN(2)/25)*Calculateur!DB103*Calculateur!DD103*VLOOKUP('Données projet'!$B$13,Paramètres!$A$1:$I$89,3,0)*0.475*44/12</f>
        <v>19.870543895891885</v>
      </c>
      <c r="DH103" s="21">
        <f>EXP(-LN(2)/2)*DH102+(1-EXP(-LN(2)/2))/(LN(2)/2)*DB103*DE103*VLOOKUP('Données projet'!$B$13,Paramètres!$A$1:$I$89,3,0)*0.475*44/12</f>
        <v>3.4778830768845213E-2</v>
      </c>
      <c r="DI103" s="22">
        <f t="shared" si="69"/>
        <v>115.63085370508537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247.6307692</v>
      </c>
      <c r="DM103" s="12">
        <f>VLOOKUP(A103,'Données projet'!$A$165:$I$185,9,0)</f>
        <v>5.1538461520000025</v>
      </c>
      <c r="DN103" s="12">
        <f t="array" ref="DN103">INDEX(DM:DM,MIN(IF(ISNUMBER(DM103:DM299),ROW(DM103:DM299),"")))</f>
        <v>5.1538461520000025</v>
      </c>
      <c r="DO103" s="12">
        <f>IF('Données projet'!$A$166&gt;35,DO102+DN103-DW102,IF(A103&lt;'Données projet'!$A$166,$DL$205^A103,IF(A103='Données projet'!$A$166,'Données projet'!$B$166,DO102+DN103-DW102)))</f>
        <v>247.63076919999972</v>
      </c>
      <c r="DP103" s="17">
        <f>DO103*VLOOKUP('Données projet'!$B$14,Paramètres!$A$1:$I$89,3,0)*VLOOKUP('Données projet'!$B$14,Paramètres!$A$1:$I$89,5,0)</f>
        <v>148.08319998159985</v>
      </c>
      <c r="DQ103" s="13">
        <f t="shared" si="97"/>
        <v>38.142660423928959</v>
      </c>
      <c r="DR103" s="20">
        <f t="shared" si="70"/>
        <v>324.34337353962934</v>
      </c>
      <c r="DS103" s="59">
        <f t="shared" si="71"/>
        <v>617.67670687296265</v>
      </c>
      <c r="DT103" s="59">
        <f ca="1">AVERAGE(OFFSET($DS$3,0,0,'Données projet'!$E$14+1,1))-AVERAGE(OFFSET($H$3,0,0,'Données projet'!$E$14+1,1))</f>
        <v>148.22129593028302</v>
      </c>
      <c r="DU103" s="59">
        <f t="shared" si="98"/>
        <v>102.97015482019975</v>
      </c>
      <c r="DV103" s="15">
        <f>IF(ISNA(VLOOKUP(A103,'Données projet'!$A$165:$I$185,3,0)),0,VLOOKUP(A103,'Données projet'!$A$165:$I$185,3,0))</f>
        <v>5</v>
      </c>
      <c r="DW103" s="15">
        <f>IF(ISNA(VLOOKUP(A103,'Données projet'!$A$165:$I$185,4,0)),0,VLOOKUP(A103,'Données projet'!$A$165:$I$185,4,0))</f>
        <v>79.523076919999994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233.89079999999998</v>
      </c>
      <c r="EL103" s="13">
        <f t="shared" si="99"/>
        <v>57.123140349023068</v>
      </c>
      <c r="EM103" s="20">
        <f t="shared" si="73"/>
        <v>506.84927944121517</v>
      </c>
      <c r="EN103" s="59">
        <f t="shared" si="74"/>
        <v>800.18261277454849</v>
      </c>
      <c r="EO103" s="59">
        <f ca="1">AVERAGE(OFFSET($EN$3,0,0,'Données projet'!$E$15+1,1))-AVERAGE(OFFSET($H$3,0,0,'Données projet'!$E$15+1,1))</f>
        <v>278.53123771916404</v>
      </c>
      <c r="EP103" s="59">
        <f t="shared" si="100"/>
        <v>283.79094702030869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22.53075764326142</v>
      </c>
      <c r="EW103" s="21">
        <f>EXP(-LN(2)/25)*EW102+(1-EXP(-LN(2)/25))/(LN(2)/25)*Calculateur!ER103*Calculateur!ET103*VLOOKUP('Données projet'!$B$15,Paramètres!$A$1:$I$89,3,0)*0.475*44/12</f>
        <v>3.2402523114579913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25.77100995471941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6.071794871794876</v>
      </c>
      <c r="FE103" s="12">
        <f>IF('Données projet'!$A$218&gt;35,FE102+FD103-FM102,IF(A103&lt;'Données projet'!$A$218,$FB$205^A103,IF(A103='Données projet'!$A$218,'Données projet'!$B$218,FE102+FD103-FM102)))</f>
        <v>255.43076923076927</v>
      </c>
      <c r="FF103" s="17">
        <f>FE103*VLOOKUP('Données projet'!$B$16,Paramètres!$A$1:$I$89,3,0)*VLOOKUP('Données projet'!$B$16,Paramètres!$A$1:$I$89,5,0)</f>
        <v>231.11376000000004</v>
      </c>
      <c r="FG103" s="13">
        <f t="shared" si="101"/>
        <v>56.523434734348982</v>
      </c>
      <c r="FH103" s="20">
        <f t="shared" si="76"/>
        <v>500.96811416232453</v>
      </c>
      <c r="FI103" s="59">
        <f t="shared" si="77"/>
        <v>794.30144749565784</v>
      </c>
      <c r="FJ103" s="59">
        <f ca="1">AVERAGE(OFFSET($FI$3,0,0,'Données projet'!$E$16+1,1))-AVERAGE(OFFSET($H$3,0,0,'Données projet'!$E$16+1,1))</f>
        <v>335.99493768537013</v>
      </c>
      <c r="FK103" s="59">
        <f t="shared" si="102"/>
        <v>150.85164849522778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22.993678658947253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22.993678658947253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273</v>
      </c>
      <c r="FX103" s="12">
        <f>VLOOKUP(A103,'Données projet'!$A$243:$I$263,9,0)</f>
        <v>3.2</v>
      </c>
      <c r="FY103" s="12">
        <f t="array" ref="FY103">INDEX(FX:FX,MIN(IF(ISNUMBER(FX103:FX299),ROW(FX103:FX299),"")))</f>
        <v>3.2</v>
      </c>
      <c r="FZ103" s="12">
        <f>IF('Données projet'!$A$244&gt;35,FZ102+FY103-GH102,IF(A103&lt;'Données projet'!$A$244,$FW$205^A103,IF(A103='Données projet'!$A$244,'Données projet'!$B$244,FZ102+FY103-GH102)))</f>
        <v>272.99999999999983</v>
      </c>
      <c r="GA103" s="17">
        <f>FZ103*VLOOKUP('Données projet'!$B$17,Paramètres!$A$1:$I$89,3,0)*VLOOKUP('Données projet'!$B$17,Paramètres!$A$1:$I$89,5,0)</f>
        <v>238.49279999999987</v>
      </c>
      <c r="GB103" s="13">
        <f t="shared" si="103"/>
        <v>58.115130258576542</v>
      </c>
      <c r="GC103" s="20">
        <f t="shared" si="79"/>
        <v>516.59214520035391</v>
      </c>
      <c r="GD103" s="59">
        <f t="shared" si="80"/>
        <v>809.92547853368728</v>
      </c>
      <c r="GE103" s="59">
        <f ca="1">AVERAGE(OFFSET($GD$3,0,0,'Données projet'!$E$17+1,1))-AVERAGE(OFFSET($H$3,0,0,'Données projet'!$E$17+1,1))</f>
        <v>319.57811113658374</v>
      </c>
      <c r="GF103" s="59">
        <f t="shared" si="104"/>
        <v>322.03572137403245</v>
      </c>
      <c r="GG103" s="15">
        <f>IF(ISNA(VLOOKUP(A103,'Données projet'!$A$243:$I$263,3,0)),0,VLOOKUP(A103,'Données projet'!$A$243:$I$263,3,0))</f>
        <v>17</v>
      </c>
      <c r="GH103" s="15" t="str">
        <f>IF(ISNA(VLOOKUP(A103,'Données projet'!$A$243:$I$263,4,0)),0,VLOOKUP(A103,'Données projet'!$A$243:$I$263,4,0))</f>
        <v>13</v>
      </c>
      <c r="GI103" s="16">
        <f>IF(ISNA(VLOOKUP(A103,'Données projet'!$A$243:$I$263,5,0)),0%,VLOOKUP(A103,'Données projet'!$A$243:$I$263,5,0)*VLOOKUP('Données projet'!$B$17,Paramètres!$A$1:$I$89,7,0))</f>
        <v>0.34400000000000003</v>
      </c>
      <c r="GJ103" s="16">
        <f>IF(ISNA(VLOOKUP(A103,'Données projet'!$A$243:$I$263,6,0)),0%,VLOOKUP(A103,'Données projet'!$A$243:$I$263,6,0)*VLOOKUP('Données projet'!$B$17,Paramètres!$A$1:$I$89,7,0))</f>
        <v>4.3000000000000003E-2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37.761086482149707</v>
      </c>
      <c r="GM103" s="21">
        <f>EXP(-LN(2)/25)*GM102+(1-EXP(-LN(2)/25))/(LN(2)/25)*Calculateur!GH103*Calculateur!GJ103*VLOOKUP('Données projet'!$B$17,Paramètres!$A$1:$I$89,3,0)*0.475*44/12</f>
        <v>13.441050305934585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51.202136788084289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5.4683368944097308E-14</v>
      </c>
      <c r="P104" s="13">
        <f t="shared" si="87"/>
        <v>8.8129432816788268E-13</v>
      </c>
      <c r="Q104" s="20">
        <f t="shared" si="107"/>
        <v>1.6301611558033651E-12</v>
      </c>
      <c r="R104" s="59">
        <f t="shared" si="55"/>
        <v>293.33333333333496</v>
      </c>
      <c r="S104" s="59">
        <f ca="1">AVERAGE(OFFSET($R$3,0,0,'Données projet'!$E$9+1,1))-AVERAGE(OFFSET($H$3,0,0,'Données projet'!$E$9+1,1))</f>
        <v>226.41956082453015</v>
      </c>
      <c r="T104" s="59">
        <f t="shared" si="88"/>
        <v>317.95076157570446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5.6367521333333315</v>
      </c>
      <c r="AI104" s="13">
        <f>IF('Données projet'!$A$62&gt;35,AI103+AH104-AQ103,IF(A104&lt;'Données projet'!$A$62,$AF$205^A104,IF(A104='Données projet'!$A$62,'Données projet'!$B$62,AI103+AH104-AQ103)))</f>
        <v>239.58760686666693</v>
      </c>
      <c r="AJ104" s="13">
        <f>AI104*VLOOKUP('Données projet'!$B$10,Paramètres!$A$1:$I$89,3,0)*VLOOKUP('Données projet'!$B$10,Paramètres!$A$1:$I$89,5,0)</f>
        <v>205.56616669160024</v>
      </c>
      <c r="AK104" s="13">
        <f t="shared" si="89"/>
        <v>50.965481511891845</v>
      </c>
      <c r="AL104" s="20">
        <f t="shared" si="58"/>
        <v>446.79262062108199</v>
      </c>
      <c r="AM104" s="59">
        <f t="shared" si="59"/>
        <v>740.12595395441531</v>
      </c>
      <c r="AN104" s="59">
        <f ca="1">AVERAGE(OFFSET($AM$3,0,0,'Données projet'!$E$10+1,1))-AVERAGE(OFFSET($H$3,0,0,'Données projet'!$E$10+1,1))</f>
        <v>257.80662231827404</v>
      </c>
      <c r="AO104" s="59">
        <f t="shared" si="90"/>
        <v>184.04558520039876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-4.5474735088646412E-13</v>
      </c>
      <c r="BE104" s="13">
        <f>BD104*VLOOKUP('Données projet'!$B$11,Paramètres!$A$1:$I$89,3,0)*VLOOKUP('Données projet'!$B$11,Paramètres!$A$1:$I$89,5,0)</f>
        <v>-2.5420376914553347E-13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300.90952915835157</v>
      </c>
      <c r="BJ104" s="59">
        <f t="shared" si="92"/>
        <v>402.81783992925256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91.144374825183974</v>
      </c>
      <c r="BQ104" s="21">
        <f>EXP(-LN(2)/25)*BQ103+(1-EXP(-LN(2)/25))/(LN(2)/25)*Calculateur!BL104*Calculateur!BN104*VLOOKUP('Données projet'!$B$11,Paramètres!$A$1:$I$89,3,0)*0.475*44/12</f>
        <v>16.263851054774818</v>
      </c>
      <c r="BR104" s="21">
        <f>EXP(-LN(2)/2)*BR103+(1-EXP(-LN(2)/2))/(LN(2)/2)*BL104*BO104*VLOOKUP('Données projet'!$B$11,Paramètres!$A$1:$I$89,3,0)*0.475*44/12</f>
        <v>4.0106426808186573E-6</v>
      </c>
      <c r="BS104" s="22">
        <f t="shared" si="63"/>
        <v>107.40822989060148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-2.8421709430404007E-13</v>
      </c>
      <c r="BZ104" s="13">
        <f>BY104*VLOOKUP('Données projet'!$B$12,Paramètres!$A$1:$I$89,3,0)*VLOOKUP('Données projet'!$B$12,Paramètres!$A$1:$I$89,5,0)</f>
        <v>-1.4040324458619578E-13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246.05217890269194</v>
      </c>
      <c r="CE104" s="59">
        <f t="shared" si="94"/>
        <v>155.54297071424327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196.70044147951592</v>
      </c>
      <c r="CL104" s="21">
        <f>EXP(-LN(2)/25)*CL103+(1-EXP(-LN(2)/25))/(LN(2)/25)*Calculateur!CG104*Calculateur!CI104*VLOOKUP('Données projet'!$B$12,Paramètres!$A$1:$I$89,3,0)*0.475*44/12</f>
        <v>49.963511269321856</v>
      </c>
      <c r="CM104" s="21">
        <f>EXP(-LN(2)/2)*CM103+(1-EXP(-LN(2)/2))/(LN(2)/2)*CG104*CJ104*VLOOKUP('Données projet'!$B$12,Paramètres!$A$1:$I$89,3,0)*0.475*44/12</f>
        <v>18.191219406041522</v>
      </c>
      <c r="CN104" s="22">
        <f t="shared" si="66"/>
        <v>264.85517215487931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-3.4106051316484809E-13</v>
      </c>
      <c r="CU104" s="17">
        <f>CT104*VLOOKUP('Données projet'!$B$13,Paramètres!$A$1:$I$89,3,0)*VLOOKUP('Données projet'!$B$13,Paramètres!$A$1:$I$89,5,0)</f>
        <v>-2.0395418687257919E-13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237.036496933921</v>
      </c>
      <c r="CZ104" s="59">
        <f t="shared" si="96"/>
        <v>191.04289413665344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93.848411702746418</v>
      </c>
      <c r="DG104" s="21">
        <f>EXP(-LN(2)/25)*DG103+(1-EXP(-LN(2)/25))/(LN(2)/25)*Calculateur!DB104*Calculateur!DD104*VLOOKUP('Données projet'!$B$13,Paramètres!$A$1:$I$89,3,0)*0.475*44/12</f>
        <v>19.327182828112232</v>
      </c>
      <c r="DH104" s="21">
        <f>EXP(-LN(2)/2)*DH103+(1-EXP(-LN(2)/2))/(LN(2)/2)*DB104*DE104*VLOOKUP('Données projet'!$B$13,Paramètres!$A$1:$I$89,3,0)*0.475*44/12</f>
        <v>2.4592347078389799E-2</v>
      </c>
      <c r="DI104" s="22">
        <f t="shared" si="69"/>
        <v>113.20018687793704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4.5361538519999982</v>
      </c>
      <c r="DO104" s="12">
        <f>IF('Données projet'!$A$166&gt;35,DO103+DN104-DW103,IF(A104&lt;'Données projet'!$A$166,$DL$205^A104,IF(A104='Données projet'!$A$166,'Données projet'!$B$166,DO103+DN104-DW103)))</f>
        <v>172.64384613199974</v>
      </c>
      <c r="DP104" s="17">
        <f>DO104*VLOOKUP('Données projet'!$B$14,Paramètres!$A$1:$I$89,3,0)*VLOOKUP('Données projet'!$B$14,Paramètres!$A$1:$I$89,5,0)</f>
        <v>103.24101998693585</v>
      </c>
      <c r="DQ104" s="13">
        <f t="shared" si="97"/>
        <v>27.732686693165903</v>
      </c>
      <c r="DR104" s="20">
        <f t="shared" si="70"/>
        <v>228.11253913451057</v>
      </c>
      <c r="DS104" s="59">
        <f t="shared" si="71"/>
        <v>521.44587246784386</v>
      </c>
      <c r="DT104" s="59">
        <f ca="1">AVERAGE(OFFSET($DS$3,0,0,'Données projet'!$E$14+1,1))-AVERAGE(OFFSET($H$3,0,0,'Données projet'!$E$14+1,1))</f>
        <v>148.22129593028302</v>
      </c>
      <c r="DU104" s="59">
        <f t="shared" si="98"/>
        <v>102.97015482019975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233.89079999999998</v>
      </c>
      <c r="EL104" s="13">
        <f t="shared" si="99"/>
        <v>57.123140349023068</v>
      </c>
      <c r="EM104" s="20">
        <f t="shared" si="73"/>
        <v>506.84927944121517</v>
      </c>
      <c r="EN104" s="59">
        <f t="shared" si="74"/>
        <v>800.18261277454849</v>
      </c>
      <c r="EO104" s="59">
        <f ca="1">AVERAGE(OFFSET($EN$3,0,0,'Données projet'!$E$15+1,1))-AVERAGE(OFFSET($H$3,0,0,'Données projet'!$E$15+1,1))</f>
        <v>278.53123771916404</v>
      </c>
      <c r="EP104" s="59">
        <f t="shared" si="100"/>
        <v>283.79094702030869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22.088943228282275</v>
      </c>
      <c r="EW104" s="21">
        <f>EXP(-LN(2)/25)*EW103+(1-EXP(-LN(2)/25))/(LN(2)/25)*Calculateur!ER104*Calculateur!ET104*VLOOKUP('Données projet'!$B$15,Paramètres!$A$1:$I$89,3,0)*0.475*44/12</f>
        <v>3.1516474416037092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25.240590669885986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6.071794871794876</v>
      </c>
      <c r="FE104" s="12">
        <f>IF('Données projet'!$A$218&gt;35,FE103+FD104-FM103,IF(A104&lt;'Données projet'!$A$218,$FB$205^A104,IF(A104='Données projet'!$A$218,'Données projet'!$B$218,FE103+FD104-FM103)))</f>
        <v>261.50256410256412</v>
      </c>
      <c r="FF104" s="17">
        <f>FE104*VLOOKUP('Données projet'!$B$16,Paramètres!$A$1:$I$89,3,0)*VLOOKUP('Données projet'!$B$16,Paramètres!$A$1:$I$89,5,0)</f>
        <v>236.60751999999999</v>
      </c>
      <c r="FG104" s="13">
        <f t="shared" si="101"/>
        <v>57.709018223048304</v>
      </c>
      <c r="FH104" s="20">
        <f t="shared" si="76"/>
        <v>512.60130407180907</v>
      </c>
      <c r="FI104" s="59">
        <f t="shared" si="77"/>
        <v>805.93463740514244</v>
      </c>
      <c r="FJ104" s="59">
        <f ca="1">AVERAGE(OFFSET($FI$3,0,0,'Données projet'!$E$16+1,1))-AVERAGE(OFFSET($H$3,0,0,'Données projet'!$E$16+1,1))</f>
        <v>335.99493768537013</v>
      </c>
      <c r="FK104" s="59">
        <f t="shared" si="102"/>
        <v>150.85164849522778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22.542786645204451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22.542786645204451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259.99999999999983</v>
      </c>
      <c r="GA104" s="17">
        <f>FZ104*VLOOKUP('Données projet'!$B$17,Paramètres!$A$1:$I$89,3,0)*VLOOKUP('Données projet'!$B$17,Paramètres!$A$1:$I$89,5,0)</f>
        <v>227.13599999999985</v>
      </c>
      <c r="GB104" s="13">
        <f t="shared" si="103"/>
        <v>55.662966886685133</v>
      </c>
      <c r="GC104" s="20">
        <f t="shared" si="79"/>
        <v>492.5415339943097</v>
      </c>
      <c r="GD104" s="59">
        <f t="shared" si="80"/>
        <v>785.87486732764296</v>
      </c>
      <c r="GE104" s="59">
        <f ca="1">AVERAGE(OFFSET($GD$3,0,0,'Données projet'!$E$17+1,1))-AVERAGE(OFFSET($H$3,0,0,'Données projet'!$E$17+1,1))</f>
        <v>319.57811113658374</v>
      </c>
      <c r="GF104" s="59">
        <f t="shared" si="104"/>
        <v>322.03572137403245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37.020614608223283</v>
      </c>
      <c r="GM104" s="21">
        <f>EXP(-LN(2)/25)*GM103+(1-EXP(-LN(2)/25))/(LN(2)/25)*Calculateur!GH104*Calculateur!GJ104*VLOOKUP('Données projet'!$B$17,Paramètres!$A$1:$I$89,3,0)*0.475*44/12</f>
        <v>13.073504078484689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50.094118686707972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5.4683368944097308E-14</v>
      </c>
      <c r="P105" s="13">
        <f t="shared" si="87"/>
        <v>8.8129432816788268E-13</v>
      </c>
      <c r="Q105" s="20">
        <f t="shared" si="107"/>
        <v>1.6301611558033651E-12</v>
      </c>
      <c r="R105" s="59">
        <f t="shared" si="55"/>
        <v>293.33333333333496</v>
      </c>
      <c r="S105" s="59">
        <f ca="1">AVERAGE(OFFSET($R$3,0,0,'Données projet'!$E$9+1,1))-AVERAGE(OFFSET($H$3,0,0,'Données projet'!$E$9+1,1))</f>
        <v>226.41956082453015</v>
      </c>
      <c r="T105" s="59">
        <f t="shared" si="88"/>
        <v>317.95076157570446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5.6367521333333315</v>
      </c>
      <c r="AI105" s="13">
        <f>IF('Données projet'!$A$62&gt;35,AI104+AH105-AQ104,IF(A105&lt;'Données projet'!$A$62,$AF$205^A105,IF(A105='Données projet'!$A$62,'Données projet'!$B$62,AI104+AH105-AQ104)))</f>
        <v>245.22435900000028</v>
      </c>
      <c r="AJ105" s="13">
        <f>AI105*VLOOKUP('Données projet'!$B$10,Paramètres!$A$1:$I$89,3,0)*VLOOKUP('Données projet'!$B$10,Paramètres!$A$1:$I$89,5,0)</f>
        <v>210.40250002200028</v>
      </c>
      <c r="AK105" s="13">
        <f t="shared" si="89"/>
        <v>52.023532275317145</v>
      </c>
      <c r="AL105" s="20">
        <f t="shared" si="58"/>
        <v>457.05867291782783</v>
      </c>
      <c r="AM105" s="59">
        <f t="shared" si="59"/>
        <v>750.39200625116109</v>
      </c>
      <c r="AN105" s="59">
        <f ca="1">AVERAGE(OFFSET($AM$3,0,0,'Données projet'!$E$10+1,1))-AVERAGE(OFFSET($H$3,0,0,'Données projet'!$E$10+1,1))</f>
        <v>257.80662231827404</v>
      </c>
      <c r="AO105" s="59">
        <f t="shared" si="90"/>
        <v>184.04558520039876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-4.5474735088646412E-13</v>
      </c>
      <c r="BE105" s="13">
        <f>BD105*VLOOKUP('Données projet'!$B$11,Paramètres!$A$1:$I$89,3,0)*VLOOKUP('Données projet'!$B$11,Paramètres!$A$1:$I$89,5,0)</f>
        <v>-2.5420376914553347E-13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300.90952915835157</v>
      </c>
      <c r="BJ105" s="59">
        <f t="shared" si="92"/>
        <v>402.81783992925256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89.357089227441449</v>
      </c>
      <c r="BQ105" s="21">
        <f>EXP(-LN(2)/25)*BQ104+(1-EXP(-LN(2)/25))/(LN(2)/25)*Calculateur!BL105*Calculateur!BN105*VLOOKUP('Données projet'!$B$11,Paramètres!$A$1:$I$89,3,0)*0.475*44/12</f>
        <v>15.819115192403245</v>
      </c>
      <c r="BR105" s="21">
        <f>EXP(-LN(2)/2)*BR104+(1-EXP(-LN(2)/2))/(LN(2)/2)*BL105*BO105*VLOOKUP('Données projet'!$B$11,Paramètres!$A$1:$I$89,3,0)*0.475*44/12</f>
        <v>2.8359526365230667E-6</v>
      </c>
      <c r="BS105" s="22">
        <f t="shared" si="63"/>
        <v>105.17620725579734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-2.8421709430404007E-13</v>
      </c>
      <c r="BZ105" s="13">
        <f>BY105*VLOOKUP('Données projet'!$B$12,Paramètres!$A$1:$I$89,3,0)*VLOOKUP('Données projet'!$B$12,Paramètres!$A$1:$I$89,5,0)</f>
        <v>-1.4040324458619578E-13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246.05217890269194</v>
      </c>
      <c r="CE105" s="59">
        <f t="shared" si="94"/>
        <v>155.54297071424327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192.84326579752533</v>
      </c>
      <c r="CL105" s="21">
        <f>EXP(-LN(2)/25)*CL104+(1-EXP(-LN(2)/25))/(LN(2)/25)*Calculateur!CG105*Calculateur!CI105*VLOOKUP('Données projet'!$B$12,Paramètres!$A$1:$I$89,3,0)*0.475*44/12</f>
        <v>48.597256426195386</v>
      </c>
      <c r="CM105" s="21">
        <f>EXP(-LN(2)/2)*CM104+(1-EXP(-LN(2)/2))/(LN(2)/2)*CG105*CJ105*VLOOKUP('Données projet'!$B$12,Paramètres!$A$1:$I$89,3,0)*0.475*44/12</f>
        <v>12.863134600064281</v>
      </c>
      <c r="CN105" s="22">
        <f t="shared" si="66"/>
        <v>254.30365682378502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-3.4106051316484809E-13</v>
      </c>
      <c r="CU105" s="17">
        <f>CT105*VLOOKUP('Données projet'!$B$13,Paramètres!$A$1:$I$89,3,0)*VLOOKUP('Données projet'!$B$13,Paramètres!$A$1:$I$89,5,0)</f>
        <v>-2.0395418687257919E-13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237.036496933921</v>
      </c>
      <c r="CZ105" s="59">
        <f t="shared" si="96"/>
        <v>191.04289413665344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92.008101591134533</v>
      </c>
      <c r="DG105" s="21">
        <f>EXP(-LN(2)/25)*DG104+(1-EXP(-LN(2)/25))/(LN(2)/25)*Calculateur!DB105*Calculateur!DD105*VLOOKUP('Données projet'!$B$13,Paramètres!$A$1:$I$89,3,0)*0.475*44/12</f>
        <v>18.798679997305129</v>
      </c>
      <c r="DH105" s="21">
        <f>EXP(-LN(2)/2)*DH104+(1-EXP(-LN(2)/2))/(LN(2)/2)*DB105*DE105*VLOOKUP('Données projet'!$B$13,Paramètres!$A$1:$I$89,3,0)*0.475*44/12</f>
        <v>1.7389415384422607E-2</v>
      </c>
      <c r="DI105" s="22">
        <f t="shared" si="69"/>
        <v>110.82417100382409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4.5361538519999982</v>
      </c>
      <c r="DO105" s="12">
        <f>IF('Données projet'!$A$166&gt;35,DO104+DN105-DW104,IF(A105&lt;'Données projet'!$A$166,$DL$205^A105,IF(A105='Données projet'!$A$166,'Données projet'!$B$166,DO104+DN105-DW104)))</f>
        <v>177.17999998399972</v>
      </c>
      <c r="DP105" s="17">
        <f>DO105*VLOOKUP('Données projet'!$B$14,Paramètres!$A$1:$I$89,3,0)*VLOOKUP('Données projet'!$B$14,Paramètres!$A$1:$I$89,5,0)</f>
        <v>105.95363999043185</v>
      </c>
      <c r="DQ105" s="13">
        <f t="shared" si="97"/>
        <v>28.375561069545526</v>
      </c>
      <c r="DR105" s="20">
        <f t="shared" si="70"/>
        <v>233.95669184612726</v>
      </c>
      <c r="DS105" s="59">
        <f t="shared" si="71"/>
        <v>527.2900251794606</v>
      </c>
      <c r="DT105" s="59">
        <f ca="1">AVERAGE(OFFSET($DS$3,0,0,'Données projet'!$E$14+1,1))-AVERAGE(OFFSET($H$3,0,0,'Données projet'!$E$14+1,1))</f>
        <v>148.22129593028302</v>
      </c>
      <c r="DU105" s="59">
        <f t="shared" si="98"/>
        <v>102.97015482019975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233.89079999999998</v>
      </c>
      <c r="EL105" s="13">
        <f t="shared" si="99"/>
        <v>57.123140349023068</v>
      </c>
      <c r="EM105" s="20">
        <f t="shared" si="73"/>
        <v>506.84927944121517</v>
      </c>
      <c r="EN105" s="59">
        <f t="shared" si="74"/>
        <v>800.18261277454849</v>
      </c>
      <c r="EO105" s="59">
        <f ca="1">AVERAGE(OFFSET($EN$3,0,0,'Données projet'!$E$15+1,1))-AVERAGE(OFFSET($H$3,0,0,'Données projet'!$E$15+1,1))</f>
        <v>278.53123771916404</v>
      </c>
      <c r="EP105" s="59">
        <f t="shared" si="100"/>
        <v>283.79094702030869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21.65579252450069</v>
      </c>
      <c r="EW105" s="21">
        <f>EXP(-LN(2)/25)*EW104+(1-EXP(-LN(2)/25))/(LN(2)/25)*Calculateur!ER105*Calculateur!ET105*VLOOKUP('Données projet'!$B$15,Paramètres!$A$1:$I$89,3,0)*0.475*44/12</f>
        <v>3.0654654765751199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24.72125800107581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6.071794871794876</v>
      </c>
      <c r="FE105" s="12">
        <f>IF('Données projet'!$A$218&gt;35,FE104+FD105-FM104,IF(A105&lt;'Données projet'!$A$218,$FB$205^A105,IF(A105='Données projet'!$A$218,'Données projet'!$B$218,FE104+FD105-FM104)))</f>
        <v>267.57435897435897</v>
      </c>
      <c r="FF105" s="17">
        <f>FE105*VLOOKUP('Données projet'!$B$16,Paramètres!$A$1:$I$89,3,0)*VLOOKUP('Données projet'!$B$16,Paramètres!$A$1:$I$89,5,0)</f>
        <v>242.10128</v>
      </c>
      <c r="FG105" s="13">
        <f t="shared" si="101"/>
        <v>58.891401484926774</v>
      </c>
      <c r="FH105" s="20">
        <f t="shared" si="76"/>
        <v>524.22892025291412</v>
      </c>
      <c r="FI105" s="59">
        <f t="shared" si="77"/>
        <v>817.56225358624738</v>
      </c>
      <c r="FJ105" s="59">
        <f ca="1">AVERAGE(OFFSET($FI$3,0,0,'Données projet'!$E$16+1,1))-AVERAGE(OFFSET($H$3,0,0,'Données projet'!$E$16+1,1))</f>
        <v>335.99493768537013</v>
      </c>
      <c r="FK105" s="59">
        <f t="shared" si="102"/>
        <v>150.85164849522778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22.100736348834172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22.100736348834172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259.99999999999983</v>
      </c>
      <c r="GA105" s="17">
        <f>FZ105*VLOOKUP('Données projet'!$B$17,Paramètres!$A$1:$I$89,3,0)*VLOOKUP('Données projet'!$B$17,Paramètres!$A$1:$I$89,5,0)</f>
        <v>227.13599999999985</v>
      </c>
      <c r="GB105" s="13">
        <f t="shared" si="103"/>
        <v>55.662966886685133</v>
      </c>
      <c r="GC105" s="20">
        <f t="shared" si="79"/>
        <v>492.5415339943097</v>
      </c>
      <c r="GD105" s="59">
        <f t="shared" si="80"/>
        <v>785.87486732764296</v>
      </c>
      <c r="GE105" s="59">
        <f ca="1">AVERAGE(OFFSET($GD$3,0,0,'Données projet'!$E$17+1,1))-AVERAGE(OFFSET($H$3,0,0,'Données projet'!$E$17+1,1))</f>
        <v>319.57811113658374</v>
      </c>
      <c r="GF105" s="59">
        <f t="shared" si="104"/>
        <v>322.03572137403245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36.294662936101311</v>
      </c>
      <c r="GM105" s="21">
        <f>EXP(-LN(2)/25)*GM104+(1-EXP(-LN(2)/25))/(LN(2)/25)*Calculateur!GH105*Calculateur!GJ105*VLOOKUP('Données projet'!$B$17,Paramètres!$A$1:$I$89,3,0)*0.475*44/12</f>
        <v>12.716008421952825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49.01067135805414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5.4683368944097308E-14</v>
      </c>
      <c r="P106" s="13">
        <f t="shared" si="87"/>
        <v>8.8129432816788268E-13</v>
      </c>
      <c r="Q106" s="20">
        <f t="shared" si="107"/>
        <v>1.6301611558033651E-12</v>
      </c>
      <c r="R106" s="59">
        <f t="shared" si="55"/>
        <v>293.33333333333496</v>
      </c>
      <c r="S106" s="59">
        <f ca="1">AVERAGE(OFFSET($R$3,0,0,'Données projet'!$E$9+1,1))-AVERAGE(OFFSET($H$3,0,0,'Données projet'!$E$9+1,1))</f>
        <v>226.41956082453015</v>
      </c>
      <c r="T106" s="59">
        <f t="shared" si="88"/>
        <v>317.95076157570446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5.6367521333333315</v>
      </c>
      <c r="AI106" s="13">
        <f>IF('Données projet'!$A$62&gt;35,AI105+AH106-AQ105,IF(A106&lt;'Données projet'!$A$62,$AF$205^A106,IF(A106='Données projet'!$A$62,'Données projet'!$B$62,AI105+AH106-AQ105)))</f>
        <v>250.86111113333362</v>
      </c>
      <c r="AJ106" s="13">
        <f>AI106*VLOOKUP('Données projet'!$B$10,Paramètres!$A$1:$I$89,3,0)*VLOOKUP('Données projet'!$B$10,Paramètres!$A$1:$I$89,5,0)</f>
        <v>215.23883335240029</v>
      </c>
      <c r="AK106" s="13">
        <f t="shared" si="89"/>
        <v>53.07875565750232</v>
      </c>
      <c r="AL106" s="20">
        <f t="shared" si="58"/>
        <v>467.31980085891377</v>
      </c>
      <c r="AM106" s="59">
        <f t="shared" si="59"/>
        <v>760.65313419224708</v>
      </c>
      <c r="AN106" s="59">
        <f ca="1">AVERAGE(OFFSET($AM$3,0,0,'Données projet'!$E$10+1,1))-AVERAGE(OFFSET($H$3,0,0,'Données projet'!$E$10+1,1))</f>
        <v>257.80662231827404</v>
      </c>
      <c r="AO106" s="59">
        <f t="shared" si="90"/>
        <v>184.04558520039876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-4.5474735088646412E-13</v>
      </c>
      <c r="BE106" s="13">
        <f>BD106*VLOOKUP('Données projet'!$B$11,Paramètres!$A$1:$I$89,3,0)*VLOOKUP('Données projet'!$B$11,Paramètres!$A$1:$I$89,5,0)</f>
        <v>-2.5420376914553347E-13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300.90952915835157</v>
      </c>
      <c r="BJ106" s="59">
        <f t="shared" si="92"/>
        <v>402.81783992925256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87.604851210134086</v>
      </c>
      <c r="BQ106" s="21">
        <f>EXP(-LN(2)/25)*BQ105+(1-EXP(-LN(2)/25))/(LN(2)/25)*Calculateur!BL106*Calculateur!BN106*VLOOKUP('Données projet'!$B$11,Paramètres!$A$1:$I$89,3,0)*0.475*44/12</f>
        <v>15.386540655575866</v>
      </c>
      <c r="BR106" s="21">
        <f>EXP(-LN(2)/2)*BR105+(1-EXP(-LN(2)/2))/(LN(2)/2)*BL106*BO106*VLOOKUP('Données projet'!$B$11,Paramètres!$A$1:$I$89,3,0)*0.475*44/12</f>
        <v>2.0053213404093287E-6</v>
      </c>
      <c r="BS106" s="22">
        <f t="shared" si="63"/>
        <v>102.99139387103129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-2.8421709430404007E-13</v>
      </c>
      <c r="BZ106" s="13">
        <f>BY106*VLOOKUP('Données projet'!$B$12,Paramètres!$A$1:$I$89,3,0)*VLOOKUP('Données projet'!$B$12,Paramètres!$A$1:$I$89,5,0)</f>
        <v>-1.4040324458619578E-13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246.05217890269194</v>
      </c>
      <c r="CE106" s="59">
        <f t="shared" si="94"/>
        <v>155.54297071424327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189.06172697801372</v>
      </c>
      <c r="CL106" s="21">
        <f>EXP(-LN(2)/25)*CL105+(1-EXP(-LN(2)/25))/(LN(2)/25)*Calculateur!CG106*Calculateur!CI106*VLOOKUP('Données projet'!$B$12,Paramètres!$A$1:$I$89,3,0)*0.475*44/12</f>
        <v>47.268361893602432</v>
      </c>
      <c r="CM106" s="21">
        <f>EXP(-LN(2)/2)*CM105+(1-EXP(-LN(2)/2))/(LN(2)/2)*CG106*CJ106*VLOOKUP('Données projet'!$B$12,Paramètres!$A$1:$I$89,3,0)*0.475*44/12</f>
        <v>9.095609703020763</v>
      </c>
      <c r="CN106" s="22">
        <f t="shared" si="66"/>
        <v>245.42569857463693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-3.4106051316484809E-13</v>
      </c>
      <c r="CU106" s="17">
        <f>CT106*VLOOKUP('Données projet'!$B$13,Paramètres!$A$1:$I$89,3,0)*VLOOKUP('Données projet'!$B$13,Paramètres!$A$1:$I$89,5,0)</f>
        <v>-2.0395418687257919E-13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237.036496933921</v>
      </c>
      <c r="CZ106" s="59">
        <f t="shared" si="96"/>
        <v>191.04289413665344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90.203878838333026</v>
      </c>
      <c r="DG106" s="21">
        <f>EXP(-LN(2)/25)*DG105+(1-EXP(-LN(2)/25))/(LN(2)/25)*Calculateur!DB106*Calculateur!DD106*VLOOKUP('Données projet'!$B$13,Paramètres!$A$1:$I$89,3,0)*0.475*44/12</f>
        <v>18.284629104199205</v>
      </c>
      <c r="DH106" s="21">
        <f>EXP(-LN(2)/2)*DH105+(1-EXP(-LN(2)/2))/(LN(2)/2)*DB106*DE106*VLOOKUP('Données projet'!$B$13,Paramètres!$A$1:$I$89,3,0)*0.475*44/12</f>
        <v>1.2296173539194899E-2</v>
      </c>
      <c r="DI106" s="22">
        <f t="shared" si="69"/>
        <v>108.50080411607144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4.5361538519999982</v>
      </c>
      <c r="DO106" s="12">
        <f>IF('Données projet'!$A$166&gt;35,DO105+DN106-DW105,IF(A106&lt;'Données projet'!$A$166,$DL$205^A106,IF(A106='Données projet'!$A$166,'Données projet'!$B$166,DO105+DN106-DW105)))</f>
        <v>181.71615383599971</v>
      </c>
      <c r="DP106" s="17">
        <f>DO106*VLOOKUP('Données projet'!$B$14,Paramètres!$A$1:$I$89,3,0)*VLOOKUP('Données projet'!$B$14,Paramètres!$A$1:$I$89,5,0)</f>
        <v>108.66625999392782</v>
      </c>
      <c r="DQ106" s="13">
        <f t="shared" si="97"/>
        <v>29.016522267989892</v>
      </c>
      <c r="DR106" s="20">
        <f t="shared" si="70"/>
        <v>239.79751243950668</v>
      </c>
      <c r="DS106" s="59">
        <f t="shared" si="71"/>
        <v>533.13084577283996</v>
      </c>
      <c r="DT106" s="59">
        <f ca="1">AVERAGE(OFFSET($DS$3,0,0,'Données projet'!$E$14+1,1))-AVERAGE(OFFSET($H$3,0,0,'Données projet'!$E$14+1,1))</f>
        <v>148.22129593028302</v>
      </c>
      <c r="DU106" s="59">
        <f t="shared" si="98"/>
        <v>102.97015482019975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233.89079999999998</v>
      </c>
      <c r="EL106" s="13">
        <f t="shared" si="99"/>
        <v>57.123140349023068</v>
      </c>
      <c r="EM106" s="20">
        <f t="shared" si="73"/>
        <v>506.84927944121517</v>
      </c>
      <c r="EN106" s="59">
        <f t="shared" si="74"/>
        <v>800.18261277454849</v>
      </c>
      <c r="EO106" s="59">
        <f ca="1">AVERAGE(OFFSET($EN$3,0,0,'Données projet'!$E$15+1,1))-AVERAGE(OFFSET($H$3,0,0,'Données projet'!$E$15+1,1))</f>
        <v>278.53123771916404</v>
      </c>
      <c r="EP106" s="59">
        <f t="shared" si="100"/>
        <v>283.79094702030869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21.231135641824416</v>
      </c>
      <c r="EW106" s="21">
        <f>EXP(-LN(2)/25)*EW105+(1-EXP(-LN(2)/25))/(LN(2)/25)*Calculateur!ER106*Calculateur!ET106*VLOOKUP('Données projet'!$B$15,Paramètres!$A$1:$I$89,3,0)*0.475*44/12</f>
        <v>2.9816401619123503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24.212775803736765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6.071794871794876</v>
      </c>
      <c r="FE106" s="12">
        <f>IF('Données projet'!$A$218&gt;35,FE105+FD106-FM105,IF(A106&lt;'Données projet'!$A$218,$FB$205^A106,IF(A106='Données projet'!$A$218,'Données projet'!$B$218,FE105+FD106-FM105)))</f>
        <v>273.64615384615382</v>
      </c>
      <c r="FF106" s="17">
        <f>FE106*VLOOKUP('Données projet'!$B$16,Paramètres!$A$1:$I$89,3,0)*VLOOKUP('Données projet'!$B$16,Paramètres!$A$1:$I$89,5,0)</f>
        <v>247.59503999999998</v>
      </c>
      <c r="FG106" s="13">
        <f t="shared" si="101"/>
        <v>60.070665499481535</v>
      </c>
      <c r="FH106" s="20">
        <f t="shared" si="76"/>
        <v>535.85110374493036</v>
      </c>
      <c r="FI106" s="59">
        <f t="shared" si="77"/>
        <v>829.18443707826373</v>
      </c>
      <c r="FJ106" s="59">
        <f ca="1">AVERAGE(OFFSET($FI$3,0,0,'Données projet'!$E$16+1,1))-AVERAGE(OFFSET($H$3,0,0,'Données projet'!$E$16+1,1))</f>
        <v>335.99493768537013</v>
      </c>
      <c r="FK106" s="59">
        <f t="shared" si="102"/>
        <v>150.85164849522778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21.667354389151654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21.667354389151654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259.99999999999983</v>
      </c>
      <c r="GA106" s="17">
        <f>FZ106*VLOOKUP('Données projet'!$B$17,Paramètres!$A$1:$I$89,3,0)*VLOOKUP('Données projet'!$B$17,Paramètres!$A$1:$I$89,5,0)</f>
        <v>227.13599999999985</v>
      </c>
      <c r="GB106" s="13">
        <f t="shared" si="103"/>
        <v>55.662966886685133</v>
      </c>
      <c r="GC106" s="20">
        <f t="shared" si="79"/>
        <v>492.5415339943097</v>
      </c>
      <c r="GD106" s="59">
        <f t="shared" si="80"/>
        <v>785.87486732764296</v>
      </c>
      <c r="GE106" s="59">
        <f ca="1">AVERAGE(OFFSET($GD$3,0,0,'Données projet'!$E$17+1,1))-AVERAGE(OFFSET($H$3,0,0,'Données projet'!$E$17+1,1))</f>
        <v>319.57811113658374</v>
      </c>
      <c r="GF106" s="59">
        <f t="shared" si="104"/>
        <v>322.03572137403245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35.582946733482856</v>
      </c>
      <c r="GM106" s="21">
        <f>EXP(-LN(2)/25)*GM105+(1-EXP(-LN(2)/25))/(LN(2)/25)*Calculateur!GH106*Calculateur!GJ106*VLOOKUP('Données projet'!$B$17,Paramètres!$A$1:$I$89,3,0)*0.475*44/12</f>
        <v>12.368288502948705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47.951235236431557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5.4683368944097308E-14</v>
      </c>
      <c r="P107" s="13">
        <f t="shared" si="87"/>
        <v>8.8129432816788268E-13</v>
      </c>
      <c r="Q107" s="20">
        <f t="shared" si="107"/>
        <v>1.6301611558033651E-12</v>
      </c>
      <c r="R107" s="59">
        <f t="shared" si="55"/>
        <v>293.33333333333496</v>
      </c>
      <c r="S107" s="59">
        <f ca="1">AVERAGE(OFFSET($R$3,0,0,'Données projet'!$E$9+1,1))-AVERAGE(OFFSET($H$3,0,0,'Données projet'!$E$9+1,1))</f>
        <v>226.41956082453015</v>
      </c>
      <c r="T107" s="59">
        <f t="shared" si="88"/>
        <v>317.95076157570446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5.6367521333333315</v>
      </c>
      <c r="AI107" s="13">
        <f>IF('Données projet'!$A$62&gt;35,AI106+AH107-AQ106,IF(A107&lt;'Données projet'!$A$62,$AF$205^A107,IF(A107='Données projet'!$A$62,'Données projet'!$B$62,AI106+AH107-AQ106)))</f>
        <v>256.49786326666697</v>
      </c>
      <c r="AJ107" s="13">
        <f>AI107*VLOOKUP('Données projet'!$B$10,Paramètres!$A$1:$I$89,3,0)*VLOOKUP('Données projet'!$B$10,Paramètres!$A$1:$I$89,5,0)</f>
        <v>220.0751666828003</v>
      </c>
      <c r="AK107" s="13">
        <f t="shared" si="89"/>
        <v>54.131222502896506</v>
      </c>
      <c r="AL107" s="20">
        <f t="shared" si="58"/>
        <v>477.57612783175529</v>
      </c>
      <c r="AM107" s="59">
        <f t="shared" si="59"/>
        <v>770.9094611650886</v>
      </c>
      <c r="AN107" s="59">
        <f ca="1">AVERAGE(OFFSET($AM$3,0,0,'Données projet'!$E$10+1,1))-AVERAGE(OFFSET($H$3,0,0,'Données projet'!$E$10+1,1))</f>
        <v>257.80662231827404</v>
      </c>
      <c r="AO107" s="59">
        <f t="shared" si="90"/>
        <v>184.04558520039876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-4.5474735088646412E-13</v>
      </c>
      <c r="BE107" s="13">
        <f>BD107*VLOOKUP('Données projet'!$B$11,Paramètres!$A$1:$I$89,3,0)*VLOOKUP('Données projet'!$B$11,Paramètres!$A$1:$I$89,5,0)</f>
        <v>-2.5420376914553347E-13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300.90952915835157</v>
      </c>
      <c r="BJ107" s="59">
        <f t="shared" si="92"/>
        <v>402.81783992925256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85.886973511586461</v>
      </c>
      <c r="BQ107" s="21">
        <f>EXP(-LN(2)/25)*BQ106+(1-EXP(-LN(2)/25))/(LN(2)/25)*Calculateur!BL107*Calculateur!BN107*VLOOKUP('Données projet'!$B$11,Paramètres!$A$1:$I$89,3,0)*0.475*44/12</f>
        <v>14.965794892206137</v>
      </c>
      <c r="BR107" s="21">
        <f>EXP(-LN(2)/2)*BR106+(1-EXP(-LN(2)/2))/(LN(2)/2)*BL107*BO107*VLOOKUP('Données projet'!$B$11,Paramètres!$A$1:$I$89,3,0)*0.475*44/12</f>
        <v>1.4179763182615334E-6</v>
      </c>
      <c r="BS107" s="22">
        <f t="shared" si="63"/>
        <v>100.85276982176892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-2.8421709430404007E-13</v>
      </c>
      <c r="BZ107" s="13">
        <f>BY107*VLOOKUP('Données projet'!$B$12,Paramètres!$A$1:$I$89,3,0)*VLOOKUP('Données projet'!$B$12,Paramètres!$A$1:$I$89,5,0)</f>
        <v>-1.4040324458619578E-13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246.05217890269194</v>
      </c>
      <c r="CE107" s="59">
        <f t="shared" si="94"/>
        <v>155.54297071424327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185.35434182824179</v>
      </c>
      <c r="CL107" s="21">
        <f>EXP(-LN(2)/25)*CL106+(1-EXP(-LN(2)/25))/(LN(2)/25)*Calculateur!CG107*Calculateur!CI107*VLOOKUP('Données projet'!$B$12,Paramètres!$A$1:$I$89,3,0)*0.475*44/12</f>
        <v>45.975806051886757</v>
      </c>
      <c r="CM107" s="21">
        <f>EXP(-LN(2)/2)*CM106+(1-EXP(-LN(2)/2))/(LN(2)/2)*CG107*CJ107*VLOOKUP('Données projet'!$B$12,Paramètres!$A$1:$I$89,3,0)*0.475*44/12</f>
        <v>6.4315673000321416</v>
      </c>
      <c r="CN107" s="22">
        <f t="shared" si="66"/>
        <v>237.76171518016068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-3.4106051316484809E-13</v>
      </c>
      <c r="CU107" s="17">
        <f>CT107*VLOOKUP('Données projet'!$B$13,Paramètres!$A$1:$I$89,3,0)*VLOOKUP('Données projet'!$B$13,Paramètres!$A$1:$I$89,5,0)</f>
        <v>-2.0395418687257919E-13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237.036496933921</v>
      </c>
      <c r="CZ107" s="59">
        <f t="shared" si="96"/>
        <v>191.04289413665344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88.43503579324674</v>
      </c>
      <c r="DG107" s="21">
        <f>EXP(-LN(2)/25)*DG106+(1-EXP(-LN(2)/25))/(LN(2)/25)*Calculateur!DB107*Calculateur!DD107*VLOOKUP('Données projet'!$B$13,Paramètres!$A$1:$I$89,3,0)*0.475*44/12</f>
        <v>17.784634959798023</v>
      </c>
      <c r="DH107" s="21">
        <f>EXP(-LN(2)/2)*DH106+(1-EXP(-LN(2)/2))/(LN(2)/2)*DB107*DE107*VLOOKUP('Données projet'!$B$13,Paramètres!$A$1:$I$89,3,0)*0.475*44/12</f>
        <v>8.6947076922113033E-3</v>
      </c>
      <c r="DI107" s="22">
        <f t="shared" si="69"/>
        <v>106.22836546073698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4.5361538519999982</v>
      </c>
      <c r="DO107" s="12">
        <f>IF('Données projet'!$A$166&gt;35,DO106+DN107-DW106,IF(A107&lt;'Données projet'!$A$166,$DL$205^A107,IF(A107='Données projet'!$A$166,'Données projet'!$B$166,DO106+DN107-DW106)))</f>
        <v>186.25230768799969</v>
      </c>
      <c r="DP107" s="17">
        <f>DO107*VLOOKUP('Données projet'!$B$14,Paramètres!$A$1:$I$89,3,0)*VLOOKUP('Données projet'!$B$14,Paramètres!$A$1:$I$89,5,0)</f>
        <v>111.37887999742382</v>
      </c>
      <c r="DQ107" s="13">
        <f t="shared" si="97"/>
        <v>29.65562353975799</v>
      </c>
      <c r="DR107" s="20">
        <f t="shared" si="70"/>
        <v>245.63509366059168</v>
      </c>
      <c r="DS107" s="59">
        <f t="shared" si="71"/>
        <v>538.96842699392505</v>
      </c>
      <c r="DT107" s="59">
        <f ca="1">AVERAGE(OFFSET($DS$3,0,0,'Données projet'!$E$14+1,1))-AVERAGE(OFFSET($H$3,0,0,'Données projet'!$E$14+1,1))</f>
        <v>148.22129593028302</v>
      </c>
      <c r="DU107" s="59">
        <f t="shared" si="98"/>
        <v>102.97015482019975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233.89079999999998</v>
      </c>
      <c r="EL107" s="13">
        <f t="shared" si="99"/>
        <v>57.123140349023068</v>
      </c>
      <c r="EM107" s="20">
        <f t="shared" si="73"/>
        <v>506.84927944121517</v>
      </c>
      <c r="EN107" s="59">
        <f t="shared" si="74"/>
        <v>800.18261277454849</v>
      </c>
      <c r="EO107" s="59">
        <f ca="1">AVERAGE(OFFSET($EN$3,0,0,'Données projet'!$E$15+1,1))-AVERAGE(OFFSET($H$3,0,0,'Données projet'!$E$15+1,1))</f>
        <v>278.53123771916404</v>
      </c>
      <c r="EP107" s="59">
        <f t="shared" si="100"/>
        <v>283.79094702030869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20.814806021602301</v>
      </c>
      <c r="EW107" s="21">
        <f>EXP(-LN(2)/25)*EW106+(1-EXP(-LN(2)/25))/(LN(2)/25)*Calculateur!ER107*Calculateur!ET107*VLOOKUP('Données projet'!$B$15,Paramètres!$A$1:$I$89,3,0)*0.475*44/12</f>
        <v>2.9001070548872154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23.714913076489516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>
        <f>VLOOKUP(A107,'Données projet'!$A$217:$I$237,2,0)</f>
        <v>279.71794871794873</v>
      </c>
      <c r="FC107" s="12">
        <f>VLOOKUP(A107,'Données projet'!$A$217:$I$237,9,0)</f>
        <v>6.071794871794876</v>
      </c>
      <c r="FD107" s="12">
        <f t="array" ref="FD107">INDEX(FC:FC,MIN(IF(ISNUMBER(FC107:FC303),ROW(FC107:FC303),"")))</f>
        <v>6.071794871794876</v>
      </c>
      <c r="FE107" s="12">
        <f>IF('Données projet'!$A$218&gt;35,FE106+FD107-FM106,IF(A107&lt;'Données projet'!$A$218,$FB$205^A107,IF(A107='Données projet'!$A$218,'Données projet'!$B$218,FE106+FD107-FM106)))</f>
        <v>279.71794871794867</v>
      </c>
      <c r="FF107" s="17">
        <f>FE107*VLOOKUP('Données projet'!$B$16,Paramètres!$A$1:$I$89,3,0)*VLOOKUP('Données projet'!$B$16,Paramètres!$A$1:$I$89,5,0)</f>
        <v>253.08879999999994</v>
      </c>
      <c r="FG107" s="13">
        <f t="shared" si="101"/>
        <v>61.246887447404951</v>
      </c>
      <c r="FH107" s="20">
        <f t="shared" si="76"/>
        <v>547.46798897089673</v>
      </c>
      <c r="FI107" s="59">
        <f t="shared" si="77"/>
        <v>840.8013223042301</v>
      </c>
      <c r="FJ107" s="59">
        <f ca="1">AVERAGE(OFFSET($FI$3,0,0,'Données projet'!$E$16+1,1))-AVERAGE(OFFSET($H$3,0,0,'Données projet'!$E$16+1,1))</f>
        <v>335.99493768537013</v>
      </c>
      <c r="FK107" s="59">
        <f t="shared" si="102"/>
        <v>150.85164849522778</v>
      </c>
      <c r="FL107" s="15">
        <f>IF(ISNA(VLOOKUP(A107,'Données projet'!$A$217:$I$237,3,0)),0,VLOOKUP(A107,'Données projet'!$A$217:$I$237,3,0))</f>
        <v>8</v>
      </c>
      <c r="FM107" s="15">
        <f>IF(ISNA(VLOOKUP(A107,'Données projet'!$A$217:$I$237,4,0)),0,VLOOKUP(A107,'Données projet'!$A$217:$I$237,4,0))</f>
        <v>45.987179487179482</v>
      </c>
      <c r="FN107" s="16">
        <f>IF(ISNA(VLOOKUP(A107,'Données projet'!$A$217:$I$237,5,0)),0%,VLOOKUP(A107,'Données projet'!$A$217:$I$237,5,0)*VLOOKUP('Données projet'!$B$16,Paramètres!$A$1:$I$89,7,0))</f>
        <v>0.30099999999999999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35.087789958296405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35.087789958296405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259.99999999999983</v>
      </c>
      <c r="GA107" s="17">
        <f>FZ107*VLOOKUP('Données projet'!$B$17,Paramètres!$A$1:$I$89,3,0)*VLOOKUP('Données projet'!$B$17,Paramètres!$A$1:$I$89,5,0)</f>
        <v>227.13599999999985</v>
      </c>
      <c r="GB107" s="13">
        <f t="shared" si="103"/>
        <v>55.662966886685133</v>
      </c>
      <c r="GC107" s="20">
        <f t="shared" si="79"/>
        <v>492.5415339943097</v>
      </c>
      <c r="GD107" s="59">
        <f t="shared" si="80"/>
        <v>785.87486732764296</v>
      </c>
      <c r="GE107" s="59">
        <f ca="1">AVERAGE(OFFSET($GD$3,0,0,'Données projet'!$E$17+1,1))-AVERAGE(OFFSET($H$3,0,0,'Données projet'!$E$17+1,1))</f>
        <v>319.57811113658374</v>
      </c>
      <c r="GF107" s="59">
        <f t="shared" si="104"/>
        <v>322.03572137403245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34.885186851493728</v>
      </c>
      <c r="GM107" s="21">
        <f>EXP(-LN(2)/25)*GM106+(1-EXP(-LN(2)/25))/(LN(2)/25)*Calculateur!GH107*Calculateur!GJ107*VLOOKUP('Données projet'!$B$17,Paramètres!$A$1:$I$89,3,0)*0.475*44/12</f>
        <v>12.030077003415547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46.915263854909277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5.4683368944097308E-14</v>
      </c>
      <c r="P108" s="13">
        <f t="shared" si="87"/>
        <v>8.8129432816788268E-13</v>
      </c>
      <c r="Q108" s="20">
        <f t="shared" si="107"/>
        <v>1.6301611558033651E-12</v>
      </c>
      <c r="R108" s="59">
        <f t="shared" si="55"/>
        <v>293.33333333333496</v>
      </c>
      <c r="S108" s="59">
        <f ca="1">AVERAGE(OFFSET($R$3,0,0,'Données projet'!$E$9+1,1))-AVERAGE(OFFSET($H$3,0,0,'Données projet'!$E$9+1,1))</f>
        <v>226.41956082453015</v>
      </c>
      <c r="T108" s="59">
        <f t="shared" si="88"/>
        <v>317.95076157570446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5.6367521333333315</v>
      </c>
      <c r="AI108" s="13">
        <f>IF('Données projet'!$A$62&gt;35,AI107+AH108-AQ107,IF(A108&lt;'Données projet'!$A$62,$AF$205^A108,IF(A108='Données projet'!$A$62,'Données projet'!$B$62,AI107+AH108-AQ107)))</f>
        <v>262.13461540000031</v>
      </c>
      <c r="AJ108" s="13">
        <f>AI108*VLOOKUP('Données projet'!$B$10,Paramètres!$A$1:$I$89,3,0)*VLOOKUP('Données projet'!$B$10,Paramètres!$A$1:$I$89,5,0)</f>
        <v>224.91150001320031</v>
      </c>
      <c r="AK108" s="13">
        <f t="shared" si="89"/>
        <v>55.181000364413691</v>
      </c>
      <c r="AL108" s="20">
        <f t="shared" si="58"/>
        <v>487.82777149101111</v>
      </c>
      <c r="AM108" s="59">
        <f t="shared" si="59"/>
        <v>781.16110482434442</v>
      </c>
      <c r="AN108" s="59">
        <f ca="1">AVERAGE(OFFSET($AM$3,0,0,'Données projet'!$E$10+1,1))-AVERAGE(OFFSET($H$3,0,0,'Données projet'!$E$10+1,1))</f>
        <v>257.80662231827404</v>
      </c>
      <c r="AO108" s="59">
        <f t="shared" si="90"/>
        <v>184.04558520039876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-4.5474735088646412E-13</v>
      </c>
      <c r="BE108" s="13">
        <f>BD108*VLOOKUP('Données projet'!$B$11,Paramètres!$A$1:$I$89,3,0)*VLOOKUP('Données projet'!$B$11,Paramètres!$A$1:$I$89,5,0)</f>
        <v>-2.5420376914553347E-13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300.90952915835157</v>
      </c>
      <c r="BJ108" s="59">
        <f t="shared" si="92"/>
        <v>402.81783992925256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84.202782346905423</v>
      </c>
      <c r="BQ108" s="21">
        <f>EXP(-LN(2)/25)*BQ107+(1-EXP(-LN(2)/25))/(LN(2)/25)*Calculateur!BL108*Calculateur!BN108*VLOOKUP('Données projet'!$B$11,Paramètres!$A$1:$I$89,3,0)*0.475*44/12</f>
        <v>14.556554443861812</v>
      </c>
      <c r="BR108" s="21">
        <f>EXP(-LN(2)/2)*BR107+(1-EXP(-LN(2)/2))/(LN(2)/2)*BL108*BO108*VLOOKUP('Données projet'!$B$11,Paramètres!$A$1:$I$89,3,0)*0.475*44/12</f>
        <v>1.0026606702046643E-6</v>
      </c>
      <c r="BS108" s="22">
        <f t="shared" si="63"/>
        <v>98.759337793427903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-2.8421709430404007E-13</v>
      </c>
      <c r="BZ108" s="13">
        <f>BY108*VLOOKUP('Données projet'!$B$12,Paramètres!$A$1:$I$89,3,0)*VLOOKUP('Données projet'!$B$12,Paramètres!$A$1:$I$89,5,0)</f>
        <v>-1.4040324458619578E-13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246.05217890269194</v>
      </c>
      <c r="CE108" s="59">
        <f t="shared" si="94"/>
        <v>155.54297071424327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181.71965623997522</v>
      </c>
      <c r="CL108" s="21">
        <f>EXP(-LN(2)/25)*CL107+(1-EXP(-LN(2)/25))/(LN(2)/25)*Calculateur!CG108*Calculateur!CI108*VLOOKUP('Données projet'!$B$12,Paramètres!$A$1:$I$89,3,0)*0.475*44/12</f>
        <v>44.718595217635354</v>
      </c>
      <c r="CM108" s="21">
        <f>EXP(-LN(2)/2)*CM107+(1-EXP(-LN(2)/2))/(LN(2)/2)*CG108*CJ108*VLOOKUP('Données projet'!$B$12,Paramètres!$A$1:$I$89,3,0)*0.475*44/12</f>
        <v>4.5478048515103824</v>
      </c>
      <c r="CN108" s="22">
        <f t="shared" si="66"/>
        <v>230.98605630912098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-3.4106051316484809E-13</v>
      </c>
      <c r="CU108" s="17">
        <f>CT108*VLOOKUP('Données projet'!$B$13,Paramètres!$A$1:$I$89,3,0)*VLOOKUP('Données projet'!$B$13,Paramètres!$A$1:$I$89,5,0)</f>
        <v>-2.0395418687257919E-13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237.036496933921</v>
      </c>
      <c r="CZ108" s="59">
        <f t="shared" si="96"/>
        <v>191.04289413665344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86.700878681386868</v>
      </c>
      <c r="DG108" s="21">
        <f>EXP(-LN(2)/25)*DG107+(1-EXP(-LN(2)/25))/(LN(2)/25)*Calculateur!DB108*Calculateur!DD108*VLOOKUP('Données projet'!$B$13,Paramètres!$A$1:$I$89,3,0)*0.475*44/12</f>
        <v>17.298313181569039</v>
      </c>
      <c r="DH108" s="21">
        <f>EXP(-LN(2)/2)*DH107+(1-EXP(-LN(2)/2))/(LN(2)/2)*DB108*DE108*VLOOKUP('Données projet'!$B$13,Paramètres!$A$1:$I$89,3,0)*0.475*44/12</f>
        <v>6.1480867695974497E-3</v>
      </c>
      <c r="DI108" s="22">
        <f t="shared" si="69"/>
        <v>104.00533994972551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4.5361538519999982</v>
      </c>
      <c r="DO108" s="12">
        <f>IF('Données projet'!$A$166&gt;35,DO107+DN108-DW107,IF(A108&lt;'Données projet'!$A$166,$DL$205^A108,IF(A108='Données projet'!$A$166,'Données projet'!$B$166,DO107+DN108-DW107)))</f>
        <v>190.78846153999967</v>
      </c>
      <c r="DP108" s="17">
        <f>DO108*VLOOKUP('Données projet'!$B$14,Paramètres!$A$1:$I$89,3,0)*VLOOKUP('Données projet'!$B$14,Paramètres!$A$1:$I$89,5,0)</f>
        <v>114.09150000091981</v>
      </c>
      <c r="DQ108" s="13">
        <f t="shared" si="97"/>
        <v>30.292915394359952</v>
      </c>
      <c r="DR108" s="20">
        <f t="shared" si="70"/>
        <v>251.4695234801122</v>
      </c>
      <c r="DS108" s="59">
        <f t="shared" si="71"/>
        <v>544.80285681344549</v>
      </c>
      <c r="DT108" s="59">
        <f ca="1">AVERAGE(OFFSET($DS$3,0,0,'Données projet'!$E$14+1,1))-AVERAGE(OFFSET($H$3,0,0,'Données projet'!$E$14+1,1))</f>
        <v>148.22129593028302</v>
      </c>
      <c r="DU108" s="59">
        <f t="shared" si="98"/>
        <v>102.97015482019975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233.89079999999998</v>
      </c>
      <c r="EL108" s="13">
        <f t="shared" si="99"/>
        <v>57.123140349023068</v>
      </c>
      <c r="EM108" s="20">
        <f t="shared" si="73"/>
        <v>506.84927944121517</v>
      </c>
      <c r="EN108" s="59">
        <f t="shared" si="74"/>
        <v>800.18261277454849</v>
      </c>
      <c r="EO108" s="59">
        <f ca="1">AVERAGE(OFFSET($EN$3,0,0,'Données projet'!$E$15+1,1))-AVERAGE(OFFSET($H$3,0,0,'Données projet'!$E$15+1,1))</f>
        <v>278.53123771916404</v>
      </c>
      <c r="EP108" s="59">
        <f t="shared" si="100"/>
        <v>283.79094702030869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20.406640371296749</v>
      </c>
      <c r="EW108" s="21">
        <f>EXP(-LN(2)/25)*EW107+(1-EXP(-LN(2)/25))/(LN(2)/25)*Calculateur!ER108*Calculateur!ET108*VLOOKUP('Données projet'!$B$15,Paramètres!$A$1:$I$89,3,0)*0.475*44/12</f>
        <v>2.8208034749613229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23.227443846258073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5.9865384615384558</v>
      </c>
      <c r="FE108" s="12">
        <f>IF('Données projet'!$A$218&gt;35,FE107+FD108-FM107,IF(A108&lt;'Données projet'!$A$218,$FB$205^A108,IF(A108='Données projet'!$A$218,'Données projet'!$B$218,FE107+FD108-FM107)))</f>
        <v>239.71730769230763</v>
      </c>
      <c r="FF108" s="17">
        <f>FE108*VLOOKUP('Données projet'!$B$16,Paramètres!$A$1:$I$89,3,0)*VLOOKUP('Données projet'!$B$16,Paramètres!$A$1:$I$89,5,0)</f>
        <v>216.89621999999994</v>
      </c>
      <c r="FG108" s="13">
        <f t="shared" si="101"/>
        <v>53.439737642112412</v>
      </c>
      <c r="FH108" s="20">
        <f t="shared" si="76"/>
        <v>470.83512622667905</v>
      </c>
      <c r="FI108" s="59">
        <f t="shared" si="77"/>
        <v>764.16845956001237</v>
      </c>
      <c r="FJ108" s="59">
        <f ca="1">AVERAGE(OFFSET($FI$3,0,0,'Données projet'!$E$16+1,1))-AVERAGE(OFFSET($H$3,0,0,'Données projet'!$E$16+1,1))</f>
        <v>335.99493768537013</v>
      </c>
      <c r="FK108" s="59">
        <f t="shared" si="102"/>
        <v>150.85164849522778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34.399739798652867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34.399739798652867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259.99999999999983</v>
      </c>
      <c r="GA108" s="17">
        <f>FZ108*VLOOKUP('Données projet'!$B$17,Paramètres!$A$1:$I$89,3,0)*VLOOKUP('Données projet'!$B$17,Paramètres!$A$1:$I$89,5,0)</f>
        <v>227.13599999999985</v>
      </c>
      <c r="GB108" s="13">
        <f t="shared" si="103"/>
        <v>55.662966886685133</v>
      </c>
      <c r="GC108" s="20">
        <f t="shared" si="79"/>
        <v>492.5415339943097</v>
      </c>
      <c r="GD108" s="59">
        <f t="shared" si="80"/>
        <v>785.87486732764296</v>
      </c>
      <c r="GE108" s="59">
        <f ca="1">AVERAGE(OFFSET($GD$3,0,0,'Données projet'!$E$17+1,1))-AVERAGE(OFFSET($H$3,0,0,'Données projet'!$E$17+1,1))</f>
        <v>319.57811113658374</v>
      </c>
      <c r="GF108" s="59">
        <f t="shared" si="104"/>
        <v>322.03572137403245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34.201109615198902</v>
      </c>
      <c r="GM108" s="21">
        <f>EXP(-LN(2)/25)*GM107+(1-EXP(-LN(2)/25))/(LN(2)/25)*Calculateur!GH108*Calculateur!GJ108*VLOOKUP('Données projet'!$B$17,Paramètres!$A$1:$I$89,3,0)*0.475*44/12</f>
        <v>11.701113915122894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45.902223530321798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5.4683368944097308E-14</v>
      </c>
      <c r="P109" s="13">
        <f t="shared" si="87"/>
        <v>8.8129432816788268E-13</v>
      </c>
      <c r="Q109" s="20">
        <f t="shared" si="107"/>
        <v>1.6301611558033651E-12</v>
      </c>
      <c r="R109" s="59">
        <f t="shared" si="55"/>
        <v>293.33333333333496</v>
      </c>
      <c r="S109" s="59">
        <f ca="1">AVERAGE(OFFSET($R$3,0,0,'Données projet'!$E$9+1,1))-AVERAGE(OFFSET($H$3,0,0,'Données projet'!$E$9+1,1))</f>
        <v>226.41956082453015</v>
      </c>
      <c r="T109" s="59">
        <f t="shared" si="88"/>
        <v>317.95076157570446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5.6367521333333315</v>
      </c>
      <c r="AI109" s="13">
        <f>IF('Données projet'!$A$62&gt;35,AI108+AH109-AQ108,IF(A109&lt;'Données projet'!$A$62,$AF$205^A109,IF(A109='Données projet'!$A$62,'Données projet'!$B$62,AI108+AH109-AQ108)))</f>
        <v>267.77136753333366</v>
      </c>
      <c r="AJ109" s="13">
        <f>AI109*VLOOKUP('Données projet'!$B$10,Paramètres!$A$1:$I$89,3,0)*VLOOKUP('Données projet'!$B$10,Paramètres!$A$1:$I$89,5,0)</f>
        <v>229.74783334360029</v>
      </c>
      <c r="AK109" s="13">
        <f t="shared" si="89"/>
        <v>56.228153723799934</v>
      </c>
      <c r="AL109" s="20">
        <f t="shared" si="58"/>
        <v>498.07484414238871</v>
      </c>
      <c r="AM109" s="59">
        <f t="shared" si="59"/>
        <v>791.40817747572203</v>
      </c>
      <c r="AN109" s="59">
        <f ca="1">AVERAGE(OFFSET($AM$3,0,0,'Données projet'!$E$10+1,1))-AVERAGE(OFFSET($H$3,0,0,'Données projet'!$E$10+1,1))</f>
        <v>257.80662231827404</v>
      </c>
      <c r="AO109" s="59">
        <f t="shared" si="90"/>
        <v>184.04558520039876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-4.5474735088646412E-13</v>
      </c>
      <c r="BE109" s="13">
        <f>BD109*VLOOKUP('Données projet'!$B$11,Paramètres!$A$1:$I$89,3,0)*VLOOKUP('Données projet'!$B$11,Paramètres!$A$1:$I$89,5,0)</f>
        <v>-2.5420376914553347E-13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300.90952915835157</v>
      </c>
      <c r="BJ109" s="59">
        <f t="shared" si="92"/>
        <v>402.81783992925256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82.551617143708597</v>
      </c>
      <c r="BQ109" s="21">
        <f>EXP(-LN(2)/25)*BQ108+(1-EXP(-LN(2)/25))/(LN(2)/25)*Calculateur!BL109*Calculateur!BN109*VLOOKUP('Données projet'!$B$11,Paramètres!$A$1:$I$89,3,0)*0.475*44/12</f>
        <v>14.158504697098481</v>
      </c>
      <c r="BR109" s="21">
        <f>EXP(-LN(2)/2)*BR108+(1-EXP(-LN(2)/2))/(LN(2)/2)*BL109*BO109*VLOOKUP('Données projet'!$B$11,Paramètres!$A$1:$I$89,3,0)*0.475*44/12</f>
        <v>7.0898815913076668E-7</v>
      </c>
      <c r="BS109" s="22">
        <f t="shared" si="63"/>
        <v>96.71012254979523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-2.8421709430404007E-13</v>
      </c>
      <c r="BZ109" s="13">
        <f>BY109*VLOOKUP('Données projet'!$B$12,Paramètres!$A$1:$I$89,3,0)*VLOOKUP('Données projet'!$B$12,Paramètres!$A$1:$I$89,5,0)</f>
        <v>-1.4040324458619578E-13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246.05217890269194</v>
      </c>
      <c r="CE109" s="59">
        <f t="shared" si="94"/>
        <v>155.54297071424327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178.15624461915527</v>
      </c>
      <c r="CL109" s="21">
        <f>EXP(-LN(2)/25)*CL108+(1-EXP(-LN(2)/25))/(LN(2)/25)*Calculateur!CG109*Calculateur!CI109*VLOOKUP('Données projet'!$B$12,Paramètres!$A$1:$I$89,3,0)*0.475*44/12</f>
        <v>43.495762879760399</v>
      </c>
      <c r="CM109" s="21">
        <f>EXP(-LN(2)/2)*CM108+(1-EXP(-LN(2)/2))/(LN(2)/2)*CG109*CJ109*VLOOKUP('Données projet'!$B$12,Paramètres!$A$1:$I$89,3,0)*0.475*44/12</f>
        <v>3.2157836500160712</v>
      </c>
      <c r="CN109" s="22">
        <f t="shared" si="66"/>
        <v>224.86779114893176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-3.4106051316484809E-13</v>
      </c>
      <c r="CU109" s="17">
        <f>CT109*VLOOKUP('Données projet'!$B$13,Paramètres!$A$1:$I$89,3,0)*VLOOKUP('Données projet'!$B$13,Paramètres!$A$1:$I$89,5,0)</f>
        <v>-2.0395418687257919E-13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237.036496933921</v>
      </c>
      <c r="CZ109" s="59">
        <f t="shared" si="96"/>
        <v>191.04289413665344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85.000727332759169</v>
      </c>
      <c r="DG109" s="21">
        <f>EXP(-LN(2)/25)*DG108+(1-EXP(-LN(2)/25))/(LN(2)/25)*Calculateur!DB109*Calculateur!DD109*VLOOKUP('Données projet'!$B$13,Paramètres!$A$1:$I$89,3,0)*0.475*44/12</f>
        <v>16.82528989794028</v>
      </c>
      <c r="DH109" s="21">
        <f>EXP(-LN(2)/2)*DH108+(1-EXP(-LN(2)/2))/(LN(2)/2)*DB109*DE109*VLOOKUP('Données projet'!$B$13,Paramètres!$A$1:$I$89,3,0)*0.475*44/12</f>
        <v>4.3473538461056517E-3</v>
      </c>
      <c r="DI109" s="22">
        <f t="shared" si="69"/>
        <v>101.83036458454555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4.5361538519999982</v>
      </c>
      <c r="DO109" s="12">
        <f>IF('Données projet'!$A$166&gt;35,DO108+DN109-DW108,IF(A109&lt;'Données projet'!$A$166,$DL$205^A109,IF(A109='Données projet'!$A$166,'Données projet'!$B$166,DO108+DN109-DW108)))</f>
        <v>195.32461539199966</v>
      </c>
      <c r="DP109" s="17">
        <f>DO109*VLOOKUP('Données projet'!$B$14,Paramètres!$A$1:$I$89,3,0)*VLOOKUP('Données projet'!$B$14,Paramètres!$A$1:$I$89,5,0)</f>
        <v>116.80412000441581</v>
      </c>
      <c r="DQ109" s="13">
        <f t="shared" si="97"/>
        <v>30.928445802503109</v>
      </c>
      <c r="DR109" s="20">
        <f t="shared" si="70"/>
        <v>257.30088544705046</v>
      </c>
      <c r="DS109" s="59">
        <f t="shared" si="71"/>
        <v>550.63421878038378</v>
      </c>
      <c r="DT109" s="59">
        <f ca="1">AVERAGE(OFFSET($DS$3,0,0,'Données projet'!$E$14+1,1))-AVERAGE(OFFSET($H$3,0,0,'Données projet'!$E$14+1,1))</f>
        <v>148.22129593028302</v>
      </c>
      <c r="DU109" s="59">
        <f t="shared" si="98"/>
        <v>102.97015482019975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233.89079999999998</v>
      </c>
      <c r="EL109" s="13">
        <f t="shared" si="99"/>
        <v>57.123140349023068</v>
      </c>
      <c r="EM109" s="20">
        <f t="shared" si="73"/>
        <v>506.84927944121517</v>
      </c>
      <c r="EN109" s="59">
        <f t="shared" si="74"/>
        <v>800.18261277454849</v>
      </c>
      <c r="EO109" s="59">
        <f ca="1">AVERAGE(OFFSET($EN$3,0,0,'Données projet'!$E$15+1,1))-AVERAGE(OFFSET($H$3,0,0,'Données projet'!$E$15+1,1))</f>
        <v>278.53123771916404</v>
      </c>
      <c r="EP109" s="59">
        <f t="shared" si="100"/>
        <v>283.79094702030869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20.006478600437227</v>
      </c>
      <c r="EW109" s="21">
        <f>EXP(-LN(2)/25)*EW108+(1-EXP(-LN(2)/25))/(LN(2)/25)*Calculateur!ER109*Calculateur!ET109*VLOOKUP('Données projet'!$B$15,Paramètres!$A$1:$I$89,3,0)*0.475*44/12</f>
        <v>2.7436684555988977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22.750147056036123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5.9865384615384558</v>
      </c>
      <c r="FE109" s="12">
        <f>IF('Données projet'!$A$218&gt;35,FE108+FD109-FM108,IF(A109&lt;'Données projet'!$A$218,$FB$205^A109,IF(A109='Données projet'!$A$218,'Données projet'!$B$218,FE108+FD109-FM108)))</f>
        <v>245.70384615384609</v>
      </c>
      <c r="FF109" s="17">
        <f>FE109*VLOOKUP('Données projet'!$B$16,Paramètres!$A$1:$I$89,3,0)*VLOOKUP('Données projet'!$B$16,Paramètres!$A$1:$I$89,5,0)</f>
        <v>222.31283999999994</v>
      </c>
      <c r="FG109" s="13">
        <f t="shared" si="101"/>
        <v>54.617263695846574</v>
      </c>
      <c r="FH109" s="20">
        <f t="shared" si="76"/>
        <v>482.31993060359929</v>
      </c>
      <c r="FI109" s="59">
        <f t="shared" si="77"/>
        <v>775.6532639369326</v>
      </c>
      <c r="FJ109" s="59">
        <f ca="1">AVERAGE(OFFSET($FI$3,0,0,'Données projet'!$E$16+1,1))-AVERAGE(OFFSET($H$3,0,0,'Données projet'!$E$16+1,1))</f>
        <v>335.99493768537013</v>
      </c>
      <c r="FK109" s="59">
        <f t="shared" si="102"/>
        <v>150.85164849522778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33.72518188297078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33.72518188297078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259.99999999999983</v>
      </c>
      <c r="GA109" s="17">
        <f>FZ109*VLOOKUP('Données projet'!$B$17,Paramètres!$A$1:$I$89,3,0)*VLOOKUP('Données projet'!$B$17,Paramètres!$A$1:$I$89,5,0)</f>
        <v>227.13599999999985</v>
      </c>
      <c r="GB109" s="13">
        <f t="shared" si="103"/>
        <v>55.662966886685133</v>
      </c>
      <c r="GC109" s="20">
        <f t="shared" si="79"/>
        <v>492.5415339943097</v>
      </c>
      <c r="GD109" s="59">
        <f t="shared" si="80"/>
        <v>785.87486732764296</v>
      </c>
      <c r="GE109" s="59">
        <f ca="1">AVERAGE(OFFSET($GD$3,0,0,'Données projet'!$E$17+1,1))-AVERAGE(OFFSET($H$3,0,0,'Données projet'!$E$17+1,1))</f>
        <v>319.57811113658374</v>
      </c>
      <c r="GF109" s="59">
        <f t="shared" si="104"/>
        <v>322.03572137403245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33.530446716261899</v>
      </c>
      <c r="GM109" s="21">
        <f>EXP(-LN(2)/25)*GM108+(1-EXP(-LN(2)/25))/(LN(2)/25)*Calculateur!GH109*Calculateur!GJ109*VLOOKUP('Données projet'!$B$17,Paramètres!$A$1:$I$89,3,0)*0.475*44/12</f>
        <v>11.381146339779022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44.911593056040921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5.4683368944097308E-14</v>
      </c>
      <c r="P110" s="13">
        <f t="shared" si="87"/>
        <v>8.8129432816788268E-13</v>
      </c>
      <c r="Q110" s="20">
        <f t="shared" si="107"/>
        <v>1.6301611558033651E-12</v>
      </c>
      <c r="R110" s="59">
        <f t="shared" si="55"/>
        <v>293.33333333333496</v>
      </c>
      <c r="S110" s="59">
        <f ca="1">AVERAGE(OFFSET($R$3,0,0,'Données projet'!$E$9+1,1))-AVERAGE(OFFSET($H$3,0,0,'Données projet'!$E$9+1,1))</f>
        <v>226.41956082453015</v>
      </c>
      <c r="T110" s="59">
        <f t="shared" si="88"/>
        <v>317.95076157570446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5.6367521333333315</v>
      </c>
      <c r="AI110" s="13">
        <f>IF('Données projet'!$A$62&gt;35,AI109+AH110-AQ109,IF(A110&lt;'Données projet'!$A$62,$AF$205^A110,IF(A110='Données projet'!$A$62,'Données projet'!$B$62,AI109+AH110-AQ109)))</f>
        <v>273.40811966666701</v>
      </c>
      <c r="AJ110" s="13">
        <f>AI110*VLOOKUP('Données projet'!$B$10,Paramètres!$A$1:$I$89,3,0)*VLOOKUP('Données projet'!$B$10,Paramètres!$A$1:$I$89,5,0)</f>
        <v>234.5841666740003</v>
      </c>
      <c r="AK110" s="13">
        <f t="shared" si="89"/>
        <v>57.272744192921593</v>
      </c>
      <c r="AL110" s="20">
        <f t="shared" si="58"/>
        <v>508.31745309322224</v>
      </c>
      <c r="AM110" s="59">
        <f t="shared" si="59"/>
        <v>801.65078642655556</v>
      </c>
      <c r="AN110" s="59">
        <f ca="1">AVERAGE(OFFSET($AM$3,0,0,'Données projet'!$E$10+1,1))-AVERAGE(OFFSET($H$3,0,0,'Données projet'!$E$10+1,1))</f>
        <v>257.80662231827404</v>
      </c>
      <c r="AO110" s="59">
        <f t="shared" si="90"/>
        <v>184.04558520039876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-4.5474735088646412E-13</v>
      </c>
      <c r="BE110" s="13">
        <f>BD110*VLOOKUP('Données projet'!$B$11,Paramètres!$A$1:$I$89,3,0)*VLOOKUP('Données projet'!$B$11,Paramètres!$A$1:$I$89,5,0)</f>
        <v>-2.5420376914553347E-13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300.90952915835157</v>
      </c>
      <c r="BJ110" s="59">
        <f t="shared" si="92"/>
        <v>402.81783992925256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80.93283028303513</v>
      </c>
      <c r="BQ110" s="21">
        <f>EXP(-LN(2)/25)*BQ109+(1-EXP(-LN(2)/25))/(LN(2)/25)*Calculateur!BL110*Calculateur!BN110*VLOOKUP('Données projet'!$B$11,Paramètres!$A$1:$I$89,3,0)*0.475*44/12</f>
        <v>13.77133964159292</v>
      </c>
      <c r="BR110" s="21">
        <f>EXP(-LN(2)/2)*BR109+(1-EXP(-LN(2)/2))/(LN(2)/2)*BL110*BO110*VLOOKUP('Données projet'!$B$11,Paramètres!$A$1:$I$89,3,0)*0.475*44/12</f>
        <v>5.0133033510233217E-7</v>
      </c>
      <c r="BS110" s="22">
        <f t="shared" si="63"/>
        <v>94.704170425958381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-2.8421709430404007E-13</v>
      </c>
      <c r="BZ110" s="13">
        <f>BY110*VLOOKUP('Données projet'!$B$12,Paramètres!$A$1:$I$89,3,0)*VLOOKUP('Données projet'!$B$12,Paramètres!$A$1:$I$89,5,0)</f>
        <v>-1.4040324458619578E-13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246.05217890269194</v>
      </c>
      <c r="CE110" s="59">
        <f t="shared" si="94"/>
        <v>155.54297071424327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174.66270932675312</v>
      </c>
      <c r="CL110" s="21">
        <f>EXP(-LN(2)/25)*CL109+(1-EXP(-LN(2)/25))/(LN(2)/25)*Calculateur!CG110*Calculateur!CI110*VLOOKUP('Données projet'!$B$12,Paramètres!$A$1:$I$89,3,0)*0.475*44/12</f>
        <v>42.306368956470592</v>
      </c>
      <c r="CM110" s="21">
        <f>EXP(-LN(2)/2)*CM109+(1-EXP(-LN(2)/2))/(LN(2)/2)*CG110*CJ110*VLOOKUP('Données projet'!$B$12,Paramètres!$A$1:$I$89,3,0)*0.475*44/12</f>
        <v>2.2739024257551912</v>
      </c>
      <c r="CN110" s="22">
        <f t="shared" si="66"/>
        <v>219.24298070897891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-3.4106051316484809E-13</v>
      </c>
      <c r="CU110" s="17">
        <f>CT110*VLOOKUP('Données projet'!$B$13,Paramètres!$A$1:$I$89,3,0)*VLOOKUP('Données projet'!$B$13,Paramètres!$A$1:$I$89,5,0)</f>
        <v>-2.0395418687257919E-13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237.036496933921</v>
      </c>
      <c r="CZ110" s="59">
        <f t="shared" si="96"/>
        <v>191.04289413665344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83.33391491508813</v>
      </c>
      <c r="DG110" s="21">
        <f>EXP(-LN(2)/25)*DG109+(1-EXP(-LN(2)/25))/(LN(2)/25)*Calculateur!DB110*Calculateur!DD110*VLOOKUP('Données projet'!$B$13,Paramètres!$A$1:$I$89,3,0)*0.475*44/12</f>
        <v>16.365201460877561</v>
      </c>
      <c r="DH110" s="21">
        <f>EXP(-LN(2)/2)*DH109+(1-EXP(-LN(2)/2))/(LN(2)/2)*DB110*DE110*VLOOKUP('Données projet'!$B$13,Paramètres!$A$1:$I$89,3,0)*0.475*44/12</f>
        <v>3.0740433847987248E-3</v>
      </c>
      <c r="DI110" s="22">
        <f t="shared" si="69"/>
        <v>99.702190419350487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4.5361538519999982</v>
      </c>
      <c r="DO110" s="12">
        <f>IF('Données projet'!$A$166&gt;35,DO109+DN110-DW109,IF(A110&lt;'Données projet'!$A$166,$DL$205^A110,IF(A110='Données projet'!$A$166,'Données projet'!$B$166,DO109+DN110-DW109)))</f>
        <v>199.86076924399964</v>
      </c>
      <c r="DP110" s="17">
        <f>DO110*VLOOKUP('Données projet'!$B$14,Paramètres!$A$1:$I$89,3,0)*VLOOKUP('Données projet'!$B$14,Paramètres!$A$1:$I$89,5,0)</f>
        <v>119.51674000791179</v>
      </c>
      <c r="DQ110" s="13">
        <f t="shared" si="97"/>
        <v>31.562260379654006</v>
      </c>
      <c r="DR110" s="20">
        <f t="shared" si="70"/>
        <v>263.12925900834375</v>
      </c>
      <c r="DS110" s="59">
        <f t="shared" si="71"/>
        <v>556.46259234167701</v>
      </c>
      <c r="DT110" s="59">
        <f ca="1">AVERAGE(OFFSET($DS$3,0,0,'Données projet'!$E$14+1,1))-AVERAGE(OFFSET($H$3,0,0,'Données projet'!$E$14+1,1))</f>
        <v>148.22129593028302</v>
      </c>
      <c r="DU110" s="59">
        <f t="shared" si="98"/>
        <v>102.97015482019975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233.89079999999998</v>
      </c>
      <c r="EL110" s="13">
        <f t="shared" si="99"/>
        <v>57.123140349023068</v>
      </c>
      <c r="EM110" s="20">
        <f t="shared" si="73"/>
        <v>506.84927944121517</v>
      </c>
      <c r="EN110" s="59">
        <f t="shared" si="74"/>
        <v>800.18261277454849</v>
      </c>
      <c r="EO110" s="59">
        <f ca="1">AVERAGE(OFFSET($EN$3,0,0,'Données projet'!$E$15+1,1))-AVERAGE(OFFSET($H$3,0,0,'Données projet'!$E$15+1,1))</f>
        <v>278.53123771916404</v>
      </c>
      <c r="EP110" s="59">
        <f t="shared" si="100"/>
        <v>283.79094702030869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19.614163757829676</v>
      </c>
      <c r="EW110" s="21">
        <f>EXP(-LN(2)/25)*EW109+(1-EXP(-LN(2)/25))/(LN(2)/25)*Calculateur!ER110*Calculateur!ET110*VLOOKUP('Données projet'!$B$15,Paramètres!$A$1:$I$89,3,0)*0.475*44/12</f>
        <v>2.6686426973972925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22.282806455226968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5.9865384615384558</v>
      </c>
      <c r="FE110" s="12">
        <f>IF('Données projet'!$A$218&gt;35,FE109+FD110-FM109,IF(A110&lt;'Données projet'!$A$218,$FB$205^A110,IF(A110='Données projet'!$A$218,'Données projet'!$B$218,FE109+FD110-FM109)))</f>
        <v>251.69038461538454</v>
      </c>
      <c r="FF110" s="17">
        <f>FE110*VLOOKUP('Données projet'!$B$16,Paramètres!$A$1:$I$89,3,0)*VLOOKUP('Données projet'!$B$16,Paramètres!$A$1:$I$89,5,0)</f>
        <v>227.7294599999999</v>
      </c>
      <c r="FG110" s="13">
        <f t="shared" si="101"/>
        <v>55.791454586739938</v>
      </c>
      <c r="FH110" s="20">
        <f t="shared" si="76"/>
        <v>493.79892623857194</v>
      </c>
      <c r="FI110" s="59">
        <f t="shared" si="77"/>
        <v>787.13225957190525</v>
      </c>
      <c r="FJ110" s="59">
        <f ca="1">AVERAGE(OFFSET($FI$3,0,0,'Données projet'!$E$16+1,1))-AVERAGE(OFFSET($H$3,0,0,'Données projet'!$E$16+1,1))</f>
        <v>335.99493768537013</v>
      </c>
      <c r="FK110" s="59">
        <f t="shared" si="102"/>
        <v>150.85164849522778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33.063851636575521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33.063851636575521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259.99999999999983</v>
      </c>
      <c r="GA110" s="17">
        <f>FZ110*VLOOKUP('Données projet'!$B$17,Paramètres!$A$1:$I$89,3,0)*VLOOKUP('Données projet'!$B$17,Paramètres!$A$1:$I$89,5,0)</f>
        <v>227.13599999999985</v>
      </c>
      <c r="GB110" s="13">
        <f t="shared" si="103"/>
        <v>55.662966886685133</v>
      </c>
      <c r="GC110" s="20">
        <f t="shared" si="79"/>
        <v>492.5415339943097</v>
      </c>
      <c r="GD110" s="59">
        <f t="shared" si="80"/>
        <v>785.87486732764296</v>
      </c>
      <c r="GE110" s="59">
        <f ca="1">AVERAGE(OFFSET($GD$3,0,0,'Données projet'!$E$17+1,1))-AVERAGE(OFFSET($H$3,0,0,'Données projet'!$E$17+1,1))</f>
        <v>319.57811113658374</v>
      </c>
      <c r="GF110" s="59">
        <f t="shared" si="104"/>
        <v>322.03572137403245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32.872935107709075</v>
      </c>
      <c r="GM110" s="21">
        <f>EXP(-LN(2)/25)*GM109+(1-EXP(-LN(2)/25))/(LN(2)/25)*Calculateur!GH110*Calculateur!GJ110*VLOOKUP('Données projet'!$B$17,Paramètres!$A$1:$I$89,3,0)*0.475*44/12</f>
        <v>11.069928294609291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43.942863402318366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5.4683368944097308E-14</v>
      </c>
      <c r="P111" s="13">
        <f t="shared" si="87"/>
        <v>8.8129432816788268E-13</v>
      </c>
      <c r="Q111" s="20">
        <f t="shared" si="107"/>
        <v>1.6301611558033651E-12</v>
      </c>
      <c r="R111" s="59">
        <f t="shared" si="55"/>
        <v>293.33333333333496</v>
      </c>
      <c r="S111" s="59">
        <f ca="1">AVERAGE(OFFSET($R$3,0,0,'Données projet'!$E$9+1,1))-AVERAGE(OFFSET($H$3,0,0,'Données projet'!$E$9+1,1))</f>
        <v>226.41956082453015</v>
      </c>
      <c r="T111" s="59">
        <f t="shared" si="88"/>
        <v>317.95076157570446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5.6367521333333315</v>
      </c>
      <c r="AI111" s="13">
        <f>IF('Données projet'!$A$62&gt;35,AI110+AH111-AQ110,IF(A111&lt;'Données projet'!$A$62,$AF$205^A111,IF(A111='Données projet'!$A$62,'Données projet'!$B$62,AI110+AH111-AQ110)))</f>
        <v>279.04487180000035</v>
      </c>
      <c r="AJ111" s="13">
        <f>AI111*VLOOKUP('Données projet'!$B$10,Paramètres!$A$1:$I$89,3,0)*VLOOKUP('Données projet'!$B$10,Paramètres!$A$1:$I$89,5,0)</f>
        <v>239.42050000440031</v>
      </c>
      <c r="AK111" s="13">
        <f t="shared" si="89"/>
        <v>58.314830697985414</v>
      </c>
      <c r="AL111" s="20">
        <f t="shared" si="58"/>
        <v>518.55570097332179</v>
      </c>
      <c r="AM111" s="59">
        <f t="shared" si="59"/>
        <v>811.88903430665505</v>
      </c>
      <c r="AN111" s="59">
        <f ca="1">AVERAGE(OFFSET($AM$3,0,0,'Données projet'!$E$10+1,1))-AVERAGE(OFFSET($H$3,0,0,'Données projet'!$E$10+1,1))</f>
        <v>257.80662231827404</v>
      </c>
      <c r="AO111" s="59">
        <f t="shared" si="90"/>
        <v>184.04558520039876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-4.5474735088646412E-13</v>
      </c>
      <c r="BE111" s="13">
        <f>BD111*VLOOKUP('Données projet'!$B$11,Paramètres!$A$1:$I$89,3,0)*VLOOKUP('Données projet'!$B$11,Paramètres!$A$1:$I$89,5,0)</f>
        <v>-2.5420376914553347E-13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300.90952915835157</v>
      </c>
      <c r="BJ111" s="59">
        <f t="shared" si="92"/>
        <v>402.81783992925256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79.345786845336974</v>
      </c>
      <c r="BQ111" s="21">
        <f>EXP(-LN(2)/25)*BQ110+(1-EXP(-LN(2)/25))/(LN(2)/25)*Calculateur!BL111*Calculateur!BN111*VLOOKUP('Données projet'!$B$11,Paramètres!$A$1:$I$89,3,0)*0.475*44/12</f>
        <v>13.394761634890285</v>
      </c>
      <c r="BR111" s="21">
        <f>EXP(-LN(2)/2)*BR110+(1-EXP(-LN(2)/2))/(LN(2)/2)*BL111*BO111*VLOOKUP('Données projet'!$B$11,Paramètres!$A$1:$I$89,3,0)*0.475*44/12</f>
        <v>3.5449407956538334E-7</v>
      </c>
      <c r="BS111" s="22">
        <f t="shared" si="63"/>
        <v>92.740548834721338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-2.8421709430404007E-13</v>
      </c>
      <c r="BZ111" s="13">
        <f>BY111*VLOOKUP('Données projet'!$B$12,Paramètres!$A$1:$I$89,3,0)*VLOOKUP('Données projet'!$B$12,Paramètres!$A$1:$I$89,5,0)</f>
        <v>-1.4040324458619578E-13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246.05217890269194</v>
      </c>
      <c r="CE111" s="59">
        <f t="shared" si="94"/>
        <v>155.54297071424327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171.23768013058884</v>
      </c>
      <c r="CL111" s="21">
        <f>EXP(-LN(2)/25)*CL110+(1-EXP(-LN(2)/25))/(LN(2)/25)*Calculateur!CG111*Calculateur!CI111*VLOOKUP('Données projet'!$B$12,Paramètres!$A$1:$I$89,3,0)*0.475*44/12</f>
        <v>41.149499072560651</v>
      </c>
      <c r="CM111" s="21">
        <f>EXP(-LN(2)/2)*CM110+(1-EXP(-LN(2)/2))/(LN(2)/2)*CG111*CJ111*VLOOKUP('Données projet'!$B$12,Paramètres!$A$1:$I$89,3,0)*0.475*44/12</f>
        <v>1.6078918250080356</v>
      </c>
      <c r="CN111" s="22">
        <f t="shared" si="66"/>
        <v>213.99507102815753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-3.4106051316484809E-13</v>
      </c>
      <c r="CU111" s="17">
        <f>CT111*VLOOKUP('Données projet'!$B$13,Paramètres!$A$1:$I$89,3,0)*VLOOKUP('Données projet'!$B$13,Paramètres!$A$1:$I$89,5,0)</f>
        <v>-2.0395418687257919E-13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237.036496933921</v>
      </c>
      <c r="CZ111" s="59">
        <f t="shared" si="96"/>
        <v>191.04289413665344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81.699787672272436</v>
      </c>
      <c r="DG111" s="21">
        <f>EXP(-LN(2)/25)*DG110+(1-EXP(-LN(2)/25))/(LN(2)/25)*Calculateur!DB111*Calculateur!DD111*VLOOKUP('Données projet'!$B$13,Paramètres!$A$1:$I$89,3,0)*0.475*44/12</f>
        <v>15.917694166321322</v>
      </c>
      <c r="DH111" s="21">
        <f>EXP(-LN(2)/2)*DH110+(1-EXP(-LN(2)/2))/(LN(2)/2)*DB111*DE111*VLOOKUP('Données projet'!$B$13,Paramètres!$A$1:$I$89,3,0)*0.475*44/12</f>
        <v>2.1736769230528258E-3</v>
      </c>
      <c r="DI111" s="22">
        <f t="shared" si="69"/>
        <v>97.619655515516811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4.5361538519999982</v>
      </c>
      <c r="DO111" s="12">
        <f>IF('Données projet'!$A$166&gt;35,DO110+DN111-DW110,IF(A111&lt;'Données projet'!$A$166,$DL$205^A111,IF(A111='Données projet'!$A$166,'Données projet'!$B$166,DO110+DN111-DW110)))</f>
        <v>204.39692309599963</v>
      </c>
      <c r="DP111" s="17">
        <f>DO111*VLOOKUP('Données projet'!$B$14,Paramètres!$A$1:$I$89,3,0)*VLOOKUP('Données projet'!$B$14,Paramètres!$A$1:$I$89,5,0)</f>
        <v>122.22936001140779</v>
      </c>
      <c r="DQ111" s="13">
        <f t="shared" si="97"/>
        <v>32.194402552466045</v>
      </c>
      <c r="DR111" s="20">
        <f t="shared" si="70"/>
        <v>268.95471979874691</v>
      </c>
      <c r="DS111" s="59">
        <f t="shared" si="71"/>
        <v>562.28805313208022</v>
      </c>
      <c r="DT111" s="59">
        <f ca="1">AVERAGE(OFFSET($DS$3,0,0,'Données projet'!$E$14+1,1))-AVERAGE(OFFSET($H$3,0,0,'Données projet'!$E$14+1,1))</f>
        <v>148.22129593028302</v>
      </c>
      <c r="DU111" s="59">
        <f t="shared" si="98"/>
        <v>102.97015482019975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233.89079999999998</v>
      </c>
      <c r="EL111" s="13">
        <f t="shared" si="99"/>
        <v>57.123140349023068</v>
      </c>
      <c r="EM111" s="20">
        <f t="shared" si="73"/>
        <v>506.84927944121517</v>
      </c>
      <c r="EN111" s="59">
        <f t="shared" si="74"/>
        <v>800.18261277454849</v>
      </c>
      <c r="EO111" s="59">
        <f ca="1">AVERAGE(OFFSET($EN$3,0,0,'Données projet'!$E$15+1,1))-AVERAGE(OFFSET($H$3,0,0,'Données projet'!$E$15+1,1))</f>
        <v>278.53123771916404</v>
      </c>
      <c r="EP111" s="59">
        <f t="shared" si="100"/>
        <v>283.79094702030869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19.229541969997236</v>
      </c>
      <c r="EW111" s="21">
        <f>EXP(-LN(2)/25)*EW110+(1-EXP(-LN(2)/25))/(LN(2)/25)*Calculateur!ER111*Calculateur!ET111*VLOOKUP('Données projet'!$B$15,Paramètres!$A$1:$I$89,3,0)*0.475*44/12</f>
        <v>2.5956685224991434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21.825210492496378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5.9865384615384558</v>
      </c>
      <c r="FE111" s="12">
        <f>IF('Données projet'!$A$218&gt;35,FE110+FD111-FM110,IF(A111&lt;'Données projet'!$A$218,$FB$205^A111,IF(A111='Données projet'!$A$218,'Données projet'!$B$218,FE110+FD111-FM110)))</f>
        <v>257.676923076923</v>
      </c>
      <c r="FF111" s="17">
        <f>FE111*VLOOKUP('Données projet'!$B$16,Paramètres!$A$1:$I$89,3,0)*VLOOKUP('Données projet'!$B$16,Paramètres!$A$1:$I$89,5,0)</f>
        <v>233.14607999999996</v>
      </c>
      <c r="FG111" s="13">
        <f t="shared" si="101"/>
        <v>56.96239877088869</v>
      </c>
      <c r="FH111" s="20">
        <f t="shared" si="76"/>
        <v>505.27226719263109</v>
      </c>
      <c r="FI111" s="59">
        <f t="shared" si="77"/>
        <v>798.60560052596441</v>
      </c>
      <c r="FJ111" s="59">
        <f ca="1">AVERAGE(OFFSET($FI$3,0,0,'Données projet'!$E$16+1,1))-AVERAGE(OFFSET($H$3,0,0,'Données projet'!$E$16+1,1))</f>
        <v>335.99493768537013</v>
      </c>
      <c r="FK111" s="59">
        <f t="shared" si="102"/>
        <v>150.85164849522778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32.415489672940453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32.415489672940453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259.99999999999983</v>
      </c>
      <c r="GA111" s="17">
        <f>FZ111*VLOOKUP('Données projet'!$B$17,Paramètres!$A$1:$I$89,3,0)*VLOOKUP('Données projet'!$B$17,Paramètres!$A$1:$I$89,5,0)</f>
        <v>227.13599999999985</v>
      </c>
      <c r="GB111" s="13">
        <f t="shared" si="103"/>
        <v>55.662966886685133</v>
      </c>
      <c r="GC111" s="20">
        <f t="shared" si="79"/>
        <v>492.5415339943097</v>
      </c>
      <c r="GD111" s="59">
        <f t="shared" si="80"/>
        <v>785.87486732764296</v>
      </c>
      <c r="GE111" s="59">
        <f ca="1">AVERAGE(OFFSET($GD$3,0,0,'Données projet'!$E$17+1,1))-AVERAGE(OFFSET($H$3,0,0,'Données projet'!$E$17+1,1))</f>
        <v>319.57811113658374</v>
      </c>
      <c r="GF111" s="59">
        <f t="shared" si="104"/>
        <v>322.03572137403245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32.228316900757491</v>
      </c>
      <c r="GM111" s="21">
        <f>EXP(-LN(2)/25)*GM110+(1-EXP(-LN(2)/25))/(LN(2)/25)*Calculateur!GH111*Calculateur!GJ111*VLOOKUP('Données projet'!$B$17,Paramètres!$A$1:$I$89,3,0)*0.475*44/12</f>
        <v>10.767220523250971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42.995537424008461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5.4683368944097308E-14</v>
      </c>
      <c r="P112" s="13">
        <f t="shared" si="87"/>
        <v>8.8129432816788268E-13</v>
      </c>
      <c r="Q112" s="20">
        <f t="shared" si="107"/>
        <v>1.6301611558033651E-12</v>
      </c>
      <c r="R112" s="59">
        <f t="shared" si="55"/>
        <v>293.33333333333496</v>
      </c>
      <c r="S112" s="59">
        <f ca="1">AVERAGE(OFFSET($R$3,0,0,'Données projet'!$E$9+1,1))-AVERAGE(OFFSET($H$3,0,0,'Données projet'!$E$9+1,1))</f>
        <v>226.41956082453015</v>
      </c>
      <c r="T112" s="59">
        <f t="shared" si="88"/>
        <v>317.95076157570446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5.6367521333333315</v>
      </c>
      <c r="AI112" s="13">
        <f>IF('Données projet'!$A$62&gt;35,AI111+AH112-AQ111,IF(A112&lt;'Données projet'!$A$62,$AF$205^A112,IF(A112='Données projet'!$A$62,'Données projet'!$B$62,AI111+AH112-AQ111)))</f>
        <v>284.6816239333337</v>
      </c>
      <c r="AJ112" s="13">
        <f>AI112*VLOOKUP('Données projet'!$B$10,Paramètres!$A$1:$I$89,3,0)*VLOOKUP('Données projet'!$B$10,Paramètres!$A$1:$I$89,5,0)</f>
        <v>244.25683333480032</v>
      </c>
      <c r="AK112" s="13">
        <f t="shared" si="89"/>
        <v>59.354469648452607</v>
      </c>
      <c r="AL112" s="20">
        <f t="shared" si="58"/>
        <v>528.78968602916552</v>
      </c>
      <c r="AM112" s="59">
        <f t="shared" si="59"/>
        <v>822.12301936249878</v>
      </c>
      <c r="AN112" s="59">
        <f ca="1">AVERAGE(OFFSET($AM$3,0,0,'Données projet'!$E$10+1,1))-AVERAGE(OFFSET($H$3,0,0,'Données projet'!$E$10+1,1))</f>
        <v>257.80662231827404</v>
      </c>
      <c r="AO112" s="59">
        <f t="shared" si="90"/>
        <v>184.04558520039876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-4.5474735088646412E-13</v>
      </c>
      <c r="BE112" s="13">
        <f>BD112*VLOOKUP('Données projet'!$B$11,Paramètres!$A$1:$I$89,3,0)*VLOOKUP('Données projet'!$B$11,Paramètres!$A$1:$I$89,5,0)</f>
        <v>-2.5420376914553347E-13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300.90952915835157</v>
      </c>
      <c r="BJ112" s="59">
        <f t="shared" si="92"/>
        <v>402.81783992925256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77.789864361451166</v>
      </c>
      <c r="BQ112" s="21">
        <f>EXP(-LN(2)/25)*BQ111+(1-EXP(-LN(2)/25))/(LN(2)/25)*Calculateur!BL112*Calculateur!BN112*VLOOKUP('Données projet'!$B$11,Paramètres!$A$1:$I$89,3,0)*0.475*44/12</f>
        <v>13.028481173584311</v>
      </c>
      <c r="BR112" s="21">
        <f>EXP(-LN(2)/2)*BR111+(1-EXP(-LN(2)/2))/(LN(2)/2)*BL112*BO112*VLOOKUP('Données projet'!$B$11,Paramètres!$A$1:$I$89,3,0)*0.475*44/12</f>
        <v>2.5066516755116608E-7</v>
      </c>
      <c r="BS112" s="22">
        <f t="shared" si="63"/>
        <v>90.818345785700643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-2.8421709430404007E-13</v>
      </c>
      <c r="BZ112" s="13">
        <f>BY112*VLOOKUP('Données projet'!$B$12,Paramètres!$A$1:$I$89,3,0)*VLOOKUP('Données projet'!$B$12,Paramètres!$A$1:$I$89,5,0)</f>
        <v>-1.4040324458619578E-13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246.05217890269194</v>
      </c>
      <c r="CE112" s="59">
        <f t="shared" si="94"/>
        <v>155.54297071424327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167.87981366789981</v>
      </c>
      <c r="CL112" s="21">
        <f>EXP(-LN(2)/25)*CL111+(1-EXP(-LN(2)/25))/(LN(2)/25)*Calculateur!CG112*Calculateur!CI112*VLOOKUP('Données projet'!$B$12,Paramètres!$A$1:$I$89,3,0)*0.475*44/12</f>
        <v>40.024263856463371</v>
      </c>
      <c r="CM112" s="21">
        <f>EXP(-LN(2)/2)*CM111+(1-EXP(-LN(2)/2))/(LN(2)/2)*CG112*CJ112*VLOOKUP('Données projet'!$B$12,Paramètres!$A$1:$I$89,3,0)*0.475*44/12</f>
        <v>1.1369512128775956</v>
      </c>
      <c r="CN112" s="22">
        <f t="shared" si="66"/>
        <v>209.04102873724077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-3.4106051316484809E-13</v>
      </c>
      <c r="CU112" s="17">
        <f>CT112*VLOOKUP('Données projet'!$B$13,Paramètres!$A$1:$I$89,3,0)*VLOOKUP('Données projet'!$B$13,Paramètres!$A$1:$I$89,5,0)</f>
        <v>-2.0395418687257919E-13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237.036496933921</v>
      </c>
      <c r="CZ112" s="59">
        <f t="shared" si="96"/>
        <v>191.04289413665344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80.097704667969154</v>
      </c>
      <c r="DG112" s="21">
        <f>EXP(-LN(2)/25)*DG111+(1-EXP(-LN(2)/25))/(LN(2)/25)*Calculateur!DB112*Calculateur!DD112*VLOOKUP('Données projet'!$B$13,Paramètres!$A$1:$I$89,3,0)*0.475*44/12</f>
        <v>15.482423982268109</v>
      </c>
      <c r="DH112" s="21">
        <f>EXP(-LN(2)/2)*DH111+(1-EXP(-LN(2)/2))/(LN(2)/2)*DB112*DE112*VLOOKUP('Données projet'!$B$13,Paramètres!$A$1:$I$89,3,0)*0.475*44/12</f>
        <v>1.5370216923993624E-3</v>
      </c>
      <c r="DI112" s="22">
        <f t="shared" si="69"/>
        <v>95.58166567192967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4.5361538519999982</v>
      </c>
      <c r="DO112" s="12">
        <f>IF('Données projet'!$A$166&gt;35,DO111+DN112-DW111,IF(A112&lt;'Données projet'!$A$166,$DL$205^A112,IF(A112='Données projet'!$A$166,'Données projet'!$B$166,DO111+DN112-DW111)))</f>
        <v>208.93307694799961</v>
      </c>
      <c r="DP112" s="17">
        <f>DO112*VLOOKUP('Données projet'!$B$14,Paramètres!$A$1:$I$89,3,0)*VLOOKUP('Données projet'!$B$14,Paramètres!$A$1:$I$89,5,0)</f>
        <v>124.94198001490376</v>
      </c>
      <c r="DQ112" s="13">
        <f t="shared" si="97"/>
        <v>32.824913710016261</v>
      </c>
      <c r="DR112" s="20">
        <f t="shared" si="70"/>
        <v>274.7773399042357</v>
      </c>
      <c r="DS112" s="59">
        <f t="shared" si="71"/>
        <v>568.11067323756902</v>
      </c>
      <c r="DT112" s="59">
        <f ca="1">AVERAGE(OFFSET($DS$3,0,0,'Données projet'!$E$14+1,1))-AVERAGE(OFFSET($H$3,0,0,'Données projet'!$E$14+1,1))</f>
        <v>148.22129593028302</v>
      </c>
      <c r="DU112" s="59">
        <f t="shared" si="98"/>
        <v>102.97015482019975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233.89079999999998</v>
      </c>
      <c r="EL112" s="13">
        <f t="shared" si="99"/>
        <v>57.123140349023068</v>
      </c>
      <c r="EM112" s="20">
        <f t="shared" si="73"/>
        <v>506.84927944121517</v>
      </c>
      <c r="EN112" s="59">
        <f t="shared" si="74"/>
        <v>800.18261277454849</v>
      </c>
      <c r="EO112" s="59">
        <f ca="1">AVERAGE(OFFSET($EN$3,0,0,'Données projet'!$E$15+1,1))-AVERAGE(OFFSET($H$3,0,0,'Données projet'!$E$15+1,1))</f>
        <v>278.53123771916404</v>
      </c>
      <c r="EP112" s="59">
        <f t="shared" si="100"/>
        <v>283.79094702030869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18.852462380828062</v>
      </c>
      <c r="EW112" s="21">
        <f>EXP(-LN(2)/25)*EW111+(1-EXP(-LN(2)/25))/(LN(2)/25)*Calculateur!ER112*Calculateur!ET112*VLOOKUP('Données projet'!$B$15,Paramètres!$A$1:$I$89,3,0)*0.475*44/12</f>
        <v>2.5246898302511291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21.377152211079192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5.9865384615384558</v>
      </c>
      <c r="FE112" s="12">
        <f>IF('Données projet'!$A$218&gt;35,FE111+FD112-FM111,IF(A112&lt;'Données projet'!$A$218,$FB$205^A112,IF(A112='Données projet'!$A$218,'Données projet'!$B$218,FE111+FD112-FM111)))</f>
        <v>263.66346153846143</v>
      </c>
      <c r="FF112" s="17">
        <f>FE112*VLOOKUP('Données projet'!$B$16,Paramètres!$A$1:$I$89,3,0)*VLOOKUP('Données projet'!$B$16,Paramètres!$A$1:$I$89,5,0)</f>
        <v>238.56269999999989</v>
      </c>
      <c r="FG112" s="13">
        <f t="shared" si="101"/>
        <v>58.130180359724058</v>
      </c>
      <c r="FH112" s="20">
        <f t="shared" si="76"/>
        <v>516.74009995985261</v>
      </c>
      <c r="FI112" s="59">
        <f t="shared" si="77"/>
        <v>810.07343329318587</v>
      </c>
      <c r="FJ112" s="59">
        <f ca="1">AVERAGE(OFFSET($FI$3,0,0,'Données projet'!$E$16+1,1))-AVERAGE(OFFSET($H$3,0,0,'Données projet'!$E$16+1,1))</f>
        <v>335.99493768537013</v>
      </c>
      <c r="FK112" s="59">
        <f t="shared" si="102"/>
        <v>150.85164849522778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31.779841691950519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31.779841691950519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259.99999999999983</v>
      </c>
      <c r="GA112" s="17">
        <f>FZ112*VLOOKUP('Données projet'!$B$17,Paramètres!$A$1:$I$89,3,0)*VLOOKUP('Données projet'!$B$17,Paramètres!$A$1:$I$89,5,0)</f>
        <v>227.13599999999985</v>
      </c>
      <c r="GB112" s="13">
        <f t="shared" si="103"/>
        <v>55.662966886685133</v>
      </c>
      <c r="GC112" s="20">
        <f t="shared" si="79"/>
        <v>492.5415339943097</v>
      </c>
      <c r="GD112" s="59">
        <f t="shared" si="80"/>
        <v>785.87486732764296</v>
      </c>
      <c r="GE112" s="59">
        <f ca="1">AVERAGE(OFFSET($GD$3,0,0,'Données projet'!$E$17+1,1))-AVERAGE(OFFSET($H$3,0,0,'Données projet'!$E$17+1,1))</f>
        <v>319.57811113658374</v>
      </c>
      <c r="GF112" s="59">
        <f t="shared" si="104"/>
        <v>322.03572137403245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31.596339263665946</v>
      </c>
      <c r="GM112" s="21">
        <f>EXP(-LN(2)/25)*GM111+(1-EXP(-LN(2)/25))/(LN(2)/25)*Calculateur!GH112*Calculateur!GJ112*VLOOKUP('Données projet'!$B$17,Paramètres!$A$1:$I$89,3,0)*0.475*44/12</f>
        <v>10.472790311819155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42.0691295754851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5.4683368944097308E-14</v>
      </c>
      <c r="P113" s="13">
        <f t="shared" si="87"/>
        <v>8.8129432816788268E-13</v>
      </c>
      <c r="Q113" s="20">
        <f t="shared" si="107"/>
        <v>1.6301611558033651E-12</v>
      </c>
      <c r="R113" s="59">
        <f t="shared" si="55"/>
        <v>293.33333333333496</v>
      </c>
      <c r="S113" s="59">
        <f ca="1">AVERAGE(OFFSET($R$3,0,0,'Données projet'!$E$9+1,1))-AVERAGE(OFFSET($H$3,0,0,'Données projet'!$E$9+1,1))</f>
        <v>226.41956082453015</v>
      </c>
      <c r="T113" s="59">
        <f t="shared" si="88"/>
        <v>317.95076157570446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5.6367521333333315</v>
      </c>
      <c r="AI113" s="13">
        <f>IF('Données projet'!$A$62&gt;35,AI112+AH113-AQ112,IF(A113&lt;'Données projet'!$A$62,$AF$205^A113,IF(A113='Données projet'!$A$62,'Données projet'!$B$62,AI112+AH113-AQ112)))</f>
        <v>290.31837606666704</v>
      </c>
      <c r="AJ113" s="13">
        <f>AI113*VLOOKUP('Données projet'!$B$10,Paramètres!$A$1:$I$89,3,0)*VLOOKUP('Données projet'!$B$10,Paramètres!$A$1:$I$89,5,0)</f>
        <v>249.09316666520036</v>
      </c>
      <c r="AK113" s="13">
        <f t="shared" si="89"/>
        <v>60.391715092197387</v>
      </c>
      <c r="AL113" s="20">
        <f t="shared" si="58"/>
        <v>539.01950239413429</v>
      </c>
      <c r="AM113" s="59">
        <f t="shared" si="59"/>
        <v>832.35283572746766</v>
      </c>
      <c r="AN113" s="59">
        <f ca="1">AVERAGE(OFFSET($AM$3,0,0,'Données projet'!$E$10+1,1))-AVERAGE(OFFSET($H$3,0,0,'Données projet'!$E$10+1,1))</f>
        <v>257.80662231827404</v>
      </c>
      <c r="AO113" s="59">
        <f t="shared" si="90"/>
        <v>184.04558520039876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-4.5474735088646412E-13</v>
      </c>
      <c r="BE113" s="13">
        <f>BD113*VLOOKUP('Données projet'!$B$11,Paramètres!$A$1:$I$89,3,0)*VLOOKUP('Données projet'!$B$11,Paramètres!$A$1:$I$89,5,0)</f>
        <v>-2.5420376914553347E-13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300.90952915835157</v>
      </c>
      <c r="BJ113" s="59">
        <f t="shared" si="92"/>
        <v>402.81783992925256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76.264452568455354</v>
      </c>
      <c r="BQ113" s="21">
        <f>EXP(-LN(2)/25)*BQ112+(1-EXP(-LN(2)/25))/(LN(2)/25)*Calculateur!BL113*Calculateur!BN113*VLOOKUP('Données projet'!$B$11,Paramètres!$A$1:$I$89,3,0)*0.475*44/12</f>
        <v>12.672216670754599</v>
      </c>
      <c r="BR113" s="21">
        <f>EXP(-LN(2)/2)*BR112+(1-EXP(-LN(2)/2))/(LN(2)/2)*BL113*BO113*VLOOKUP('Données projet'!$B$11,Paramètres!$A$1:$I$89,3,0)*0.475*44/12</f>
        <v>1.7724703978269167E-7</v>
      </c>
      <c r="BS113" s="22">
        <f t="shared" si="63"/>
        <v>88.936669416456994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-2.8421709430404007E-13</v>
      </c>
      <c r="BZ113" s="13">
        <f>BY113*VLOOKUP('Données projet'!$B$12,Paramètres!$A$1:$I$89,3,0)*VLOOKUP('Données projet'!$B$12,Paramètres!$A$1:$I$89,5,0)</f>
        <v>-1.4040324458619578E-13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246.05217890269194</v>
      </c>
      <c r="CE113" s="59">
        <f t="shared" si="94"/>
        <v>155.54297071424327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164.5877929184478</v>
      </c>
      <c r="CL113" s="21">
        <f>EXP(-LN(2)/25)*CL112+(1-EXP(-LN(2)/25))/(LN(2)/25)*Calculateur!CG113*Calculateur!CI113*VLOOKUP('Données projet'!$B$12,Paramètres!$A$1:$I$89,3,0)*0.475*44/12</f>
        <v>38.929798256523817</v>
      </c>
      <c r="CM113" s="21">
        <f>EXP(-LN(2)/2)*CM112+(1-EXP(-LN(2)/2))/(LN(2)/2)*CG113*CJ113*VLOOKUP('Données projet'!$B$12,Paramètres!$A$1:$I$89,3,0)*0.475*44/12</f>
        <v>0.80394591250401781</v>
      </c>
      <c r="CN113" s="22">
        <f t="shared" si="66"/>
        <v>204.32153708747563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-3.4106051316484809E-13</v>
      </c>
      <c r="CU113" s="17">
        <f>CT113*VLOOKUP('Données projet'!$B$13,Paramètres!$A$1:$I$89,3,0)*VLOOKUP('Données projet'!$B$13,Paramètres!$A$1:$I$89,5,0)</f>
        <v>-2.0395418687257919E-13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237.036496933921</v>
      </c>
      <c r="CZ113" s="59">
        <f t="shared" si="96"/>
        <v>191.04289413665344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78.527037534206116</v>
      </c>
      <c r="DG113" s="21">
        <f>EXP(-LN(2)/25)*DG112+(1-EXP(-LN(2)/25))/(LN(2)/25)*Calculateur!DB113*Calculateur!DD113*VLOOKUP('Données projet'!$B$13,Paramètres!$A$1:$I$89,3,0)*0.475*44/12</f>
        <v>15.059056284287696</v>
      </c>
      <c r="DH113" s="21">
        <f>EXP(-LN(2)/2)*DH112+(1-EXP(-LN(2)/2))/(LN(2)/2)*DB113*DE113*VLOOKUP('Données projet'!$B$13,Paramètres!$A$1:$I$89,3,0)*0.475*44/12</f>
        <v>1.0868384615264129E-3</v>
      </c>
      <c r="DI113" s="22">
        <f t="shared" si="69"/>
        <v>93.58718065695534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213.46923079999999</v>
      </c>
      <c r="DM113" s="12">
        <f>VLOOKUP(A113,'Données projet'!$A$165:$I$185,9,0)</f>
        <v>4.5361538519999982</v>
      </c>
      <c r="DN113" s="12">
        <f t="array" ref="DN113">INDEX(DM:DM,MIN(IF(ISNUMBER(DM113:DM309),ROW(DM113:DM309),"")))</f>
        <v>4.5361538519999982</v>
      </c>
      <c r="DO113" s="12">
        <f>IF('Données projet'!$A$166&gt;35,DO112+DN113-DW112,IF(A113&lt;'Données projet'!$A$166,$DL$205^A113,IF(A113='Données projet'!$A$166,'Données projet'!$B$166,DO112+DN113-DW112)))</f>
        <v>213.46923079999959</v>
      </c>
      <c r="DP113" s="17">
        <f>DO113*VLOOKUP('Données projet'!$B$14,Paramètres!$A$1:$I$89,3,0)*VLOOKUP('Données projet'!$B$14,Paramètres!$A$1:$I$89,5,0)</f>
        <v>127.65460001839976</v>
      </c>
      <c r="DQ113" s="13">
        <f t="shared" si="97"/>
        <v>33.453833341537646</v>
      </c>
      <c r="DR113" s="20">
        <f t="shared" si="70"/>
        <v>280.59718810189094</v>
      </c>
      <c r="DS113" s="59">
        <f t="shared" si="71"/>
        <v>573.93052143522425</v>
      </c>
      <c r="DT113" s="59">
        <f ca="1">AVERAGE(OFFSET($DS$3,0,0,'Données projet'!$E$14+1,1))-AVERAGE(OFFSET($H$3,0,0,'Données projet'!$E$14+1,1))</f>
        <v>148.22129593028302</v>
      </c>
      <c r="DU113" s="59">
        <f t="shared" si="98"/>
        <v>102.97015482019975</v>
      </c>
      <c r="DV113" s="15">
        <f>IF(ISNA(VLOOKUP(A113,'Données projet'!$A$165:$I$185,3,0)),0,VLOOKUP(A113,'Données projet'!$A$165:$I$185,3,0))</f>
        <v>6</v>
      </c>
      <c r="DW113" s="15">
        <f>IF(ISNA(VLOOKUP(A113,'Données projet'!$A$165:$I$185,4,0)),0,VLOOKUP(A113,'Données projet'!$A$165:$I$185,4,0))</f>
        <v>213.46923079999999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233.89079999999998</v>
      </c>
      <c r="EL113" s="13">
        <f t="shared" si="99"/>
        <v>57.123140349023068</v>
      </c>
      <c r="EM113" s="20">
        <f t="shared" si="73"/>
        <v>506.84927944121517</v>
      </c>
      <c r="EN113" s="59">
        <f t="shared" si="74"/>
        <v>800.18261277454849</v>
      </c>
      <c r="EO113" s="59">
        <f ca="1">AVERAGE(OFFSET($EN$3,0,0,'Données projet'!$E$15+1,1))-AVERAGE(OFFSET($H$3,0,0,'Données projet'!$E$15+1,1))</f>
        <v>278.53123771916404</v>
      </c>
      <c r="EP113" s="59">
        <f t="shared" si="100"/>
        <v>283.79094702030869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18.482777092406657</v>
      </c>
      <c r="EW113" s="21">
        <f>EXP(-LN(2)/25)*EW112+(1-EXP(-LN(2)/25))/(LN(2)/25)*Calculateur!ER113*Calculateur!ET113*VLOOKUP('Données projet'!$B$15,Paramètres!$A$1:$I$89,3,0)*0.475*44/12</f>
        <v>2.455652054075244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20.938429146481901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5.9865384615384558</v>
      </c>
      <c r="FE113" s="12">
        <f>IF('Données projet'!$A$218&gt;35,FE112+FD113-FM112,IF(A113&lt;'Données projet'!$A$218,$FB$205^A113,IF(A113='Données projet'!$A$218,'Données projet'!$B$218,FE112+FD113-FM112)))</f>
        <v>269.64999999999986</v>
      </c>
      <c r="FF113" s="17">
        <f>FE113*VLOOKUP('Données projet'!$B$16,Paramètres!$A$1:$I$89,3,0)*VLOOKUP('Données projet'!$B$16,Paramètres!$A$1:$I$89,5,0)</f>
        <v>243.97931999999986</v>
      </c>
      <c r="FG113" s="13">
        <f t="shared" si="101"/>
        <v>59.294879427135335</v>
      </c>
      <c r="FH113" s="20">
        <f t="shared" si="76"/>
        <v>528.20256400226049</v>
      </c>
      <c r="FI113" s="59">
        <f t="shared" si="77"/>
        <v>821.53589733559375</v>
      </c>
      <c r="FJ113" s="59">
        <f ca="1">AVERAGE(OFFSET($FI$3,0,0,'Données projet'!$E$16+1,1))-AVERAGE(OFFSET($H$3,0,0,'Données projet'!$E$16+1,1))</f>
        <v>335.99493768537013</v>
      </c>
      <c r="FK113" s="59">
        <f t="shared" si="102"/>
        <v>150.85164849522778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31.156658380160813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31.156658380160813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259.99999999999983</v>
      </c>
      <c r="GA113" s="17">
        <f>FZ113*VLOOKUP('Données projet'!$B$17,Paramètres!$A$1:$I$89,3,0)*VLOOKUP('Données projet'!$B$17,Paramètres!$A$1:$I$89,5,0)</f>
        <v>227.13599999999985</v>
      </c>
      <c r="GB113" s="13">
        <f t="shared" si="103"/>
        <v>55.662966886685133</v>
      </c>
      <c r="GC113" s="20">
        <f t="shared" si="79"/>
        <v>492.5415339943097</v>
      </c>
      <c r="GD113" s="59">
        <f t="shared" si="80"/>
        <v>785.87486732764296</v>
      </c>
      <c r="GE113" s="59">
        <f ca="1">AVERAGE(OFFSET($GD$3,0,0,'Données projet'!$E$17+1,1))-AVERAGE(OFFSET($H$3,0,0,'Données projet'!$E$17+1,1))</f>
        <v>319.57811113658374</v>
      </c>
      <c r="GF113" s="59">
        <f t="shared" si="104"/>
        <v>322.03572137403245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30.976754322569469</v>
      </c>
      <c r="GM113" s="21">
        <f>EXP(-LN(2)/25)*GM112+(1-EXP(-LN(2)/25))/(LN(2)/25)*Calculateur!GH113*Calculateur!GJ113*VLOOKUP('Données projet'!$B$17,Paramètres!$A$1:$I$89,3,0)*0.475*44/12</f>
        <v>10.186411310002354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41.163165632571825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5.4683368944097308E-14</v>
      </c>
      <c r="P114" s="13">
        <f t="shared" si="87"/>
        <v>8.8129432816788268E-13</v>
      </c>
      <c r="Q114" s="20">
        <f t="shared" si="107"/>
        <v>1.6301611558033651E-12</v>
      </c>
      <c r="R114" s="59">
        <f t="shared" si="55"/>
        <v>293.33333333333496</v>
      </c>
      <c r="S114" s="59">
        <f ca="1">AVERAGE(OFFSET($R$3,0,0,'Données projet'!$E$9+1,1))-AVERAGE(OFFSET($H$3,0,0,'Données projet'!$E$9+1,1))</f>
        <v>226.41956082453015</v>
      </c>
      <c r="T114" s="59">
        <f t="shared" si="88"/>
        <v>317.95076157570446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>
        <f>VLOOKUP(A114,'Données projet'!$A$61:$I$81,2,0)</f>
        <v>295.95512819999999</v>
      </c>
      <c r="AG114" s="12">
        <f>VLOOKUP(A114,'Données projet'!$A$61:$I$81,9,0)</f>
        <v>5.6367521333333315</v>
      </c>
      <c r="AH114" s="12">
        <f t="array" ref="AH114">INDEX(AG:AG,MIN(IF(ISNUMBER(AG114:AG310),ROW(AG114:AG310),"")))</f>
        <v>5.6367521333333315</v>
      </c>
      <c r="AI114" s="13">
        <f>IF('Données projet'!$A$62&gt;35,AI113+AH114-AQ113,IF(A114&lt;'Données projet'!$A$62,$AF$205^A114,IF(A114='Données projet'!$A$62,'Données projet'!$B$62,AI113+AH114-AQ113)))</f>
        <v>295.95512820000039</v>
      </c>
      <c r="AJ114" s="13">
        <f>AI114*VLOOKUP('Données projet'!$B$10,Paramètres!$A$1:$I$89,3,0)*VLOOKUP('Données projet'!$B$10,Paramètres!$A$1:$I$89,5,0)</f>
        <v>253.92949999560037</v>
      </c>
      <c r="AK114" s="13">
        <f t="shared" si="89"/>
        <v>61.426618858274871</v>
      </c>
      <c r="AL114" s="20">
        <f t="shared" si="58"/>
        <v>549.24524033716591</v>
      </c>
      <c r="AM114" s="59">
        <f t="shared" si="59"/>
        <v>842.57857367049928</v>
      </c>
      <c r="AN114" s="59">
        <f ca="1">AVERAGE(OFFSET($AM$3,0,0,'Données projet'!$E$10+1,1))-AVERAGE(OFFSET($H$3,0,0,'Données projet'!$E$10+1,1))</f>
        <v>257.80662231827404</v>
      </c>
      <c r="AO114" s="59">
        <f t="shared" si="90"/>
        <v>184.04558520039876</v>
      </c>
      <c r="AP114" s="15">
        <f>IF(ISNA(VLOOKUP(A114,'Données projet'!$A$61:$I$81,3,0)),0,VLOOKUP(A114,'Données projet'!$A$61:$I$81,3,0))</f>
        <v>9</v>
      </c>
      <c r="AQ114" s="15">
        <f>IF(ISNA(VLOOKUP(A114,'Données projet'!$A$61:$I$81,4,0)),0,VLOOKUP(A114,'Données projet'!$A$61:$I$81,4,0))</f>
        <v>108.1474359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-4.5474735088646412E-13</v>
      </c>
      <c r="BE114" s="13">
        <f>BD114*VLOOKUP('Données projet'!$B$11,Paramètres!$A$1:$I$89,3,0)*VLOOKUP('Données projet'!$B$11,Paramètres!$A$1:$I$89,5,0)</f>
        <v>-2.5420376914553347E-13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300.90952915835157</v>
      </c>
      <c r="BJ114" s="59">
        <f t="shared" si="92"/>
        <v>402.81783992925256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74.768953170310866</v>
      </c>
      <c r="BQ114" s="21">
        <f>EXP(-LN(2)/25)*BQ113+(1-EXP(-LN(2)/25))/(LN(2)/25)*Calculateur!BL114*Calculateur!BN114*VLOOKUP('Données projet'!$B$11,Paramètres!$A$1:$I$89,3,0)*0.475*44/12</f>
        <v>12.325694239489902</v>
      </c>
      <c r="BR114" s="21">
        <f>EXP(-LN(2)/2)*BR113+(1-EXP(-LN(2)/2))/(LN(2)/2)*BL114*BO114*VLOOKUP('Données projet'!$B$11,Paramètres!$A$1:$I$89,3,0)*0.475*44/12</f>
        <v>1.2533258377558304E-7</v>
      </c>
      <c r="BS114" s="22">
        <f t="shared" si="63"/>
        <v>87.094647535133362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-2.8421709430404007E-13</v>
      </c>
      <c r="BZ114" s="13">
        <f>BY114*VLOOKUP('Données projet'!$B$12,Paramètres!$A$1:$I$89,3,0)*VLOOKUP('Données projet'!$B$12,Paramètres!$A$1:$I$89,5,0)</f>
        <v>-1.4040324458619578E-13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246.05217890269194</v>
      </c>
      <c r="CE114" s="59">
        <f t="shared" si="94"/>
        <v>155.54297071424327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161.36032668795818</v>
      </c>
      <c r="CL114" s="21">
        <f>EXP(-LN(2)/25)*CL113+(1-EXP(-LN(2)/25))/(LN(2)/25)*Calculateur!CG114*Calculateur!CI114*VLOOKUP('Données projet'!$B$12,Paramètres!$A$1:$I$89,3,0)*0.475*44/12</f>
        <v>37.865260875970058</v>
      </c>
      <c r="CM114" s="21">
        <f>EXP(-LN(2)/2)*CM113+(1-EXP(-LN(2)/2))/(LN(2)/2)*CG114*CJ114*VLOOKUP('Données projet'!$B$12,Paramètres!$A$1:$I$89,3,0)*0.475*44/12</f>
        <v>0.5684756064387978</v>
      </c>
      <c r="CN114" s="22">
        <f t="shared" si="66"/>
        <v>199.79406317036702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-3.4106051316484809E-13</v>
      </c>
      <c r="CU114" s="17">
        <f>CT114*VLOOKUP('Données projet'!$B$13,Paramètres!$A$1:$I$89,3,0)*VLOOKUP('Données projet'!$B$13,Paramètres!$A$1:$I$89,5,0)</f>
        <v>-2.0395418687257919E-13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237.036496933921</v>
      </c>
      <c r="CZ114" s="59">
        <f t="shared" si="96"/>
        <v>191.04289413665344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76.987170224923815</v>
      </c>
      <c r="DG114" s="21">
        <f>EXP(-LN(2)/25)*DG113+(1-EXP(-LN(2)/25))/(LN(2)/25)*Calculateur!DB114*Calculateur!DD114*VLOOKUP('Données projet'!$B$13,Paramètres!$A$1:$I$89,3,0)*0.475*44/12</f>
        <v>14.647265598272497</v>
      </c>
      <c r="DH114" s="21">
        <f>EXP(-LN(2)/2)*DH113+(1-EXP(-LN(2)/2))/(LN(2)/2)*DB114*DE114*VLOOKUP('Données projet'!$B$13,Paramètres!$A$1:$I$89,3,0)*0.475*44/12</f>
        <v>7.6851084619968121E-4</v>
      </c>
      <c r="DI114" s="22">
        <f t="shared" si="69"/>
        <v>91.635204334042513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-3.979039320256561E-13</v>
      </c>
      <c r="DP114" s="17">
        <f>DO114*VLOOKUP('Données projet'!$B$14,Paramètres!$A$1:$I$89,3,0)*VLOOKUP('Données projet'!$B$14,Paramètres!$A$1:$I$89,5,0)</f>
        <v>-2.379465513513424E-13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148.22129593028302</v>
      </c>
      <c r="DU114" s="59">
        <f t="shared" si="98"/>
        <v>102.97015482019975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233.89079999999998</v>
      </c>
      <c r="EL114" s="13">
        <f t="shared" si="99"/>
        <v>57.123140349023068</v>
      </c>
      <c r="EM114" s="20">
        <f t="shared" si="73"/>
        <v>506.84927944121517</v>
      </c>
      <c r="EN114" s="59">
        <f t="shared" si="74"/>
        <v>800.18261277454849</v>
      </c>
      <c r="EO114" s="59">
        <f ca="1">AVERAGE(OFFSET($EN$3,0,0,'Données projet'!$E$15+1,1))-AVERAGE(OFFSET($H$3,0,0,'Données projet'!$E$15+1,1))</f>
        <v>278.53123771916404</v>
      </c>
      <c r="EP114" s="59">
        <f t="shared" si="100"/>
        <v>283.79094702030869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18.120341107005434</v>
      </c>
      <c r="EW114" s="21">
        <f>EXP(-LN(2)/25)*EW113+(1-EXP(-LN(2)/25))/(LN(2)/25)*Calculateur!ER114*Calculateur!ET114*VLOOKUP('Données projet'!$B$15,Paramètres!$A$1:$I$89,3,0)*0.475*44/12</f>
        <v>2.3885021195194276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20.50884322652486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5.9865384615384558</v>
      </c>
      <c r="FE114" s="12">
        <f>IF('Données projet'!$A$218&gt;35,FE113+FD114-FM113,IF(A114&lt;'Données projet'!$A$218,$FB$205^A114,IF(A114='Données projet'!$A$218,'Données projet'!$B$218,FE113+FD114-FM113)))</f>
        <v>275.63653846153829</v>
      </c>
      <c r="FF114" s="17">
        <f>FE114*VLOOKUP('Données projet'!$B$16,Paramètres!$A$1:$I$89,3,0)*VLOOKUP('Données projet'!$B$16,Paramètres!$A$1:$I$89,5,0)</f>
        <v>249.39593999999985</v>
      </c>
      <c r="FG114" s="13">
        <f t="shared" si="101"/>
        <v>60.456572288548877</v>
      </c>
      <c r="FH114" s="20">
        <f t="shared" si="76"/>
        <v>539.65979223588909</v>
      </c>
      <c r="FI114" s="59">
        <f t="shared" si="77"/>
        <v>832.99312556922246</v>
      </c>
      <c r="FJ114" s="59">
        <f ca="1">AVERAGE(OFFSET($FI$3,0,0,'Données projet'!$E$16+1,1))-AVERAGE(OFFSET($H$3,0,0,'Données projet'!$E$16+1,1))</f>
        <v>335.99493768537013</v>
      </c>
      <c r="FK114" s="59">
        <f t="shared" si="102"/>
        <v>150.85164849522778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30.545695313011013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30.545695313011013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259.99999999999983</v>
      </c>
      <c r="GA114" s="17">
        <f>FZ114*VLOOKUP('Données projet'!$B$17,Paramètres!$A$1:$I$89,3,0)*VLOOKUP('Données projet'!$B$17,Paramètres!$A$1:$I$89,5,0)</f>
        <v>227.13599999999985</v>
      </c>
      <c r="GB114" s="13">
        <f t="shared" si="103"/>
        <v>55.662966886685133</v>
      </c>
      <c r="GC114" s="20">
        <f t="shared" si="79"/>
        <v>492.5415339943097</v>
      </c>
      <c r="GD114" s="59">
        <f t="shared" si="80"/>
        <v>785.87486732764296</v>
      </c>
      <c r="GE114" s="59">
        <f ca="1">AVERAGE(OFFSET($GD$3,0,0,'Données projet'!$E$17+1,1))-AVERAGE(OFFSET($H$3,0,0,'Données projet'!$E$17+1,1))</f>
        <v>319.57811113658374</v>
      </c>
      <c r="GF114" s="59">
        <f t="shared" si="104"/>
        <v>322.03572137403245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30.369319064258395</v>
      </c>
      <c r="GM114" s="21">
        <f>EXP(-LN(2)/25)*GM113+(1-EXP(-LN(2)/25))/(LN(2)/25)*Calculateur!GH114*Calculateur!GJ114*VLOOKUP('Données projet'!$B$17,Paramètres!$A$1:$I$89,3,0)*0.475*44/12</f>
        <v>9.9078633570502497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40.277182421308645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5.4683368944097308E-14</v>
      </c>
      <c r="P115" s="13">
        <f t="shared" si="87"/>
        <v>8.8129432816788268E-13</v>
      </c>
      <c r="Q115" s="20">
        <f t="shared" si="107"/>
        <v>1.6301611558033651E-12</v>
      </c>
      <c r="R115" s="59">
        <f t="shared" si="55"/>
        <v>293.33333333333496</v>
      </c>
      <c r="S115" s="59">
        <f ca="1">AVERAGE(OFFSET($R$3,0,0,'Données projet'!$E$9+1,1))-AVERAGE(OFFSET($H$3,0,0,'Données projet'!$E$9+1,1))</f>
        <v>226.41956082453015</v>
      </c>
      <c r="T115" s="59">
        <f t="shared" si="88"/>
        <v>317.95076157570446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4.6038461600000007</v>
      </c>
      <c r="AI115" s="13">
        <f>IF('Données projet'!$A$62&gt;35,AI114+AH115-AQ114,IF(A115&lt;'Données projet'!$A$62,$AF$205^A115,IF(A115='Données projet'!$A$62,'Données projet'!$B$62,AI114+AH115-AQ114)))</f>
        <v>192.41153846000037</v>
      </c>
      <c r="AJ115" s="13">
        <f>AI115*VLOOKUP('Données projet'!$B$10,Paramètres!$A$1:$I$89,3,0)*VLOOKUP('Données projet'!$B$10,Paramètres!$A$1:$I$89,5,0)</f>
        <v>165.08909999868035</v>
      </c>
      <c r="AK115" s="13">
        <f t="shared" si="89"/>
        <v>41.988275978601244</v>
      </c>
      <c r="AL115" s="20">
        <f t="shared" si="58"/>
        <v>360.65976316043208</v>
      </c>
      <c r="AM115" s="59">
        <f t="shared" si="59"/>
        <v>653.99309649376539</v>
      </c>
      <c r="AN115" s="59">
        <f ca="1">AVERAGE(OFFSET($AM$3,0,0,'Données projet'!$E$10+1,1))-AVERAGE(OFFSET($H$3,0,0,'Données projet'!$E$10+1,1))</f>
        <v>257.80662231827404</v>
      </c>
      <c r="AO115" s="59">
        <f t="shared" si="90"/>
        <v>184.04558520039876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-4.5474735088646412E-13</v>
      </c>
      <c r="BE115" s="13">
        <f>BD115*VLOOKUP('Données projet'!$B$11,Paramètres!$A$1:$I$89,3,0)*VLOOKUP('Données projet'!$B$11,Paramètres!$A$1:$I$89,5,0)</f>
        <v>-2.5420376914553347E-13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300.90952915835157</v>
      </c>
      <c r="BJ115" s="59">
        <f t="shared" si="92"/>
        <v>402.81783992925256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73.302779603199426</v>
      </c>
      <c r="BQ115" s="21">
        <f>EXP(-LN(2)/25)*BQ114+(1-EXP(-LN(2)/25))/(LN(2)/25)*Calculateur!BL115*Calculateur!BN115*VLOOKUP('Données projet'!$B$11,Paramètres!$A$1:$I$89,3,0)*0.475*44/12</f>
        <v>11.988647482330961</v>
      </c>
      <c r="BR115" s="21">
        <f>EXP(-LN(2)/2)*BR114+(1-EXP(-LN(2)/2))/(LN(2)/2)*BL115*BO115*VLOOKUP('Données projet'!$B$11,Paramètres!$A$1:$I$89,3,0)*0.475*44/12</f>
        <v>8.8623519891345835E-8</v>
      </c>
      <c r="BS115" s="22">
        <f t="shared" si="63"/>
        <v>85.29142717415391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-2.8421709430404007E-13</v>
      </c>
      <c r="BZ115" s="13">
        <f>BY115*VLOOKUP('Données projet'!$B$12,Paramètres!$A$1:$I$89,3,0)*VLOOKUP('Données projet'!$B$12,Paramètres!$A$1:$I$89,5,0)</f>
        <v>-1.4040324458619578E-13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246.05217890269194</v>
      </c>
      <c r="CE115" s="59">
        <f t="shared" si="94"/>
        <v>155.54297071424327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158.19614910168843</v>
      </c>
      <c r="CL115" s="21">
        <f>EXP(-LN(2)/25)*CL114+(1-EXP(-LN(2)/25))/(LN(2)/25)*Calculateur!CG115*Calculateur!CI115*VLOOKUP('Données projet'!$B$12,Paramètres!$A$1:$I$89,3,0)*0.475*44/12</f>
        <v>36.829833326069128</v>
      </c>
      <c r="CM115" s="21">
        <f>EXP(-LN(2)/2)*CM114+(1-EXP(-LN(2)/2))/(LN(2)/2)*CG115*CJ115*VLOOKUP('Données projet'!$B$12,Paramètres!$A$1:$I$89,3,0)*0.475*44/12</f>
        <v>0.40197295625200891</v>
      </c>
      <c r="CN115" s="22">
        <f t="shared" si="66"/>
        <v>195.42795538400955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-3.4106051316484809E-13</v>
      </c>
      <c r="CU115" s="17">
        <f>CT115*VLOOKUP('Données projet'!$B$13,Paramètres!$A$1:$I$89,3,0)*VLOOKUP('Données projet'!$B$13,Paramètres!$A$1:$I$89,5,0)</f>
        <v>-2.0395418687257919E-13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237.036496933921</v>
      </c>
      <c r="CZ115" s="59">
        <f t="shared" si="96"/>
        <v>191.04289413665344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75.477498774350224</v>
      </c>
      <c r="DG115" s="21">
        <f>EXP(-LN(2)/25)*DG114+(1-EXP(-LN(2)/25))/(LN(2)/25)*Calculateur!DB115*Calculateur!DD115*VLOOKUP('Données projet'!$B$13,Paramètres!$A$1:$I$89,3,0)*0.475*44/12</f>
        <v>14.246735350221515</v>
      </c>
      <c r="DH115" s="21">
        <f>EXP(-LN(2)/2)*DH114+(1-EXP(-LN(2)/2))/(LN(2)/2)*DB115*DE115*VLOOKUP('Données projet'!$B$13,Paramètres!$A$1:$I$89,3,0)*0.475*44/12</f>
        <v>5.4341923076320646E-4</v>
      </c>
      <c r="DI115" s="22">
        <f t="shared" si="69"/>
        <v>89.724777543802503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-3.979039320256561E-13</v>
      </c>
      <c r="DP115" s="17">
        <f>DO115*VLOOKUP('Données projet'!$B$14,Paramètres!$A$1:$I$89,3,0)*VLOOKUP('Données projet'!$B$14,Paramètres!$A$1:$I$89,5,0)</f>
        <v>-2.379465513513424E-13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148.22129593028302</v>
      </c>
      <c r="DU115" s="59">
        <f t="shared" si="98"/>
        <v>102.97015482019975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233.89079999999998</v>
      </c>
      <c r="EL115" s="13">
        <f t="shared" si="99"/>
        <v>57.123140349023068</v>
      </c>
      <c r="EM115" s="20">
        <f t="shared" si="73"/>
        <v>506.84927944121517</v>
      </c>
      <c r="EN115" s="59">
        <f t="shared" si="74"/>
        <v>800.18261277454849</v>
      </c>
      <c r="EO115" s="59">
        <f ca="1">AVERAGE(OFFSET($EN$3,0,0,'Données projet'!$E$15+1,1))-AVERAGE(OFFSET($H$3,0,0,'Données projet'!$E$15+1,1))</f>
        <v>278.53123771916404</v>
      </c>
      <c r="EP115" s="59">
        <f t="shared" si="100"/>
        <v>283.79094702030869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17.765012270213806</v>
      </c>
      <c r="EW115" s="21">
        <f>EXP(-LN(2)/25)*EW114+(1-EXP(-LN(2)/25))/(LN(2)/25)*Calculateur!ER115*Calculateur!ET115*VLOOKUP('Données projet'!$B$15,Paramètres!$A$1:$I$89,3,0)*0.475*44/12</f>
        <v>2.3231884034553012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20.088200673669107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5.9865384615384558</v>
      </c>
      <c r="FE115" s="12">
        <f>IF('Données projet'!$A$218&gt;35,FE114+FD115-FM114,IF(A115&lt;'Données projet'!$A$218,$FB$205^A115,IF(A115='Données projet'!$A$218,'Données projet'!$B$218,FE114+FD115-FM114)))</f>
        <v>281.62307692307672</v>
      </c>
      <c r="FF115" s="17">
        <f>FE115*VLOOKUP('Données projet'!$B$16,Paramètres!$A$1:$I$89,3,0)*VLOOKUP('Données projet'!$B$16,Paramètres!$A$1:$I$89,5,0)</f>
        <v>254.81255999999982</v>
      </c>
      <c r="FG115" s="13">
        <f t="shared" si="101"/>
        <v>61.615331755078437</v>
      </c>
      <c r="FH115" s="20">
        <f t="shared" si="76"/>
        <v>551.11191147342799</v>
      </c>
      <c r="FI115" s="59">
        <f t="shared" si="77"/>
        <v>844.44524480676137</v>
      </c>
      <c r="FJ115" s="59">
        <f ca="1">AVERAGE(OFFSET($FI$3,0,0,'Données projet'!$E$16+1,1))-AVERAGE(OFFSET($H$3,0,0,'Données projet'!$E$16+1,1))</f>
        <v>335.99493768537013</v>
      </c>
      <c r="FK115" s="59">
        <f t="shared" si="102"/>
        <v>150.85164849522778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29.946712858957348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29.946712858957348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259.99999999999983</v>
      </c>
      <c r="GA115" s="17">
        <f>FZ115*VLOOKUP('Données projet'!$B$17,Paramètres!$A$1:$I$89,3,0)*VLOOKUP('Données projet'!$B$17,Paramètres!$A$1:$I$89,5,0)</f>
        <v>227.13599999999985</v>
      </c>
      <c r="GB115" s="13">
        <f t="shared" si="103"/>
        <v>55.662966886685133</v>
      </c>
      <c r="GC115" s="20">
        <f t="shared" si="79"/>
        <v>492.5415339943097</v>
      </c>
      <c r="GD115" s="59">
        <f t="shared" si="80"/>
        <v>785.87486732764296</v>
      </c>
      <c r="GE115" s="59">
        <f ca="1">AVERAGE(OFFSET($GD$3,0,0,'Données projet'!$E$17+1,1))-AVERAGE(OFFSET($H$3,0,0,'Données projet'!$E$17+1,1))</f>
        <v>319.57811113658374</v>
      </c>
      <c r="GF115" s="59">
        <f t="shared" si="104"/>
        <v>322.03572137403245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29.773795240863876</v>
      </c>
      <c r="GM115" s="21">
        <f>EXP(-LN(2)/25)*GM114+(1-EXP(-LN(2)/25))/(LN(2)/25)*Calculateur!GH115*Calculateur!GJ115*VLOOKUP('Données projet'!$B$17,Paramètres!$A$1:$I$89,3,0)*0.475*44/12</f>
        <v>9.6369323125198214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39.410727553383694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5.4683368944097308E-14</v>
      </c>
      <c r="P116" s="13">
        <f t="shared" si="87"/>
        <v>8.8129432816788268E-13</v>
      </c>
      <c r="Q116" s="20">
        <f t="shared" si="107"/>
        <v>1.6301611558033651E-12</v>
      </c>
      <c r="R116" s="59">
        <f t="shared" si="55"/>
        <v>293.33333333333496</v>
      </c>
      <c r="S116" s="59">
        <f ca="1">AVERAGE(OFFSET($R$3,0,0,'Données projet'!$E$9+1,1))-AVERAGE(OFFSET($H$3,0,0,'Données projet'!$E$9+1,1))</f>
        <v>226.41956082453015</v>
      </c>
      <c r="T116" s="59">
        <f t="shared" si="88"/>
        <v>317.95076157570446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4.6038461600000007</v>
      </c>
      <c r="AI116" s="13">
        <f>IF('Données projet'!$A$62&gt;35,AI115+AH116-AQ115,IF(A116&lt;'Données projet'!$A$62,$AF$205^A116,IF(A116='Données projet'!$A$62,'Données projet'!$B$62,AI115+AH116-AQ115)))</f>
        <v>197.01538462000036</v>
      </c>
      <c r="AJ116" s="13">
        <f>AI116*VLOOKUP('Données projet'!$B$10,Paramètres!$A$1:$I$89,3,0)*VLOOKUP('Données projet'!$B$10,Paramètres!$A$1:$I$89,5,0)</f>
        <v>169.03920000396033</v>
      </c>
      <c r="AK116" s="13">
        <f t="shared" si="89"/>
        <v>42.8747654163965</v>
      </c>
      <c r="AL116" s="20">
        <f t="shared" si="58"/>
        <v>369.08348977378813</v>
      </c>
      <c r="AM116" s="59">
        <f t="shared" si="59"/>
        <v>662.41682310712144</v>
      </c>
      <c r="AN116" s="59">
        <f ca="1">AVERAGE(OFFSET($AM$3,0,0,'Données projet'!$E$10+1,1))-AVERAGE(OFFSET($H$3,0,0,'Données projet'!$E$10+1,1))</f>
        <v>257.80662231827404</v>
      </c>
      <c r="AO116" s="59">
        <f t="shared" si="90"/>
        <v>184.04558520039876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-4.5474735088646412E-13</v>
      </c>
      <c r="BE116" s="13">
        <f>BD116*VLOOKUP('Données projet'!$B$11,Paramètres!$A$1:$I$89,3,0)*VLOOKUP('Données projet'!$B$11,Paramètres!$A$1:$I$89,5,0)</f>
        <v>-2.5420376914553347E-13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300.90952915835157</v>
      </c>
      <c r="BJ116" s="59">
        <f t="shared" si="92"/>
        <v>402.81783992925256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71.865356805461474</v>
      </c>
      <c r="BQ116" s="21">
        <f>EXP(-LN(2)/25)*BQ115+(1-EXP(-LN(2)/25))/(LN(2)/25)*Calculateur!BL116*Calculateur!BN116*VLOOKUP('Données projet'!$B$11,Paramètres!$A$1:$I$89,3,0)*0.475*44/12</f>
        <v>11.660817286471051</v>
      </c>
      <c r="BR116" s="21">
        <f>EXP(-LN(2)/2)*BR115+(1-EXP(-LN(2)/2))/(LN(2)/2)*BL116*BO116*VLOOKUP('Données projet'!$B$11,Paramètres!$A$1:$I$89,3,0)*0.475*44/12</f>
        <v>6.2666291887791521E-8</v>
      </c>
      <c r="BS116" s="22">
        <f t="shared" si="63"/>
        <v>83.526174154598806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-2.8421709430404007E-13</v>
      </c>
      <c r="BZ116" s="13">
        <f>BY116*VLOOKUP('Données projet'!$B$12,Paramètres!$A$1:$I$89,3,0)*VLOOKUP('Données projet'!$B$12,Paramètres!$A$1:$I$89,5,0)</f>
        <v>-1.4040324458619578E-13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246.05217890269194</v>
      </c>
      <c r="CE116" s="59">
        <f t="shared" si="94"/>
        <v>155.54297071424327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155.09401910792766</v>
      </c>
      <c r="CL116" s="21">
        <f>EXP(-LN(2)/25)*CL115+(1-EXP(-LN(2)/25))/(LN(2)/25)*Calculateur!CG116*Calculateur!CI116*VLOOKUP('Données projet'!$B$12,Paramètres!$A$1:$I$89,3,0)*0.475*44/12</f>
        <v>35.822719596971005</v>
      </c>
      <c r="CM116" s="21">
        <f>EXP(-LN(2)/2)*CM115+(1-EXP(-LN(2)/2))/(LN(2)/2)*CG116*CJ116*VLOOKUP('Données projet'!$B$12,Paramètres!$A$1:$I$89,3,0)*0.475*44/12</f>
        <v>0.2842378032193989</v>
      </c>
      <c r="CN116" s="22">
        <f t="shared" si="66"/>
        <v>191.20097650811809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-3.4106051316484809E-13</v>
      </c>
      <c r="CU116" s="17">
        <f>CT116*VLOOKUP('Données projet'!$B$13,Paramètres!$A$1:$I$89,3,0)*VLOOKUP('Données projet'!$B$13,Paramètres!$A$1:$I$89,5,0)</f>
        <v>-2.0395418687257919E-13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237.036496933921</v>
      </c>
      <c r="CZ116" s="59">
        <f t="shared" si="96"/>
        <v>191.04289413665344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73.997431060113712</v>
      </c>
      <c r="DG116" s="21">
        <f>EXP(-LN(2)/25)*DG115+(1-EXP(-LN(2)/25))/(LN(2)/25)*Calculateur!DB116*Calculateur!DD116*VLOOKUP('Données projet'!$B$13,Paramètres!$A$1:$I$89,3,0)*0.475*44/12</f>
        <v>13.857157622866456</v>
      </c>
      <c r="DH116" s="21">
        <f>EXP(-LN(2)/2)*DH115+(1-EXP(-LN(2)/2))/(LN(2)/2)*DB116*DE116*VLOOKUP('Données projet'!$B$13,Paramètres!$A$1:$I$89,3,0)*0.475*44/12</f>
        <v>3.842554230998406E-4</v>
      </c>
      <c r="DI116" s="22">
        <f t="shared" si="69"/>
        <v>87.854972938403264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-3.979039320256561E-13</v>
      </c>
      <c r="DP116" s="17">
        <f>DO116*VLOOKUP('Données projet'!$B$14,Paramètres!$A$1:$I$89,3,0)*VLOOKUP('Données projet'!$B$14,Paramètres!$A$1:$I$89,5,0)</f>
        <v>-2.379465513513424E-13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148.22129593028302</v>
      </c>
      <c r="DU116" s="59">
        <f t="shared" si="98"/>
        <v>102.97015482019975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233.89079999999998</v>
      </c>
      <c r="EL116" s="13">
        <f t="shared" si="99"/>
        <v>57.123140349023068</v>
      </c>
      <c r="EM116" s="20">
        <f t="shared" si="73"/>
        <v>506.84927944121517</v>
      </c>
      <c r="EN116" s="59">
        <f t="shared" si="74"/>
        <v>800.18261277454849</v>
      </c>
      <c r="EO116" s="59">
        <f ca="1">AVERAGE(OFFSET($EN$3,0,0,'Données projet'!$E$15+1,1))-AVERAGE(OFFSET($H$3,0,0,'Données projet'!$E$15+1,1))</f>
        <v>278.53123771916404</v>
      </c>
      <c r="EP116" s="59">
        <f t="shared" si="100"/>
        <v>283.79094702030869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17.416651215182473</v>
      </c>
      <c r="EW116" s="21">
        <f>EXP(-LN(2)/25)*EW115+(1-EXP(-LN(2)/25))/(LN(2)/25)*Calculateur!ER116*Calculateur!ET116*VLOOKUP('Données projet'!$B$15,Paramètres!$A$1:$I$89,3,0)*0.475*44/12</f>
        <v>2.2596606943916475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19.676311909574121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5.9865384615384558</v>
      </c>
      <c r="FE116" s="12">
        <f>IF('Données projet'!$A$218&gt;35,FE115+FD116-FM115,IF(A116&lt;'Données projet'!$A$218,$FB$205^A116,IF(A116='Données projet'!$A$218,'Données projet'!$B$218,FE115+FD116-FM115)))</f>
        <v>287.60961538461515</v>
      </c>
      <c r="FF116" s="17">
        <f>FE116*VLOOKUP('Données projet'!$B$16,Paramètres!$A$1:$I$89,3,0)*VLOOKUP('Données projet'!$B$16,Paramètres!$A$1:$I$89,5,0)</f>
        <v>260.22917999999976</v>
      </c>
      <c r="FG116" s="13">
        <f t="shared" si="101"/>
        <v>62.771227365455701</v>
      </c>
      <c r="FH116" s="20">
        <f t="shared" si="76"/>
        <v>562.55904282816812</v>
      </c>
      <c r="FI116" s="59">
        <f t="shared" si="77"/>
        <v>855.89237616150149</v>
      </c>
      <c r="FJ116" s="59">
        <f ca="1">AVERAGE(OFFSET($FI$3,0,0,'Données projet'!$E$16+1,1))-AVERAGE(OFFSET($H$3,0,0,'Données projet'!$E$16+1,1))</f>
        <v>335.99493768537013</v>
      </c>
      <c r="FK116" s="59">
        <f t="shared" si="102"/>
        <v>150.85164849522778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29.359476085484452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29.359476085484452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259.99999999999983</v>
      </c>
      <c r="GA116" s="17">
        <f>FZ116*VLOOKUP('Données projet'!$B$17,Paramètres!$A$1:$I$89,3,0)*VLOOKUP('Données projet'!$B$17,Paramètres!$A$1:$I$89,5,0)</f>
        <v>227.13599999999985</v>
      </c>
      <c r="GB116" s="13">
        <f t="shared" si="103"/>
        <v>55.662966886685133</v>
      </c>
      <c r="GC116" s="20">
        <f t="shared" si="79"/>
        <v>492.5415339943097</v>
      </c>
      <c r="GD116" s="59">
        <f t="shared" si="80"/>
        <v>785.87486732764296</v>
      </c>
      <c r="GE116" s="59">
        <f ca="1">AVERAGE(OFFSET($GD$3,0,0,'Données projet'!$E$17+1,1))-AVERAGE(OFFSET($H$3,0,0,'Données projet'!$E$17+1,1))</f>
        <v>319.57811113658374</v>
      </c>
      <c r="GF116" s="59">
        <f t="shared" si="104"/>
        <v>322.03572137403245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29.18994927641246</v>
      </c>
      <c r="GM116" s="21">
        <f>EXP(-LN(2)/25)*GM115+(1-EXP(-LN(2)/25))/(LN(2)/25)*Calculateur!GH116*Calculateur!GJ116*VLOOKUP('Données projet'!$B$17,Paramètres!$A$1:$I$89,3,0)*0.475*44/12</f>
        <v>9.3734098916497217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38.563359168062178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5.4683368944097308E-14</v>
      </c>
      <c r="P117" s="13">
        <f t="shared" si="87"/>
        <v>8.8129432816788268E-13</v>
      </c>
      <c r="Q117" s="20">
        <f t="shared" si="107"/>
        <v>1.6301611558033651E-12</v>
      </c>
      <c r="R117" s="59">
        <f t="shared" si="55"/>
        <v>293.33333333333496</v>
      </c>
      <c r="S117" s="59">
        <f ca="1">AVERAGE(OFFSET($R$3,0,0,'Données projet'!$E$9+1,1))-AVERAGE(OFFSET($H$3,0,0,'Données projet'!$E$9+1,1))</f>
        <v>226.41956082453015</v>
      </c>
      <c r="T117" s="59">
        <f t="shared" si="88"/>
        <v>317.95076157570446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4.6038461600000007</v>
      </c>
      <c r="AI117" s="13">
        <f>IF('Données projet'!$A$62&gt;35,AI116+AH117-AQ116,IF(A117&lt;'Données projet'!$A$62,$AF$205^A117,IF(A117='Données projet'!$A$62,'Données projet'!$B$62,AI116+AH117-AQ116)))</f>
        <v>201.61923078000035</v>
      </c>
      <c r="AJ117" s="13">
        <f>AI117*VLOOKUP('Données projet'!$B$10,Paramètres!$A$1:$I$89,3,0)*VLOOKUP('Données projet'!$B$10,Paramètres!$A$1:$I$89,5,0)</f>
        <v>172.98930000924034</v>
      </c>
      <c r="AK117" s="13">
        <f t="shared" si="89"/>
        <v>43.758846621369393</v>
      </c>
      <c r="AL117" s="20">
        <f t="shared" si="58"/>
        <v>377.50302204831195</v>
      </c>
      <c r="AM117" s="59">
        <f t="shared" si="59"/>
        <v>670.83635538164526</v>
      </c>
      <c r="AN117" s="59">
        <f ca="1">AVERAGE(OFFSET($AM$3,0,0,'Données projet'!$E$10+1,1))-AVERAGE(OFFSET($H$3,0,0,'Données projet'!$E$10+1,1))</f>
        <v>257.80662231827404</v>
      </c>
      <c r="AO117" s="59">
        <f t="shared" si="90"/>
        <v>184.04558520039876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-4.5474735088646412E-13</v>
      </c>
      <c r="BE117" s="13">
        <f>BD117*VLOOKUP('Données projet'!$B$11,Paramètres!$A$1:$I$89,3,0)*VLOOKUP('Données projet'!$B$11,Paramètres!$A$1:$I$89,5,0)</f>
        <v>-2.5420376914553347E-13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300.90952915835157</v>
      </c>
      <c r="BJ117" s="59">
        <f t="shared" si="92"/>
        <v>402.81783992925256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70.456120992045825</v>
      </c>
      <c r="BQ117" s="21">
        <f>EXP(-LN(2)/25)*BQ116+(1-EXP(-LN(2)/25))/(LN(2)/25)*Calculateur!BL117*Calculateur!BN117*VLOOKUP('Données projet'!$B$11,Paramètres!$A$1:$I$89,3,0)*0.475*44/12</f>
        <v>11.341951624556771</v>
      </c>
      <c r="BR117" s="21">
        <f>EXP(-LN(2)/2)*BR116+(1-EXP(-LN(2)/2))/(LN(2)/2)*BL117*BO117*VLOOKUP('Données projet'!$B$11,Paramètres!$A$1:$I$89,3,0)*0.475*44/12</f>
        <v>4.4311759945672918E-8</v>
      </c>
      <c r="BS117" s="22">
        <f t="shared" si="63"/>
        <v>81.798072660914357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-2.8421709430404007E-13</v>
      </c>
      <c r="BZ117" s="13">
        <f>BY117*VLOOKUP('Données projet'!$B$12,Paramètres!$A$1:$I$89,3,0)*VLOOKUP('Données projet'!$B$12,Paramètres!$A$1:$I$89,5,0)</f>
        <v>-1.4040324458619578E-13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246.05217890269194</v>
      </c>
      <c r="CE117" s="59">
        <f t="shared" si="94"/>
        <v>155.54297071424327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152.05271999123207</v>
      </c>
      <c r="CL117" s="21">
        <f>EXP(-LN(2)/25)*CL116+(1-EXP(-LN(2)/25))/(LN(2)/25)*Calculateur!CG117*Calculateur!CI117*VLOOKUP('Données projet'!$B$12,Paramètres!$A$1:$I$89,3,0)*0.475*44/12</f>
        <v>34.843145445756882</v>
      </c>
      <c r="CM117" s="21">
        <f>EXP(-LN(2)/2)*CM116+(1-EXP(-LN(2)/2))/(LN(2)/2)*CG117*CJ117*VLOOKUP('Données projet'!$B$12,Paramètres!$A$1:$I$89,3,0)*0.475*44/12</f>
        <v>0.20098647812600445</v>
      </c>
      <c r="CN117" s="22">
        <f t="shared" si="66"/>
        <v>187.09685191511494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-3.4106051316484809E-13</v>
      </c>
      <c r="CU117" s="17">
        <f>CT117*VLOOKUP('Données projet'!$B$13,Paramètres!$A$1:$I$89,3,0)*VLOOKUP('Données projet'!$B$13,Paramètres!$A$1:$I$89,5,0)</f>
        <v>-2.0395418687257919E-13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237.036496933921</v>
      </c>
      <c r="CZ117" s="59">
        <f t="shared" si="96"/>
        <v>191.04289413665344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72.546386571001221</v>
      </c>
      <c r="DG117" s="21">
        <f>EXP(-LN(2)/25)*DG116+(1-EXP(-LN(2)/25))/(LN(2)/25)*Calculateur!DB117*Calculateur!DD117*VLOOKUP('Données projet'!$B$13,Paramètres!$A$1:$I$89,3,0)*0.475*44/12</f>
        <v>13.478232918952925</v>
      </c>
      <c r="DH117" s="21">
        <f>EXP(-LN(2)/2)*DH116+(1-EXP(-LN(2)/2))/(LN(2)/2)*DB117*DE117*VLOOKUP('Données projet'!$B$13,Paramètres!$A$1:$I$89,3,0)*0.475*44/12</f>
        <v>2.7170961538160323E-4</v>
      </c>
      <c r="DI117" s="22">
        <f t="shared" si="69"/>
        <v>86.024891199569524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-3.979039320256561E-13</v>
      </c>
      <c r="DP117" s="17">
        <f>DO117*VLOOKUP('Données projet'!$B$14,Paramètres!$A$1:$I$89,3,0)*VLOOKUP('Données projet'!$B$14,Paramètres!$A$1:$I$89,5,0)</f>
        <v>-2.379465513513424E-13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148.22129593028302</v>
      </c>
      <c r="DU117" s="59">
        <f t="shared" si="98"/>
        <v>102.97015482019975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233.89079999999998</v>
      </c>
      <c r="EL117" s="13">
        <f t="shared" si="99"/>
        <v>57.123140349023068</v>
      </c>
      <c r="EM117" s="20">
        <f t="shared" si="73"/>
        <v>506.84927944121517</v>
      </c>
      <c r="EN117" s="59">
        <f t="shared" si="74"/>
        <v>800.18261277454849</v>
      </c>
      <c r="EO117" s="59">
        <f ca="1">AVERAGE(OFFSET($EN$3,0,0,'Données projet'!$E$15+1,1))-AVERAGE(OFFSET($H$3,0,0,'Données projet'!$E$15+1,1))</f>
        <v>278.53123771916404</v>
      </c>
      <c r="EP117" s="59">
        <f t="shared" si="100"/>
        <v>283.79094702030869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17.075121307961041</v>
      </c>
      <c r="EW117" s="21">
        <f>EXP(-LN(2)/25)*EW116+(1-EXP(-LN(2)/25))/(LN(2)/25)*Calculateur!ER117*Calculateur!ET117*VLOOKUP('Données projet'!$B$15,Paramètres!$A$1:$I$89,3,0)*0.475*44/12</f>
        <v>2.1978701538731165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19.272991461834156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>
        <f>VLOOKUP(A117,'Données projet'!$A$217:$I$237,2,0)</f>
        <v>293.59615384615381</v>
      </c>
      <c r="FC117" s="12">
        <f>VLOOKUP(A117,'Données projet'!$A$217:$I$237,9,0)</f>
        <v>5.9865384615384558</v>
      </c>
      <c r="FD117" s="12">
        <f t="array" ref="FD117">INDEX(FC:FC,MIN(IF(ISNUMBER(FC117:FC313),ROW(FC117:FC313),"")))</f>
        <v>5.9865384615384558</v>
      </c>
      <c r="FE117" s="12">
        <f>IF('Données projet'!$A$218&gt;35,FE116+FD117-FM116,IF(A117&lt;'Données projet'!$A$218,$FB$205^A117,IF(A117='Données projet'!$A$218,'Données projet'!$B$218,FE116+FD117-FM116)))</f>
        <v>293.59615384615358</v>
      </c>
      <c r="FF117" s="17">
        <f>FE117*VLOOKUP('Données projet'!$B$16,Paramètres!$A$1:$I$89,3,0)*VLOOKUP('Données projet'!$B$16,Paramètres!$A$1:$I$89,5,0)</f>
        <v>265.64579999999972</v>
      </c>
      <c r="FG117" s="13">
        <f t="shared" si="101"/>
        <v>63.924325598105078</v>
      </c>
      <c r="FH117" s="20">
        <f t="shared" si="76"/>
        <v>574.00130208336589</v>
      </c>
      <c r="FI117" s="59">
        <f t="shared" si="77"/>
        <v>867.33463541669926</v>
      </c>
      <c r="FJ117" s="59">
        <f ca="1">AVERAGE(OFFSET($FI$3,0,0,'Données projet'!$E$16+1,1))-AVERAGE(OFFSET($H$3,0,0,'Données projet'!$E$16+1,1))</f>
        <v>335.99493768537013</v>
      </c>
      <c r="FK117" s="59">
        <f t="shared" si="102"/>
        <v>150.85164849522778</v>
      </c>
      <c r="FL117" s="15">
        <f>IF(ISNA(VLOOKUP(A117,'Données projet'!$A$217:$I$237,3,0)),0,VLOOKUP(A117,'Données projet'!$A$217:$I$237,3,0))</f>
        <v>9</v>
      </c>
      <c r="FM117" s="15">
        <f>IF(ISNA(VLOOKUP(A117,'Données projet'!$A$217:$I$237,4,0)),0,VLOOKUP(A117,'Données projet'!$A$217:$I$237,4,0))</f>
        <v>42.78846153846154</v>
      </c>
      <c r="FN117" s="16">
        <f>IF(ISNA(VLOOKUP(A117,'Données projet'!$A$217:$I$237,5,0)),0%,VLOOKUP(A117,'Données projet'!$A$217:$I$237,5,0)*VLOOKUP('Données projet'!$B$16,Paramètres!$A$1:$I$89,7,0))</f>
        <v>0.30099999999999999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41.666038675789366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41.666038675789366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259.99999999999983</v>
      </c>
      <c r="GA117" s="17">
        <f>FZ117*VLOOKUP('Données projet'!$B$17,Paramètres!$A$1:$I$89,3,0)*VLOOKUP('Données projet'!$B$17,Paramètres!$A$1:$I$89,5,0)</f>
        <v>227.13599999999985</v>
      </c>
      <c r="GB117" s="13">
        <f t="shared" si="103"/>
        <v>55.662966886685133</v>
      </c>
      <c r="GC117" s="20">
        <f t="shared" si="79"/>
        <v>492.5415339943097</v>
      </c>
      <c r="GD117" s="59">
        <f t="shared" si="80"/>
        <v>785.87486732764296</v>
      </c>
      <c r="GE117" s="59">
        <f ca="1">AVERAGE(OFFSET($GD$3,0,0,'Données projet'!$E$17+1,1))-AVERAGE(OFFSET($H$3,0,0,'Données projet'!$E$17+1,1))</f>
        <v>319.57811113658374</v>
      </c>
      <c r="GF117" s="59">
        <f t="shared" si="104"/>
        <v>322.03572137403245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28.61755217521306</v>
      </c>
      <c r="GM117" s="21">
        <f>EXP(-LN(2)/25)*GM116+(1-EXP(-LN(2)/25))/(LN(2)/25)*Calculateur!GH117*Calculateur!GJ117*VLOOKUP('Données projet'!$B$17,Paramètres!$A$1:$I$89,3,0)*0.475*44/12</f>
        <v>9.1170935052363564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37.734645680449418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5.4683368944097308E-14</v>
      </c>
      <c r="P118" s="13">
        <f t="shared" si="87"/>
        <v>8.8129432816788268E-13</v>
      </c>
      <c r="Q118" s="20">
        <f t="shared" si="107"/>
        <v>1.6301611558033651E-12</v>
      </c>
      <c r="R118" s="59">
        <f t="shared" si="55"/>
        <v>293.33333333333496</v>
      </c>
      <c r="S118" s="59">
        <f ca="1">AVERAGE(OFFSET($R$3,0,0,'Données projet'!$E$9+1,1))-AVERAGE(OFFSET($H$3,0,0,'Données projet'!$E$9+1,1))</f>
        <v>226.41956082453015</v>
      </c>
      <c r="T118" s="59">
        <f t="shared" si="88"/>
        <v>317.95076157570446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4.6038461600000007</v>
      </c>
      <c r="AI118" s="13">
        <f>IF('Données projet'!$A$62&gt;35,AI117+AH118-AQ117,IF(A118&lt;'Données projet'!$A$62,$AF$205^A118,IF(A118='Données projet'!$A$62,'Données projet'!$B$62,AI117+AH118-AQ117)))</f>
        <v>206.22307694000034</v>
      </c>
      <c r="AJ118" s="13">
        <f>AI118*VLOOKUP('Données projet'!$B$10,Paramètres!$A$1:$I$89,3,0)*VLOOKUP('Données projet'!$B$10,Paramètres!$A$1:$I$89,5,0)</f>
        <v>176.93940001452032</v>
      </c>
      <c r="AK118" s="13">
        <f t="shared" si="89"/>
        <v>44.640580914119845</v>
      </c>
      <c r="AL118" s="20">
        <f t="shared" si="58"/>
        <v>385.91846678404823</v>
      </c>
      <c r="AM118" s="59">
        <f t="shared" si="59"/>
        <v>679.25180011738155</v>
      </c>
      <c r="AN118" s="59">
        <f ca="1">AVERAGE(OFFSET($AM$3,0,0,'Données projet'!$E$10+1,1))-AVERAGE(OFFSET($H$3,0,0,'Données projet'!$E$10+1,1))</f>
        <v>257.80662231827404</v>
      </c>
      <c r="AO118" s="59">
        <f t="shared" si="90"/>
        <v>184.04558520039876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-4.5474735088646412E-13</v>
      </c>
      <c r="BE118" s="13">
        <f>BD118*VLOOKUP('Données projet'!$B$11,Paramètres!$A$1:$I$89,3,0)*VLOOKUP('Données projet'!$B$11,Paramètres!$A$1:$I$89,5,0)</f>
        <v>-2.5420376914553347E-13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300.90952915835157</v>
      </c>
      <c r="BJ118" s="59">
        <f t="shared" si="92"/>
        <v>402.81783992925256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69.074519433382278</v>
      </c>
      <c r="BQ118" s="21">
        <f>EXP(-LN(2)/25)*BQ117+(1-EXP(-LN(2)/25))/(LN(2)/25)*Calculateur!BL118*Calculateur!BN118*VLOOKUP('Données projet'!$B$11,Paramètres!$A$1:$I$89,3,0)*0.475*44/12</f>
        <v>11.031805360935952</v>
      </c>
      <c r="BR118" s="21">
        <f>EXP(-LN(2)/2)*BR117+(1-EXP(-LN(2)/2))/(LN(2)/2)*BL118*BO118*VLOOKUP('Données projet'!$B$11,Paramètres!$A$1:$I$89,3,0)*0.475*44/12</f>
        <v>3.1333145943895761E-8</v>
      </c>
      <c r="BS118" s="22">
        <f t="shared" si="63"/>
        <v>80.10632482565137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-2.8421709430404007E-13</v>
      </c>
      <c r="BZ118" s="13">
        <f>BY118*VLOOKUP('Données projet'!$B$12,Paramètres!$A$1:$I$89,3,0)*VLOOKUP('Données projet'!$B$12,Paramètres!$A$1:$I$89,5,0)</f>
        <v>-1.4040324458619578E-13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246.05217890269194</v>
      </c>
      <c r="CE118" s="59">
        <f t="shared" si="94"/>
        <v>155.54297071424327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149.0710588952056</v>
      </c>
      <c r="CL118" s="21">
        <f>EXP(-LN(2)/25)*CL117+(1-EXP(-LN(2)/25))/(LN(2)/25)*Calculateur!CG118*Calculateur!CI118*VLOOKUP('Données projet'!$B$12,Paramètres!$A$1:$I$89,3,0)*0.475*44/12</f>
        <v>33.890357801221278</v>
      </c>
      <c r="CM118" s="21">
        <f>EXP(-LN(2)/2)*CM117+(1-EXP(-LN(2)/2))/(LN(2)/2)*CG118*CJ118*VLOOKUP('Données projet'!$B$12,Paramètres!$A$1:$I$89,3,0)*0.475*44/12</f>
        <v>0.14211890160969945</v>
      </c>
      <c r="CN118" s="22">
        <f t="shared" si="66"/>
        <v>183.10353559803659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-3.4106051316484809E-13</v>
      </c>
      <c r="CU118" s="17">
        <f>CT118*VLOOKUP('Données projet'!$B$13,Paramètres!$A$1:$I$89,3,0)*VLOOKUP('Données projet'!$B$13,Paramètres!$A$1:$I$89,5,0)</f>
        <v>-2.0395418687257919E-13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237.036496933921</v>
      </c>
      <c r="CZ118" s="59">
        <f t="shared" si="96"/>
        <v>191.04289413665344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71.123796179270471</v>
      </c>
      <c r="DG118" s="21">
        <f>EXP(-LN(2)/25)*DG117+(1-EXP(-LN(2)/25))/(LN(2)/25)*Calculateur!DB118*Calculateur!DD118*VLOOKUP('Données projet'!$B$13,Paramètres!$A$1:$I$89,3,0)*0.475*44/12</f>
        <v>13.109669930994693</v>
      </c>
      <c r="DH118" s="21">
        <f>EXP(-LN(2)/2)*DH117+(1-EXP(-LN(2)/2))/(LN(2)/2)*DB118*DE118*VLOOKUP('Données projet'!$B$13,Paramètres!$A$1:$I$89,3,0)*0.475*44/12</f>
        <v>1.921277115499203E-4</v>
      </c>
      <c r="DI118" s="22">
        <f t="shared" si="69"/>
        <v>84.233658237976712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-3.979039320256561E-13</v>
      </c>
      <c r="DP118" s="17">
        <f>DO118*VLOOKUP('Données projet'!$B$14,Paramètres!$A$1:$I$89,3,0)*VLOOKUP('Données projet'!$B$14,Paramètres!$A$1:$I$89,5,0)</f>
        <v>-2.379465513513424E-13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148.22129593028302</v>
      </c>
      <c r="DU118" s="59">
        <f t="shared" si="98"/>
        <v>102.97015482019975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233.89079999999998</v>
      </c>
      <c r="EL118" s="13">
        <f t="shared" si="99"/>
        <v>57.123140349023068</v>
      </c>
      <c r="EM118" s="20">
        <f t="shared" si="73"/>
        <v>506.84927944121517</v>
      </c>
      <c r="EN118" s="59">
        <f t="shared" si="74"/>
        <v>800.18261277454849</v>
      </c>
      <c r="EO118" s="59">
        <f ca="1">AVERAGE(OFFSET($EN$3,0,0,'Données projet'!$E$15+1,1))-AVERAGE(OFFSET($H$3,0,0,'Données projet'!$E$15+1,1))</f>
        <v>278.53123771916404</v>
      </c>
      <c r="EP118" s="59">
        <f t="shared" si="100"/>
        <v>283.79094702030869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16.740288593907547</v>
      </c>
      <c r="EW118" s="21">
        <f>EXP(-LN(2)/25)*EW117+(1-EXP(-LN(2)/25))/(LN(2)/25)*Calculateur!ER118*Calculateur!ET118*VLOOKUP('Données projet'!$B$15,Paramètres!$A$1:$I$89,3,0)*0.475*44/12</f>
        <v>2.137769278934488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18.878057872842035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6.0153846153846189</v>
      </c>
      <c r="FE118" s="12">
        <f>IF('Données projet'!$A$218&gt;35,FE117+FD118-FM117,IF(A118&lt;'Données projet'!$A$218,$FB$205^A118,IF(A118='Données projet'!$A$218,'Données projet'!$B$218,FE117+FD118-FM117)))</f>
        <v>256.82307692307666</v>
      </c>
      <c r="FF118" s="17">
        <f>FE118*VLOOKUP('Données projet'!$B$16,Paramètres!$A$1:$I$89,3,0)*VLOOKUP('Données projet'!$B$16,Paramètres!$A$1:$I$89,5,0)</f>
        <v>232.37351999999976</v>
      </c>
      <c r="FG118" s="13">
        <f t="shared" si="101"/>
        <v>56.795584989176909</v>
      </c>
      <c r="FH118" s="20">
        <f t="shared" si="76"/>
        <v>503.63619118948264</v>
      </c>
      <c r="FI118" s="59">
        <f t="shared" si="77"/>
        <v>796.96952452281596</v>
      </c>
      <c r="FJ118" s="59">
        <f ca="1">AVERAGE(OFFSET($FI$3,0,0,'Données projet'!$E$16+1,1))-AVERAGE(OFFSET($H$3,0,0,'Données projet'!$E$16+1,1))</f>
        <v>335.99493768537013</v>
      </c>
      <c r="FK118" s="59">
        <f t="shared" si="102"/>
        <v>150.85164849522778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40.848993071131325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40.848993071131325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259.99999999999983</v>
      </c>
      <c r="GA118" s="17">
        <f>FZ118*VLOOKUP('Données projet'!$B$17,Paramètres!$A$1:$I$89,3,0)*VLOOKUP('Données projet'!$B$17,Paramètres!$A$1:$I$89,5,0)</f>
        <v>227.13599999999985</v>
      </c>
      <c r="GB118" s="13">
        <f t="shared" si="103"/>
        <v>55.662966886685133</v>
      </c>
      <c r="GC118" s="20">
        <f t="shared" si="79"/>
        <v>492.5415339943097</v>
      </c>
      <c r="GD118" s="59">
        <f t="shared" si="80"/>
        <v>785.87486732764296</v>
      </c>
      <c r="GE118" s="59">
        <f ca="1">AVERAGE(OFFSET($GD$3,0,0,'Données projet'!$E$17+1,1))-AVERAGE(OFFSET($H$3,0,0,'Données projet'!$E$17+1,1))</f>
        <v>319.57811113658374</v>
      </c>
      <c r="GF118" s="59">
        <f t="shared" si="104"/>
        <v>322.03572137403245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28.056379432040423</v>
      </c>
      <c r="GM118" s="21">
        <f>EXP(-LN(2)/25)*GM117+(1-EXP(-LN(2)/25))/(LN(2)/25)*Calculateur!GH118*Calculateur!GJ118*VLOOKUP('Données projet'!$B$17,Paramètres!$A$1:$I$89,3,0)*0.475*44/12</f>
        <v>8.8677861038885588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36.924165535928978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5.4683368944097308E-14</v>
      </c>
      <c r="P119" s="13">
        <f t="shared" si="87"/>
        <v>8.8129432816788268E-13</v>
      </c>
      <c r="Q119" s="20">
        <f t="shared" si="107"/>
        <v>1.6301611558033651E-12</v>
      </c>
      <c r="R119" s="59">
        <f t="shared" si="55"/>
        <v>293.33333333333496</v>
      </c>
      <c r="S119" s="59">
        <f ca="1">AVERAGE(OFFSET($R$3,0,0,'Données projet'!$E$9+1,1))-AVERAGE(OFFSET($H$3,0,0,'Données projet'!$E$9+1,1))</f>
        <v>226.41956082453015</v>
      </c>
      <c r="T119" s="59">
        <f t="shared" si="88"/>
        <v>317.95076157570446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>
        <f>VLOOKUP(A119,'Données projet'!$A$61:$I$81,2,0)</f>
        <v>210.82692309999999</v>
      </c>
      <c r="AG119" s="12">
        <f>VLOOKUP(A119,'Données projet'!$A$61:$I$81,9,0)</f>
        <v>4.6038461600000007</v>
      </c>
      <c r="AH119" s="12">
        <f t="array" ref="AH119">INDEX(AG:AG,MIN(IF(ISNUMBER(AG119:AG315),ROW(AG119:AG315),"")))</f>
        <v>4.6038461600000007</v>
      </c>
      <c r="AI119" s="13">
        <f>IF('Données projet'!$A$62&gt;35,AI118+AH119-AQ118,IF(A119&lt;'Données projet'!$A$62,$AF$205^A119,IF(A119='Données projet'!$A$62,'Données projet'!$B$62,AI118+AH119-AQ118)))</f>
        <v>210.82692310000033</v>
      </c>
      <c r="AJ119" s="13">
        <f>AI119*VLOOKUP('Données projet'!$B$10,Paramètres!$A$1:$I$89,3,0)*VLOOKUP('Données projet'!$B$10,Paramètres!$A$1:$I$89,5,0)</f>
        <v>180.88950001980029</v>
      </c>
      <c r="AK119" s="13">
        <f t="shared" si="89"/>
        <v>45.520026721024678</v>
      </c>
      <c r="AL119" s="20">
        <f t="shared" si="58"/>
        <v>394.32992574027008</v>
      </c>
      <c r="AM119" s="59">
        <f t="shared" si="59"/>
        <v>687.6632590736034</v>
      </c>
      <c r="AN119" s="59">
        <f ca="1">AVERAGE(OFFSET($AM$3,0,0,'Données projet'!$E$10+1,1))-AVERAGE(OFFSET($H$3,0,0,'Données projet'!$E$10+1,1))</f>
        <v>257.80662231827404</v>
      </c>
      <c r="AO119" s="59">
        <f t="shared" si="90"/>
        <v>184.04558520039876</v>
      </c>
      <c r="AP119" s="15">
        <f>IF(ISNA(VLOOKUP(A119,'Données projet'!$A$61:$I$81,3,0)),0,VLOOKUP(A119,'Données projet'!$A$61:$I$81,3,0))</f>
        <v>10</v>
      </c>
      <c r="AQ119" s="15">
        <f>IF(ISNA(VLOOKUP(A119,'Données projet'!$A$61:$I$81,4,0)),0,VLOOKUP(A119,'Données projet'!$A$61:$I$81,4,0))</f>
        <v>72.698717950000002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-4.5474735088646412E-13</v>
      </c>
      <c r="BE119" s="13">
        <f>BD119*VLOOKUP('Données projet'!$B$11,Paramètres!$A$1:$I$89,3,0)*VLOOKUP('Données projet'!$B$11,Paramètres!$A$1:$I$89,5,0)</f>
        <v>-2.5420376914553347E-13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300.90952915835157</v>
      </c>
      <c r="BJ119" s="59">
        <f t="shared" si="92"/>
        <v>402.81783992925256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67.72001023859039</v>
      </c>
      <c r="BQ119" s="21">
        <f>EXP(-LN(2)/25)*BQ118+(1-EXP(-LN(2)/25))/(LN(2)/25)*Calculateur!BL119*Calculateur!BN119*VLOOKUP('Données projet'!$B$11,Paramètres!$A$1:$I$89,3,0)*0.475*44/12</f>
        <v>10.730140063203727</v>
      </c>
      <c r="BR119" s="21">
        <f>EXP(-LN(2)/2)*BR118+(1-EXP(-LN(2)/2))/(LN(2)/2)*BL119*BO119*VLOOKUP('Données projet'!$B$11,Paramètres!$A$1:$I$89,3,0)*0.475*44/12</f>
        <v>2.2155879972836459E-8</v>
      </c>
      <c r="BS119" s="22">
        <f t="shared" si="63"/>
        <v>78.450150323949984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-2.8421709430404007E-13</v>
      </c>
      <c r="BZ119" s="13">
        <f>BY119*VLOOKUP('Données projet'!$B$12,Paramètres!$A$1:$I$89,3,0)*VLOOKUP('Données projet'!$B$12,Paramètres!$A$1:$I$89,5,0)</f>
        <v>-1.4040324458619578E-13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246.05217890269194</v>
      </c>
      <c r="CE119" s="59">
        <f t="shared" si="94"/>
        <v>155.54297071424327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146.1478663546385</v>
      </c>
      <c r="CL119" s="21">
        <f>EXP(-LN(2)/25)*CL118+(1-EXP(-LN(2)/25))/(LN(2)/25)*Calculateur!CG119*Calculateur!CI119*VLOOKUP('Données projet'!$B$12,Paramètres!$A$1:$I$89,3,0)*0.475*44/12</f>
        <v>32.963624184930424</v>
      </c>
      <c r="CM119" s="21">
        <f>EXP(-LN(2)/2)*CM118+(1-EXP(-LN(2)/2))/(LN(2)/2)*CG119*CJ119*VLOOKUP('Données projet'!$B$12,Paramètres!$A$1:$I$89,3,0)*0.475*44/12</f>
        <v>0.10049323906300223</v>
      </c>
      <c r="CN119" s="22">
        <f t="shared" si="66"/>
        <v>179.21198377863195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-3.4106051316484809E-13</v>
      </c>
      <c r="CU119" s="17">
        <f>CT119*VLOOKUP('Données projet'!$B$13,Paramètres!$A$1:$I$89,3,0)*VLOOKUP('Données projet'!$B$13,Paramètres!$A$1:$I$89,5,0)</f>
        <v>-2.0395418687257919E-13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237.036496933921</v>
      </c>
      <c r="CZ119" s="59">
        <f t="shared" si="96"/>
        <v>191.04289413665344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69.729101917427101</v>
      </c>
      <c r="DG119" s="21">
        <f>EXP(-LN(2)/25)*DG118+(1-EXP(-LN(2)/25))/(LN(2)/25)*Calculateur!DB119*Calculateur!DD119*VLOOKUP('Données projet'!$B$13,Paramètres!$A$1:$I$89,3,0)*0.475*44/12</f>
        <v>12.751185317324063</v>
      </c>
      <c r="DH119" s="21">
        <f>EXP(-LN(2)/2)*DH118+(1-EXP(-LN(2)/2))/(LN(2)/2)*DB119*DE119*VLOOKUP('Données projet'!$B$13,Paramètres!$A$1:$I$89,3,0)*0.475*44/12</f>
        <v>1.3585480769080161E-4</v>
      </c>
      <c r="DI119" s="22">
        <f t="shared" si="69"/>
        <v>82.480423089558855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-3.979039320256561E-13</v>
      </c>
      <c r="DP119" s="17">
        <f>DO119*VLOOKUP('Données projet'!$B$14,Paramètres!$A$1:$I$89,3,0)*VLOOKUP('Données projet'!$B$14,Paramètres!$A$1:$I$89,5,0)</f>
        <v>-2.379465513513424E-13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148.22129593028302</v>
      </c>
      <c r="DU119" s="59">
        <f t="shared" si="98"/>
        <v>102.97015482019975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233.89079999999998</v>
      </c>
      <c r="EL119" s="13">
        <f t="shared" si="99"/>
        <v>57.123140349023068</v>
      </c>
      <c r="EM119" s="20">
        <f t="shared" si="73"/>
        <v>506.84927944121517</v>
      </c>
      <c r="EN119" s="59">
        <f t="shared" si="74"/>
        <v>800.18261277454849</v>
      </c>
      <c r="EO119" s="59">
        <f ca="1">AVERAGE(OFFSET($EN$3,0,0,'Données projet'!$E$15+1,1))-AVERAGE(OFFSET($H$3,0,0,'Données projet'!$E$15+1,1))</f>
        <v>278.53123771916404</v>
      </c>
      <c r="EP119" s="59">
        <f t="shared" si="100"/>
        <v>283.79094702030869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16.412021745148852</v>
      </c>
      <c r="EW119" s="21">
        <f>EXP(-LN(2)/25)*EW118+(1-EXP(-LN(2)/25))/(LN(2)/25)*Calculateur!ER119*Calculateur!ET119*VLOOKUP('Données projet'!$B$15,Paramètres!$A$1:$I$89,3,0)*0.475*44/12</f>
        <v>2.0793118655816238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18.491333610730475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6.0153846153846189</v>
      </c>
      <c r="FE119" s="12">
        <f>IF('Données projet'!$A$218&gt;35,FE118+FD119-FM118,IF(A119&lt;'Données projet'!$A$218,$FB$205^A119,IF(A119='Données projet'!$A$218,'Données projet'!$B$218,FE118+FD119-FM118)))</f>
        <v>262.83846153846127</v>
      </c>
      <c r="FF119" s="17">
        <f>FE119*VLOOKUP('Données projet'!$B$16,Paramètres!$A$1:$I$89,3,0)*VLOOKUP('Données projet'!$B$16,Paramètres!$A$1:$I$89,5,0)</f>
        <v>237.81623999999974</v>
      </c>
      <c r="FG119" s="13">
        <f t="shared" si="101"/>
        <v>57.969434220881595</v>
      </c>
      <c r="FH119" s="20">
        <f t="shared" si="76"/>
        <v>515.16004926803487</v>
      </c>
      <c r="FI119" s="59">
        <f t="shared" si="77"/>
        <v>808.49338260136824</v>
      </c>
      <c r="FJ119" s="59">
        <f ca="1">AVERAGE(OFFSET($FI$3,0,0,'Données projet'!$E$16+1,1))-AVERAGE(OFFSET($H$3,0,0,'Données projet'!$E$16+1,1))</f>
        <v>335.99493768537013</v>
      </c>
      <c r="FK119" s="59">
        <f t="shared" si="102"/>
        <v>150.85164849522778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40.047969232432017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40.047969232432017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259.99999999999983</v>
      </c>
      <c r="GA119" s="17">
        <f>FZ119*VLOOKUP('Données projet'!$B$17,Paramètres!$A$1:$I$89,3,0)*VLOOKUP('Données projet'!$B$17,Paramètres!$A$1:$I$89,5,0)</f>
        <v>227.13599999999985</v>
      </c>
      <c r="GB119" s="13">
        <f t="shared" si="103"/>
        <v>55.662966886685133</v>
      </c>
      <c r="GC119" s="20">
        <f t="shared" si="79"/>
        <v>492.5415339943097</v>
      </c>
      <c r="GD119" s="59">
        <f t="shared" si="80"/>
        <v>785.87486732764296</v>
      </c>
      <c r="GE119" s="59">
        <f ca="1">AVERAGE(OFFSET($GD$3,0,0,'Données projet'!$E$17+1,1))-AVERAGE(OFFSET($H$3,0,0,'Données projet'!$E$17+1,1))</f>
        <v>319.57811113658374</v>
      </c>
      <c r="GF119" s="59">
        <f t="shared" si="104"/>
        <v>322.03572137403245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27.506210944079825</v>
      </c>
      <c r="GM119" s="21">
        <f>EXP(-LN(2)/25)*GM118+(1-EXP(-LN(2)/25))/(LN(2)/25)*Calculateur!GH119*Calculateur!GJ119*VLOOKUP('Données projet'!$B$17,Paramètres!$A$1:$I$89,3,0)*0.475*44/12</f>
        <v>8.6252960265411218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36.131506970620947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5.4683368944097308E-14</v>
      </c>
      <c r="P120" s="13">
        <f t="shared" si="87"/>
        <v>8.8129432816788268E-13</v>
      </c>
      <c r="Q120" s="20">
        <f t="shared" si="107"/>
        <v>1.6301611558033651E-12</v>
      </c>
      <c r="R120" s="59">
        <f t="shared" si="55"/>
        <v>293.33333333333496</v>
      </c>
      <c r="S120" s="59">
        <f ca="1">AVERAGE(OFFSET($R$3,0,0,'Données projet'!$E$9+1,1))-AVERAGE(OFFSET($H$3,0,0,'Données projet'!$E$9+1,1))</f>
        <v>226.41956082453015</v>
      </c>
      <c r="T120" s="59">
        <f t="shared" si="88"/>
        <v>317.95076157570446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3.6615384500000006</v>
      </c>
      <c r="AI120" s="13">
        <f>IF('Données projet'!$A$62&gt;35,AI119+AH120-AQ119,IF(A120&lt;'Données projet'!$A$62,$AF$205^A120,IF(A120='Données projet'!$A$62,'Données projet'!$B$62,AI119+AH120-AQ119)))</f>
        <v>141.78974360000032</v>
      </c>
      <c r="AJ120" s="13">
        <f>AI120*VLOOKUP('Données projet'!$B$10,Paramètres!$A$1:$I$89,3,0)*VLOOKUP('Données projet'!$B$10,Paramètres!$A$1:$I$89,5,0)</f>
        <v>121.65560000880029</v>
      </c>
      <c r="AK120" s="13">
        <f t="shared" si="89"/>
        <v>32.06083233000917</v>
      </c>
      <c r="AL120" s="20">
        <f t="shared" si="58"/>
        <v>267.72278632342648</v>
      </c>
      <c r="AM120" s="59">
        <f t="shared" si="59"/>
        <v>561.05611965675985</v>
      </c>
      <c r="AN120" s="59">
        <f ca="1">AVERAGE(OFFSET($AM$3,0,0,'Données projet'!$E$10+1,1))-AVERAGE(OFFSET($H$3,0,0,'Données projet'!$E$10+1,1))</f>
        <v>257.80662231827404</v>
      </c>
      <c r="AO120" s="59">
        <f t="shared" si="90"/>
        <v>184.04558520039876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-4.5474735088646412E-13</v>
      </c>
      <c r="BE120" s="13">
        <f>BD120*VLOOKUP('Données projet'!$B$11,Paramètres!$A$1:$I$89,3,0)*VLOOKUP('Données projet'!$B$11,Paramètres!$A$1:$I$89,5,0)</f>
        <v>-2.5420376914553347E-13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300.90952915835157</v>
      </c>
      <c r="BJ120" s="59">
        <f t="shared" si="92"/>
        <v>402.81783992925256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66.392062142939338</v>
      </c>
      <c r="BQ120" s="21">
        <f>EXP(-LN(2)/25)*BQ119+(1-EXP(-LN(2)/25))/(LN(2)/25)*Calculateur!BL120*Calculateur!BN120*VLOOKUP('Données projet'!$B$11,Paramètres!$A$1:$I$89,3,0)*0.475*44/12</f>
        <v>10.436723818901879</v>
      </c>
      <c r="BR120" s="21">
        <f>EXP(-LN(2)/2)*BR119+(1-EXP(-LN(2)/2))/(LN(2)/2)*BL120*BO120*VLOOKUP('Données projet'!$B$11,Paramètres!$A$1:$I$89,3,0)*0.475*44/12</f>
        <v>1.566657297194788E-8</v>
      </c>
      <c r="BS120" s="22">
        <f t="shared" si="63"/>
        <v>76.828785977507792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-2.8421709430404007E-13</v>
      </c>
      <c r="BZ120" s="13">
        <f>BY120*VLOOKUP('Données projet'!$B$12,Paramètres!$A$1:$I$89,3,0)*VLOOKUP('Données projet'!$B$12,Paramètres!$A$1:$I$89,5,0)</f>
        <v>-1.4040324458619578E-13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246.05217890269194</v>
      </c>
      <c r="CE120" s="59">
        <f t="shared" si="94"/>
        <v>155.54297071424327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143.28199583682053</v>
      </c>
      <c r="CL120" s="21">
        <f>EXP(-LN(2)/25)*CL119+(1-EXP(-LN(2)/25))/(LN(2)/25)*Calculateur!CG120*Calculateur!CI120*VLOOKUP('Données projet'!$B$12,Paramètres!$A$1:$I$89,3,0)*0.475*44/12</f>
        <v>32.062232148111846</v>
      </c>
      <c r="CM120" s="21">
        <f>EXP(-LN(2)/2)*CM119+(1-EXP(-LN(2)/2))/(LN(2)/2)*CG120*CJ120*VLOOKUP('Données projet'!$B$12,Paramètres!$A$1:$I$89,3,0)*0.475*44/12</f>
        <v>7.1059450804849725E-2</v>
      </c>
      <c r="CN120" s="22">
        <f t="shared" si="66"/>
        <v>175.41528743573724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-3.4106051316484809E-13</v>
      </c>
      <c r="CU120" s="17">
        <f>CT120*VLOOKUP('Données projet'!$B$13,Paramètres!$A$1:$I$89,3,0)*VLOOKUP('Données projet'!$B$13,Paramètres!$A$1:$I$89,5,0)</f>
        <v>-2.0395418687257919E-13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237.036496933921</v>
      </c>
      <c r="CZ120" s="59">
        <f t="shared" si="96"/>
        <v>191.04289413665344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68.361756759378977</v>
      </c>
      <c r="DG120" s="21">
        <f>EXP(-LN(2)/25)*DG119+(1-EXP(-LN(2)/25))/(LN(2)/25)*Calculateur!DB120*Calculateur!DD120*VLOOKUP('Données projet'!$B$13,Paramètres!$A$1:$I$89,3,0)*0.475*44/12</f>
        <v>12.402503484266145</v>
      </c>
      <c r="DH120" s="21">
        <f>EXP(-LN(2)/2)*DH119+(1-EXP(-LN(2)/2))/(LN(2)/2)*DB120*DE120*VLOOKUP('Données projet'!$B$13,Paramètres!$A$1:$I$89,3,0)*0.475*44/12</f>
        <v>9.6063855774960151E-5</v>
      </c>
      <c r="DI120" s="22">
        <f t="shared" si="69"/>
        <v>80.764356307500904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-3.979039320256561E-13</v>
      </c>
      <c r="DP120" s="17">
        <f>DO120*VLOOKUP('Données projet'!$B$14,Paramètres!$A$1:$I$89,3,0)*VLOOKUP('Données projet'!$B$14,Paramètres!$A$1:$I$89,5,0)</f>
        <v>-2.379465513513424E-13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148.22129593028302</v>
      </c>
      <c r="DU120" s="59">
        <f t="shared" si="98"/>
        <v>102.97015482019975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233.89079999999998</v>
      </c>
      <c r="EL120" s="13">
        <f t="shared" si="99"/>
        <v>57.123140349023068</v>
      </c>
      <c r="EM120" s="20">
        <f t="shared" si="73"/>
        <v>506.84927944121517</v>
      </c>
      <c r="EN120" s="59">
        <f t="shared" si="74"/>
        <v>800.18261277454849</v>
      </c>
      <c r="EO120" s="59">
        <f ca="1">AVERAGE(OFFSET($EN$3,0,0,'Données projet'!$E$15+1,1))-AVERAGE(OFFSET($H$3,0,0,'Données projet'!$E$15+1,1))</f>
        <v>278.53123771916404</v>
      </c>
      <c r="EP120" s="59">
        <f t="shared" si="100"/>
        <v>283.79094702030869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16.090192009071309</v>
      </c>
      <c r="EW120" s="21">
        <f>EXP(-LN(2)/25)*EW119+(1-EXP(-LN(2)/25))/(LN(2)/25)*Calculateur!ER120*Calculateur!ET120*VLOOKUP('Données projet'!$B$15,Paramètres!$A$1:$I$89,3,0)*0.475*44/12</f>
        <v>2.0224529732710357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18.112644982342346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6.0153846153846189</v>
      </c>
      <c r="FE120" s="12">
        <f>IF('Données projet'!$A$218&gt;35,FE119+FD120-FM119,IF(A120&lt;'Données projet'!$A$218,$FB$205^A120,IF(A120='Données projet'!$A$218,'Données projet'!$B$218,FE119+FD120-FM119)))</f>
        <v>268.85384615384589</v>
      </c>
      <c r="FF120" s="17">
        <f>FE120*VLOOKUP('Données projet'!$B$16,Paramètres!$A$1:$I$89,3,0)*VLOOKUP('Données projet'!$B$16,Paramètres!$A$1:$I$89,5,0)</f>
        <v>243.25895999999975</v>
      </c>
      <c r="FG120" s="13">
        <f t="shared" si="101"/>
        <v>59.140160240229264</v>
      </c>
      <c r="FH120" s="20">
        <f t="shared" si="76"/>
        <v>526.67846775173223</v>
      </c>
      <c r="FI120" s="59">
        <f t="shared" si="77"/>
        <v>820.0118010850656</v>
      </c>
      <c r="FJ120" s="59">
        <f ca="1">AVERAGE(OFFSET($FI$3,0,0,'Données projet'!$E$16+1,1))-AVERAGE(OFFSET($H$3,0,0,'Données projet'!$E$16+1,1))</f>
        <v>335.99493768537013</v>
      </c>
      <c r="FK120" s="59">
        <f t="shared" si="102"/>
        <v>150.85164849522778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39.262652982633305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39.262652982633305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259.99999999999983</v>
      </c>
      <c r="GA120" s="17">
        <f>FZ120*VLOOKUP('Données projet'!$B$17,Paramètres!$A$1:$I$89,3,0)*VLOOKUP('Données projet'!$B$17,Paramètres!$A$1:$I$89,5,0)</f>
        <v>227.13599999999985</v>
      </c>
      <c r="GB120" s="13">
        <f t="shared" si="103"/>
        <v>55.662966886685133</v>
      </c>
      <c r="GC120" s="20">
        <f t="shared" si="79"/>
        <v>492.5415339943097</v>
      </c>
      <c r="GD120" s="59">
        <f t="shared" si="80"/>
        <v>785.87486732764296</v>
      </c>
      <c r="GE120" s="59">
        <f ca="1">AVERAGE(OFFSET($GD$3,0,0,'Données projet'!$E$17+1,1))-AVERAGE(OFFSET($H$3,0,0,'Données projet'!$E$17+1,1))</f>
        <v>319.57811113658374</v>
      </c>
      <c r="GF120" s="59">
        <f t="shared" si="104"/>
        <v>322.03572137403245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26.96683092459849</v>
      </c>
      <c r="GM120" s="21">
        <f>EXP(-LN(2)/25)*GM119+(1-EXP(-LN(2)/25))/(LN(2)/25)*Calculateur!GH120*Calculateur!GJ120*VLOOKUP('Données projet'!$B$17,Paramètres!$A$1:$I$89,3,0)*0.475*44/12</f>
        <v>8.3894368531107499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35.356267777709242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5.4683368944097308E-14</v>
      </c>
      <c r="P121" s="13">
        <f t="shared" si="87"/>
        <v>8.8129432816788268E-13</v>
      </c>
      <c r="Q121" s="20">
        <f t="shared" si="107"/>
        <v>1.6301611558033651E-12</v>
      </c>
      <c r="R121" s="59">
        <f t="shared" si="55"/>
        <v>293.33333333333496</v>
      </c>
      <c r="S121" s="59">
        <f ca="1">AVERAGE(OFFSET($R$3,0,0,'Données projet'!$E$9+1,1))-AVERAGE(OFFSET($H$3,0,0,'Données projet'!$E$9+1,1))</f>
        <v>226.41956082453015</v>
      </c>
      <c r="T121" s="59">
        <f t="shared" si="88"/>
        <v>317.95076157570446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3.6615384500000006</v>
      </c>
      <c r="AI121" s="13">
        <f>IF('Données projet'!$A$62&gt;35,AI120+AH121-AQ120,IF(A121&lt;'Données projet'!$A$62,$AF$205^A121,IF(A121='Données projet'!$A$62,'Données projet'!$B$62,AI120+AH121-AQ120)))</f>
        <v>145.45128205000032</v>
      </c>
      <c r="AJ121" s="13">
        <f>AI121*VLOOKUP('Données projet'!$B$10,Paramètres!$A$1:$I$89,3,0)*VLOOKUP('Données projet'!$B$10,Paramètres!$A$1:$I$89,5,0)</f>
        <v>124.7971999989003</v>
      </c>
      <c r="AK121" s="13">
        <f t="shared" si="89"/>
        <v>32.791302137042827</v>
      </c>
      <c r="AL121" s="20">
        <f t="shared" si="58"/>
        <v>274.46664122010094</v>
      </c>
      <c r="AM121" s="59">
        <f t="shared" si="59"/>
        <v>567.79997455343425</v>
      </c>
      <c r="AN121" s="59">
        <f ca="1">AVERAGE(OFFSET($AM$3,0,0,'Données projet'!$E$10+1,1))-AVERAGE(OFFSET($H$3,0,0,'Données projet'!$E$10+1,1))</f>
        <v>257.80662231827404</v>
      </c>
      <c r="AO121" s="59">
        <f t="shared" si="90"/>
        <v>184.04558520039876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-4.5474735088646412E-13</v>
      </c>
      <c r="BE121" s="13">
        <f>BD121*VLOOKUP('Données projet'!$B$11,Paramètres!$A$1:$I$89,3,0)*VLOOKUP('Données projet'!$B$11,Paramètres!$A$1:$I$89,5,0)</f>
        <v>-2.5420376914553347E-13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300.90952915835157</v>
      </c>
      <c r="BJ121" s="59">
        <f t="shared" si="92"/>
        <v>402.81783992925256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65.090154299475643</v>
      </c>
      <c r="BQ121" s="21">
        <f>EXP(-LN(2)/25)*BQ120+(1-EXP(-LN(2)/25))/(LN(2)/25)*Calculateur!BL121*Calculateur!BN121*VLOOKUP('Données projet'!$B$11,Paramètres!$A$1:$I$89,3,0)*0.475*44/12</f>
        <v>10.151331057230555</v>
      </c>
      <c r="BR121" s="21">
        <f>EXP(-LN(2)/2)*BR120+(1-EXP(-LN(2)/2))/(LN(2)/2)*BL121*BO121*VLOOKUP('Données projet'!$B$11,Paramètres!$A$1:$I$89,3,0)*0.475*44/12</f>
        <v>1.1077939986418229E-8</v>
      </c>
      <c r="BS121" s="22">
        <f t="shared" si="63"/>
        <v>75.241485367784136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-2.8421709430404007E-13</v>
      </c>
      <c r="BZ121" s="13">
        <f>BY121*VLOOKUP('Données projet'!$B$12,Paramètres!$A$1:$I$89,3,0)*VLOOKUP('Données projet'!$B$12,Paramètres!$A$1:$I$89,5,0)</f>
        <v>-1.4040324458619578E-13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246.05217890269194</v>
      </c>
      <c r="CE121" s="59">
        <f t="shared" si="94"/>
        <v>155.54297071424327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140.47232329184857</v>
      </c>
      <c r="CL121" s="21">
        <f>EXP(-LN(2)/25)*CL120+(1-EXP(-LN(2)/25))/(LN(2)/25)*Calculateur!CG121*Calculateur!CI121*VLOOKUP('Données projet'!$B$12,Paramètres!$A$1:$I$89,3,0)*0.475*44/12</f>
        <v>31.185488723942218</v>
      </c>
      <c r="CM121" s="21">
        <f>EXP(-LN(2)/2)*CM120+(1-EXP(-LN(2)/2))/(LN(2)/2)*CG121*CJ121*VLOOKUP('Données projet'!$B$12,Paramètres!$A$1:$I$89,3,0)*0.475*44/12</f>
        <v>5.0246619531501113E-2</v>
      </c>
      <c r="CN121" s="22">
        <f t="shared" si="66"/>
        <v>171.70805863532229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-3.4106051316484809E-13</v>
      </c>
      <c r="CU121" s="17">
        <f>CT121*VLOOKUP('Données projet'!$B$13,Paramètres!$A$1:$I$89,3,0)*VLOOKUP('Données projet'!$B$13,Paramètres!$A$1:$I$89,5,0)</f>
        <v>-2.0395418687257919E-13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237.036496933921</v>
      </c>
      <c r="CZ121" s="59">
        <f t="shared" si="96"/>
        <v>191.04289413665344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67.021224405881981</v>
      </c>
      <c r="DG121" s="21">
        <f>EXP(-LN(2)/25)*DG120+(1-EXP(-LN(2)/25))/(LN(2)/25)*Calculateur!DB121*Calculateur!DD121*VLOOKUP('Données projet'!$B$13,Paramètres!$A$1:$I$89,3,0)*0.475*44/12</f>
        <v>12.063356374269576</v>
      </c>
      <c r="DH121" s="21">
        <f>EXP(-LN(2)/2)*DH120+(1-EXP(-LN(2)/2))/(LN(2)/2)*DB121*DE121*VLOOKUP('Données projet'!$B$13,Paramètres!$A$1:$I$89,3,0)*0.475*44/12</f>
        <v>6.7927403845400807E-5</v>
      </c>
      <c r="DI121" s="22">
        <f t="shared" si="69"/>
        <v>79.084648707555402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-3.979039320256561E-13</v>
      </c>
      <c r="DP121" s="17">
        <f>DO121*VLOOKUP('Données projet'!$B$14,Paramètres!$A$1:$I$89,3,0)*VLOOKUP('Données projet'!$B$14,Paramètres!$A$1:$I$89,5,0)</f>
        <v>-2.379465513513424E-13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148.22129593028302</v>
      </c>
      <c r="DU121" s="59">
        <f t="shared" si="98"/>
        <v>102.97015482019975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233.89079999999998</v>
      </c>
      <c r="EL121" s="13">
        <f t="shared" si="99"/>
        <v>57.123140349023068</v>
      </c>
      <c r="EM121" s="20">
        <f t="shared" si="73"/>
        <v>506.84927944121517</v>
      </c>
      <c r="EN121" s="59">
        <f t="shared" si="74"/>
        <v>800.18261277454849</v>
      </c>
      <c r="EO121" s="59">
        <f ca="1">AVERAGE(OFFSET($EN$3,0,0,'Données projet'!$E$15+1,1))-AVERAGE(OFFSET($H$3,0,0,'Données projet'!$E$15+1,1))</f>
        <v>278.53123771916404</v>
      </c>
      <c r="EP121" s="59">
        <f t="shared" si="100"/>
        <v>283.79094702030869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15.774673157821489</v>
      </c>
      <c r="EW121" s="21">
        <f>EXP(-LN(2)/25)*EW120+(1-EXP(-LN(2)/25))/(LN(2)/25)*Calculateur!ER121*Calculateur!ET121*VLOOKUP('Données projet'!$B$15,Paramètres!$A$1:$I$89,3,0)*0.475*44/12</f>
        <v>1.9671488903607597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17.74182204818225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6.0153846153846189</v>
      </c>
      <c r="FE121" s="12">
        <f>IF('Données projet'!$A$218&gt;35,FE120+FD121-FM120,IF(A121&lt;'Données projet'!$A$218,$FB$205^A121,IF(A121='Données projet'!$A$218,'Données projet'!$B$218,FE120+FD121-FM120)))</f>
        <v>274.86923076923051</v>
      </c>
      <c r="FF121" s="17">
        <f>FE121*VLOOKUP('Données projet'!$B$16,Paramètres!$A$1:$I$89,3,0)*VLOOKUP('Données projet'!$B$16,Paramètres!$A$1:$I$89,5,0)</f>
        <v>248.70167999999973</v>
      </c>
      <c r="FG121" s="13">
        <f t="shared" si="101"/>
        <v>60.307840972128631</v>
      </c>
      <c r="FH121" s="20">
        <f t="shared" si="76"/>
        <v>538.19158235979023</v>
      </c>
      <c r="FI121" s="59">
        <f t="shared" si="77"/>
        <v>831.5249156931236</v>
      </c>
      <c r="FJ121" s="59">
        <f ca="1">AVERAGE(OFFSET($FI$3,0,0,'Données projet'!$E$16+1,1))-AVERAGE(OFFSET($H$3,0,0,'Données projet'!$E$16+1,1))</f>
        <v>335.99493768537013</v>
      </c>
      <c r="FK121" s="59">
        <f t="shared" si="102"/>
        <v>150.85164849522778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38.49273630549753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38.49273630549753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259.99999999999983</v>
      </c>
      <c r="GA121" s="17">
        <f>FZ121*VLOOKUP('Données projet'!$B$17,Paramètres!$A$1:$I$89,3,0)*VLOOKUP('Données projet'!$B$17,Paramètres!$A$1:$I$89,5,0)</f>
        <v>227.13599999999985</v>
      </c>
      <c r="GB121" s="13">
        <f t="shared" si="103"/>
        <v>55.662966886685133</v>
      </c>
      <c r="GC121" s="20">
        <f t="shared" si="79"/>
        <v>492.5415339943097</v>
      </c>
      <c r="GD121" s="59">
        <f t="shared" si="80"/>
        <v>785.87486732764296</v>
      </c>
      <c r="GE121" s="59">
        <f ca="1">AVERAGE(OFFSET($GD$3,0,0,'Données projet'!$E$17+1,1))-AVERAGE(OFFSET($H$3,0,0,'Données projet'!$E$17+1,1))</f>
        <v>319.57811113658374</v>
      </c>
      <c r="GF121" s="59">
        <f t="shared" si="104"/>
        <v>322.03572137403245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26.438027818309859</v>
      </c>
      <c r="GM121" s="21">
        <f>EXP(-LN(2)/25)*GM120+(1-EXP(-LN(2)/25))/(LN(2)/25)*Calculateur!GH121*Calculateur!GJ121*VLOOKUP('Données projet'!$B$17,Paramètres!$A$1:$I$89,3,0)*0.475*44/12</f>
        <v>8.160027261181126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34.598055079490983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5.4683368944097308E-14</v>
      </c>
      <c r="P122" s="13">
        <f t="shared" si="87"/>
        <v>8.8129432816788268E-13</v>
      </c>
      <c r="Q122" s="20">
        <f t="shared" si="107"/>
        <v>1.6301611558033651E-12</v>
      </c>
      <c r="R122" s="59">
        <f t="shared" si="55"/>
        <v>293.33333333333496</v>
      </c>
      <c r="S122" s="59">
        <f ca="1">AVERAGE(OFFSET($R$3,0,0,'Données projet'!$E$9+1,1))-AVERAGE(OFFSET($H$3,0,0,'Données projet'!$E$9+1,1))</f>
        <v>226.41956082453015</v>
      </c>
      <c r="T122" s="59">
        <f t="shared" si="88"/>
        <v>317.95076157570446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3.6615384500000006</v>
      </c>
      <c r="AI122" s="13">
        <f>IF('Données projet'!$A$62&gt;35,AI121+AH122-AQ121,IF(A122&lt;'Données projet'!$A$62,$AF$205^A122,IF(A122='Données projet'!$A$62,'Données projet'!$B$62,AI121+AH122-AQ121)))</f>
        <v>149.11282050000031</v>
      </c>
      <c r="AJ122" s="13">
        <f>AI122*VLOOKUP('Données projet'!$B$10,Paramètres!$A$1:$I$89,3,0)*VLOOKUP('Données projet'!$B$10,Paramètres!$A$1:$I$89,5,0)</f>
        <v>127.93879998900027</v>
      </c>
      <c r="AK122" s="13">
        <f t="shared" si="89"/>
        <v>33.519634407072864</v>
      </c>
      <c r="AL122" s="20">
        <f t="shared" si="58"/>
        <v>281.20677323982733</v>
      </c>
      <c r="AM122" s="59">
        <f t="shared" si="59"/>
        <v>574.54010657316064</v>
      </c>
      <c r="AN122" s="59">
        <f ca="1">AVERAGE(OFFSET($AM$3,0,0,'Données projet'!$E$10+1,1))-AVERAGE(OFFSET($H$3,0,0,'Données projet'!$E$10+1,1))</f>
        <v>257.80662231827404</v>
      </c>
      <c r="AO122" s="59">
        <f t="shared" si="90"/>
        <v>184.04558520039876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-4.5474735088646412E-13</v>
      </c>
      <c r="BE122" s="13">
        <f>BD122*VLOOKUP('Données projet'!$B$11,Paramètres!$A$1:$I$89,3,0)*VLOOKUP('Données projet'!$B$11,Paramètres!$A$1:$I$89,5,0)</f>
        <v>-2.5420376914553347E-13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300.90952915835157</v>
      </c>
      <c r="BJ122" s="59">
        <f t="shared" si="92"/>
        <v>402.81783992925256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63.813776074736893</v>
      </c>
      <c r="BQ122" s="21">
        <f>EXP(-LN(2)/25)*BQ121+(1-EXP(-LN(2)/25))/(LN(2)/25)*Calculateur!BL122*Calculateur!BN122*VLOOKUP('Données projet'!$B$11,Paramètres!$A$1:$I$89,3,0)*0.475*44/12</f>
        <v>9.8737423756352865</v>
      </c>
      <c r="BR122" s="21">
        <f>EXP(-LN(2)/2)*BR121+(1-EXP(-LN(2)/2))/(LN(2)/2)*BL122*BO122*VLOOKUP('Données projet'!$B$11,Paramètres!$A$1:$I$89,3,0)*0.475*44/12</f>
        <v>7.8332864859739401E-9</v>
      </c>
      <c r="BS122" s="22">
        <f t="shared" si="63"/>
        <v>73.687518458205474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-2.8421709430404007E-13</v>
      </c>
      <c r="BZ122" s="13">
        <f>BY122*VLOOKUP('Données projet'!$B$12,Paramètres!$A$1:$I$89,3,0)*VLOOKUP('Données projet'!$B$12,Paramètres!$A$1:$I$89,5,0)</f>
        <v>-1.4040324458619578E-13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246.05217890269194</v>
      </c>
      <c r="CE122" s="59">
        <f t="shared" si="94"/>
        <v>155.54297071424327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137.71774671175245</v>
      </c>
      <c r="CL122" s="21">
        <f>EXP(-LN(2)/25)*CL121+(1-EXP(-LN(2)/25))/(LN(2)/25)*Calculateur!CG122*Calculateur!CI122*VLOOKUP('Données projet'!$B$12,Paramètres!$A$1:$I$89,3,0)*0.475*44/12</f>
        <v>30.332719894812442</v>
      </c>
      <c r="CM122" s="21">
        <f>EXP(-LN(2)/2)*CM121+(1-EXP(-LN(2)/2))/(LN(2)/2)*CG122*CJ122*VLOOKUP('Données projet'!$B$12,Paramètres!$A$1:$I$89,3,0)*0.475*44/12</f>
        <v>3.5529725402424862E-2</v>
      </c>
      <c r="CN122" s="22">
        <f t="shared" si="66"/>
        <v>168.08599633196732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-3.4106051316484809E-13</v>
      </c>
      <c r="CU122" s="17">
        <f>CT122*VLOOKUP('Données projet'!$B$13,Paramètres!$A$1:$I$89,3,0)*VLOOKUP('Données projet'!$B$13,Paramètres!$A$1:$I$89,5,0)</f>
        <v>-2.0395418687257919E-13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237.036496933921</v>
      </c>
      <c r="CZ122" s="59">
        <f t="shared" si="96"/>
        <v>191.04289413665344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65.706979074193072</v>
      </c>
      <c r="DG122" s="21">
        <f>EXP(-LN(2)/25)*DG121+(1-EXP(-LN(2)/25))/(LN(2)/25)*Calculateur!DB122*Calculateur!DD122*VLOOKUP('Données projet'!$B$13,Paramètres!$A$1:$I$89,3,0)*0.475*44/12</f>
        <v>11.733483259830834</v>
      </c>
      <c r="DH122" s="21">
        <f>EXP(-LN(2)/2)*DH121+(1-EXP(-LN(2)/2))/(LN(2)/2)*DB122*DE122*VLOOKUP('Données projet'!$B$13,Paramètres!$A$1:$I$89,3,0)*0.475*44/12</f>
        <v>4.8031927887480075E-5</v>
      </c>
      <c r="DI122" s="22">
        <f t="shared" si="69"/>
        <v>77.440510365951795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-3.979039320256561E-13</v>
      </c>
      <c r="DP122" s="17">
        <f>DO122*VLOOKUP('Données projet'!$B$14,Paramètres!$A$1:$I$89,3,0)*VLOOKUP('Données projet'!$B$14,Paramètres!$A$1:$I$89,5,0)</f>
        <v>-2.379465513513424E-13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148.22129593028302</v>
      </c>
      <c r="DU122" s="59">
        <f t="shared" si="98"/>
        <v>102.97015482019975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233.89079999999998</v>
      </c>
      <c r="EL122" s="13">
        <f t="shared" si="99"/>
        <v>57.123140349023068</v>
      </c>
      <c r="EM122" s="20">
        <f t="shared" si="73"/>
        <v>506.84927944121517</v>
      </c>
      <c r="EN122" s="59">
        <f t="shared" si="74"/>
        <v>800.18261277454849</v>
      </c>
      <c r="EO122" s="59">
        <f ca="1">AVERAGE(OFFSET($EN$3,0,0,'Données projet'!$E$15+1,1))-AVERAGE(OFFSET($H$3,0,0,'Données projet'!$E$15+1,1))</f>
        <v>278.53123771916404</v>
      </c>
      <c r="EP122" s="59">
        <f t="shared" si="100"/>
        <v>283.79094702030869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15.465341438797182</v>
      </c>
      <c r="EW122" s="21">
        <f>EXP(-LN(2)/25)*EW121+(1-EXP(-LN(2)/25))/(LN(2)/25)*Calculateur!ER122*Calculateur!ET122*VLOOKUP('Données projet'!$B$15,Paramètres!$A$1:$I$89,3,0)*0.475*44/12</f>
        <v>1.9133571005059806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17.378698539303162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6.0153846153846189</v>
      </c>
      <c r="FE122" s="12">
        <f>IF('Données projet'!$A$218&gt;35,FE121+FD122-FM121,IF(A122&lt;'Données projet'!$A$218,$FB$205^A122,IF(A122='Données projet'!$A$218,'Données projet'!$B$218,FE121+FD122-FM121)))</f>
        <v>280.88461538461513</v>
      </c>
      <c r="FF122" s="17">
        <f>FE122*VLOOKUP('Données projet'!$B$16,Paramètres!$A$1:$I$89,3,0)*VLOOKUP('Données projet'!$B$16,Paramètres!$A$1:$I$89,5,0)</f>
        <v>254.14439999999976</v>
      </c>
      <c r="FG122" s="13">
        <f t="shared" si="101"/>
        <v>61.472550736013424</v>
      </c>
      <c r="FH122" s="20">
        <f t="shared" si="76"/>
        <v>549.69952253188956</v>
      </c>
      <c r="FI122" s="59">
        <f t="shared" si="77"/>
        <v>843.03285586522293</v>
      </c>
      <c r="FJ122" s="59">
        <f ca="1">AVERAGE(OFFSET($FI$3,0,0,'Données projet'!$E$16+1,1))-AVERAGE(OFFSET($H$3,0,0,'Données projet'!$E$16+1,1))</f>
        <v>335.99493768537013</v>
      </c>
      <c r="FK122" s="59">
        <f t="shared" si="102"/>
        <v>150.85164849522778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37.737917224797584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37.737917224797584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259.99999999999983</v>
      </c>
      <c r="GA122" s="17">
        <f>FZ122*VLOOKUP('Données projet'!$B$17,Paramètres!$A$1:$I$89,3,0)*VLOOKUP('Données projet'!$B$17,Paramètres!$A$1:$I$89,5,0)</f>
        <v>227.13599999999985</v>
      </c>
      <c r="GB122" s="13">
        <f t="shared" si="103"/>
        <v>55.662966886685133</v>
      </c>
      <c r="GC122" s="20">
        <f t="shared" si="79"/>
        <v>492.5415339943097</v>
      </c>
      <c r="GD122" s="59">
        <f t="shared" si="80"/>
        <v>785.87486732764296</v>
      </c>
      <c r="GE122" s="59">
        <f ca="1">AVERAGE(OFFSET($GD$3,0,0,'Données projet'!$E$17+1,1))-AVERAGE(OFFSET($H$3,0,0,'Données projet'!$E$17+1,1))</f>
        <v>319.57811113658374</v>
      </c>
      <c r="GF122" s="59">
        <f t="shared" si="104"/>
        <v>322.03572137403245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25.919594218397499</v>
      </c>
      <c r="GM122" s="21">
        <f>EXP(-LN(2)/25)*GM121+(1-EXP(-LN(2)/25))/(LN(2)/25)*Calculateur!GH122*Calculateur!GJ122*VLOOKUP('Données projet'!$B$17,Paramètres!$A$1:$I$89,3,0)*0.475*44/12</f>
        <v>7.9368908866069443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33.856485105004445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5.4683368944097308E-14</v>
      </c>
      <c r="P123" s="13">
        <f t="shared" si="87"/>
        <v>8.8129432816788268E-13</v>
      </c>
      <c r="Q123" s="20">
        <f t="shared" si="107"/>
        <v>1.6301611558033651E-12</v>
      </c>
      <c r="R123" s="59">
        <f t="shared" si="55"/>
        <v>293.33333333333496</v>
      </c>
      <c r="S123" s="59">
        <f ca="1">AVERAGE(OFFSET($R$3,0,0,'Données projet'!$E$9+1,1))-AVERAGE(OFFSET($H$3,0,0,'Données projet'!$E$9+1,1))</f>
        <v>226.41956082453015</v>
      </c>
      <c r="T123" s="59">
        <f t="shared" si="88"/>
        <v>317.95076157570446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3.6615384500000006</v>
      </c>
      <c r="AI123" s="13">
        <f>IF('Données projet'!$A$62&gt;35,AI122+AH123-AQ122,IF(A123&lt;'Données projet'!$A$62,$AF$205^A123,IF(A123='Données projet'!$A$62,'Données projet'!$B$62,AI122+AH123-AQ122)))</f>
        <v>152.77435895000031</v>
      </c>
      <c r="AJ123" s="13">
        <f>AI123*VLOOKUP('Données projet'!$B$10,Paramètres!$A$1:$I$89,3,0)*VLOOKUP('Données projet'!$B$10,Paramètres!$A$1:$I$89,5,0)</f>
        <v>131.08039997910029</v>
      </c>
      <c r="AK123" s="13">
        <f t="shared" si="89"/>
        <v>34.245887666235312</v>
      </c>
      <c r="AL123" s="20">
        <f t="shared" si="58"/>
        <v>287.94328431562616</v>
      </c>
      <c r="AM123" s="59">
        <f t="shared" si="59"/>
        <v>581.27661764895947</v>
      </c>
      <c r="AN123" s="59">
        <f ca="1">AVERAGE(OFFSET($AM$3,0,0,'Données projet'!$E$10+1,1))-AVERAGE(OFFSET($H$3,0,0,'Données projet'!$E$10+1,1))</f>
        <v>257.80662231827404</v>
      </c>
      <c r="AO123" s="59">
        <f t="shared" si="90"/>
        <v>184.04558520039876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-4.5474735088646412E-13</v>
      </c>
      <c r="BE123" s="13">
        <f>BD123*VLOOKUP('Données projet'!$B$11,Paramètres!$A$1:$I$89,3,0)*VLOOKUP('Données projet'!$B$11,Paramètres!$A$1:$I$89,5,0)</f>
        <v>-2.5420376914553347E-13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300.90952915835157</v>
      </c>
      <c r="BJ123" s="59">
        <f t="shared" si="92"/>
        <v>402.81783992925256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62.562426848471425</v>
      </c>
      <c r="BQ123" s="21">
        <f>EXP(-LN(2)/25)*BQ122+(1-EXP(-LN(2)/25))/(LN(2)/25)*Calculateur!BL123*Calculateur!BN123*VLOOKUP('Données projet'!$B$11,Paramètres!$A$1:$I$89,3,0)*0.475*44/12</f>
        <v>9.6037443711359956</v>
      </c>
      <c r="BR123" s="21">
        <f>EXP(-LN(2)/2)*BR122+(1-EXP(-LN(2)/2))/(LN(2)/2)*BL123*BO123*VLOOKUP('Données projet'!$B$11,Paramètres!$A$1:$I$89,3,0)*0.475*44/12</f>
        <v>5.5389699932091147E-9</v>
      </c>
      <c r="BS123" s="22">
        <f t="shared" si="63"/>
        <v>72.166171225146385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-2.8421709430404007E-13</v>
      </c>
      <c r="BZ123" s="13">
        <f>BY123*VLOOKUP('Données projet'!$B$12,Paramètres!$A$1:$I$89,3,0)*VLOOKUP('Données projet'!$B$12,Paramètres!$A$1:$I$89,5,0)</f>
        <v>-1.4040324458619578E-13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246.05217890269194</v>
      </c>
      <c r="CE123" s="59">
        <f t="shared" si="94"/>
        <v>155.54297071424327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135.01718569826622</v>
      </c>
      <c r="CL123" s="21">
        <f>EXP(-LN(2)/25)*CL122+(1-EXP(-LN(2)/25))/(LN(2)/25)*Calculateur!CG123*Calculateur!CI123*VLOOKUP('Données projet'!$B$12,Paramètres!$A$1:$I$89,3,0)*0.475*44/12</f>
        <v>29.503270074160383</v>
      </c>
      <c r="CM123" s="21">
        <f>EXP(-LN(2)/2)*CM122+(1-EXP(-LN(2)/2))/(LN(2)/2)*CG123*CJ123*VLOOKUP('Données projet'!$B$12,Paramètres!$A$1:$I$89,3,0)*0.475*44/12</f>
        <v>2.5123309765750557E-2</v>
      </c>
      <c r="CN123" s="22">
        <f t="shared" si="66"/>
        <v>164.54557908219235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-3.4106051316484809E-13</v>
      </c>
      <c r="CU123" s="17">
        <f>CT123*VLOOKUP('Données projet'!$B$13,Paramètres!$A$1:$I$89,3,0)*VLOOKUP('Données projet'!$B$13,Paramètres!$A$1:$I$89,5,0)</f>
        <v>-2.0395418687257919E-13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237.036496933921</v>
      </c>
      <c r="CZ123" s="59">
        <f t="shared" si="96"/>
        <v>191.04289413665344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64.418505291848078</v>
      </c>
      <c r="DG123" s="21">
        <f>EXP(-LN(2)/25)*DG122+(1-EXP(-LN(2)/25))/(LN(2)/25)*Calculateur!DB123*Calculateur!DD123*VLOOKUP('Données projet'!$B$13,Paramètres!$A$1:$I$89,3,0)*0.475*44/12</f>
        <v>11.412630543053693</v>
      </c>
      <c r="DH123" s="21">
        <f>EXP(-LN(2)/2)*DH122+(1-EXP(-LN(2)/2))/(LN(2)/2)*DB123*DE123*VLOOKUP('Données projet'!$B$13,Paramètres!$A$1:$I$89,3,0)*0.475*44/12</f>
        <v>3.3963701922700404E-5</v>
      </c>
      <c r="DI123" s="22">
        <f t="shared" si="69"/>
        <v>75.831169798603696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-3.979039320256561E-13</v>
      </c>
      <c r="DP123" s="17">
        <f>DO123*VLOOKUP('Données projet'!$B$14,Paramètres!$A$1:$I$89,3,0)*VLOOKUP('Données projet'!$B$14,Paramètres!$A$1:$I$89,5,0)</f>
        <v>-2.379465513513424E-13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148.22129593028302</v>
      </c>
      <c r="DU123" s="59">
        <f t="shared" si="98"/>
        <v>102.97015482019975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233.89079999999998</v>
      </c>
      <c r="EL123" s="13">
        <f t="shared" si="99"/>
        <v>57.123140349023068</v>
      </c>
      <c r="EM123" s="20">
        <f t="shared" si="73"/>
        <v>506.84927944121517</v>
      </c>
      <c r="EN123" s="59">
        <f t="shared" si="74"/>
        <v>800.18261277454849</v>
      </c>
      <c r="EO123" s="59">
        <f ca="1">AVERAGE(OFFSET($EN$3,0,0,'Données projet'!$E$15+1,1))-AVERAGE(OFFSET($H$3,0,0,'Données projet'!$E$15+1,1))</f>
        <v>278.53123771916404</v>
      </c>
      <c r="EP123" s="59">
        <f t="shared" si="100"/>
        <v>283.79094702030869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15.162075526109223</v>
      </c>
      <c r="EW123" s="21">
        <f>EXP(-LN(2)/25)*EW122+(1-EXP(-LN(2)/25))/(LN(2)/25)*Calculateur!ER123*Calculateur!ET123*VLOOKUP('Données projet'!$B$15,Paramètres!$A$1:$I$89,3,0)*0.475*44/12</f>
        <v>1.8610362499735678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17.023111776082793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6.0153846153846189</v>
      </c>
      <c r="FE123" s="12">
        <f>IF('Données projet'!$A$218&gt;35,FE122+FD123-FM122,IF(A123&lt;'Données projet'!$A$218,$FB$205^A123,IF(A123='Données projet'!$A$218,'Données projet'!$B$218,FE122+FD123-FM122)))</f>
        <v>286.89999999999975</v>
      </c>
      <c r="FF123" s="17">
        <f>FE123*VLOOKUP('Données projet'!$B$16,Paramètres!$A$1:$I$89,3,0)*VLOOKUP('Données projet'!$B$16,Paramètres!$A$1:$I$89,5,0)</f>
        <v>259.58711999999974</v>
      </c>
      <c r="FG123" s="13">
        <f t="shared" si="101"/>
        <v>62.634360486247317</v>
      </c>
      <c r="FH123" s="20">
        <f t="shared" si="76"/>
        <v>561.2024118468803</v>
      </c>
      <c r="FI123" s="59">
        <f t="shared" si="77"/>
        <v>854.53574518021355</v>
      </c>
      <c r="FJ123" s="59">
        <f ca="1">AVERAGE(OFFSET($FI$3,0,0,'Données projet'!$E$16+1,1))-AVERAGE(OFFSET($H$3,0,0,'Données projet'!$E$16+1,1))</f>
        <v>335.99493768537013</v>
      </c>
      <c r="FK123" s="59">
        <f t="shared" si="102"/>
        <v>150.85164849522778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36.997899685875986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36.997899685875986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259.99999999999983</v>
      </c>
      <c r="GA123" s="17">
        <f>FZ123*VLOOKUP('Données projet'!$B$17,Paramètres!$A$1:$I$89,3,0)*VLOOKUP('Données projet'!$B$17,Paramètres!$A$1:$I$89,5,0)</f>
        <v>227.13599999999985</v>
      </c>
      <c r="GB123" s="13">
        <f t="shared" si="103"/>
        <v>55.662966886685133</v>
      </c>
      <c r="GC123" s="20">
        <f t="shared" si="79"/>
        <v>492.5415339943097</v>
      </c>
      <c r="GD123" s="59">
        <f t="shared" si="80"/>
        <v>785.87486732764296</v>
      </c>
      <c r="GE123" s="59">
        <f ca="1">AVERAGE(OFFSET($GD$3,0,0,'Données projet'!$E$17+1,1))-AVERAGE(OFFSET($H$3,0,0,'Données projet'!$E$17+1,1))</f>
        <v>319.57811113658374</v>
      </c>
      <c r="GF123" s="59">
        <f t="shared" si="104"/>
        <v>322.03572137403245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25.41132678516615</v>
      </c>
      <c r="GM123" s="21">
        <f>EXP(-LN(2)/25)*GM122+(1-EXP(-LN(2)/25))/(LN(2)/25)*Calculateur!GH123*Calculateur!GJ123*VLOOKUP('Données projet'!$B$17,Paramètres!$A$1:$I$89,3,0)*0.475*44/12</f>
        <v>7.7198561879297261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33.131182973095875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5.4683368944097308E-14</v>
      </c>
      <c r="P124" s="13">
        <f t="shared" si="87"/>
        <v>8.8129432816788268E-13</v>
      </c>
      <c r="Q124" s="20">
        <f t="shared" si="107"/>
        <v>1.6301611558033651E-12</v>
      </c>
      <c r="R124" s="59">
        <f t="shared" si="55"/>
        <v>293.33333333333496</v>
      </c>
      <c r="S124" s="59">
        <f ca="1">AVERAGE(OFFSET($R$3,0,0,'Données projet'!$E$9+1,1))-AVERAGE(OFFSET($H$3,0,0,'Données projet'!$E$9+1,1))</f>
        <v>226.41956082453015</v>
      </c>
      <c r="T124" s="59">
        <f t="shared" si="88"/>
        <v>317.95076157570446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>
        <f>VLOOKUP(A124,'Données projet'!$A$61:$I$81,2,0)</f>
        <v>156.43589739999999</v>
      </c>
      <c r="AG124" s="12">
        <f>VLOOKUP(A124,'Données projet'!$A$61:$I$81,9,0)</f>
        <v>3.6615384500000006</v>
      </c>
      <c r="AH124" s="12">
        <f t="array" ref="AH124">INDEX(AG:AG,MIN(IF(ISNUMBER(AG124:AG320),ROW(AG124:AG320),"")))</f>
        <v>3.6615384500000006</v>
      </c>
      <c r="AI124" s="13">
        <f>IF('Données projet'!$A$62&gt;35,AI123+AH124-AQ123,IF(A124&lt;'Données projet'!$A$62,$AF$205^A124,IF(A124='Données projet'!$A$62,'Données projet'!$B$62,AI123+AH124-AQ123)))</f>
        <v>156.4358974000003</v>
      </c>
      <c r="AJ124" s="13">
        <f>AI124*VLOOKUP('Données projet'!$B$10,Paramètres!$A$1:$I$89,3,0)*VLOOKUP('Données projet'!$B$10,Paramètres!$A$1:$I$89,5,0)</f>
        <v>134.22199996920028</v>
      </c>
      <c r="AK124" s="13">
        <f t="shared" si="89"/>
        <v>34.970117475286401</v>
      </c>
      <c r="AL124" s="20">
        <f t="shared" si="58"/>
        <v>294.67627121581432</v>
      </c>
      <c r="AM124" s="59">
        <f t="shared" si="59"/>
        <v>588.00960454914764</v>
      </c>
      <c r="AN124" s="59">
        <f ca="1">AVERAGE(OFFSET($AM$3,0,0,'Données projet'!$E$10+1,1))-AVERAGE(OFFSET($H$3,0,0,'Données projet'!$E$10+1,1))</f>
        <v>257.80662231827404</v>
      </c>
      <c r="AO124" s="59">
        <f t="shared" si="90"/>
        <v>184.04558520039876</v>
      </c>
      <c r="AP124" s="15">
        <f>IF(ISNA(VLOOKUP(A124,'Données projet'!$A$61:$I$81,3,0)),0,VLOOKUP(A124,'Données projet'!$A$61:$I$81,3,0))</f>
        <v>11</v>
      </c>
      <c r="AQ124" s="15">
        <f>IF(ISNA(VLOOKUP(A124,'Données projet'!$A$61:$I$81,4,0)),0,VLOOKUP(A124,'Données projet'!$A$61:$I$81,4,0))</f>
        <v>66.179487179999995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-4.5474735088646412E-13</v>
      </c>
      <c r="BE124" s="13">
        <f>BD124*VLOOKUP('Données projet'!$B$11,Paramètres!$A$1:$I$89,3,0)*VLOOKUP('Données projet'!$B$11,Paramètres!$A$1:$I$89,5,0)</f>
        <v>-2.5420376914553347E-13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300.90952915835157</v>
      </c>
      <c r="BJ124" s="59">
        <f t="shared" si="92"/>
        <v>402.81783992925256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61.335615817285358</v>
      </c>
      <c r="BQ124" s="21">
        <f>EXP(-LN(2)/25)*BQ123+(1-EXP(-LN(2)/25))/(LN(2)/25)*Calculateur!BL124*Calculateur!BN124*VLOOKUP('Données projet'!$B$11,Paramètres!$A$1:$I$89,3,0)*0.475*44/12</f>
        <v>9.3411294762683141</v>
      </c>
      <c r="BR124" s="21">
        <f>EXP(-LN(2)/2)*BR123+(1-EXP(-LN(2)/2))/(LN(2)/2)*BL124*BO124*VLOOKUP('Données projet'!$B$11,Paramètres!$A$1:$I$89,3,0)*0.475*44/12</f>
        <v>3.9166432429869701E-9</v>
      </c>
      <c r="BS124" s="22">
        <f t="shared" si="63"/>
        <v>70.676745297470305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-2.8421709430404007E-13</v>
      </c>
      <c r="BZ124" s="13">
        <f>BY124*VLOOKUP('Données projet'!$B$12,Paramètres!$A$1:$I$89,3,0)*VLOOKUP('Données projet'!$B$12,Paramètres!$A$1:$I$89,5,0)</f>
        <v>-1.4040324458619578E-13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246.05217890269194</v>
      </c>
      <c r="CE124" s="59">
        <f t="shared" si="94"/>
        <v>155.54297071424327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132.36958103907489</v>
      </c>
      <c r="CL124" s="21">
        <f>EXP(-LN(2)/25)*CL123+(1-EXP(-LN(2)/25))/(LN(2)/25)*Calculateur!CG124*Calculateur!CI124*VLOOKUP('Données projet'!$B$12,Paramètres!$A$1:$I$89,3,0)*0.475*44/12</f>
        <v>28.696501602472924</v>
      </c>
      <c r="CM124" s="21">
        <f>EXP(-LN(2)/2)*CM123+(1-EXP(-LN(2)/2))/(LN(2)/2)*CG124*CJ124*VLOOKUP('Données projet'!$B$12,Paramètres!$A$1:$I$89,3,0)*0.475*44/12</f>
        <v>1.7764862701212431E-2</v>
      </c>
      <c r="CN124" s="22">
        <f t="shared" si="66"/>
        <v>161.08384750424901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-3.4106051316484809E-13</v>
      </c>
      <c r="CU124" s="17">
        <f>CT124*VLOOKUP('Données projet'!$B$13,Paramètres!$A$1:$I$89,3,0)*VLOOKUP('Données projet'!$B$13,Paramètres!$A$1:$I$89,5,0)</f>
        <v>-2.0395418687257919E-13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237.036496933921</v>
      </c>
      <c r="CZ124" s="59">
        <f t="shared" si="96"/>
        <v>191.04289413665344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63.155297694483458</v>
      </c>
      <c r="DG124" s="21">
        <f>EXP(-LN(2)/25)*DG123+(1-EXP(-LN(2)/25))/(LN(2)/25)*Calculateur!DB124*Calculateur!DD124*VLOOKUP('Données projet'!$B$13,Paramètres!$A$1:$I$89,3,0)*0.475*44/12</f>
        <v>11.100551560689734</v>
      </c>
      <c r="DH124" s="21">
        <f>EXP(-LN(2)/2)*DH123+(1-EXP(-LN(2)/2))/(LN(2)/2)*DB124*DE124*VLOOKUP('Données projet'!$B$13,Paramètres!$A$1:$I$89,3,0)*0.475*44/12</f>
        <v>2.4015963943740038E-5</v>
      </c>
      <c r="DI124" s="22">
        <f t="shared" si="69"/>
        <v>74.255873271137133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-3.979039320256561E-13</v>
      </c>
      <c r="DP124" s="17">
        <f>DO124*VLOOKUP('Données projet'!$B$14,Paramètres!$A$1:$I$89,3,0)*VLOOKUP('Données projet'!$B$14,Paramètres!$A$1:$I$89,5,0)</f>
        <v>-2.379465513513424E-13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148.22129593028302</v>
      </c>
      <c r="DU124" s="59">
        <f t="shared" si="98"/>
        <v>102.97015482019975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233.89079999999998</v>
      </c>
      <c r="EL124" s="13">
        <f t="shared" si="99"/>
        <v>57.123140349023068</v>
      </c>
      <c r="EM124" s="20">
        <f t="shared" si="73"/>
        <v>506.84927944121517</v>
      </c>
      <c r="EN124" s="59">
        <f t="shared" si="74"/>
        <v>800.18261277454849</v>
      </c>
      <c r="EO124" s="59">
        <f ca="1">AVERAGE(OFFSET($EN$3,0,0,'Données projet'!$E$15+1,1))-AVERAGE(OFFSET($H$3,0,0,'Données projet'!$E$15+1,1))</f>
        <v>278.53123771916404</v>
      </c>
      <c r="EP124" s="59">
        <f t="shared" si="100"/>
        <v>283.79094702030869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14.864756472995133</v>
      </c>
      <c r="EW124" s="21">
        <f>EXP(-LN(2)/25)*EW123+(1-EXP(-LN(2)/25))/(LN(2)/25)*Calculateur!ER124*Calculateur!ET124*VLOOKUP('Données projet'!$B$15,Paramètres!$A$1:$I$89,3,0)*0.475*44/12</f>
        <v>1.8101461158503975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16.67490258884553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6.0153846153846189</v>
      </c>
      <c r="FE124" s="12">
        <f>IF('Données projet'!$A$218&gt;35,FE123+FD124-FM123,IF(A124&lt;'Données projet'!$A$218,$FB$205^A124,IF(A124='Données projet'!$A$218,'Données projet'!$B$218,FE123+FD124-FM123)))</f>
        <v>292.91538461538437</v>
      </c>
      <c r="FF124" s="17">
        <f>FE124*VLOOKUP('Données projet'!$B$16,Paramètres!$A$1:$I$89,3,0)*VLOOKUP('Données projet'!$B$16,Paramètres!$A$1:$I$89,5,0)</f>
        <v>265.02983999999975</v>
      </c>
      <c r="FG124" s="13">
        <f t="shared" si="101"/>
        <v>63.793338031797148</v>
      </c>
      <c r="FH124" s="20">
        <f t="shared" si="76"/>
        <v>572.70036840537955</v>
      </c>
      <c r="FI124" s="59">
        <f t="shared" si="77"/>
        <v>866.03370173871281</v>
      </c>
      <c r="FJ124" s="59">
        <f ca="1">AVERAGE(OFFSET($FI$3,0,0,'Données projet'!$E$16+1,1))-AVERAGE(OFFSET($H$3,0,0,'Données projet'!$E$16+1,1))</f>
        <v>335.99493768537013</v>
      </c>
      <c r="FK124" s="59">
        <f t="shared" si="102"/>
        <v>150.85164849522778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36.27239343952651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36.27239343952651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259.99999999999983</v>
      </c>
      <c r="GA124" s="17">
        <f>FZ124*VLOOKUP('Données projet'!$B$17,Paramètres!$A$1:$I$89,3,0)*VLOOKUP('Données projet'!$B$17,Paramètres!$A$1:$I$89,5,0)</f>
        <v>227.13599999999985</v>
      </c>
      <c r="GB124" s="13">
        <f t="shared" si="103"/>
        <v>55.662966886685133</v>
      </c>
      <c r="GC124" s="20">
        <f t="shared" si="79"/>
        <v>492.5415339943097</v>
      </c>
      <c r="GD124" s="59">
        <f t="shared" si="80"/>
        <v>785.87486732764296</v>
      </c>
      <c r="GE124" s="59">
        <f ca="1">AVERAGE(OFFSET($GD$3,0,0,'Données projet'!$E$17+1,1))-AVERAGE(OFFSET($H$3,0,0,'Données projet'!$E$17+1,1))</f>
        <v>319.57811113658374</v>
      </c>
      <c r="GF124" s="59">
        <f t="shared" si="104"/>
        <v>322.03572137403245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24.913026166287946</v>
      </c>
      <c r="GM124" s="21">
        <f>EXP(-LN(2)/25)*GM123+(1-EXP(-LN(2)/25))/(LN(2)/25)*Calculateur!GH124*Calculateur!GJ124*VLOOKUP('Données projet'!$B$17,Paramètres!$A$1:$I$89,3,0)*0.475*44/12</f>
        <v>7.5087563145011949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32.42178248078914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5.4683368944097308E-14</v>
      </c>
      <c r="P125" s="13">
        <f t="shared" si="87"/>
        <v>8.8129432816788268E-13</v>
      </c>
      <c r="Q125" s="20">
        <f t="shared" si="107"/>
        <v>1.6301611558033651E-12</v>
      </c>
      <c r="R125" s="59">
        <f t="shared" si="55"/>
        <v>293.33333333333496</v>
      </c>
      <c r="S125" s="59">
        <f ca="1">AVERAGE(OFFSET($R$3,0,0,'Données projet'!$E$9+1,1))-AVERAGE(OFFSET($H$3,0,0,'Données projet'!$E$9+1,1))</f>
        <v>226.41956082453015</v>
      </c>
      <c r="T125" s="59">
        <f t="shared" si="88"/>
        <v>317.95076157570446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2.5913461700000013</v>
      </c>
      <c r="AI125" s="13">
        <f>IF('Données projet'!$A$62&gt;35,AI124+AH125-AQ124,IF(A125&lt;'Données projet'!$A$62,$AF$205^A125,IF(A125='Données projet'!$A$62,'Données projet'!$B$62,AI124+AH125-AQ124)))</f>
        <v>92.847756390000313</v>
      </c>
      <c r="AJ125" s="13">
        <f>AI125*VLOOKUP('Données projet'!$B$10,Paramètres!$A$1:$I$89,3,0)*VLOOKUP('Données projet'!$B$10,Paramètres!$A$1:$I$89,5,0)</f>
        <v>79.663374982620283</v>
      </c>
      <c r="AK125" s="13">
        <f t="shared" si="89"/>
        <v>22.054857373824408</v>
      </c>
      <c r="AL125" s="20">
        <f t="shared" si="58"/>
        <v>177.15925468747449</v>
      </c>
      <c r="AM125" s="59">
        <f t="shared" si="59"/>
        <v>470.49258802080783</v>
      </c>
      <c r="AN125" s="59">
        <f ca="1">AVERAGE(OFFSET($AM$3,0,0,'Données projet'!$E$10+1,1))-AVERAGE(OFFSET($H$3,0,0,'Données projet'!$E$10+1,1))</f>
        <v>257.80662231827404</v>
      </c>
      <c r="AO125" s="59">
        <f t="shared" si="90"/>
        <v>184.04558520039876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-4.5474735088646412E-13</v>
      </c>
      <c r="BE125" s="13">
        <f>BD125*VLOOKUP('Données projet'!$B$11,Paramètres!$A$1:$I$89,3,0)*VLOOKUP('Données projet'!$B$11,Paramètres!$A$1:$I$89,5,0)</f>
        <v>-2.5420376914553347E-13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300.90952915835157</v>
      </c>
      <c r="BJ125" s="59">
        <f t="shared" si="92"/>
        <v>402.81783992925256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60.132861802140006</v>
      </c>
      <c r="BQ125" s="21">
        <f>EXP(-LN(2)/25)*BQ124+(1-EXP(-LN(2)/25))/(LN(2)/25)*Calculateur!BL125*Calculateur!BN125*VLOOKUP('Données projet'!$B$11,Paramètres!$A$1:$I$89,3,0)*0.475*44/12</f>
        <v>9.0856957995111074</v>
      </c>
      <c r="BR125" s="21">
        <f>EXP(-LN(2)/2)*BR124+(1-EXP(-LN(2)/2))/(LN(2)/2)*BL125*BO125*VLOOKUP('Données projet'!$B$11,Paramètres!$A$1:$I$89,3,0)*0.475*44/12</f>
        <v>2.7694849966045574E-9</v>
      </c>
      <c r="BS125" s="22">
        <f t="shared" si="63"/>
        <v>69.218557604420596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-2.8421709430404007E-13</v>
      </c>
      <c r="BZ125" s="13">
        <f>BY125*VLOOKUP('Données projet'!$B$12,Paramètres!$A$1:$I$89,3,0)*VLOOKUP('Données projet'!$B$12,Paramètres!$A$1:$I$89,5,0)</f>
        <v>-1.4040324458619578E-13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246.05217890269194</v>
      </c>
      <c r="CE125" s="59">
        <f t="shared" si="94"/>
        <v>155.54297071424327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129.7738942923709</v>
      </c>
      <c r="CL125" s="21">
        <f>EXP(-LN(2)/25)*CL124+(1-EXP(-LN(2)/25))/(LN(2)/25)*Calculateur!CG125*Calculateur!CI125*VLOOKUP('Données projet'!$B$12,Paramètres!$A$1:$I$89,3,0)*0.475*44/12</f>
        <v>27.911794257069868</v>
      </c>
      <c r="CM125" s="21">
        <f>EXP(-LN(2)/2)*CM124+(1-EXP(-LN(2)/2))/(LN(2)/2)*CG125*CJ125*VLOOKUP('Données projet'!$B$12,Paramètres!$A$1:$I$89,3,0)*0.475*44/12</f>
        <v>1.2561654882875278E-2</v>
      </c>
      <c r="CN125" s="22">
        <f t="shared" si="66"/>
        <v>157.69825020432364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-3.4106051316484809E-13</v>
      </c>
      <c r="CU125" s="17">
        <f>CT125*VLOOKUP('Données projet'!$B$13,Paramètres!$A$1:$I$89,3,0)*VLOOKUP('Données projet'!$B$13,Paramètres!$A$1:$I$89,5,0)</f>
        <v>-2.0395418687257919E-13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237.036496933921</v>
      </c>
      <c r="CZ125" s="59">
        <f t="shared" si="96"/>
        <v>191.04289413665344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61.916860827622607</v>
      </c>
      <c r="DG125" s="21">
        <f>EXP(-LN(2)/25)*DG124+(1-EXP(-LN(2)/25))/(LN(2)/25)*Calculateur!DB125*Calculateur!DD125*VLOOKUP('Données projet'!$B$13,Paramètres!$A$1:$I$89,3,0)*0.475*44/12</f>
        <v>10.797006394510037</v>
      </c>
      <c r="DH125" s="21">
        <f>EXP(-LN(2)/2)*DH124+(1-EXP(-LN(2)/2))/(LN(2)/2)*DB125*DE125*VLOOKUP('Données projet'!$B$13,Paramètres!$A$1:$I$89,3,0)*0.475*44/12</f>
        <v>1.6981850961350202E-5</v>
      </c>
      <c r="DI125" s="22">
        <f t="shared" si="69"/>
        <v>72.713884203983611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-3.979039320256561E-13</v>
      </c>
      <c r="DP125" s="17">
        <f>DO125*VLOOKUP('Données projet'!$B$14,Paramètres!$A$1:$I$89,3,0)*VLOOKUP('Données projet'!$B$14,Paramètres!$A$1:$I$89,5,0)</f>
        <v>-2.379465513513424E-13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148.22129593028302</v>
      </c>
      <c r="DU125" s="59">
        <f t="shared" si="98"/>
        <v>102.97015482019975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233.89079999999998</v>
      </c>
      <c r="EL125" s="13">
        <f t="shared" si="99"/>
        <v>57.123140349023068</v>
      </c>
      <c r="EM125" s="20">
        <f t="shared" si="73"/>
        <v>506.84927944121517</v>
      </c>
      <c r="EN125" s="59">
        <f t="shared" si="74"/>
        <v>800.18261277454849</v>
      </c>
      <c r="EO125" s="59">
        <f ca="1">AVERAGE(OFFSET($EN$3,0,0,'Données projet'!$E$15+1,1))-AVERAGE(OFFSET($H$3,0,0,'Données projet'!$E$15+1,1))</f>
        <v>278.53123771916404</v>
      </c>
      <c r="EP125" s="59">
        <f t="shared" si="100"/>
        <v>283.79094702030869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14.573267665165893</v>
      </c>
      <c r="EW125" s="21">
        <f>EXP(-LN(2)/25)*EW124+(1-EXP(-LN(2)/25))/(LN(2)/25)*Calculateur!ER125*Calculateur!ET125*VLOOKUP('Données projet'!$B$15,Paramètres!$A$1:$I$89,3,0)*0.475*44/12</f>
        <v>1.7606475751210213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16.333915240286913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6.0153846153846189</v>
      </c>
      <c r="FE125" s="12">
        <f>IF('Données projet'!$A$218&gt;35,FE124+FD125-FM124,IF(A125&lt;'Données projet'!$A$218,$FB$205^A125,IF(A125='Données projet'!$A$218,'Données projet'!$B$218,FE124+FD125-FM124)))</f>
        <v>298.93076923076899</v>
      </c>
      <c r="FF125" s="17">
        <f>FE125*VLOOKUP('Données projet'!$B$16,Paramètres!$A$1:$I$89,3,0)*VLOOKUP('Données projet'!$B$16,Paramètres!$A$1:$I$89,5,0)</f>
        <v>270.47255999999976</v>
      </c>
      <c r="FG125" s="13">
        <f t="shared" si="101"/>
        <v>64.949548237352417</v>
      </c>
      <c r="FH125" s="20">
        <f t="shared" si="76"/>
        <v>584.19350518005501</v>
      </c>
      <c r="FI125" s="59">
        <f t="shared" si="77"/>
        <v>877.52683851338838</v>
      </c>
      <c r="FJ125" s="59">
        <f ca="1">AVERAGE(OFFSET($FI$3,0,0,'Données projet'!$E$16+1,1))-AVERAGE(OFFSET($H$3,0,0,'Données projet'!$E$16+1,1))</f>
        <v>335.99493768537013</v>
      </c>
      <c r="FK125" s="59">
        <f t="shared" si="102"/>
        <v>150.85164849522778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35.561113928152835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35.561113928152835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259.99999999999983</v>
      </c>
      <c r="GA125" s="17">
        <f>FZ125*VLOOKUP('Données projet'!$B$17,Paramètres!$A$1:$I$89,3,0)*VLOOKUP('Données projet'!$B$17,Paramètres!$A$1:$I$89,5,0)</f>
        <v>227.13599999999985</v>
      </c>
      <c r="GB125" s="13">
        <f t="shared" si="103"/>
        <v>55.662966886685133</v>
      </c>
      <c r="GC125" s="20">
        <f t="shared" si="79"/>
        <v>492.5415339943097</v>
      </c>
      <c r="GD125" s="59">
        <f t="shared" si="80"/>
        <v>785.87486732764296</v>
      </c>
      <c r="GE125" s="59">
        <f ca="1">AVERAGE(OFFSET($GD$3,0,0,'Données projet'!$E$17+1,1))-AVERAGE(OFFSET($H$3,0,0,'Données projet'!$E$17+1,1))</f>
        <v>319.57811113658374</v>
      </c>
      <c r="GF125" s="59">
        <f t="shared" si="104"/>
        <v>322.03572137403245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24.424496918612576</v>
      </c>
      <c r="GM125" s="21">
        <f>EXP(-LN(2)/25)*GM124+(1-EXP(-LN(2)/25))/(LN(2)/25)*Calculateur!GH125*Calculateur!GJ125*VLOOKUP('Données projet'!$B$17,Paramètres!$A$1:$I$89,3,0)*0.475*44/12</f>
        <v>7.3034289782128266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31.727925896825404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5.4683368944097308E-14</v>
      </c>
      <c r="P126" s="13">
        <f t="shared" si="87"/>
        <v>8.8129432816788268E-13</v>
      </c>
      <c r="Q126" s="20">
        <f t="shared" si="107"/>
        <v>1.6301611558033651E-12</v>
      </c>
      <c r="R126" s="59">
        <f t="shared" si="55"/>
        <v>293.33333333333496</v>
      </c>
      <c r="S126" s="59">
        <f ca="1">AVERAGE(OFFSET($R$3,0,0,'Données projet'!$E$9+1,1))-AVERAGE(OFFSET($H$3,0,0,'Données projet'!$E$9+1,1))</f>
        <v>226.41956082453015</v>
      </c>
      <c r="T126" s="59">
        <f t="shared" si="88"/>
        <v>317.95076157570446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2.5913461700000013</v>
      </c>
      <c r="AI126" s="13">
        <f>IF('Données projet'!$A$62&gt;35,AI125+AH126-AQ125,IF(A126&lt;'Données projet'!$A$62,$AF$205^A126,IF(A126='Données projet'!$A$62,'Données projet'!$B$62,AI125+AH126-AQ125)))</f>
        <v>95.439102560000322</v>
      </c>
      <c r="AJ126" s="13">
        <f>AI126*VLOOKUP('Données projet'!$B$10,Paramètres!$A$1:$I$89,3,0)*VLOOKUP('Données projet'!$B$10,Paramètres!$A$1:$I$89,5,0)</f>
        <v>81.88674999648029</v>
      </c>
      <c r="AK126" s="13">
        <f t="shared" si="89"/>
        <v>22.597876587535836</v>
      </c>
      <c r="AL126" s="20">
        <f t="shared" si="58"/>
        <v>181.97739130049476</v>
      </c>
      <c r="AM126" s="59">
        <f t="shared" si="59"/>
        <v>475.31072463382804</v>
      </c>
      <c r="AN126" s="59">
        <f ca="1">AVERAGE(OFFSET($AM$3,0,0,'Données projet'!$E$10+1,1))-AVERAGE(OFFSET($H$3,0,0,'Données projet'!$E$10+1,1))</f>
        <v>257.80662231827404</v>
      </c>
      <c r="AO126" s="59">
        <f t="shared" si="90"/>
        <v>184.04558520039876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-4.5474735088646412E-13</v>
      </c>
      <c r="BE126" s="13">
        <f>BD126*VLOOKUP('Données projet'!$B$11,Paramètres!$A$1:$I$89,3,0)*VLOOKUP('Données projet'!$B$11,Paramètres!$A$1:$I$89,5,0)</f>
        <v>-2.5420376914553347E-13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300.90952915835157</v>
      </c>
      <c r="BJ126" s="59">
        <f t="shared" si="92"/>
        <v>402.81783992925256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58.953693059624143</v>
      </c>
      <c r="BQ126" s="21">
        <f>EXP(-LN(2)/25)*BQ125+(1-EXP(-LN(2)/25))/(LN(2)/25)*Calculateur!BL126*Calculateur!BN126*VLOOKUP('Données projet'!$B$11,Paramètres!$A$1:$I$89,3,0)*0.475*44/12</f>
        <v>8.8372469700774996</v>
      </c>
      <c r="BR126" s="21">
        <f>EXP(-LN(2)/2)*BR125+(1-EXP(-LN(2)/2))/(LN(2)/2)*BL126*BO126*VLOOKUP('Données projet'!$B$11,Paramètres!$A$1:$I$89,3,0)*0.475*44/12</f>
        <v>1.958321621493485E-9</v>
      </c>
      <c r="BS126" s="22">
        <f t="shared" si="63"/>
        <v>67.790940031659972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-2.8421709430404007E-13</v>
      </c>
      <c r="BZ126" s="13">
        <f>BY126*VLOOKUP('Données projet'!$B$12,Paramètres!$A$1:$I$89,3,0)*VLOOKUP('Données projet'!$B$12,Paramètres!$A$1:$I$89,5,0)</f>
        <v>-1.4040324458619578E-13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246.05217890269194</v>
      </c>
      <c r="CE126" s="59">
        <f t="shared" si="94"/>
        <v>155.54297071424327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127.22910737955719</v>
      </c>
      <c r="CL126" s="21">
        <f>EXP(-LN(2)/25)*CL125+(1-EXP(-LN(2)/25))/(LN(2)/25)*Calculateur!CG126*Calculateur!CI126*VLOOKUP('Données projet'!$B$12,Paramètres!$A$1:$I$89,3,0)*0.475*44/12</f>
        <v>27.148544775292827</v>
      </c>
      <c r="CM126" s="21">
        <f>EXP(-LN(2)/2)*CM125+(1-EXP(-LN(2)/2))/(LN(2)/2)*CG126*CJ126*VLOOKUP('Données projet'!$B$12,Paramètres!$A$1:$I$89,3,0)*0.475*44/12</f>
        <v>8.8824313506062156E-3</v>
      </c>
      <c r="CN126" s="22">
        <f t="shared" si="66"/>
        <v>154.38653458620061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-3.4106051316484809E-13</v>
      </c>
      <c r="CU126" s="17">
        <f>CT126*VLOOKUP('Données projet'!$B$13,Paramètres!$A$1:$I$89,3,0)*VLOOKUP('Données projet'!$B$13,Paramètres!$A$1:$I$89,5,0)</f>
        <v>-2.0395418687257919E-13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237.036496933921</v>
      </c>
      <c r="CZ126" s="59">
        <f t="shared" si="96"/>
        <v>191.04289413665344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60.702708952348992</v>
      </c>
      <c r="DG126" s="21">
        <f>EXP(-LN(2)/25)*DG125+(1-EXP(-LN(2)/25))/(LN(2)/25)*Calculateur!DB126*Calculateur!DD126*VLOOKUP('Données projet'!$B$13,Paramètres!$A$1:$I$89,3,0)*0.475*44/12</f>
        <v>10.50176168686227</v>
      </c>
      <c r="DH126" s="21">
        <f>EXP(-LN(2)/2)*DH125+(1-EXP(-LN(2)/2))/(LN(2)/2)*DB126*DE126*VLOOKUP('Données projet'!$B$13,Paramètres!$A$1:$I$89,3,0)*0.475*44/12</f>
        <v>1.2007981971870019E-5</v>
      </c>
      <c r="DI126" s="22">
        <f t="shared" si="69"/>
        <v>71.204482647193231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-3.979039320256561E-13</v>
      </c>
      <c r="DP126" s="17">
        <f>DO126*VLOOKUP('Données projet'!$B$14,Paramètres!$A$1:$I$89,3,0)*VLOOKUP('Données projet'!$B$14,Paramètres!$A$1:$I$89,5,0)</f>
        <v>-2.379465513513424E-13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148.22129593028302</v>
      </c>
      <c r="DU126" s="59">
        <f t="shared" si="98"/>
        <v>102.97015482019975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233.89079999999998</v>
      </c>
      <c r="EL126" s="13">
        <f t="shared" si="99"/>
        <v>57.123140349023068</v>
      </c>
      <c r="EM126" s="20">
        <f t="shared" si="73"/>
        <v>506.84927944121517</v>
      </c>
      <c r="EN126" s="59">
        <f t="shared" si="74"/>
        <v>800.18261277454849</v>
      </c>
      <c r="EO126" s="59">
        <f ca="1">AVERAGE(OFFSET($EN$3,0,0,'Données projet'!$E$15+1,1))-AVERAGE(OFFSET($H$3,0,0,'Données projet'!$E$15+1,1))</f>
        <v>278.53123771916404</v>
      </c>
      <c r="EP126" s="59">
        <f t="shared" si="100"/>
        <v>283.79094702030869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14.287494775067568</v>
      </c>
      <c r="EW126" s="21">
        <f>EXP(-LN(2)/25)*EW125+(1-EXP(-LN(2)/25))/(LN(2)/25)*Calculateur!ER126*Calculateur!ET126*VLOOKUP('Données projet'!$B$15,Paramètres!$A$1:$I$89,3,0)*0.475*44/12</f>
        <v>1.712502574590905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15.999997349658473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6.0153846153846189</v>
      </c>
      <c r="FE126" s="12">
        <f>IF('Données projet'!$A$218&gt;35,FE125+FD126-FM125,IF(A126&lt;'Données projet'!$A$218,$FB$205^A126,IF(A126='Données projet'!$A$218,'Données projet'!$B$218,FE125+FD126-FM125)))</f>
        <v>304.94615384615361</v>
      </c>
      <c r="FF126" s="17">
        <f>FE126*VLOOKUP('Données projet'!$B$16,Paramètres!$A$1:$I$89,3,0)*VLOOKUP('Données projet'!$B$16,Paramètres!$A$1:$I$89,5,0)</f>
        <v>275.91527999999977</v>
      </c>
      <c r="FG126" s="13">
        <f t="shared" si="101"/>
        <v>66.103053207798197</v>
      </c>
      <c r="FH126" s="20">
        <f t="shared" si="76"/>
        <v>595.68193033691477</v>
      </c>
      <c r="FI126" s="59">
        <f t="shared" si="77"/>
        <v>889.01526367024803</v>
      </c>
      <c r="FJ126" s="59">
        <f ca="1">AVERAGE(OFFSET($FI$3,0,0,'Données projet'!$E$16+1,1))-AVERAGE(OFFSET($H$3,0,0,'Données projet'!$E$16+1,1))</f>
        <v>335.99493768537013</v>
      </c>
      <c r="FK126" s="59">
        <f t="shared" si="102"/>
        <v>150.85164849522778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34.863782174159532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34.863782174159532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259.99999999999983</v>
      </c>
      <c r="GA126" s="17">
        <f>FZ126*VLOOKUP('Données projet'!$B$17,Paramètres!$A$1:$I$89,3,0)*VLOOKUP('Données projet'!$B$17,Paramètres!$A$1:$I$89,5,0)</f>
        <v>227.13599999999985</v>
      </c>
      <c r="GB126" s="13">
        <f t="shared" si="103"/>
        <v>55.662966886685133</v>
      </c>
      <c r="GC126" s="20">
        <f t="shared" si="79"/>
        <v>492.5415339943097</v>
      </c>
      <c r="GD126" s="59">
        <f t="shared" si="80"/>
        <v>785.87486732764296</v>
      </c>
      <c r="GE126" s="59">
        <f ca="1">AVERAGE(OFFSET($GD$3,0,0,'Données projet'!$E$17+1,1))-AVERAGE(OFFSET($H$3,0,0,'Données projet'!$E$17+1,1))</f>
        <v>319.57811113658374</v>
      </c>
      <c r="GF126" s="59">
        <f t="shared" si="104"/>
        <v>322.03572137403245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23.9455474315107</v>
      </c>
      <c r="GM126" s="21">
        <f>EXP(-LN(2)/25)*GM125+(1-EXP(-LN(2)/25))/(LN(2)/25)*Calculateur!GH126*Calculateur!GJ126*VLOOKUP('Données projet'!$B$17,Paramètres!$A$1:$I$89,3,0)*0.475*44/12</f>
        <v>7.1037163287329594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31.049263760243662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5.4683368944097308E-14</v>
      </c>
      <c r="P127" s="13">
        <f t="shared" si="87"/>
        <v>8.8129432816788268E-13</v>
      </c>
      <c r="Q127" s="20">
        <f t="shared" si="107"/>
        <v>1.6301611558033651E-12</v>
      </c>
      <c r="R127" s="59">
        <f t="shared" si="55"/>
        <v>293.33333333333496</v>
      </c>
      <c r="S127" s="59">
        <f ca="1">AVERAGE(OFFSET($R$3,0,0,'Données projet'!$E$9+1,1))-AVERAGE(OFFSET($H$3,0,0,'Données projet'!$E$9+1,1))</f>
        <v>226.41956082453015</v>
      </c>
      <c r="T127" s="59">
        <f t="shared" si="88"/>
        <v>317.95076157570446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2.5913461700000013</v>
      </c>
      <c r="AI127" s="13">
        <f>IF('Données projet'!$A$62&gt;35,AI126+AH127-AQ126,IF(A127&lt;'Données projet'!$A$62,$AF$205^A127,IF(A127='Données projet'!$A$62,'Données projet'!$B$62,AI126+AH127-AQ126)))</f>
        <v>98.03044873000033</v>
      </c>
      <c r="AJ127" s="13">
        <f>AI127*VLOOKUP('Données projet'!$B$10,Paramètres!$A$1:$I$89,3,0)*VLOOKUP('Données projet'!$B$10,Paramètres!$A$1:$I$89,5,0)</f>
        <v>84.110125010340298</v>
      </c>
      <c r="AK127" s="13">
        <f t="shared" si="89"/>
        <v>23.139182090391653</v>
      </c>
      <c r="AL127" s="20">
        <f t="shared" si="58"/>
        <v>186.79254320044149</v>
      </c>
      <c r="AM127" s="59">
        <f t="shared" si="59"/>
        <v>480.12587653377477</v>
      </c>
      <c r="AN127" s="59">
        <f ca="1">AVERAGE(OFFSET($AM$3,0,0,'Données projet'!$E$10+1,1))-AVERAGE(OFFSET($H$3,0,0,'Données projet'!$E$10+1,1))</f>
        <v>257.80662231827404</v>
      </c>
      <c r="AO127" s="59">
        <f t="shared" si="90"/>
        <v>184.04558520039876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-4.5474735088646412E-13</v>
      </c>
      <c r="BE127" s="13">
        <f>BD127*VLOOKUP('Données projet'!$B$11,Paramètres!$A$1:$I$89,3,0)*VLOOKUP('Données projet'!$B$11,Paramètres!$A$1:$I$89,5,0)</f>
        <v>-2.5420376914553347E-13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300.90952915835157</v>
      </c>
      <c r="BJ127" s="59">
        <f t="shared" si="92"/>
        <v>402.81783992925256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57.797647096927101</v>
      </c>
      <c r="BQ127" s="21">
        <f>EXP(-LN(2)/25)*BQ126+(1-EXP(-LN(2)/25))/(LN(2)/25)*Calculateur!BL127*Calculateur!BN127*VLOOKUP('Données projet'!$B$11,Paramètres!$A$1:$I$89,3,0)*0.475*44/12</f>
        <v>8.5955919869501098</v>
      </c>
      <c r="BR127" s="21">
        <f>EXP(-LN(2)/2)*BR126+(1-EXP(-LN(2)/2))/(LN(2)/2)*BL127*BO127*VLOOKUP('Données projet'!$B$11,Paramètres!$A$1:$I$89,3,0)*0.475*44/12</f>
        <v>1.3847424983022787E-9</v>
      </c>
      <c r="BS127" s="22">
        <f t="shared" si="63"/>
        <v>66.393239085261953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-2.8421709430404007E-13</v>
      </c>
      <c r="BZ127" s="13">
        <f>BY127*VLOOKUP('Données projet'!$B$12,Paramètres!$A$1:$I$89,3,0)*VLOOKUP('Données projet'!$B$12,Paramètres!$A$1:$I$89,5,0)</f>
        <v>-1.4040324458619578E-13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246.05217890269194</v>
      </c>
      <c r="CE127" s="59">
        <f t="shared" si="94"/>
        <v>155.54297071424327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124.734222185937</v>
      </c>
      <c r="CL127" s="21">
        <f>EXP(-LN(2)/25)*CL126+(1-EXP(-LN(2)/25))/(LN(2)/25)*Calculateur!CG127*Calculateur!CI127*VLOOKUP('Données projet'!$B$12,Paramètres!$A$1:$I$89,3,0)*0.475*44/12</f>
        <v>26.406166390732523</v>
      </c>
      <c r="CM127" s="21">
        <f>EXP(-LN(2)/2)*CM126+(1-EXP(-LN(2)/2))/(LN(2)/2)*CG127*CJ127*VLOOKUP('Données projet'!$B$12,Paramètres!$A$1:$I$89,3,0)*0.475*44/12</f>
        <v>6.2808274414376392E-3</v>
      </c>
      <c r="CN127" s="22">
        <f t="shared" si="66"/>
        <v>151.14666940411095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-3.4106051316484809E-13</v>
      </c>
      <c r="CU127" s="17">
        <f>CT127*VLOOKUP('Données projet'!$B$13,Paramètres!$A$1:$I$89,3,0)*VLOOKUP('Données projet'!$B$13,Paramètres!$A$1:$I$89,5,0)</f>
        <v>-2.0395418687257919E-13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237.036496933921</v>
      </c>
      <c r="CZ127" s="59">
        <f t="shared" si="96"/>
        <v>191.04289413665344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59.512365854789977</v>
      </c>
      <c r="DG127" s="21">
        <f>EXP(-LN(2)/25)*DG126+(1-EXP(-LN(2)/25))/(LN(2)/25)*Calculateur!DB127*Calculateur!DD127*VLOOKUP('Données projet'!$B$13,Paramètres!$A$1:$I$89,3,0)*0.475*44/12</f>
        <v>10.214590461271376</v>
      </c>
      <c r="DH127" s="21">
        <f>EXP(-LN(2)/2)*DH126+(1-EXP(-LN(2)/2))/(LN(2)/2)*DB127*DE127*VLOOKUP('Données projet'!$B$13,Paramètres!$A$1:$I$89,3,0)*0.475*44/12</f>
        <v>8.4909254806751009E-6</v>
      </c>
      <c r="DI127" s="22">
        <f t="shared" si="69"/>
        <v>69.726964806986828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-3.979039320256561E-13</v>
      </c>
      <c r="DP127" s="17">
        <f>DO127*VLOOKUP('Données projet'!$B$14,Paramètres!$A$1:$I$89,3,0)*VLOOKUP('Données projet'!$B$14,Paramètres!$A$1:$I$89,5,0)</f>
        <v>-2.379465513513424E-13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148.22129593028302</v>
      </c>
      <c r="DU127" s="59">
        <f t="shared" si="98"/>
        <v>102.97015482019975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233.89079999999998</v>
      </c>
      <c r="EL127" s="13">
        <f t="shared" si="99"/>
        <v>57.123140349023068</v>
      </c>
      <c r="EM127" s="20">
        <f t="shared" si="73"/>
        <v>506.84927944121517</v>
      </c>
      <c r="EN127" s="59">
        <f t="shared" si="74"/>
        <v>800.18261277454849</v>
      </c>
      <c r="EO127" s="59">
        <f ca="1">AVERAGE(OFFSET($EN$3,0,0,'Données projet'!$E$15+1,1))-AVERAGE(OFFSET($H$3,0,0,'Données projet'!$E$15+1,1))</f>
        <v>278.53123771916404</v>
      </c>
      <c r="EP127" s="59">
        <f t="shared" si="100"/>
        <v>283.79094702030869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14.007325717039819</v>
      </c>
      <c r="EW127" s="21">
        <f>EXP(-LN(2)/25)*EW126+(1-EXP(-LN(2)/25))/(LN(2)/25)*Calculateur!ER127*Calculateur!ET127*VLOOKUP('Données projet'!$B$15,Paramètres!$A$1:$I$89,3,0)*0.475*44/12</f>
        <v>1.6656741016321204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15.67299981867194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>
        <f>VLOOKUP(A127,'Données projet'!$A$217:$I$237,2,0)</f>
        <v>310.96153846153845</v>
      </c>
      <c r="FC127" s="12">
        <f>VLOOKUP(A127,'Données projet'!$A$217:$I$237,9,0)</f>
        <v>6.0153846153846189</v>
      </c>
      <c r="FD127" s="12">
        <f t="array" ref="FD127">INDEX(FC:FC,MIN(IF(ISNUMBER(FC127:FC323),ROW(FC127:FC323),"")))</f>
        <v>6.0153846153846189</v>
      </c>
      <c r="FE127" s="12">
        <f>IF('Données projet'!$A$218&gt;35,FE126+FD127-FM126,IF(A127&lt;'Données projet'!$A$218,$FB$205^A127,IF(A127='Données projet'!$A$218,'Données projet'!$B$218,FE126+FD127-FM126)))</f>
        <v>310.96153846153823</v>
      </c>
      <c r="FF127" s="17">
        <f>FE127*VLOOKUP('Données projet'!$B$16,Paramètres!$A$1:$I$89,3,0)*VLOOKUP('Données projet'!$B$16,Paramètres!$A$1:$I$89,5,0)</f>
        <v>281.35799999999978</v>
      </c>
      <c r="FG127" s="13">
        <f t="shared" si="101"/>
        <v>67.253912457721626</v>
      </c>
      <c r="FH127" s="20">
        <f t="shared" si="76"/>
        <v>607.16574753053146</v>
      </c>
      <c r="FI127" s="59">
        <f t="shared" si="77"/>
        <v>900.49908086386472</v>
      </c>
      <c r="FJ127" s="59">
        <f ca="1">AVERAGE(OFFSET($FI$3,0,0,'Données projet'!$E$16+1,1))-AVERAGE(OFFSET($H$3,0,0,'Données projet'!$E$16+1,1))</f>
        <v>335.99493768537013</v>
      </c>
      <c r="FK127" s="59">
        <f t="shared" si="102"/>
        <v>150.85164849522778</v>
      </c>
      <c r="FL127" s="15">
        <f>IF(ISNA(VLOOKUP(A127,'Données projet'!$A$217:$I$237,3,0)),0,VLOOKUP(A127,'Données projet'!$A$217:$I$237,3,0))</f>
        <v>10</v>
      </c>
      <c r="FM127" s="15">
        <f>IF(ISNA(VLOOKUP(A127,'Données projet'!$A$217:$I$237,4,0)),0,VLOOKUP(A127,'Données projet'!$A$217:$I$237,4,0))</f>
        <v>39.820512820512818</v>
      </c>
      <c r="FN127" s="16">
        <f>IF(ISNA(VLOOKUP(A127,'Données projet'!$A$217:$I$237,5,0)),0%,VLOOKUP(A127,'Données projet'!$A$217:$I$237,5,0)*VLOOKUP('Données projet'!$B$16,Paramètres!$A$1:$I$89,7,0))</f>
        <v>0.30099999999999999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46.168851002044192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46.168851002044192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259.99999999999983</v>
      </c>
      <c r="GA127" s="17">
        <f>FZ127*VLOOKUP('Données projet'!$B$17,Paramètres!$A$1:$I$89,3,0)*VLOOKUP('Données projet'!$B$17,Paramètres!$A$1:$I$89,5,0)</f>
        <v>227.13599999999985</v>
      </c>
      <c r="GB127" s="13">
        <f t="shared" si="103"/>
        <v>55.662966886685133</v>
      </c>
      <c r="GC127" s="20">
        <f t="shared" si="79"/>
        <v>492.5415339943097</v>
      </c>
      <c r="GD127" s="59">
        <f t="shared" si="80"/>
        <v>785.87486732764296</v>
      </c>
      <c r="GE127" s="59">
        <f ca="1">AVERAGE(OFFSET($GD$3,0,0,'Données projet'!$E$17+1,1))-AVERAGE(OFFSET($H$3,0,0,'Données projet'!$E$17+1,1))</f>
        <v>319.57811113658374</v>
      </c>
      <c r="GF127" s="59">
        <f t="shared" si="104"/>
        <v>322.03572137403245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23.475989851720552</v>
      </c>
      <c r="GM127" s="21">
        <f>EXP(-LN(2)/25)*GM126+(1-EXP(-LN(2)/25))/(LN(2)/25)*Calculateur!GH127*Calculateur!GJ127*VLOOKUP('Données projet'!$B$17,Paramètres!$A$1:$I$89,3,0)*0.475*44/12</f>
        <v>6.9094648321555505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30.385454683876102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5.4683368944097308E-14</v>
      </c>
      <c r="P128" s="13">
        <f t="shared" si="87"/>
        <v>8.8129432816788268E-13</v>
      </c>
      <c r="Q128" s="20">
        <f t="shared" si="107"/>
        <v>1.6301611558033651E-12</v>
      </c>
      <c r="R128" s="59">
        <f t="shared" si="55"/>
        <v>293.33333333333496</v>
      </c>
      <c r="S128" s="59">
        <f ca="1">AVERAGE(OFFSET($R$3,0,0,'Données projet'!$E$9+1,1))-AVERAGE(OFFSET($H$3,0,0,'Données projet'!$E$9+1,1))</f>
        <v>226.41956082453015</v>
      </c>
      <c r="T128" s="59">
        <f t="shared" si="88"/>
        <v>317.95076157570446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100.6217949</v>
      </c>
      <c r="AG128" s="12">
        <f>VLOOKUP(A128,'Données projet'!$A$61:$I$81,9,0)</f>
        <v>2.5913461700000013</v>
      </c>
      <c r="AH128" s="12">
        <f t="array" ref="AH128">INDEX(AG:AG,MIN(IF(ISNUMBER(AG128:AG324),ROW(AG128:AG324),"")))</f>
        <v>2.5913461700000013</v>
      </c>
      <c r="AI128" s="13">
        <f>IF('Données projet'!$A$62&gt;35,AI127+AH128-AQ127,IF(A128&lt;'Données projet'!$A$62,$AF$205^A128,IF(A128='Données projet'!$A$62,'Données projet'!$B$62,AI127+AH128-AQ127)))</f>
        <v>100.62179490000034</v>
      </c>
      <c r="AJ128" s="13">
        <f>AI128*VLOOKUP('Données projet'!$B$10,Paramètres!$A$1:$I$89,3,0)*VLOOKUP('Données projet'!$B$10,Paramètres!$A$1:$I$89,5,0)</f>
        <v>86.333500024200305</v>
      </c>
      <c r="AK128" s="13">
        <f t="shared" si="89"/>
        <v>23.678824389935208</v>
      </c>
      <c r="AL128" s="20">
        <f t="shared" si="58"/>
        <v>191.60479835461936</v>
      </c>
      <c r="AM128" s="59">
        <f t="shared" si="59"/>
        <v>484.9381316879527</v>
      </c>
      <c r="AN128" s="59">
        <f ca="1">AVERAGE(OFFSET($AM$3,0,0,'Données projet'!$E$10+1,1))-AVERAGE(OFFSET($H$3,0,0,'Données projet'!$E$10+1,1))</f>
        <v>257.80662231827404</v>
      </c>
      <c r="AO128" s="59">
        <f t="shared" si="90"/>
        <v>184.04558520039876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100.6217949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-4.5474735088646412E-13</v>
      </c>
      <c r="BE128" s="13">
        <f>BD128*VLOOKUP('Données projet'!$B$11,Paramètres!$A$1:$I$89,3,0)*VLOOKUP('Données projet'!$B$11,Paramètres!$A$1:$I$89,5,0)</f>
        <v>-2.5420376914553347E-13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300.90952915835157</v>
      </c>
      <c r="BJ128" s="59">
        <f t="shared" si="92"/>
        <v>402.81783992925256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56.664270490440138</v>
      </c>
      <c r="BQ128" s="21">
        <f>EXP(-LN(2)/25)*BQ127+(1-EXP(-LN(2)/25))/(LN(2)/25)*Calculateur!BL128*Calculateur!BN128*VLOOKUP('Données projet'!$B$11,Paramètres!$A$1:$I$89,3,0)*0.475*44/12</f>
        <v>8.3605450720444221</v>
      </c>
      <c r="BR128" s="21">
        <f>EXP(-LN(2)/2)*BR127+(1-EXP(-LN(2)/2))/(LN(2)/2)*BL128*BO128*VLOOKUP('Données projet'!$B$11,Paramètres!$A$1:$I$89,3,0)*0.475*44/12</f>
        <v>9.7916081074674252E-10</v>
      </c>
      <c r="BS128" s="22">
        <f t="shared" si="63"/>
        <v>65.024815563463719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-2.8421709430404007E-13</v>
      </c>
      <c r="BZ128" s="13">
        <f>BY128*VLOOKUP('Données projet'!$B$12,Paramètres!$A$1:$I$89,3,0)*VLOOKUP('Données projet'!$B$12,Paramètres!$A$1:$I$89,5,0)</f>
        <v>-1.4040324458619578E-13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246.05217890269194</v>
      </c>
      <c r="CE128" s="59">
        <f t="shared" si="94"/>
        <v>155.54297071424327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122.28826016923399</v>
      </c>
      <c r="CL128" s="21">
        <f>EXP(-LN(2)/25)*CL127+(1-EXP(-LN(2)/25))/(LN(2)/25)*Calculateur!CG128*Calculateur!CI128*VLOOKUP('Données projet'!$B$12,Paramètres!$A$1:$I$89,3,0)*0.475*44/12</f>
        <v>25.684088382138004</v>
      </c>
      <c r="CM128" s="21">
        <f>EXP(-LN(2)/2)*CM127+(1-EXP(-LN(2)/2))/(LN(2)/2)*CG128*CJ128*VLOOKUP('Données projet'!$B$12,Paramètres!$A$1:$I$89,3,0)*0.475*44/12</f>
        <v>4.4412156753031078E-3</v>
      </c>
      <c r="CN128" s="22">
        <f t="shared" si="66"/>
        <v>147.97678976704731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-3.4106051316484809E-13</v>
      </c>
      <c r="CU128" s="17">
        <f>CT128*VLOOKUP('Données projet'!$B$13,Paramètres!$A$1:$I$89,3,0)*VLOOKUP('Données projet'!$B$13,Paramètres!$A$1:$I$89,5,0)</f>
        <v>-2.0395418687257919E-13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237.036496933921</v>
      </c>
      <c r="CZ128" s="59">
        <f t="shared" si="96"/>
        <v>191.04289413665344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58.345364659336489</v>
      </c>
      <c r="DG128" s="21">
        <f>EXP(-LN(2)/25)*DG127+(1-EXP(-LN(2)/25))/(LN(2)/25)*Calculateur!DB128*Calculateur!DD128*VLOOKUP('Données projet'!$B$13,Paramètres!$A$1:$I$89,3,0)*0.475*44/12</f>
        <v>9.9352719479459441</v>
      </c>
      <c r="DH128" s="21">
        <f>EXP(-LN(2)/2)*DH127+(1-EXP(-LN(2)/2))/(LN(2)/2)*DB128*DE128*VLOOKUP('Données projet'!$B$13,Paramètres!$A$1:$I$89,3,0)*0.475*44/12</f>
        <v>6.0039909859350094E-6</v>
      </c>
      <c r="DI128" s="22">
        <f t="shared" si="69"/>
        <v>68.280642611273421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-3.979039320256561E-13</v>
      </c>
      <c r="DP128" s="17">
        <f>DO128*VLOOKUP('Données projet'!$B$14,Paramètres!$A$1:$I$89,3,0)*VLOOKUP('Données projet'!$B$14,Paramètres!$A$1:$I$89,5,0)</f>
        <v>-2.379465513513424E-13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148.22129593028302</v>
      </c>
      <c r="DU128" s="59">
        <f t="shared" si="98"/>
        <v>102.97015482019975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233.89079999999998</v>
      </c>
      <c r="EL128" s="13">
        <f t="shared" si="99"/>
        <v>57.123140349023068</v>
      </c>
      <c r="EM128" s="20">
        <f t="shared" si="73"/>
        <v>506.84927944121517</v>
      </c>
      <c r="EN128" s="59">
        <f t="shared" si="74"/>
        <v>800.18261277454849</v>
      </c>
      <c r="EO128" s="59">
        <f ca="1">AVERAGE(OFFSET($EN$3,0,0,'Données projet'!$E$15+1,1))-AVERAGE(OFFSET($H$3,0,0,'Données projet'!$E$15+1,1))</f>
        <v>278.53123771916404</v>
      </c>
      <c r="EP128" s="59">
        <f t="shared" si="100"/>
        <v>283.79094702030869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13.732650603353743</v>
      </c>
      <c r="EW128" s="21">
        <f>EXP(-LN(2)/25)*EW127+(1-EXP(-LN(2)/25))/(LN(2)/25)*Calculateur!ER128*Calculateur!ET128*VLOOKUP('Données projet'!$B$15,Paramètres!$A$1:$I$89,3,0)*0.475*44/12</f>
        <v>1.6201261557289961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15.35277675908274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6.0711538461538508</v>
      </c>
      <c r="FE128" s="12">
        <f>IF('Données projet'!$A$218&gt;35,FE127+FD128-FM127,IF(A128&lt;'Données projet'!$A$218,$FB$205^A128,IF(A128='Données projet'!$A$218,'Données projet'!$B$218,FE127+FD128-FM127)))</f>
        <v>277.21217948717924</v>
      </c>
      <c r="FF128" s="17">
        <f>FE128*VLOOKUP('Données projet'!$B$16,Paramètres!$A$1:$I$89,3,0)*VLOOKUP('Données projet'!$B$16,Paramètres!$A$1:$I$89,5,0)</f>
        <v>250.82157999999976</v>
      </c>
      <c r="FG128" s="13">
        <f t="shared" si="101"/>
        <v>60.761836236258191</v>
      </c>
      <c r="FH128" s="20">
        <f t="shared" si="76"/>
        <v>542.67444994481593</v>
      </c>
      <c r="FI128" s="59">
        <f t="shared" si="77"/>
        <v>836.00778327814919</v>
      </c>
      <c r="FJ128" s="59">
        <f ca="1">AVERAGE(OFFSET($FI$3,0,0,'Données projet'!$E$16+1,1))-AVERAGE(OFFSET($H$3,0,0,'Données projet'!$E$16+1,1))</f>
        <v>335.99493768537013</v>
      </c>
      <c r="FK128" s="59">
        <f t="shared" si="102"/>
        <v>150.85164849522778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45.263507994112629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45.263507994112629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259.99999999999983</v>
      </c>
      <c r="GA128" s="17">
        <f>FZ128*VLOOKUP('Données projet'!$B$17,Paramètres!$A$1:$I$89,3,0)*VLOOKUP('Données projet'!$B$17,Paramètres!$A$1:$I$89,5,0)</f>
        <v>227.13599999999985</v>
      </c>
      <c r="GB128" s="13">
        <f t="shared" si="103"/>
        <v>55.662966886685133</v>
      </c>
      <c r="GC128" s="20">
        <f t="shared" si="79"/>
        <v>492.5415339943097</v>
      </c>
      <c r="GD128" s="59">
        <f t="shared" si="80"/>
        <v>785.87486732764296</v>
      </c>
      <c r="GE128" s="59">
        <f ca="1">AVERAGE(OFFSET($GD$3,0,0,'Données projet'!$E$17+1,1))-AVERAGE(OFFSET($H$3,0,0,'Données projet'!$E$17+1,1))</f>
        <v>319.57811113658374</v>
      </c>
      <c r="GF128" s="59">
        <f t="shared" si="104"/>
        <v>322.03572137403245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23.015640009668243</v>
      </c>
      <c r="GM128" s="21">
        <f>EXP(-LN(2)/25)*GM127+(1-EXP(-LN(2)/25))/(LN(2)/25)*Calculateur!GH128*Calculateur!GJ128*VLOOKUP('Données projet'!$B$17,Paramètres!$A$1:$I$89,3,0)*0.475*44/12</f>
        <v>6.7205251529672934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29.736165162635537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5.4683368944097308E-14</v>
      </c>
      <c r="P129" s="13">
        <f t="shared" si="87"/>
        <v>8.8129432816788268E-13</v>
      </c>
      <c r="Q129" s="20">
        <f t="shared" si="107"/>
        <v>1.6301611558033651E-12</v>
      </c>
      <c r="R129" s="59">
        <f t="shared" si="55"/>
        <v>293.33333333333496</v>
      </c>
      <c r="S129" s="59">
        <f ca="1">AVERAGE(OFFSET($R$3,0,0,'Données projet'!$E$9+1,1))-AVERAGE(OFFSET($H$3,0,0,'Données projet'!$E$9+1,1))</f>
        <v>226.41956082453015</v>
      </c>
      <c r="T129" s="59">
        <f t="shared" si="88"/>
        <v>317.95076157570446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2.9262992029543969E-13</v>
      </c>
      <c r="AK129" s="13">
        <f t="shared" si="89"/>
        <v>3.8796387982050903E-12</v>
      </c>
      <c r="AL129" s="20">
        <f t="shared" si="58"/>
        <v>7.2667013513884219E-12</v>
      </c>
      <c r="AM129" s="59">
        <f t="shared" si="59"/>
        <v>293.33333333334059</v>
      </c>
      <c r="AN129" s="59">
        <f ca="1">AVERAGE(OFFSET($AM$3,0,0,'Données projet'!$E$10+1,1))-AVERAGE(OFFSET($H$3,0,0,'Données projet'!$E$10+1,1))</f>
        <v>257.80662231827404</v>
      </c>
      <c r="AO129" s="59">
        <f t="shared" si="90"/>
        <v>184.04558520039876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-4.5474735088646412E-13</v>
      </c>
      <c r="BE129" s="13">
        <f>BD129*VLOOKUP('Données projet'!$B$11,Paramètres!$A$1:$I$89,3,0)*VLOOKUP('Données projet'!$B$11,Paramètres!$A$1:$I$89,5,0)</f>
        <v>-2.5420376914553347E-13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300.90952915835157</v>
      </c>
      <c r="BJ129" s="59">
        <f t="shared" si="92"/>
        <v>402.81783992925256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55.553118707914912</v>
      </c>
      <c r="BQ129" s="21">
        <f>EXP(-LN(2)/25)*BQ128+(1-EXP(-LN(2)/25))/(LN(2)/25)*Calculateur!BL129*Calculateur!BN129*VLOOKUP('Données projet'!$B$11,Paramètres!$A$1:$I$89,3,0)*0.475*44/12</f>
        <v>8.1319255273874109</v>
      </c>
      <c r="BR129" s="21">
        <f>EXP(-LN(2)/2)*BR128+(1-EXP(-LN(2)/2))/(LN(2)/2)*BL129*BO129*VLOOKUP('Données projet'!$B$11,Paramètres!$A$1:$I$89,3,0)*0.475*44/12</f>
        <v>6.9237124915113934E-10</v>
      </c>
      <c r="BS129" s="22">
        <f t="shared" si="63"/>
        <v>63.685044235994695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-2.8421709430404007E-13</v>
      </c>
      <c r="BZ129" s="13">
        <f>BY129*VLOOKUP('Données projet'!$B$12,Paramètres!$A$1:$I$89,3,0)*VLOOKUP('Données projet'!$B$12,Paramètres!$A$1:$I$89,5,0)</f>
        <v>-1.4040324458619578E-13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246.05217890269194</v>
      </c>
      <c r="CE129" s="59">
        <f t="shared" si="94"/>
        <v>155.54297071424327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119.89026197578902</v>
      </c>
      <c r="CL129" s="21">
        <f>EXP(-LN(2)/25)*CL128+(1-EXP(-LN(2)/25))/(LN(2)/25)*Calculateur!CG129*Calculateur!CI129*VLOOKUP('Données projet'!$B$12,Paramètres!$A$1:$I$89,3,0)*0.475*44/12</f>
        <v>24.981755634660935</v>
      </c>
      <c r="CM129" s="21">
        <f>EXP(-LN(2)/2)*CM128+(1-EXP(-LN(2)/2))/(LN(2)/2)*CG129*CJ129*VLOOKUP('Données projet'!$B$12,Paramètres!$A$1:$I$89,3,0)*0.475*44/12</f>
        <v>3.1404137207188196E-3</v>
      </c>
      <c r="CN129" s="22">
        <f t="shared" si="66"/>
        <v>144.87515802417067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-3.4106051316484809E-13</v>
      </c>
      <c r="CU129" s="17">
        <f>CT129*VLOOKUP('Données projet'!$B$13,Paramètres!$A$1:$I$89,3,0)*VLOOKUP('Données projet'!$B$13,Paramètres!$A$1:$I$89,5,0)</f>
        <v>-2.0395418687257919E-13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237.036496933921</v>
      </c>
      <c r="CZ129" s="59">
        <f t="shared" si="96"/>
        <v>191.04289413665344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57.201247645525406</v>
      </c>
      <c r="DG129" s="21">
        <f>EXP(-LN(2)/25)*DG128+(1-EXP(-LN(2)/25))/(LN(2)/25)*Calculateur!DB129*Calculateur!DD129*VLOOKUP('Données projet'!$B$13,Paramètres!$A$1:$I$89,3,0)*0.475*44/12</f>
        <v>9.6635914140561177</v>
      </c>
      <c r="DH129" s="21">
        <f>EXP(-LN(2)/2)*DH128+(1-EXP(-LN(2)/2))/(LN(2)/2)*DB129*DE129*VLOOKUP('Données projet'!$B$13,Paramètres!$A$1:$I$89,3,0)*0.475*44/12</f>
        <v>4.2454627403375505E-6</v>
      </c>
      <c r="DI129" s="22">
        <f t="shared" si="69"/>
        <v>66.864843305044261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-3.979039320256561E-13</v>
      </c>
      <c r="DP129" s="17">
        <f>DO129*VLOOKUP('Données projet'!$B$14,Paramètres!$A$1:$I$89,3,0)*VLOOKUP('Données projet'!$B$14,Paramètres!$A$1:$I$89,5,0)</f>
        <v>-2.379465513513424E-13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148.22129593028302</v>
      </c>
      <c r="DU129" s="59">
        <f t="shared" si="98"/>
        <v>102.97015482019975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233.89079999999998</v>
      </c>
      <c r="EL129" s="13">
        <f t="shared" si="99"/>
        <v>57.123140349023068</v>
      </c>
      <c r="EM129" s="20">
        <f t="shared" si="73"/>
        <v>506.84927944121517</v>
      </c>
      <c r="EN129" s="59">
        <f t="shared" si="74"/>
        <v>800.18261277454849</v>
      </c>
      <c r="EO129" s="59">
        <f ca="1">AVERAGE(OFFSET($EN$3,0,0,'Données projet'!$E$15+1,1))-AVERAGE(OFFSET($H$3,0,0,'Données projet'!$E$15+1,1))</f>
        <v>278.53123771916404</v>
      </c>
      <c r="EP129" s="59">
        <f t="shared" si="100"/>
        <v>283.79094702030869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13.463361701111774</v>
      </c>
      <c r="EW129" s="21">
        <f>EXP(-LN(2)/25)*EW128+(1-EXP(-LN(2)/25))/(LN(2)/25)*Calculateur!ER129*Calculateur!ET129*VLOOKUP('Données projet'!$B$15,Paramètres!$A$1:$I$89,3,0)*0.475*44/12</f>
        <v>1.5758237208018551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15.039185421913629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6.0711538461538508</v>
      </c>
      <c r="FE129" s="12">
        <f>IF('Données projet'!$A$218&gt;35,FE128+FD129-FM128,IF(A129&lt;'Données projet'!$A$218,$FB$205^A129,IF(A129='Données projet'!$A$218,'Données projet'!$B$218,FE128+FD129-FM128)))</f>
        <v>283.28333333333308</v>
      </c>
      <c r="FF129" s="17">
        <f>FE129*VLOOKUP('Données projet'!$B$16,Paramètres!$A$1:$I$89,3,0)*VLOOKUP('Données projet'!$B$16,Paramètres!$A$1:$I$89,5,0)</f>
        <v>256.31475999999975</v>
      </c>
      <c r="FG129" s="13">
        <f t="shared" si="101"/>
        <v>61.936182251682439</v>
      </c>
      <c r="FH129" s="20">
        <f t="shared" si="76"/>
        <v>554.28705775501305</v>
      </c>
      <c r="FI129" s="59">
        <f t="shared" si="77"/>
        <v>847.62039108834642</v>
      </c>
      <c r="FJ129" s="59">
        <f ca="1">AVERAGE(OFFSET($FI$3,0,0,'Données projet'!$E$16+1,1))-AVERAGE(OFFSET($H$3,0,0,'Données projet'!$E$16+1,1))</f>
        <v>335.99493768537013</v>
      </c>
      <c r="FK129" s="59">
        <f t="shared" si="102"/>
        <v>150.85164849522778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44.375918210361895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44.375918210361895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259.99999999999983</v>
      </c>
      <c r="GA129" s="17">
        <f>FZ129*VLOOKUP('Données projet'!$B$17,Paramètres!$A$1:$I$89,3,0)*VLOOKUP('Données projet'!$B$17,Paramètres!$A$1:$I$89,5,0)</f>
        <v>227.13599999999985</v>
      </c>
      <c r="GB129" s="13">
        <f t="shared" si="103"/>
        <v>55.662966886685133</v>
      </c>
      <c r="GC129" s="20">
        <f t="shared" si="79"/>
        <v>492.5415339943097</v>
      </c>
      <c r="GD129" s="59">
        <f t="shared" si="80"/>
        <v>785.87486732764296</v>
      </c>
      <c r="GE129" s="59">
        <f ca="1">AVERAGE(OFFSET($GD$3,0,0,'Données projet'!$E$17+1,1))-AVERAGE(OFFSET($H$3,0,0,'Données projet'!$E$17+1,1))</f>
        <v>319.57811113658374</v>
      </c>
      <c r="GF129" s="59">
        <f t="shared" si="104"/>
        <v>322.03572137403245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22.564317347232901</v>
      </c>
      <c r="GM129" s="21">
        <f>EXP(-LN(2)/25)*GM128+(1-EXP(-LN(2)/25))/(LN(2)/25)*Calculateur!GH129*Calculateur!GJ129*VLOOKUP('Données projet'!$B$17,Paramètres!$A$1:$I$89,3,0)*0.475*44/12</f>
        <v>6.5367520392423453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29.101069386475245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5.4683368944097308E-14</v>
      </c>
      <c r="P130" s="13">
        <f t="shared" si="87"/>
        <v>8.8129432816788268E-13</v>
      </c>
      <c r="Q130" s="20">
        <f t="shared" si="107"/>
        <v>1.6301611558033651E-12</v>
      </c>
      <c r="R130" s="59">
        <f t="shared" si="55"/>
        <v>293.33333333333496</v>
      </c>
      <c r="S130" s="59">
        <f ca="1">AVERAGE(OFFSET($R$3,0,0,'Données projet'!$E$9+1,1))-AVERAGE(OFFSET($H$3,0,0,'Données projet'!$E$9+1,1))</f>
        <v>226.41956082453015</v>
      </c>
      <c r="T130" s="59">
        <f t="shared" si="88"/>
        <v>317.95076157570446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2.9262992029543969E-13</v>
      </c>
      <c r="AK130" s="13">
        <f t="shared" si="89"/>
        <v>3.8796387982050903E-12</v>
      </c>
      <c r="AL130" s="20">
        <f t="shared" si="58"/>
        <v>7.2667013513884219E-12</v>
      </c>
      <c r="AM130" s="59">
        <f t="shared" si="59"/>
        <v>293.33333333334059</v>
      </c>
      <c r="AN130" s="59">
        <f ca="1">AVERAGE(OFFSET($AM$3,0,0,'Données projet'!$E$10+1,1))-AVERAGE(OFFSET($H$3,0,0,'Données projet'!$E$10+1,1))</f>
        <v>257.80662231827404</v>
      </c>
      <c r="AO130" s="59">
        <f t="shared" si="90"/>
        <v>184.04558520039876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-4.5474735088646412E-13</v>
      </c>
      <c r="BE130" s="13">
        <f>BD130*VLOOKUP('Données projet'!$B$11,Paramètres!$A$1:$I$89,3,0)*VLOOKUP('Données projet'!$B$11,Paramètres!$A$1:$I$89,5,0)</f>
        <v>-2.5420376914553347E-13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300.90952915835157</v>
      </c>
      <c r="BJ130" s="59">
        <f t="shared" si="92"/>
        <v>402.81783992925256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54.463755934109336</v>
      </c>
      <c r="BQ130" s="21">
        <f>EXP(-LN(2)/25)*BQ129+(1-EXP(-LN(2)/25))/(LN(2)/25)*Calculateur!BL130*Calculateur!BN130*VLOOKUP('Données projet'!$B$11,Paramètres!$A$1:$I$89,3,0)*0.475*44/12</f>
        <v>7.9095575962016245</v>
      </c>
      <c r="BR130" s="21">
        <f>EXP(-LN(2)/2)*BR129+(1-EXP(-LN(2)/2))/(LN(2)/2)*BL130*BO130*VLOOKUP('Données projet'!$B$11,Paramètres!$A$1:$I$89,3,0)*0.475*44/12</f>
        <v>4.8958040537337126E-10</v>
      </c>
      <c r="BS130" s="22">
        <f t="shared" si="63"/>
        <v>62.373313530800537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-2.8421709430404007E-13</v>
      </c>
      <c r="BZ130" s="13">
        <f>BY130*VLOOKUP('Données projet'!$B$12,Paramètres!$A$1:$I$89,3,0)*VLOOKUP('Données projet'!$B$12,Paramètres!$A$1:$I$89,5,0)</f>
        <v>-1.4040324458619578E-13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246.05217890269194</v>
      </c>
      <c r="CE130" s="59">
        <f t="shared" si="94"/>
        <v>155.54297071424327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117.53928706428302</v>
      </c>
      <c r="CL130" s="21">
        <f>EXP(-LN(2)/25)*CL129+(1-EXP(-LN(2)/25))/(LN(2)/25)*Calculateur!CG130*Calculateur!CI130*VLOOKUP('Données projet'!$B$12,Paramètres!$A$1:$I$89,3,0)*0.475*44/12</f>
        <v>24.2986282130977</v>
      </c>
      <c r="CM130" s="21">
        <f>EXP(-LN(2)/2)*CM129+(1-EXP(-LN(2)/2))/(LN(2)/2)*CG130*CJ130*VLOOKUP('Données projet'!$B$12,Paramètres!$A$1:$I$89,3,0)*0.475*44/12</f>
        <v>2.2206078376515539E-3</v>
      </c>
      <c r="CN130" s="22">
        <f t="shared" si="66"/>
        <v>141.84013588521836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-3.4106051316484809E-13</v>
      </c>
      <c r="CU130" s="17">
        <f>CT130*VLOOKUP('Données projet'!$B$13,Paramètres!$A$1:$I$89,3,0)*VLOOKUP('Données projet'!$B$13,Paramètres!$A$1:$I$89,5,0)</f>
        <v>-2.0395418687257919E-13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237.036496933921</v>
      </c>
      <c r="CZ130" s="59">
        <f t="shared" si="96"/>
        <v>191.04289413665344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56.079566068512683</v>
      </c>
      <c r="DG130" s="21">
        <f>EXP(-LN(2)/25)*DG129+(1-EXP(-LN(2)/25))/(LN(2)/25)*Calculateur!DB130*Calculateur!DD130*VLOOKUP('Données projet'!$B$13,Paramètres!$A$1:$I$89,3,0)*0.475*44/12</f>
        <v>9.3993399986525663</v>
      </c>
      <c r="DH130" s="21">
        <f>EXP(-LN(2)/2)*DH129+(1-EXP(-LN(2)/2))/(LN(2)/2)*DB130*DE130*VLOOKUP('Données projet'!$B$13,Paramètres!$A$1:$I$89,3,0)*0.475*44/12</f>
        <v>3.0019954929675047E-6</v>
      </c>
      <c r="DI130" s="22">
        <f t="shared" si="69"/>
        <v>65.47890906916075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-3.979039320256561E-13</v>
      </c>
      <c r="DP130" s="17">
        <f>DO130*VLOOKUP('Données projet'!$B$14,Paramètres!$A$1:$I$89,3,0)*VLOOKUP('Données projet'!$B$14,Paramètres!$A$1:$I$89,5,0)</f>
        <v>-2.379465513513424E-13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148.22129593028302</v>
      </c>
      <c r="DU130" s="59">
        <f t="shared" si="98"/>
        <v>102.97015482019975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233.89079999999998</v>
      </c>
      <c r="EL130" s="13">
        <f t="shared" si="99"/>
        <v>57.123140349023068</v>
      </c>
      <c r="EM130" s="20">
        <f t="shared" si="73"/>
        <v>506.84927944121517</v>
      </c>
      <c r="EN130" s="59">
        <f t="shared" si="74"/>
        <v>800.18261277454849</v>
      </c>
      <c r="EO130" s="59">
        <f ca="1">AVERAGE(OFFSET($EN$3,0,0,'Données projet'!$E$15+1,1))-AVERAGE(OFFSET($H$3,0,0,'Données projet'!$E$15+1,1))</f>
        <v>278.53123771916404</v>
      </c>
      <c r="EP130" s="59">
        <f t="shared" si="100"/>
        <v>283.79094702030869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13.199353389992758</v>
      </c>
      <c r="EW130" s="21">
        <f>EXP(-LN(2)/25)*EW129+(1-EXP(-LN(2)/25))/(LN(2)/25)*Calculateur!ER130*Calculateur!ET130*VLOOKUP('Données projet'!$B$15,Paramètres!$A$1:$I$89,3,0)*0.475*44/12</f>
        <v>1.5327327382875604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14.732086128280319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6.0711538461538508</v>
      </c>
      <c r="FE130" s="12">
        <f>IF('Données projet'!$A$218&gt;35,FE129+FD130-FM129,IF(A130&lt;'Données projet'!$A$218,$FB$205^A130,IF(A130='Données projet'!$A$218,'Données projet'!$B$218,FE129+FD130-FM129)))</f>
        <v>289.35448717948691</v>
      </c>
      <c r="FF130" s="17">
        <f>FE130*VLOOKUP('Données projet'!$B$16,Paramètres!$A$1:$I$89,3,0)*VLOOKUP('Données projet'!$B$16,Paramètres!$A$1:$I$89,5,0)</f>
        <v>261.80793999999975</v>
      </c>
      <c r="FG130" s="13">
        <f t="shared" si="101"/>
        <v>63.107602142412418</v>
      </c>
      <c r="FH130" s="20">
        <f t="shared" si="76"/>
        <v>565.89456923136788</v>
      </c>
      <c r="FI130" s="59">
        <f t="shared" si="77"/>
        <v>859.22790256470125</v>
      </c>
      <c r="FJ130" s="59">
        <f ca="1">AVERAGE(OFFSET($FI$3,0,0,'Données projet'!$E$16+1,1))-AVERAGE(OFFSET($H$3,0,0,'Données projet'!$E$16+1,1))</f>
        <v>335.99493768537013</v>
      </c>
      <c r="FK130" s="59">
        <f t="shared" si="102"/>
        <v>150.85164849522778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43.505733520894196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43.505733520894196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259.99999999999983</v>
      </c>
      <c r="GA130" s="17">
        <f>FZ130*VLOOKUP('Données projet'!$B$17,Paramètres!$A$1:$I$89,3,0)*VLOOKUP('Données projet'!$B$17,Paramètres!$A$1:$I$89,5,0)</f>
        <v>227.13599999999985</v>
      </c>
      <c r="GB130" s="13">
        <f t="shared" si="103"/>
        <v>55.662966886685133</v>
      </c>
      <c r="GC130" s="20">
        <f t="shared" si="79"/>
        <v>492.5415339943097</v>
      </c>
      <c r="GD130" s="59">
        <f t="shared" si="80"/>
        <v>785.87486732764296</v>
      </c>
      <c r="GE130" s="59">
        <f ca="1">AVERAGE(OFFSET($GD$3,0,0,'Données projet'!$E$17+1,1))-AVERAGE(OFFSET($H$3,0,0,'Données projet'!$E$17+1,1))</f>
        <v>319.57811113658374</v>
      </c>
      <c r="GF130" s="59">
        <f t="shared" si="104"/>
        <v>322.03572137403245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22.121844846928276</v>
      </c>
      <c r="GM130" s="21">
        <f>EXP(-LN(2)/25)*GM129+(1-EXP(-LN(2)/25))/(LN(2)/25)*Calculateur!GH130*Calculateur!GJ130*VLOOKUP('Données projet'!$B$17,Paramètres!$A$1:$I$89,3,0)*0.475*44/12</f>
        <v>6.3580042109764134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28.479849057904691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5.4683368944097308E-14</v>
      </c>
      <c r="P131" s="13">
        <f t="shared" si="87"/>
        <v>8.8129432816788268E-13</v>
      </c>
      <c r="Q131" s="20">
        <f t="shared" ref="Q131:Q153" si="108">(O131+P131)*0.475*44/12</f>
        <v>1.6301611558033651E-12</v>
      </c>
      <c r="R131" s="59">
        <f t="shared" ref="R131:R194" si="109">Q131+(I131+J131)*44/12</f>
        <v>293.33333333333496</v>
      </c>
      <c r="S131" s="59">
        <f ca="1">AVERAGE(OFFSET($R$3,0,0,'Données projet'!$E$9+1,1))-AVERAGE(OFFSET($H$3,0,0,'Données projet'!$E$9+1,1))</f>
        <v>226.41956082453015</v>
      </c>
      <c r="T131" s="59">
        <f t="shared" si="88"/>
        <v>317.95076157570446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2.9262992029543969E-13</v>
      </c>
      <c r="AK131" s="13">
        <f t="shared" si="89"/>
        <v>3.8796387982050903E-12</v>
      </c>
      <c r="AL131" s="20">
        <f t="shared" si="58"/>
        <v>7.2667013513884219E-12</v>
      </c>
      <c r="AM131" s="59">
        <f t="shared" si="59"/>
        <v>293.33333333334059</v>
      </c>
      <c r="AN131" s="59">
        <f ca="1">AVERAGE(OFFSET($AM$3,0,0,'Données projet'!$E$10+1,1))-AVERAGE(OFFSET($H$3,0,0,'Données projet'!$E$10+1,1))</f>
        <v>257.80662231827404</v>
      </c>
      <c r="AO131" s="59">
        <f t="shared" si="90"/>
        <v>184.04558520039876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-4.5474735088646412E-13</v>
      </c>
      <c r="BE131" s="13">
        <f>BD131*VLOOKUP('Données projet'!$B$11,Paramètres!$A$1:$I$89,3,0)*VLOOKUP('Données projet'!$B$11,Paramètres!$A$1:$I$89,5,0)</f>
        <v>-2.5420376914553347E-13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300.90952915835157</v>
      </c>
      <c r="BJ131" s="59">
        <f t="shared" si="92"/>
        <v>402.81783992925256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53.395754899852406</v>
      </c>
      <c r="BQ131" s="21">
        <f>EXP(-LN(2)/25)*BQ130+(1-EXP(-LN(2)/25))/(LN(2)/25)*Calculateur!BL131*Calculateur!BN131*VLOOKUP('Données projet'!$B$11,Paramètres!$A$1:$I$89,3,0)*0.475*44/12</f>
        <v>7.6932703277879346</v>
      </c>
      <c r="BR131" s="21">
        <f>EXP(-LN(2)/2)*BR130+(1-EXP(-LN(2)/2))/(LN(2)/2)*BL131*BO131*VLOOKUP('Données projet'!$B$11,Paramètres!$A$1:$I$89,3,0)*0.475*44/12</f>
        <v>3.4618562457556967E-10</v>
      </c>
      <c r="BS131" s="22">
        <f t="shared" si="63"/>
        <v>61.089025227986525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-2.8421709430404007E-13</v>
      </c>
      <c r="BZ131" s="13">
        <f>BY131*VLOOKUP('Données projet'!$B$12,Paramètres!$A$1:$I$89,3,0)*VLOOKUP('Données projet'!$B$12,Paramètres!$A$1:$I$89,5,0)</f>
        <v>-1.4040324458619578E-13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246.05217890269194</v>
      </c>
      <c r="CE131" s="59">
        <f t="shared" si="94"/>
        <v>155.54297071424327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115.23441333683854</v>
      </c>
      <c r="CL131" s="21">
        <f>EXP(-LN(2)/25)*CL130+(1-EXP(-LN(2)/25))/(LN(2)/25)*Calculateur!CG131*Calculateur!CI131*VLOOKUP('Données projet'!$B$12,Paramètres!$A$1:$I$89,3,0)*0.475*44/12</f>
        <v>23.634180946801223</v>
      </c>
      <c r="CM131" s="21">
        <f>EXP(-LN(2)/2)*CM130+(1-EXP(-LN(2)/2))/(LN(2)/2)*CG131*CJ131*VLOOKUP('Données projet'!$B$12,Paramètres!$A$1:$I$89,3,0)*0.475*44/12</f>
        <v>1.5702068603594098E-3</v>
      </c>
      <c r="CN131" s="22">
        <f t="shared" si="66"/>
        <v>138.87016449050012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-3.4106051316484809E-13</v>
      </c>
      <c r="CU131" s="17">
        <f>CT131*VLOOKUP('Données projet'!$B$13,Paramètres!$A$1:$I$89,3,0)*VLOOKUP('Données projet'!$B$13,Paramètres!$A$1:$I$89,5,0)</f>
        <v>-2.0395418687257919E-13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237.036496933921</v>
      </c>
      <c r="CZ131" s="59">
        <f t="shared" si="96"/>
        <v>191.04289413665344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54.979879983066972</v>
      </c>
      <c r="DG131" s="21">
        <f>EXP(-LN(2)/25)*DG130+(1-EXP(-LN(2)/25))/(LN(2)/25)*Calculateur!DB131*Calculateur!DD131*VLOOKUP('Données projet'!$B$13,Paramètres!$A$1:$I$89,3,0)*0.475*44/12</f>
        <v>9.1423145520996041</v>
      </c>
      <c r="DH131" s="21">
        <f>EXP(-LN(2)/2)*DH130+(1-EXP(-LN(2)/2))/(LN(2)/2)*DB131*DE131*VLOOKUP('Données projet'!$B$13,Paramètres!$A$1:$I$89,3,0)*0.475*44/12</f>
        <v>2.1227313701687752E-6</v>
      </c>
      <c r="DI131" s="22">
        <f t="shared" si="69"/>
        <v>64.122196657897945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-3.979039320256561E-13</v>
      </c>
      <c r="DP131" s="17">
        <f>DO131*VLOOKUP('Données projet'!$B$14,Paramètres!$A$1:$I$89,3,0)*VLOOKUP('Données projet'!$B$14,Paramètres!$A$1:$I$89,5,0)</f>
        <v>-2.379465513513424E-13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148.22129593028302</v>
      </c>
      <c r="DU131" s="59">
        <f t="shared" si="98"/>
        <v>102.97015482019975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233.89079999999998</v>
      </c>
      <c r="EL131" s="13">
        <f t="shared" si="99"/>
        <v>57.123140349023068</v>
      </c>
      <c r="EM131" s="20">
        <f t="shared" si="73"/>
        <v>506.84927944121517</v>
      </c>
      <c r="EN131" s="59">
        <f t="shared" si="74"/>
        <v>800.18261277454849</v>
      </c>
      <c r="EO131" s="59">
        <f ca="1">AVERAGE(OFFSET($EN$3,0,0,'Données projet'!$E$15+1,1))-AVERAGE(OFFSET($H$3,0,0,'Données projet'!$E$15+1,1))</f>
        <v>278.53123771916404</v>
      </c>
      <c r="EP131" s="59">
        <f t="shared" si="100"/>
        <v>283.79094702030869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12.940522120825618</v>
      </c>
      <c r="EW131" s="21">
        <f>EXP(-LN(2)/25)*EW130+(1-EXP(-LN(2)/25))/(LN(2)/25)*Calculateur!ER131*Calculateur!ET131*VLOOKUP('Données projet'!$B$15,Paramètres!$A$1:$I$89,3,0)*0.475*44/12</f>
        <v>1.4908200809561756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14.431342201781794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6.0711538461538508</v>
      </c>
      <c r="FE131" s="12">
        <f>IF('Données projet'!$A$218&gt;35,FE130+FD131-FM130,IF(A131&lt;'Données projet'!$A$218,$FB$205^A131,IF(A131='Données projet'!$A$218,'Données projet'!$B$218,FE130+FD131-FM130)))</f>
        <v>295.42564102564074</v>
      </c>
      <c r="FF131" s="17">
        <f>FE131*VLOOKUP('Données projet'!$B$16,Paramètres!$A$1:$I$89,3,0)*VLOOKUP('Données projet'!$B$16,Paramètres!$A$1:$I$89,5,0)</f>
        <v>267.30111999999974</v>
      </c>
      <c r="FG131" s="13">
        <f t="shared" si="101"/>
        <v>64.276164376472181</v>
      </c>
      <c r="FH131" s="20">
        <f t="shared" si="76"/>
        <v>577.49710362235521</v>
      </c>
      <c r="FI131" s="59">
        <f t="shared" si="77"/>
        <v>870.83043695568858</v>
      </c>
      <c r="FJ131" s="59">
        <f ca="1">AVERAGE(OFFSET($FI$3,0,0,'Données projet'!$E$16+1,1))-AVERAGE(OFFSET($H$3,0,0,'Données projet'!$E$16+1,1))</f>
        <v>335.99493768537013</v>
      </c>
      <c r="FK131" s="59">
        <f t="shared" si="102"/>
        <v>150.85164849522778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42.652612622426709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42.652612622426709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259.99999999999983</v>
      </c>
      <c r="GA131" s="17">
        <f>FZ131*VLOOKUP('Données projet'!$B$17,Paramètres!$A$1:$I$89,3,0)*VLOOKUP('Données projet'!$B$17,Paramètres!$A$1:$I$89,5,0)</f>
        <v>227.13599999999985</v>
      </c>
      <c r="GB131" s="13">
        <f t="shared" si="103"/>
        <v>55.662966886685133</v>
      </c>
      <c r="GC131" s="20">
        <f t="shared" si="79"/>
        <v>492.5415339943097</v>
      </c>
      <c r="GD131" s="59">
        <f t="shared" si="80"/>
        <v>785.87486732764296</v>
      </c>
      <c r="GE131" s="59">
        <f ca="1">AVERAGE(OFFSET($GD$3,0,0,'Données projet'!$E$17+1,1))-AVERAGE(OFFSET($H$3,0,0,'Données projet'!$E$17+1,1))</f>
        <v>319.57811113658374</v>
      </c>
      <c r="GF131" s="59">
        <f t="shared" si="104"/>
        <v>322.03572137403245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21.688048962473047</v>
      </c>
      <c r="GM131" s="21">
        <f>EXP(-LN(2)/25)*GM130+(1-EXP(-LN(2)/25))/(LN(2)/25)*Calculateur!GH131*Calculateur!GJ131*VLOOKUP('Données projet'!$B$17,Paramètres!$A$1:$I$89,3,0)*0.475*44/12</f>
        <v>6.1841442514743532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27.872193213947401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5.4683368944097308E-14</v>
      </c>
      <c r="P132" s="13">
        <f t="shared" si="87"/>
        <v>8.8129432816788268E-13</v>
      </c>
      <c r="Q132" s="20">
        <f t="shared" si="108"/>
        <v>1.6301611558033651E-12</v>
      </c>
      <c r="R132" s="59">
        <f t="shared" si="109"/>
        <v>293.33333333333496</v>
      </c>
      <c r="S132" s="59">
        <f ca="1">AVERAGE(OFFSET($R$3,0,0,'Données projet'!$E$9+1,1))-AVERAGE(OFFSET($H$3,0,0,'Données projet'!$E$9+1,1))</f>
        <v>226.41956082453015</v>
      </c>
      <c r="T132" s="59">
        <f t="shared" si="88"/>
        <v>317.95076157570446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2.9262992029543969E-13</v>
      </c>
      <c r="AK132" s="13">
        <f t="shared" si="89"/>
        <v>3.8796387982050903E-12</v>
      </c>
      <c r="AL132" s="20">
        <f t="shared" ref="AL132:AL153" si="112">(AJ132+AK132)*0.475*44/12</f>
        <v>7.2667013513884219E-12</v>
      </c>
      <c r="AM132" s="59">
        <f t="shared" ref="AM132:AM195" si="113">AL132+(AD132+AE132)*44/12</f>
        <v>293.33333333334059</v>
      </c>
      <c r="AN132" s="59">
        <f ca="1">AVERAGE(OFFSET($AM$3,0,0,'Données projet'!$E$10+1,1))-AVERAGE(OFFSET($H$3,0,0,'Données projet'!$E$10+1,1))</f>
        <v>257.80662231827404</v>
      </c>
      <c r="AO132" s="59">
        <f t="shared" si="90"/>
        <v>184.04558520039876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-4.5474735088646412E-13</v>
      </c>
      <c r="BE132" s="13">
        <f>BD132*VLOOKUP('Données projet'!$B$11,Paramètres!$A$1:$I$89,3,0)*VLOOKUP('Données projet'!$B$11,Paramètres!$A$1:$I$89,5,0)</f>
        <v>-2.5420376914553347E-13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300.90952915835157</v>
      </c>
      <c r="BJ132" s="59">
        <f t="shared" si="92"/>
        <v>402.81783992925256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52.348696714460949</v>
      </c>
      <c r="BQ132" s="21">
        <f>EXP(-LN(2)/25)*BQ131+(1-EXP(-LN(2)/25))/(LN(2)/25)*Calculateur!BL132*Calculateur!BN132*VLOOKUP('Données projet'!$B$11,Paramètres!$A$1:$I$89,3,0)*0.475*44/12</f>
        <v>7.4828974461030704</v>
      </c>
      <c r="BR132" s="21">
        <f>EXP(-LN(2)/2)*BR131+(1-EXP(-LN(2)/2))/(LN(2)/2)*BL132*BO132*VLOOKUP('Données projet'!$B$11,Paramètres!$A$1:$I$89,3,0)*0.475*44/12</f>
        <v>2.4479020268668563E-10</v>
      </c>
      <c r="BS132" s="22">
        <f t="shared" ref="BS132:BS153" si="117">SUM(BP132:BR132)</f>
        <v>59.831594160808812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-2.8421709430404007E-13</v>
      </c>
      <c r="BZ132" s="13">
        <f>BY132*VLOOKUP('Données projet'!$B$12,Paramètres!$A$1:$I$89,3,0)*VLOOKUP('Données projet'!$B$12,Paramètres!$A$1:$I$89,5,0)</f>
        <v>-1.4040324458619578E-13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246.05217890269194</v>
      </c>
      <c r="CE132" s="59">
        <f t="shared" si="94"/>
        <v>155.54297071424327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112.9747367773551</v>
      </c>
      <c r="CL132" s="21">
        <f>EXP(-LN(2)/25)*CL131+(1-EXP(-LN(2)/25))/(LN(2)/25)*Calculateur!CG132*Calculateur!CI132*VLOOKUP('Données projet'!$B$12,Paramètres!$A$1:$I$89,3,0)*0.475*44/12</f>
        <v>22.987903025943385</v>
      </c>
      <c r="CM132" s="21">
        <f>EXP(-LN(2)/2)*CM131+(1-EXP(-LN(2)/2))/(LN(2)/2)*CG132*CJ132*VLOOKUP('Données projet'!$B$12,Paramètres!$A$1:$I$89,3,0)*0.475*44/12</f>
        <v>1.1103039188257769E-3</v>
      </c>
      <c r="CN132" s="22">
        <f t="shared" ref="CN132:CN153" si="120">SUM(CK132:CM132)</f>
        <v>135.96375010721732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-3.4106051316484809E-13</v>
      </c>
      <c r="CU132" s="17">
        <f>CT132*VLOOKUP('Données projet'!$B$13,Paramètres!$A$1:$I$89,3,0)*VLOOKUP('Données projet'!$B$13,Paramètres!$A$1:$I$89,5,0)</f>
        <v>-2.0395418687257919E-13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237.036496933921</v>
      </c>
      <c r="CZ132" s="59">
        <f t="shared" si="96"/>
        <v>191.04289413665344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53.901758071014569</v>
      </c>
      <c r="DG132" s="21">
        <f>EXP(-LN(2)/25)*DG131+(1-EXP(-LN(2)/25))/(LN(2)/25)*Calculateur!DB132*Calculateur!DD132*VLOOKUP('Données projet'!$B$13,Paramètres!$A$1:$I$89,3,0)*0.475*44/12</f>
        <v>8.8923174798990132</v>
      </c>
      <c r="DH132" s="21">
        <f>EXP(-LN(2)/2)*DH131+(1-EXP(-LN(2)/2))/(LN(2)/2)*DB132*DE132*VLOOKUP('Données projet'!$B$13,Paramètres!$A$1:$I$89,3,0)*0.475*44/12</f>
        <v>1.5009977464837524E-6</v>
      </c>
      <c r="DI132" s="22">
        <f t="shared" ref="DI132:DI153" si="123">SUM(DF132:DH132)</f>
        <v>62.79407705191133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-3.979039320256561E-13</v>
      </c>
      <c r="DP132" s="17">
        <f>DO132*VLOOKUP('Données projet'!$B$14,Paramètres!$A$1:$I$89,3,0)*VLOOKUP('Données projet'!$B$14,Paramètres!$A$1:$I$89,5,0)</f>
        <v>-2.379465513513424E-13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148.22129593028302</v>
      </c>
      <c r="DU132" s="59">
        <f t="shared" si="98"/>
        <v>102.97015482019975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233.89079999999998</v>
      </c>
      <c r="EL132" s="13">
        <f t="shared" si="99"/>
        <v>57.123140349023068</v>
      </c>
      <c r="EM132" s="20">
        <f t="shared" ref="EM132:EM153" si="127">(EK132+EL132)*0.475*44/12</f>
        <v>506.84927944121517</v>
      </c>
      <c r="EN132" s="59">
        <f t="shared" ref="EN132:EN195" si="128">EM132+(EE132+EF132)*44/12</f>
        <v>800.18261277454849</v>
      </c>
      <c r="EO132" s="59">
        <f ca="1">AVERAGE(OFFSET($EN$3,0,0,'Données projet'!$E$15+1,1))-AVERAGE(OFFSET($H$3,0,0,'Données projet'!$E$15+1,1))</f>
        <v>278.53123771916404</v>
      </c>
      <c r="EP132" s="59">
        <f t="shared" si="100"/>
        <v>283.79094702030869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12.686766374975358</v>
      </c>
      <c r="EW132" s="21">
        <f>EXP(-LN(2)/25)*EW131+(1-EXP(-LN(2)/25))/(LN(2)/25)*Calculateur!ER132*Calculateur!ET132*VLOOKUP('Données projet'!$B$15,Paramètres!$A$1:$I$89,3,0)*0.475*44/12</f>
        <v>1.4500535274436082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14.136819902418965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6.0711538461538508</v>
      </c>
      <c r="FE132" s="12">
        <f>IF('Données projet'!$A$218&gt;35,FE131+FD132-FM131,IF(A132&lt;'Données projet'!$A$218,$FB$205^A132,IF(A132='Données projet'!$A$218,'Données projet'!$B$218,FE131+FD132-FM131)))</f>
        <v>301.49679487179458</v>
      </c>
      <c r="FF132" s="17">
        <f>FE132*VLOOKUP('Données projet'!$B$16,Paramètres!$A$1:$I$89,3,0)*VLOOKUP('Données projet'!$B$16,Paramètres!$A$1:$I$89,5,0)</f>
        <v>272.79429999999974</v>
      </c>
      <c r="FG132" s="13">
        <f t="shared" si="101"/>
        <v>65.441934446926723</v>
      </c>
      <c r="FH132" s="20">
        <f t="shared" ref="FH132:FH153" si="130">(FF132+FG132)*0.475*44/12</f>
        <v>589.09477499506363</v>
      </c>
      <c r="FI132" s="59">
        <f t="shared" ref="FI132:FI195" si="131">FH132+(EZ132+FA132)*44/12</f>
        <v>882.428108328397</v>
      </c>
      <c r="FJ132" s="59">
        <f ca="1">AVERAGE(OFFSET($FI$3,0,0,'Données projet'!$E$16+1,1))-AVERAGE(OFFSET($H$3,0,0,'Données projet'!$E$16+1,1))</f>
        <v>335.99493768537013</v>
      </c>
      <c r="FK132" s="59">
        <f t="shared" si="102"/>
        <v>150.85164849522778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41.816220904425798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41.816220904425798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259.99999999999983</v>
      </c>
      <c r="GA132" s="17">
        <f>FZ132*VLOOKUP('Données projet'!$B$17,Paramètres!$A$1:$I$89,3,0)*VLOOKUP('Données projet'!$B$17,Paramètres!$A$1:$I$89,5,0)</f>
        <v>227.13599999999985</v>
      </c>
      <c r="GB132" s="13">
        <f t="shared" si="103"/>
        <v>55.662966886685133</v>
      </c>
      <c r="GC132" s="20">
        <f t="shared" ref="GC132:GC153" si="133">(GA132+GB132)*0.475*44/12</f>
        <v>492.5415339943097</v>
      </c>
      <c r="GD132" s="59">
        <f t="shared" ref="GD132:GD195" si="134">GC132+(FU132+FV132)*44/12</f>
        <v>785.87486732764296</v>
      </c>
      <c r="GE132" s="59">
        <f ca="1">AVERAGE(OFFSET($GD$3,0,0,'Données projet'!$E$17+1,1))-AVERAGE(OFFSET($H$3,0,0,'Données projet'!$E$17+1,1))</f>
        <v>319.57811113658374</v>
      </c>
      <c r="GF132" s="59">
        <f t="shared" si="104"/>
        <v>322.03572137403245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21.26275955072262</v>
      </c>
      <c r="GM132" s="21">
        <f>EXP(-LN(2)/25)*GM131+(1-EXP(-LN(2)/25))/(LN(2)/25)*Calculateur!GH132*Calculateur!GJ132*VLOOKUP('Données projet'!$B$17,Paramètres!$A$1:$I$89,3,0)*0.475*44/12</f>
        <v>6.0150385017077745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27.277798052430395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5.4683368944097308E-14</v>
      </c>
      <c r="P133" s="13">
        <f t="shared" ref="P133:P196" si="141">EXP(-1.0587+0.8836*LN(O133)+0.284)</f>
        <v>8.8129432816788268E-13</v>
      </c>
      <c r="Q133" s="20">
        <f t="shared" si="108"/>
        <v>1.6301611558033651E-12</v>
      </c>
      <c r="R133" s="59">
        <f t="shared" si="109"/>
        <v>293.33333333333496</v>
      </c>
      <c r="S133" s="59">
        <f ca="1">AVERAGE(OFFSET($R$3,0,0,'Données projet'!$E$9+1,1))-AVERAGE(OFFSET($H$3,0,0,'Données projet'!$E$9+1,1))</f>
        <v>226.41956082453015</v>
      </c>
      <c r="T133" s="59">
        <f t="shared" ref="T133:T196" si="142">$T$3</f>
        <v>317.95076157570446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2.9262992029543969E-13</v>
      </c>
      <c r="AK133" s="13">
        <f t="shared" ref="AK133:AK153" si="143">EXP(-1.0587+0.8836*LN(AJ133)+0.284)</f>
        <v>3.8796387982050903E-12</v>
      </c>
      <c r="AL133" s="20">
        <f t="shared" si="112"/>
        <v>7.2667013513884219E-12</v>
      </c>
      <c r="AM133" s="59">
        <f t="shared" si="113"/>
        <v>293.33333333334059</v>
      </c>
      <c r="AN133" s="59">
        <f ca="1">AVERAGE(OFFSET($AM$3,0,0,'Données projet'!$E$10+1,1))-AVERAGE(OFFSET($H$3,0,0,'Données projet'!$E$10+1,1))</f>
        <v>257.80662231827404</v>
      </c>
      <c r="AO133" s="59">
        <f t="shared" ref="AO133:AO196" si="144">$AO$3</f>
        <v>184.04558520039876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-4.5474735088646412E-13</v>
      </c>
      <c r="BE133" s="13">
        <f>BD133*VLOOKUP('Données projet'!$B$11,Paramètres!$A$1:$I$89,3,0)*VLOOKUP('Données projet'!$B$11,Paramètres!$A$1:$I$89,5,0)</f>
        <v>-2.5420376914553347E-13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300.90952915835157</v>
      </c>
      <c r="BJ133" s="59">
        <f t="shared" ref="BJ133:BJ196" si="146">$BJ$3</f>
        <v>402.81783992925256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51.322170701442587</v>
      </c>
      <c r="BQ133" s="21">
        <f>EXP(-LN(2)/25)*BQ132+(1-EXP(-LN(2)/25))/(LN(2)/25)*Calculateur!BL133*Calculateur!BN133*VLOOKUP('Données projet'!$B$11,Paramètres!$A$1:$I$89,3,0)*0.475*44/12</f>
        <v>7.2782772219309075</v>
      </c>
      <c r="BR133" s="21">
        <f>EXP(-LN(2)/2)*BR132+(1-EXP(-LN(2)/2))/(LN(2)/2)*BL133*BO133*VLOOKUP('Données projet'!$B$11,Paramètres!$A$1:$I$89,3,0)*0.475*44/12</f>
        <v>1.7309281228778483E-10</v>
      </c>
      <c r="BS133" s="22">
        <f t="shared" si="117"/>
        <v>58.600447923546589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-2.8421709430404007E-13</v>
      </c>
      <c r="BZ133" s="13">
        <f>BY133*VLOOKUP('Données projet'!$B$12,Paramètres!$A$1:$I$89,3,0)*VLOOKUP('Données projet'!$B$12,Paramètres!$A$1:$I$89,5,0)</f>
        <v>-1.4040324458619578E-13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246.05217890269194</v>
      </c>
      <c r="CE133" s="59">
        <f t="shared" ref="CE133:CE196" si="148">$CE$3</f>
        <v>155.54297071424327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110.75937109693653</v>
      </c>
      <c r="CL133" s="21">
        <f>EXP(-LN(2)/25)*CL132+(1-EXP(-LN(2)/25))/(LN(2)/25)*Calculateur!CG133*Calculateur!CI133*VLOOKUP('Données projet'!$B$12,Paramètres!$A$1:$I$89,3,0)*0.475*44/12</f>
        <v>22.359297608817684</v>
      </c>
      <c r="CM133" s="21">
        <f>EXP(-LN(2)/2)*CM132+(1-EXP(-LN(2)/2))/(LN(2)/2)*CG133*CJ133*VLOOKUP('Données projet'!$B$12,Paramètres!$A$1:$I$89,3,0)*0.475*44/12</f>
        <v>7.8510343017970489E-4</v>
      </c>
      <c r="CN133" s="22">
        <f t="shared" si="120"/>
        <v>133.11945380918439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-3.4106051316484809E-13</v>
      </c>
      <c r="CU133" s="17">
        <f>CT133*VLOOKUP('Données projet'!$B$13,Paramètres!$A$1:$I$89,3,0)*VLOOKUP('Données projet'!$B$13,Paramètres!$A$1:$I$89,5,0)</f>
        <v>-2.0395418687257919E-13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237.036496933921</v>
      </c>
      <c r="CZ133" s="59">
        <f t="shared" ref="CZ133:CZ196" si="150">$CZ$3</f>
        <v>191.04289413665344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52.844777472068081</v>
      </c>
      <c r="DG133" s="21">
        <f>EXP(-LN(2)/25)*DG132+(1-EXP(-LN(2)/25))/(LN(2)/25)*Calculateur!DB133*Calculateur!DD133*VLOOKUP('Données projet'!$B$13,Paramètres!$A$1:$I$89,3,0)*0.475*44/12</f>
        <v>8.6491565907845214</v>
      </c>
      <c r="DH133" s="21">
        <f>EXP(-LN(2)/2)*DH132+(1-EXP(-LN(2)/2))/(LN(2)/2)*DB133*DE133*VLOOKUP('Données projet'!$B$13,Paramètres!$A$1:$I$89,3,0)*0.475*44/12</f>
        <v>1.0613656850843876E-6</v>
      </c>
      <c r="DI133" s="22">
        <f t="shared" si="123"/>
        <v>61.493935124218289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-3.979039320256561E-13</v>
      </c>
      <c r="DP133" s="17">
        <f>DO133*VLOOKUP('Données projet'!$B$14,Paramètres!$A$1:$I$89,3,0)*VLOOKUP('Données projet'!$B$14,Paramètres!$A$1:$I$89,5,0)</f>
        <v>-2.379465513513424E-13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148.22129593028302</v>
      </c>
      <c r="DU133" s="59">
        <f t="shared" ref="DU133:DU196" si="152">$DU$3</f>
        <v>102.97015482019975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233.89079999999998</v>
      </c>
      <c r="EL133" s="13">
        <f t="shared" ref="EL133:EL153" si="153">EXP(-1.0587+0.8836*LN(EK133)+0.284)</f>
        <v>57.123140349023068</v>
      </c>
      <c r="EM133" s="20">
        <f t="shared" si="127"/>
        <v>506.84927944121517</v>
      </c>
      <c r="EN133" s="59">
        <f t="shared" si="128"/>
        <v>800.18261277454849</v>
      </c>
      <c r="EO133" s="59">
        <f ca="1">AVERAGE(OFFSET($EN$3,0,0,'Données projet'!$E$15+1,1))-AVERAGE(OFFSET($H$3,0,0,'Données projet'!$E$15+1,1))</f>
        <v>278.53123771916404</v>
      </c>
      <c r="EP133" s="59">
        <f t="shared" ref="EP133:EP196" si="154">$EP$3</f>
        <v>283.79094702030869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12.4379866245255</v>
      </c>
      <c r="EW133" s="21">
        <f>EXP(-LN(2)/25)*EW132+(1-EXP(-LN(2)/25))/(LN(2)/25)*Calculateur!ER133*Calculateur!ET133*VLOOKUP('Données projet'!$B$15,Paramètres!$A$1:$I$89,3,0)*0.475*44/12</f>
        <v>1.4104017374806619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13.848388362006162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6.0711538461538508</v>
      </c>
      <c r="FE133" s="12">
        <f>IF('Données projet'!$A$218&gt;35,FE132+FD133-FM132,IF(A133&lt;'Données projet'!$A$218,$FB$205^A133,IF(A133='Données projet'!$A$218,'Données projet'!$B$218,FE132+FD133-FM132)))</f>
        <v>307.56794871794841</v>
      </c>
      <c r="FF133" s="17">
        <f>FE133*VLOOKUP('Données projet'!$B$16,Paramètres!$A$1:$I$89,3,0)*VLOOKUP('Données projet'!$B$16,Paramètres!$A$1:$I$89,5,0)</f>
        <v>278.28747999999968</v>
      </c>
      <c r="FG133" s="13">
        <f t="shared" ref="FG133:FG153" si="155">EXP(-1.0587+0.8836*LN(FF133)+0.284)</f>
        <v>66.60497505840425</v>
      </c>
      <c r="FH133" s="20">
        <f t="shared" si="130"/>
        <v>600.68769256005351</v>
      </c>
      <c r="FI133" s="59">
        <f t="shared" si="131"/>
        <v>894.02102589338688</v>
      </c>
      <c r="FJ133" s="59">
        <f ca="1">AVERAGE(OFFSET($FI$3,0,0,'Données projet'!$E$16+1,1))-AVERAGE(OFFSET($H$3,0,0,'Données projet'!$E$16+1,1))</f>
        <v>335.99493768537013</v>
      </c>
      <c r="FK133" s="59">
        <f t="shared" ref="FK133:FK196" si="156">$FK$3</f>
        <v>150.85164849522778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40.996230317866313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40.996230317866313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259.99999999999983</v>
      </c>
      <c r="GA133" s="17">
        <f>FZ133*VLOOKUP('Données projet'!$B$17,Paramètres!$A$1:$I$89,3,0)*VLOOKUP('Données projet'!$B$17,Paramètres!$A$1:$I$89,5,0)</f>
        <v>227.13599999999985</v>
      </c>
      <c r="GB133" s="13">
        <f t="shared" ref="GB133:GB153" si="157">EXP(-1.0587+0.8836*LN(GA133)+0.284)</f>
        <v>55.662966886685133</v>
      </c>
      <c r="GC133" s="20">
        <f t="shared" si="133"/>
        <v>492.5415339943097</v>
      </c>
      <c r="GD133" s="59">
        <f t="shared" si="134"/>
        <v>785.87486732764296</v>
      </c>
      <c r="GE133" s="59">
        <f ca="1">AVERAGE(OFFSET($GD$3,0,0,'Données projet'!$E$17+1,1))-AVERAGE(OFFSET($H$3,0,0,'Données projet'!$E$17+1,1))</f>
        <v>319.57811113658374</v>
      </c>
      <c r="GF133" s="59">
        <f t="shared" ref="GF133:GF196" si="158">$GF$3</f>
        <v>322.03572137403245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20.845809804935694</v>
      </c>
      <c r="GM133" s="21">
        <f>EXP(-LN(2)/25)*GM132+(1-EXP(-LN(2)/25))/(LN(2)/25)*Calculateur!GH133*Calculateur!GJ133*VLOOKUP('Données projet'!$B$17,Paramètres!$A$1:$I$89,3,0)*0.475*44/12</f>
        <v>5.850556957561448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26.696366762497142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5.4683368944097308E-14</v>
      </c>
      <c r="P134" s="13">
        <f t="shared" si="141"/>
        <v>8.8129432816788268E-13</v>
      </c>
      <c r="Q134" s="20">
        <f t="shared" si="108"/>
        <v>1.6301611558033651E-12</v>
      </c>
      <c r="R134" s="59">
        <f t="shared" si="109"/>
        <v>293.33333333333496</v>
      </c>
      <c r="S134" s="59">
        <f ca="1">AVERAGE(OFFSET($R$3,0,0,'Données projet'!$E$9+1,1))-AVERAGE(OFFSET($H$3,0,0,'Données projet'!$E$9+1,1))</f>
        <v>226.41956082453015</v>
      </c>
      <c r="T134" s="59">
        <f t="shared" si="142"/>
        <v>317.95076157570446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2.9262992029543969E-13</v>
      </c>
      <c r="AK134" s="13">
        <f t="shared" si="143"/>
        <v>3.8796387982050903E-12</v>
      </c>
      <c r="AL134" s="20">
        <f t="shared" si="112"/>
        <v>7.2667013513884219E-12</v>
      </c>
      <c r="AM134" s="59">
        <f t="shared" si="113"/>
        <v>293.33333333334059</v>
      </c>
      <c r="AN134" s="59">
        <f ca="1">AVERAGE(OFFSET($AM$3,0,0,'Données projet'!$E$10+1,1))-AVERAGE(OFFSET($H$3,0,0,'Données projet'!$E$10+1,1))</f>
        <v>257.80662231827404</v>
      </c>
      <c r="AO134" s="59">
        <f t="shared" si="144"/>
        <v>184.04558520039876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-4.5474735088646412E-13</v>
      </c>
      <c r="BE134" s="13">
        <f>BD134*VLOOKUP('Données projet'!$B$11,Paramètres!$A$1:$I$89,3,0)*VLOOKUP('Données projet'!$B$11,Paramètres!$A$1:$I$89,5,0)</f>
        <v>-2.5420376914553347E-13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300.90952915835157</v>
      </c>
      <c r="BJ134" s="59">
        <f t="shared" si="146"/>
        <v>402.81783992925256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50.31577423742047</v>
      </c>
      <c r="BQ134" s="21">
        <f>EXP(-LN(2)/25)*BQ133+(1-EXP(-LN(2)/25))/(LN(2)/25)*Calculateur!BL134*Calculateur!BN134*VLOOKUP('Données projet'!$B$11,Paramètres!$A$1:$I$89,3,0)*0.475*44/12</f>
        <v>7.0792523485492422</v>
      </c>
      <c r="BR134" s="21">
        <f>EXP(-LN(2)/2)*BR133+(1-EXP(-LN(2)/2))/(LN(2)/2)*BL134*BO134*VLOOKUP('Données projet'!$B$11,Paramètres!$A$1:$I$89,3,0)*0.475*44/12</f>
        <v>1.2239510134334281E-10</v>
      </c>
      <c r="BS134" s="22">
        <f t="shared" si="117"/>
        <v>57.395026586092108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-2.8421709430404007E-13</v>
      </c>
      <c r="BZ134" s="13">
        <f>BY134*VLOOKUP('Données projet'!$B$12,Paramètres!$A$1:$I$89,3,0)*VLOOKUP('Données projet'!$B$12,Paramètres!$A$1:$I$89,5,0)</f>
        <v>-1.4040324458619578E-13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246.05217890269194</v>
      </c>
      <c r="CE134" s="59">
        <f t="shared" si="148"/>
        <v>155.54297071424327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108.58744738627132</v>
      </c>
      <c r="CL134" s="21">
        <f>EXP(-LN(2)/25)*CL133+(1-EXP(-LN(2)/25))/(LN(2)/25)*Calculateur!CG134*Calculateur!CI134*VLOOKUP('Données projet'!$B$12,Paramètres!$A$1:$I$89,3,0)*0.475*44/12</f>
        <v>21.747881439880206</v>
      </c>
      <c r="CM134" s="21">
        <f>EXP(-LN(2)/2)*CM133+(1-EXP(-LN(2)/2))/(LN(2)/2)*CG134*CJ134*VLOOKUP('Données projet'!$B$12,Paramètres!$A$1:$I$89,3,0)*0.475*44/12</f>
        <v>5.5515195941288847E-4</v>
      </c>
      <c r="CN134" s="22">
        <f t="shared" si="120"/>
        <v>130.33588397811096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-3.4106051316484809E-13</v>
      </c>
      <c r="CU134" s="17">
        <f>CT134*VLOOKUP('Données projet'!$B$13,Paramètres!$A$1:$I$89,3,0)*VLOOKUP('Données projet'!$B$13,Paramètres!$A$1:$I$89,5,0)</f>
        <v>-2.0395418687257919E-13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237.036496933921</v>
      </c>
      <c r="CZ134" s="59">
        <f t="shared" si="150"/>
        <v>191.04289413665344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51.808523617972426</v>
      </c>
      <c r="DG134" s="21">
        <f>EXP(-LN(2)/25)*DG133+(1-EXP(-LN(2)/25))/(LN(2)/25)*Calculateur!DB134*Calculateur!DD134*VLOOKUP('Données projet'!$B$13,Paramètres!$A$1:$I$89,3,0)*0.475*44/12</f>
        <v>8.4126449489701418</v>
      </c>
      <c r="DH134" s="21">
        <f>EXP(-LN(2)/2)*DH133+(1-EXP(-LN(2)/2))/(LN(2)/2)*DB134*DE134*VLOOKUP('Données projet'!$B$13,Paramètres!$A$1:$I$89,3,0)*0.475*44/12</f>
        <v>7.5049887324187618E-7</v>
      </c>
      <c r="DI134" s="22">
        <f t="shared" si="123"/>
        <v>60.221169317441436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-3.979039320256561E-13</v>
      </c>
      <c r="DP134" s="17">
        <f>DO134*VLOOKUP('Données projet'!$B$14,Paramètres!$A$1:$I$89,3,0)*VLOOKUP('Données projet'!$B$14,Paramètres!$A$1:$I$89,5,0)</f>
        <v>-2.379465513513424E-13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148.22129593028302</v>
      </c>
      <c r="DU134" s="59">
        <f t="shared" si="152"/>
        <v>102.97015482019975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233.89079999999998</v>
      </c>
      <c r="EL134" s="13">
        <f t="shared" si="153"/>
        <v>57.123140349023068</v>
      </c>
      <c r="EM134" s="20">
        <f t="shared" si="127"/>
        <v>506.84927944121517</v>
      </c>
      <c r="EN134" s="59">
        <f t="shared" si="128"/>
        <v>800.18261277454849</v>
      </c>
      <c r="EO134" s="59">
        <f ca="1">AVERAGE(OFFSET($EN$3,0,0,'Données projet'!$E$15+1,1))-AVERAGE(OFFSET($H$3,0,0,'Données projet'!$E$15+1,1))</f>
        <v>278.53123771916404</v>
      </c>
      <c r="EP134" s="59">
        <f t="shared" si="154"/>
        <v>283.79094702030869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12.194085293241299</v>
      </c>
      <c r="EW134" s="21">
        <f>EXP(-LN(2)/25)*EW133+(1-EXP(-LN(2)/25))/(LN(2)/25)*Calculateur!ER134*Calculateur!ET134*VLOOKUP('Données projet'!$B$15,Paramètres!$A$1:$I$89,3,0)*0.475*44/12</f>
        <v>1.3718342277994493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13.565919521040747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6.0711538461538508</v>
      </c>
      <c r="FE134" s="12">
        <f>IF('Données projet'!$A$218&gt;35,FE133+FD134-FM133,IF(A134&lt;'Données projet'!$A$218,$FB$205^A134,IF(A134='Données projet'!$A$218,'Données projet'!$B$218,FE133+FD134-FM133)))</f>
        <v>313.63910256410225</v>
      </c>
      <c r="FF134" s="17">
        <f>FE134*VLOOKUP('Données projet'!$B$16,Paramètres!$A$1:$I$89,3,0)*VLOOKUP('Données projet'!$B$16,Paramètres!$A$1:$I$89,5,0)</f>
        <v>283.78065999999973</v>
      </c>
      <c r="FG134" s="13">
        <f t="shared" si="155"/>
        <v>67.76534629847545</v>
      </c>
      <c r="FH134" s="20">
        <f t="shared" si="130"/>
        <v>612.27596096984428</v>
      </c>
      <c r="FI134" s="59">
        <f t="shared" si="131"/>
        <v>905.60929430317765</v>
      </c>
      <c r="FJ134" s="59">
        <f ca="1">AVERAGE(OFFSET($FI$3,0,0,'Données projet'!$E$16+1,1))-AVERAGE(OFFSET($H$3,0,0,'Données projet'!$E$16+1,1))</f>
        <v>335.99493768537013</v>
      </c>
      <c r="FK134" s="59">
        <f t="shared" si="156"/>
        <v>150.85164849522778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40.192319246564388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40.192319246564388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259.99999999999983</v>
      </c>
      <c r="GA134" s="17">
        <f>FZ134*VLOOKUP('Données projet'!$B$17,Paramètres!$A$1:$I$89,3,0)*VLOOKUP('Données projet'!$B$17,Paramètres!$A$1:$I$89,5,0)</f>
        <v>227.13599999999985</v>
      </c>
      <c r="GB134" s="13">
        <f t="shared" si="157"/>
        <v>55.662966886685133</v>
      </c>
      <c r="GC134" s="20">
        <f t="shared" si="133"/>
        <v>492.5415339943097</v>
      </c>
      <c r="GD134" s="59">
        <f t="shared" si="134"/>
        <v>785.87486732764296</v>
      </c>
      <c r="GE134" s="59">
        <f ca="1">AVERAGE(OFFSET($GD$3,0,0,'Données projet'!$E$17+1,1))-AVERAGE(OFFSET($H$3,0,0,'Données projet'!$E$17+1,1))</f>
        <v>319.57811113658374</v>
      </c>
      <c r="GF134" s="59">
        <f t="shared" si="158"/>
        <v>322.03572137403245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20.437036189349413</v>
      </c>
      <c r="GM134" s="21">
        <f>EXP(-LN(2)/25)*GM133+(1-EXP(-LN(2)/25))/(LN(2)/25)*Calculateur!GH134*Calculateur!GJ134*VLOOKUP('Données projet'!$B$17,Paramètres!$A$1:$I$89,3,0)*0.475*44/12</f>
        <v>5.690573169889511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26.127609359238924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5.4683368944097308E-14</v>
      </c>
      <c r="P135" s="13">
        <f t="shared" si="141"/>
        <v>8.8129432816788268E-13</v>
      </c>
      <c r="Q135" s="20">
        <f t="shared" si="108"/>
        <v>1.6301611558033651E-12</v>
      </c>
      <c r="R135" s="59">
        <f t="shared" si="109"/>
        <v>293.33333333333496</v>
      </c>
      <c r="S135" s="59">
        <f ca="1">AVERAGE(OFFSET($R$3,0,0,'Données projet'!$E$9+1,1))-AVERAGE(OFFSET($H$3,0,0,'Données projet'!$E$9+1,1))</f>
        <v>226.41956082453015</v>
      </c>
      <c r="T135" s="59">
        <f t="shared" si="142"/>
        <v>317.95076157570446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2.9262992029543969E-13</v>
      </c>
      <c r="AK135" s="13">
        <f t="shared" si="143"/>
        <v>3.8796387982050903E-12</v>
      </c>
      <c r="AL135" s="20">
        <f t="shared" si="112"/>
        <v>7.2667013513884219E-12</v>
      </c>
      <c r="AM135" s="59">
        <f t="shared" si="113"/>
        <v>293.33333333334059</v>
      </c>
      <c r="AN135" s="59">
        <f ca="1">AVERAGE(OFFSET($AM$3,0,0,'Données projet'!$E$10+1,1))-AVERAGE(OFFSET($H$3,0,0,'Données projet'!$E$10+1,1))</f>
        <v>257.80662231827404</v>
      </c>
      <c r="AO135" s="59">
        <f t="shared" si="144"/>
        <v>184.04558520039876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-4.5474735088646412E-13</v>
      </c>
      <c r="BE135" s="13">
        <f>BD135*VLOOKUP('Données projet'!$B$11,Paramètres!$A$1:$I$89,3,0)*VLOOKUP('Données projet'!$B$11,Paramètres!$A$1:$I$89,5,0)</f>
        <v>-2.5420376914553347E-13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300.90952915835157</v>
      </c>
      <c r="BJ135" s="59">
        <f t="shared" si="146"/>
        <v>402.81783992925256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49.329112594216596</v>
      </c>
      <c r="BQ135" s="21">
        <f>EXP(-LN(2)/25)*BQ134+(1-EXP(-LN(2)/25))/(LN(2)/25)*Calculateur!BL135*Calculateur!BN135*VLOOKUP('Données projet'!$B$11,Paramètres!$A$1:$I$89,3,0)*0.475*44/12</f>
        <v>6.8856698207964619</v>
      </c>
      <c r="BR135" s="21">
        <f>EXP(-LN(2)/2)*BR134+(1-EXP(-LN(2)/2))/(LN(2)/2)*BL135*BO135*VLOOKUP('Données projet'!$B$11,Paramètres!$A$1:$I$89,3,0)*0.475*44/12</f>
        <v>8.6546406143892417E-11</v>
      </c>
      <c r="BS135" s="22">
        <f t="shared" si="117"/>
        <v>56.214782415099606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-2.8421709430404007E-13</v>
      </c>
      <c r="BZ135" s="13">
        <f>BY135*VLOOKUP('Données projet'!$B$12,Paramètres!$A$1:$I$89,3,0)*VLOOKUP('Données projet'!$B$12,Paramètres!$A$1:$I$89,5,0)</f>
        <v>-1.4040324458619578E-13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246.05217890269194</v>
      </c>
      <c r="CE135" s="59">
        <f t="shared" si="148"/>
        <v>155.54297071424327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106.4581137748296</v>
      </c>
      <c r="CL135" s="21">
        <f>EXP(-LN(2)/25)*CL134+(1-EXP(-LN(2)/25))/(LN(2)/25)*Calculateur!CG135*Calculateur!CI135*VLOOKUP('Données projet'!$B$12,Paramètres!$A$1:$I$89,3,0)*0.475*44/12</f>
        <v>21.153184478235303</v>
      </c>
      <c r="CM135" s="21">
        <f>EXP(-LN(2)/2)*CM134+(1-EXP(-LN(2)/2))/(LN(2)/2)*CG135*CJ135*VLOOKUP('Données projet'!$B$12,Paramètres!$A$1:$I$89,3,0)*0.475*44/12</f>
        <v>3.9255171508985245E-4</v>
      </c>
      <c r="CN135" s="22">
        <f t="shared" si="120"/>
        <v>127.61169080478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-3.4106051316484809E-13</v>
      </c>
      <c r="CU135" s="17">
        <f>CT135*VLOOKUP('Données projet'!$B$13,Paramètres!$A$1:$I$89,3,0)*VLOOKUP('Données projet'!$B$13,Paramètres!$A$1:$I$89,5,0)</f>
        <v>-2.0395418687257919E-13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237.036496933921</v>
      </c>
      <c r="CZ135" s="59">
        <f t="shared" si="150"/>
        <v>191.04289413665344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50.792590069903149</v>
      </c>
      <c r="DG135" s="21">
        <f>EXP(-LN(2)/25)*DG134+(1-EXP(-LN(2)/25))/(LN(2)/25)*Calculateur!DB135*Calculateur!DD135*VLOOKUP('Données projet'!$B$13,Paramètres!$A$1:$I$89,3,0)*0.475*44/12</f>
        <v>8.1826007304387822</v>
      </c>
      <c r="DH135" s="21">
        <f>EXP(-LN(2)/2)*DH134+(1-EXP(-LN(2)/2))/(LN(2)/2)*DB135*DE135*VLOOKUP('Données projet'!$B$13,Paramètres!$A$1:$I$89,3,0)*0.475*44/12</f>
        <v>5.3068284254219381E-7</v>
      </c>
      <c r="DI135" s="22">
        <f t="shared" si="123"/>
        <v>58.975191331024774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-3.979039320256561E-13</v>
      </c>
      <c r="DP135" s="17">
        <f>DO135*VLOOKUP('Données projet'!$B$14,Paramètres!$A$1:$I$89,3,0)*VLOOKUP('Données projet'!$B$14,Paramètres!$A$1:$I$89,5,0)</f>
        <v>-2.379465513513424E-13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148.22129593028302</v>
      </c>
      <c r="DU135" s="59">
        <f t="shared" si="152"/>
        <v>102.97015482019975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233.89079999999998</v>
      </c>
      <c r="EL135" s="13">
        <f t="shared" si="153"/>
        <v>57.123140349023068</v>
      </c>
      <c r="EM135" s="20">
        <f t="shared" si="127"/>
        <v>506.84927944121517</v>
      </c>
      <c r="EN135" s="59">
        <f t="shared" si="128"/>
        <v>800.18261277454849</v>
      </c>
      <c r="EO135" s="59">
        <f ca="1">AVERAGE(OFFSET($EN$3,0,0,'Données projet'!$E$15+1,1))-AVERAGE(OFFSET($H$3,0,0,'Données projet'!$E$15+1,1))</f>
        <v>278.53123771916404</v>
      </c>
      <c r="EP135" s="59">
        <f t="shared" si="154"/>
        <v>283.79094702030869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11.954966718298458</v>
      </c>
      <c r="EW135" s="21">
        <f>EXP(-LN(2)/25)*EW134+(1-EXP(-LN(2)/25))/(LN(2)/25)*Calculateur!ER135*Calculateur!ET135*VLOOKUP('Données projet'!$B$15,Paramètres!$A$1:$I$89,3,0)*0.475*44/12</f>
        <v>1.3343213486986467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13.289288066997104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6.0711538461538508</v>
      </c>
      <c r="FE135" s="12">
        <f>IF('Données projet'!$A$218&gt;35,FE134+FD135-FM134,IF(A135&lt;'Données projet'!$A$218,$FB$205^A135,IF(A135='Données projet'!$A$218,'Données projet'!$B$218,FE134+FD135-FM134)))</f>
        <v>319.71025641025608</v>
      </c>
      <c r="FF135" s="17">
        <f>FE135*VLOOKUP('Données projet'!$B$16,Paramètres!$A$1:$I$89,3,0)*VLOOKUP('Données projet'!$B$16,Paramètres!$A$1:$I$89,5,0)</f>
        <v>289.27383999999967</v>
      </c>
      <c r="FG135" s="13">
        <f t="shared" si="155"/>
        <v>68.923105795388125</v>
      </c>
      <c r="FH135" s="20">
        <f t="shared" si="130"/>
        <v>623.8596805936337</v>
      </c>
      <c r="FI135" s="59">
        <f t="shared" si="131"/>
        <v>917.19301392696707</v>
      </c>
      <c r="FJ135" s="59">
        <f ca="1">AVERAGE(OFFSET($FI$3,0,0,'Données projet'!$E$16+1,1))-AVERAGE(OFFSET($H$3,0,0,'Données projet'!$E$16+1,1))</f>
        <v>335.99493768537013</v>
      </c>
      <c r="FK135" s="59">
        <f t="shared" si="156"/>
        <v>150.85164849522778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39.404172381033355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39.404172381033355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259.99999999999983</v>
      </c>
      <c r="GA135" s="17">
        <f>FZ135*VLOOKUP('Données projet'!$B$17,Paramètres!$A$1:$I$89,3,0)*VLOOKUP('Données projet'!$B$17,Paramètres!$A$1:$I$89,5,0)</f>
        <v>227.13599999999985</v>
      </c>
      <c r="GB135" s="13">
        <f t="shared" si="157"/>
        <v>55.662966886685133</v>
      </c>
      <c r="GC135" s="20">
        <f t="shared" si="133"/>
        <v>492.5415339943097</v>
      </c>
      <c r="GD135" s="59">
        <f t="shared" si="134"/>
        <v>785.87486732764296</v>
      </c>
      <c r="GE135" s="59">
        <f ca="1">AVERAGE(OFFSET($GD$3,0,0,'Données projet'!$E$17+1,1))-AVERAGE(OFFSET($H$3,0,0,'Données projet'!$E$17+1,1))</f>
        <v>319.57811113658374</v>
      </c>
      <c r="GF135" s="59">
        <f t="shared" si="158"/>
        <v>322.03572137403245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20.036278375037494</v>
      </c>
      <c r="GM135" s="21">
        <f>EXP(-LN(2)/25)*GM134+(1-EXP(-LN(2)/25))/(LN(2)/25)*Calculateur!GH135*Calculateur!GJ135*VLOOKUP('Données projet'!$B$17,Paramètres!$A$1:$I$89,3,0)*0.475*44/12</f>
        <v>5.5349641473046454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25.571242522342139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5.4683368944097308E-14</v>
      </c>
      <c r="P136" s="13">
        <f t="shared" si="141"/>
        <v>8.8129432816788268E-13</v>
      </c>
      <c r="Q136" s="20">
        <f t="shared" si="108"/>
        <v>1.6301611558033651E-12</v>
      </c>
      <c r="R136" s="59">
        <f t="shared" si="109"/>
        <v>293.33333333333496</v>
      </c>
      <c r="S136" s="59">
        <f ca="1">AVERAGE(OFFSET($R$3,0,0,'Données projet'!$E$9+1,1))-AVERAGE(OFFSET($H$3,0,0,'Données projet'!$E$9+1,1))</f>
        <v>226.41956082453015</v>
      </c>
      <c r="T136" s="59">
        <f t="shared" si="142"/>
        <v>317.95076157570446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2.9262992029543969E-13</v>
      </c>
      <c r="AK136" s="13">
        <f t="shared" si="143"/>
        <v>3.8796387982050903E-12</v>
      </c>
      <c r="AL136" s="20">
        <f t="shared" si="112"/>
        <v>7.2667013513884219E-12</v>
      </c>
      <c r="AM136" s="59">
        <f t="shared" si="113"/>
        <v>293.33333333334059</v>
      </c>
      <c r="AN136" s="59">
        <f ca="1">AVERAGE(OFFSET($AM$3,0,0,'Données projet'!$E$10+1,1))-AVERAGE(OFFSET($H$3,0,0,'Données projet'!$E$10+1,1))</f>
        <v>257.80662231827404</v>
      </c>
      <c r="AO136" s="59">
        <f t="shared" si="144"/>
        <v>184.04558520039876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-4.5474735088646412E-13</v>
      </c>
      <c r="BE136" s="13">
        <f>BD136*VLOOKUP('Données projet'!$B$11,Paramètres!$A$1:$I$89,3,0)*VLOOKUP('Données projet'!$B$11,Paramètres!$A$1:$I$89,5,0)</f>
        <v>-2.5420376914553347E-13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300.90952915835157</v>
      </c>
      <c r="BJ136" s="59">
        <f t="shared" si="146"/>
        <v>402.81783992925256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48.36179878403177</v>
      </c>
      <c r="BQ136" s="21">
        <f>EXP(-LN(2)/25)*BQ135+(1-EXP(-LN(2)/25))/(LN(2)/25)*Calculateur!BL136*Calculateur!BN136*VLOOKUP('Données projet'!$B$11,Paramètres!$A$1:$I$89,3,0)*0.475*44/12</f>
        <v>6.6973808174451444</v>
      </c>
      <c r="BR136" s="21">
        <f>EXP(-LN(2)/2)*BR135+(1-EXP(-LN(2)/2))/(LN(2)/2)*BL136*BO136*VLOOKUP('Données projet'!$B$11,Paramètres!$A$1:$I$89,3,0)*0.475*44/12</f>
        <v>6.1197550671671407E-11</v>
      </c>
      <c r="BS136" s="22">
        <f t="shared" si="117"/>
        <v>55.059179601538112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-2.8421709430404007E-13</v>
      </c>
      <c r="BZ136" s="13">
        <f>BY136*VLOOKUP('Données projet'!$B$12,Paramètres!$A$1:$I$89,3,0)*VLOOKUP('Données projet'!$B$12,Paramètres!$A$1:$I$89,5,0)</f>
        <v>-1.4040324458619578E-13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246.05217890269194</v>
      </c>
      <c r="CE136" s="59">
        <f t="shared" si="148"/>
        <v>155.54297071424327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104.37053509674298</v>
      </c>
      <c r="CL136" s="21">
        <f>EXP(-LN(2)/25)*CL135+(1-EXP(-LN(2)/25))/(LN(2)/25)*Calculateur!CG136*Calculateur!CI136*VLOOKUP('Données projet'!$B$12,Paramètres!$A$1:$I$89,3,0)*0.475*44/12</f>
        <v>20.574749536280333</v>
      </c>
      <c r="CM136" s="21">
        <f>EXP(-LN(2)/2)*CM135+(1-EXP(-LN(2)/2))/(LN(2)/2)*CG136*CJ136*VLOOKUP('Données projet'!$B$12,Paramètres!$A$1:$I$89,3,0)*0.475*44/12</f>
        <v>2.7757597970644424E-4</v>
      </c>
      <c r="CN136" s="22">
        <f t="shared" si="120"/>
        <v>124.94556220900303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-3.4106051316484809E-13</v>
      </c>
      <c r="CU136" s="17">
        <f>CT136*VLOOKUP('Données projet'!$B$13,Paramètres!$A$1:$I$89,3,0)*VLOOKUP('Données projet'!$B$13,Paramètres!$A$1:$I$89,5,0)</f>
        <v>-2.0395418687257919E-13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237.036496933921</v>
      </c>
      <c r="CZ136" s="59">
        <f t="shared" si="150"/>
        <v>191.04289413665344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49.796578359053228</v>
      </c>
      <c r="DG136" s="21">
        <f>EXP(-LN(2)/25)*DG135+(1-EXP(-LN(2)/25))/(LN(2)/25)*Calculateur!DB136*Calculateur!DD136*VLOOKUP('Données projet'!$B$13,Paramètres!$A$1:$I$89,3,0)*0.475*44/12</f>
        <v>7.9588470831606628</v>
      </c>
      <c r="DH136" s="21">
        <f>EXP(-LN(2)/2)*DH135+(1-EXP(-LN(2)/2))/(LN(2)/2)*DB136*DE136*VLOOKUP('Données projet'!$B$13,Paramètres!$A$1:$I$89,3,0)*0.475*44/12</f>
        <v>3.7524943662093809E-7</v>
      </c>
      <c r="DI136" s="22">
        <f t="shared" si="123"/>
        <v>57.755425817463326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-3.979039320256561E-13</v>
      </c>
      <c r="DP136" s="17">
        <f>DO136*VLOOKUP('Données projet'!$B$14,Paramètres!$A$1:$I$89,3,0)*VLOOKUP('Données projet'!$B$14,Paramètres!$A$1:$I$89,5,0)</f>
        <v>-2.379465513513424E-13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148.22129593028302</v>
      </c>
      <c r="DU136" s="59">
        <f t="shared" si="152"/>
        <v>102.97015482019975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233.89079999999998</v>
      </c>
      <c r="EL136" s="13">
        <f t="shared" si="153"/>
        <v>57.123140349023068</v>
      </c>
      <c r="EM136" s="20">
        <f t="shared" si="127"/>
        <v>506.84927944121517</v>
      </c>
      <c r="EN136" s="59">
        <f t="shared" si="128"/>
        <v>800.18261277454849</v>
      </c>
      <c r="EO136" s="59">
        <f ca="1">AVERAGE(OFFSET($EN$3,0,0,'Données projet'!$E$15+1,1))-AVERAGE(OFFSET($H$3,0,0,'Données projet'!$E$15+1,1))</f>
        <v>278.53123771916404</v>
      </c>
      <c r="EP136" s="59">
        <f t="shared" si="154"/>
        <v>283.79094702030869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11.720537112762317</v>
      </c>
      <c r="EW136" s="21">
        <f>EXP(-LN(2)/25)*EW135+(1-EXP(-LN(2)/25))/(LN(2)/25)*Calculateur!ER136*Calculateur!ET136*VLOOKUP('Données projet'!$B$15,Paramètres!$A$1:$I$89,3,0)*0.475*44/12</f>
        <v>1.2978342612495721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13.018371374011888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6.0711538461538508</v>
      </c>
      <c r="FE136" s="12">
        <f>IF('Données projet'!$A$218&gt;35,FE135+FD136-FM135,IF(A136&lt;'Données projet'!$A$218,$FB$205^A136,IF(A136='Données projet'!$A$218,'Données projet'!$B$218,FE135+FD136-FM135)))</f>
        <v>325.78141025640991</v>
      </c>
      <c r="FF136" s="17">
        <f>FE136*VLOOKUP('Données projet'!$B$16,Paramètres!$A$1:$I$89,3,0)*VLOOKUP('Données projet'!$B$16,Paramètres!$A$1:$I$89,5,0)</f>
        <v>294.76701999999966</v>
      </c>
      <c r="FG136" s="13">
        <f t="shared" si="155"/>
        <v>70.078308863481737</v>
      </c>
      <c r="FH136" s="20">
        <f t="shared" si="130"/>
        <v>635.43894777056346</v>
      </c>
      <c r="FI136" s="59">
        <f t="shared" si="131"/>
        <v>928.77228110389683</v>
      </c>
      <c r="FJ136" s="59">
        <f ca="1">AVERAGE(OFFSET($FI$3,0,0,'Données projet'!$E$16+1,1))-AVERAGE(OFFSET($H$3,0,0,'Données projet'!$E$16+1,1))</f>
        <v>335.99493768537013</v>
      </c>
      <c r="FK136" s="59">
        <f t="shared" si="156"/>
        <v>150.85164849522778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38.631480594813269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38.631480594813269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259.99999999999983</v>
      </c>
      <c r="GA136" s="17">
        <f>FZ136*VLOOKUP('Données projet'!$B$17,Paramètres!$A$1:$I$89,3,0)*VLOOKUP('Données projet'!$B$17,Paramètres!$A$1:$I$89,5,0)</f>
        <v>227.13599999999985</v>
      </c>
      <c r="GB136" s="13">
        <f t="shared" si="157"/>
        <v>55.662966886685133</v>
      </c>
      <c r="GC136" s="20">
        <f t="shared" si="133"/>
        <v>492.5415339943097</v>
      </c>
      <c r="GD136" s="59">
        <f t="shared" si="134"/>
        <v>785.87486732764296</v>
      </c>
      <c r="GE136" s="59">
        <f ca="1">AVERAGE(OFFSET($GD$3,0,0,'Données projet'!$E$17+1,1))-AVERAGE(OFFSET($H$3,0,0,'Données projet'!$E$17+1,1))</f>
        <v>319.57811113658374</v>
      </c>
      <c r="GF136" s="59">
        <f t="shared" si="158"/>
        <v>322.03572137403245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19.643379177026102</v>
      </c>
      <c r="GM136" s="21">
        <f>EXP(-LN(2)/25)*GM135+(1-EXP(-LN(2)/25))/(LN(2)/25)*Calculateur!GH136*Calculateur!GJ136*VLOOKUP('Données projet'!$B$17,Paramètres!$A$1:$I$89,3,0)*0.475*44/12</f>
        <v>5.3836102616254857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25.026989438651587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5.4683368944097308E-14</v>
      </c>
      <c r="P137" s="13">
        <f t="shared" si="141"/>
        <v>8.8129432816788268E-13</v>
      </c>
      <c r="Q137" s="20">
        <f t="shared" si="108"/>
        <v>1.6301611558033651E-12</v>
      </c>
      <c r="R137" s="59">
        <f t="shared" si="109"/>
        <v>293.33333333333496</v>
      </c>
      <c r="S137" s="59">
        <f ca="1">AVERAGE(OFFSET($R$3,0,0,'Données projet'!$E$9+1,1))-AVERAGE(OFFSET($H$3,0,0,'Données projet'!$E$9+1,1))</f>
        <v>226.41956082453015</v>
      </c>
      <c r="T137" s="59">
        <f t="shared" si="142"/>
        <v>317.95076157570446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2.9262992029543969E-13</v>
      </c>
      <c r="AK137" s="13">
        <f t="shared" si="143"/>
        <v>3.8796387982050903E-12</v>
      </c>
      <c r="AL137" s="20">
        <f t="shared" si="112"/>
        <v>7.2667013513884219E-12</v>
      </c>
      <c r="AM137" s="59">
        <f t="shared" si="113"/>
        <v>293.33333333334059</v>
      </c>
      <c r="AN137" s="59">
        <f ca="1">AVERAGE(OFFSET($AM$3,0,0,'Données projet'!$E$10+1,1))-AVERAGE(OFFSET($H$3,0,0,'Données projet'!$E$10+1,1))</f>
        <v>257.80662231827404</v>
      </c>
      <c r="AO137" s="59">
        <f t="shared" si="144"/>
        <v>184.04558520039876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-4.5474735088646412E-13</v>
      </c>
      <c r="BE137" s="13">
        <f>BD137*VLOOKUP('Données projet'!$B$11,Paramètres!$A$1:$I$89,3,0)*VLOOKUP('Données projet'!$B$11,Paramètres!$A$1:$I$89,5,0)</f>
        <v>-2.5420376914553347E-13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300.90952915835157</v>
      </c>
      <c r="BJ137" s="59">
        <f t="shared" si="146"/>
        <v>402.81783992925256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47.4134534076615</v>
      </c>
      <c r="BQ137" s="21">
        <f>EXP(-LN(2)/25)*BQ136+(1-EXP(-LN(2)/25))/(LN(2)/25)*Calculateur!BL137*Calculateur!BN137*VLOOKUP('Données projet'!$B$11,Paramètres!$A$1:$I$89,3,0)*0.475*44/12</f>
        <v>6.5142405867921571</v>
      </c>
      <c r="BR137" s="21">
        <f>EXP(-LN(2)/2)*BR136+(1-EXP(-LN(2)/2))/(LN(2)/2)*BL137*BO137*VLOOKUP('Données projet'!$B$11,Paramètres!$A$1:$I$89,3,0)*0.475*44/12</f>
        <v>4.3273203071946209E-11</v>
      </c>
      <c r="BS137" s="22">
        <f t="shared" si="117"/>
        <v>53.927693994496927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-2.8421709430404007E-13</v>
      </c>
      <c r="BZ137" s="13">
        <f>BY137*VLOOKUP('Données projet'!$B$12,Paramètres!$A$1:$I$89,3,0)*VLOOKUP('Données projet'!$B$12,Paramètres!$A$1:$I$89,5,0)</f>
        <v>-1.4040324458619578E-13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246.05217890269194</v>
      </c>
      <c r="CE137" s="59">
        <f t="shared" si="148"/>
        <v>155.54297071424327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102.32389256323638</v>
      </c>
      <c r="CL137" s="21">
        <f>EXP(-LN(2)/25)*CL136+(1-EXP(-LN(2)/25))/(LN(2)/25)*Calculateur!CG137*Calculateur!CI137*VLOOKUP('Données projet'!$B$12,Paramètres!$A$1:$I$89,3,0)*0.475*44/12</f>
        <v>20.012131928231693</v>
      </c>
      <c r="CM137" s="21">
        <f>EXP(-LN(2)/2)*CM136+(1-EXP(-LN(2)/2))/(LN(2)/2)*CG137*CJ137*VLOOKUP('Données projet'!$B$12,Paramètres!$A$1:$I$89,3,0)*0.475*44/12</f>
        <v>1.9627585754492622E-4</v>
      </c>
      <c r="CN137" s="22">
        <f t="shared" si="120"/>
        <v>122.33622076732563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-3.4106051316484809E-13</v>
      </c>
      <c r="CU137" s="17">
        <f>CT137*VLOOKUP('Données projet'!$B$13,Paramètres!$A$1:$I$89,3,0)*VLOOKUP('Données projet'!$B$13,Paramètres!$A$1:$I$89,5,0)</f>
        <v>-2.0395418687257919E-13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237.036496933921</v>
      </c>
      <c r="CZ137" s="59">
        <f t="shared" si="150"/>
        <v>191.04289413665344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48.820097830345915</v>
      </c>
      <c r="DG137" s="21">
        <f>EXP(-LN(2)/25)*DG136+(1-EXP(-LN(2)/25))/(LN(2)/25)*Calculateur!DB137*Calculateur!DD137*VLOOKUP('Données projet'!$B$13,Paramètres!$A$1:$I$89,3,0)*0.475*44/12</f>
        <v>7.7412119911340564</v>
      </c>
      <c r="DH137" s="21">
        <f>EXP(-LN(2)/2)*DH136+(1-EXP(-LN(2)/2))/(LN(2)/2)*DB137*DE137*VLOOKUP('Données projet'!$B$13,Paramètres!$A$1:$I$89,3,0)*0.475*44/12</f>
        <v>2.653414212710969E-7</v>
      </c>
      <c r="DI137" s="22">
        <f t="shared" si="123"/>
        <v>56.561310086821393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-3.979039320256561E-13</v>
      </c>
      <c r="DP137" s="17">
        <f>DO137*VLOOKUP('Données projet'!$B$14,Paramètres!$A$1:$I$89,3,0)*VLOOKUP('Données projet'!$B$14,Paramètres!$A$1:$I$89,5,0)</f>
        <v>-2.379465513513424E-13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148.22129593028302</v>
      </c>
      <c r="DU137" s="59">
        <f t="shared" si="152"/>
        <v>102.97015482019975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233.89079999999998</v>
      </c>
      <c r="EL137" s="13">
        <f t="shared" si="153"/>
        <v>57.123140349023068</v>
      </c>
      <c r="EM137" s="20">
        <f t="shared" si="127"/>
        <v>506.84927944121517</v>
      </c>
      <c r="EN137" s="59">
        <f t="shared" si="128"/>
        <v>800.18261277454849</v>
      </c>
      <c r="EO137" s="59">
        <f ca="1">AVERAGE(OFFSET($EN$3,0,0,'Données projet'!$E$15+1,1))-AVERAGE(OFFSET($H$3,0,0,'Données projet'!$E$15+1,1))</f>
        <v>278.53123771916404</v>
      </c>
      <c r="EP137" s="59">
        <f t="shared" si="154"/>
        <v>283.79094702030869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11.4907045288028</v>
      </c>
      <c r="EW137" s="21">
        <f>EXP(-LN(2)/25)*EW136+(1-EXP(-LN(2)/25))/(LN(2)/25)*Calculateur!ER137*Calculateur!ET137*VLOOKUP('Données projet'!$B$15,Paramètres!$A$1:$I$89,3,0)*0.475*44/12</f>
        <v>1.262344915125565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12.753049443928365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>
        <f>VLOOKUP(A137,'Données projet'!$A$217:$I$237,2,0)</f>
        <v>331.85256410256414</v>
      </c>
      <c r="FC137" s="12">
        <f>VLOOKUP(A137,'Données projet'!$A$217:$I$237,9,0)</f>
        <v>6.0711538461538508</v>
      </c>
      <c r="FD137" s="12">
        <f t="array" ref="FD137">INDEX(FC:FC,MIN(IF(ISNUMBER(FC137:FC333),ROW(FC137:FC333),"")))</f>
        <v>6.0711538461538508</v>
      </c>
      <c r="FE137" s="12">
        <f>IF('Données projet'!$A$218&gt;35,FE136+FD137-FM136,IF(A137&lt;'Données projet'!$A$218,$FB$205^A137,IF(A137='Données projet'!$A$218,'Données projet'!$B$218,FE136+FD137-FM136)))</f>
        <v>331.85256410256375</v>
      </c>
      <c r="FF137" s="17">
        <f>FE137*VLOOKUP('Données projet'!$B$16,Paramètres!$A$1:$I$89,3,0)*VLOOKUP('Données projet'!$B$16,Paramètres!$A$1:$I$89,5,0)</f>
        <v>300.26019999999971</v>
      </c>
      <c r="FG137" s="13">
        <f t="shared" si="155"/>
        <v>71.231008637455531</v>
      </c>
      <c r="FH137" s="20">
        <f t="shared" si="130"/>
        <v>647.0138550435679</v>
      </c>
      <c r="FI137" s="59">
        <f t="shared" si="131"/>
        <v>940.34718837690116</v>
      </c>
      <c r="FJ137" s="59">
        <f ca="1">AVERAGE(OFFSET($FI$3,0,0,'Données projet'!$E$16+1,1))-AVERAGE(OFFSET($H$3,0,0,'Données projet'!$E$16+1,1))</f>
        <v>335.99493768537013</v>
      </c>
      <c r="FK137" s="59">
        <f t="shared" si="156"/>
        <v>150.85164849522778</v>
      </c>
      <c r="FL137" s="15">
        <f>IF(ISNA(VLOOKUP(A137,'Données projet'!$A$217:$I$237,3,0)),0,VLOOKUP(A137,'Données projet'!$A$217:$I$237,3,0))</f>
        <v>11</v>
      </c>
      <c r="FM137" s="15">
        <f>IF(ISNA(VLOOKUP(A137,'Données projet'!$A$217:$I$237,4,0)),0,VLOOKUP(A137,'Données projet'!$A$217:$I$237,4,0))</f>
        <v>41.666666666666664</v>
      </c>
      <c r="FN137" s="16">
        <f>IF(ISNA(VLOOKUP(A137,'Données projet'!$A$217:$I$237,5,0)),0%,VLOOKUP(A137,'Données projet'!$A$217:$I$237,5,0)*VLOOKUP('Données projet'!$B$16,Paramètres!$A$1:$I$89,7,0))</f>
        <v>0.30099999999999999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50.418487049051564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50.418487049051564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259.99999999999983</v>
      </c>
      <c r="GA137" s="17">
        <f>FZ137*VLOOKUP('Données projet'!$B$17,Paramètres!$A$1:$I$89,3,0)*VLOOKUP('Données projet'!$B$17,Paramètres!$A$1:$I$89,5,0)</f>
        <v>227.13599999999985</v>
      </c>
      <c r="GB137" s="13">
        <f t="shared" si="157"/>
        <v>55.662966886685133</v>
      </c>
      <c r="GC137" s="20">
        <f t="shared" si="133"/>
        <v>492.5415339943097</v>
      </c>
      <c r="GD137" s="59">
        <f t="shared" si="134"/>
        <v>785.87486732764296</v>
      </c>
      <c r="GE137" s="59">
        <f ca="1">AVERAGE(OFFSET($GD$3,0,0,'Données projet'!$E$17+1,1))-AVERAGE(OFFSET($H$3,0,0,'Données projet'!$E$17+1,1))</f>
        <v>319.57811113658374</v>
      </c>
      <c r="GF137" s="59">
        <f t="shared" si="158"/>
        <v>322.03572137403245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19.258184492642865</v>
      </c>
      <c r="GM137" s="21">
        <f>EXP(-LN(2)/25)*GM136+(1-EXP(-LN(2)/25))/(LN(2)/25)*Calculateur!GH137*Calculateur!GJ137*VLOOKUP('Données projet'!$B$17,Paramètres!$A$1:$I$89,3,0)*0.475*44/12</f>
        <v>5.2363951559095776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24.494579648552442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5.4683368944097308E-14</v>
      </c>
      <c r="P138" s="13">
        <f t="shared" si="141"/>
        <v>8.8129432816788268E-13</v>
      </c>
      <c r="Q138" s="20">
        <f t="shared" si="108"/>
        <v>1.6301611558033651E-12</v>
      </c>
      <c r="R138" s="59">
        <f t="shared" si="109"/>
        <v>293.33333333333496</v>
      </c>
      <c r="S138" s="59">
        <f ca="1">AVERAGE(OFFSET($R$3,0,0,'Données projet'!$E$9+1,1))-AVERAGE(OFFSET($H$3,0,0,'Données projet'!$E$9+1,1))</f>
        <v>226.41956082453015</v>
      </c>
      <c r="T138" s="59">
        <f t="shared" si="142"/>
        <v>317.95076157570446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2.9262992029543969E-13</v>
      </c>
      <c r="AK138" s="13">
        <f t="shared" si="143"/>
        <v>3.8796387982050903E-12</v>
      </c>
      <c r="AL138" s="20">
        <f t="shared" si="112"/>
        <v>7.2667013513884219E-12</v>
      </c>
      <c r="AM138" s="59">
        <f t="shared" si="113"/>
        <v>293.33333333334059</v>
      </c>
      <c r="AN138" s="59">
        <f ca="1">AVERAGE(OFFSET($AM$3,0,0,'Données projet'!$E$10+1,1))-AVERAGE(OFFSET($H$3,0,0,'Données projet'!$E$10+1,1))</f>
        <v>257.80662231827404</v>
      </c>
      <c r="AO138" s="59">
        <f t="shared" si="144"/>
        <v>184.04558520039876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-4.5474735088646412E-13</v>
      </c>
      <c r="BE138" s="13">
        <f>BD138*VLOOKUP('Données projet'!$B$11,Paramètres!$A$1:$I$89,3,0)*VLOOKUP('Données projet'!$B$11,Paramètres!$A$1:$I$89,5,0)</f>
        <v>-2.5420376914553347E-13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300.90952915835157</v>
      </c>
      <c r="BJ138" s="59">
        <f t="shared" si="146"/>
        <v>402.81783992925256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46.483704505688287</v>
      </c>
      <c r="BQ138" s="21">
        <f>EXP(-LN(2)/25)*BQ137+(1-EXP(-LN(2)/25))/(LN(2)/25)*Calculateur!BL138*Calculateur!BN138*VLOOKUP('Données projet'!$B$11,Paramètres!$A$1:$I$89,3,0)*0.475*44/12</f>
        <v>6.3361083353773013</v>
      </c>
      <c r="BR138" s="21">
        <f>EXP(-LN(2)/2)*BR137+(1-EXP(-LN(2)/2))/(LN(2)/2)*BL138*BO138*VLOOKUP('Données projet'!$B$11,Paramètres!$A$1:$I$89,3,0)*0.475*44/12</f>
        <v>3.0598775335835704E-11</v>
      </c>
      <c r="BS138" s="22">
        <f t="shared" si="117"/>
        <v>52.819812841096187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-2.8421709430404007E-13</v>
      </c>
      <c r="BZ138" s="13">
        <f>BY138*VLOOKUP('Données projet'!$B$12,Paramètres!$A$1:$I$89,3,0)*VLOOKUP('Données projet'!$B$12,Paramètres!$A$1:$I$89,5,0)</f>
        <v>-1.4040324458619578E-13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246.05217890269194</v>
      </c>
      <c r="CE138" s="59">
        <f t="shared" si="148"/>
        <v>155.54297071424327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100.31738344148317</v>
      </c>
      <c r="CL138" s="21">
        <f>EXP(-LN(2)/25)*CL137+(1-EXP(-LN(2)/25))/(LN(2)/25)*Calculateur!CG138*Calculateur!CI138*VLOOKUP('Données projet'!$B$12,Paramètres!$A$1:$I$89,3,0)*0.475*44/12</f>
        <v>19.464899128261916</v>
      </c>
      <c r="CM138" s="21">
        <f>EXP(-LN(2)/2)*CM137+(1-EXP(-LN(2)/2))/(LN(2)/2)*CG138*CJ138*VLOOKUP('Données projet'!$B$12,Paramètres!$A$1:$I$89,3,0)*0.475*44/12</f>
        <v>1.3878798985322212E-4</v>
      </c>
      <c r="CN138" s="22">
        <f t="shared" si="120"/>
        <v>119.78242135773495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-3.4106051316484809E-13</v>
      </c>
      <c r="CU138" s="17">
        <f>CT138*VLOOKUP('Données projet'!$B$13,Paramètres!$A$1:$I$89,3,0)*VLOOKUP('Données projet'!$B$13,Paramètres!$A$1:$I$89,5,0)</f>
        <v>-2.0395418687257919E-13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237.036496933921</v>
      </c>
      <c r="CZ138" s="59">
        <f t="shared" si="150"/>
        <v>191.04289413665344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47.862765489212244</v>
      </c>
      <c r="DG138" s="21">
        <f>EXP(-LN(2)/25)*DG137+(1-EXP(-LN(2)/25))/(LN(2)/25)*Calculateur!DB138*Calculateur!DD138*VLOOKUP('Données projet'!$B$13,Paramètres!$A$1:$I$89,3,0)*0.475*44/12</f>
        <v>7.5295281421438496</v>
      </c>
      <c r="DH138" s="21">
        <f>EXP(-LN(2)/2)*DH137+(1-EXP(-LN(2)/2))/(LN(2)/2)*DB138*DE138*VLOOKUP('Données projet'!$B$13,Paramètres!$A$1:$I$89,3,0)*0.475*44/12</f>
        <v>1.8762471831046904E-7</v>
      </c>
      <c r="DI138" s="22">
        <f t="shared" si="123"/>
        <v>55.392293818980818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-3.979039320256561E-13</v>
      </c>
      <c r="DP138" s="17">
        <f>DO138*VLOOKUP('Données projet'!$B$14,Paramètres!$A$1:$I$89,3,0)*VLOOKUP('Données projet'!$B$14,Paramètres!$A$1:$I$89,5,0)</f>
        <v>-2.379465513513424E-13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148.22129593028302</v>
      </c>
      <c r="DU138" s="59">
        <f t="shared" si="152"/>
        <v>102.97015482019975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233.89079999999998</v>
      </c>
      <c r="EL138" s="13">
        <f t="shared" si="153"/>
        <v>57.123140349023068</v>
      </c>
      <c r="EM138" s="20">
        <f t="shared" si="127"/>
        <v>506.84927944121517</v>
      </c>
      <c r="EN138" s="59">
        <f t="shared" si="128"/>
        <v>800.18261277454849</v>
      </c>
      <c r="EO138" s="59">
        <f ca="1">AVERAGE(OFFSET($EN$3,0,0,'Données projet'!$E$15+1,1))-AVERAGE(OFFSET($H$3,0,0,'Données projet'!$E$15+1,1))</f>
        <v>278.53123771916404</v>
      </c>
      <c r="EP138" s="59">
        <f t="shared" si="154"/>
        <v>283.79094702030869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11.265378821630694</v>
      </c>
      <c r="EW138" s="21">
        <f>EXP(-LN(2)/25)*EW137+(1-EXP(-LN(2)/25))/(LN(2)/25)*Calculateur!ER138*Calculateur!ET138*VLOOKUP('Données projet'!$B$15,Paramètres!$A$1:$I$89,3,0)*0.475*44/12</f>
        <v>1.2278260270376224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12.493204848668316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6.1378205128205137</v>
      </c>
      <c r="FE138" s="12">
        <f>IF('Données projet'!$A$218&gt;35,FE137+FD138-FM137,IF(A138&lt;'Données projet'!$A$218,$FB$205^A138,IF(A138='Données projet'!$A$218,'Données projet'!$B$218,FE137+FD138-FM137)))</f>
        <v>296.32371794871756</v>
      </c>
      <c r="FF138" s="17">
        <f>FE138*VLOOKUP('Données projet'!$B$16,Paramètres!$A$1:$I$89,3,0)*VLOOKUP('Données projet'!$B$16,Paramètres!$A$1:$I$89,5,0)</f>
        <v>268.1136999999996</v>
      </c>
      <c r="FG138" s="13">
        <f t="shared" si="155"/>
        <v>64.448785624791412</v>
      </c>
      <c r="FH138" s="20">
        <f t="shared" si="130"/>
        <v>579.21299579651088</v>
      </c>
      <c r="FI138" s="59">
        <f t="shared" si="131"/>
        <v>872.54632912984425</v>
      </c>
      <c r="FJ138" s="59">
        <f ca="1">AVERAGE(OFFSET($FI$3,0,0,'Données projet'!$E$16+1,1))-AVERAGE(OFFSET($H$3,0,0,'Données projet'!$E$16+1,1))</f>
        <v>335.99493768537013</v>
      </c>
      <c r="FK138" s="59">
        <f t="shared" si="156"/>
        <v>150.85164849522778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49.429811270260231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49.429811270260231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259.99999999999983</v>
      </c>
      <c r="GA138" s="17">
        <f>FZ138*VLOOKUP('Données projet'!$B$17,Paramètres!$A$1:$I$89,3,0)*VLOOKUP('Données projet'!$B$17,Paramètres!$A$1:$I$89,5,0)</f>
        <v>227.13599999999985</v>
      </c>
      <c r="GB138" s="13">
        <f t="shared" si="157"/>
        <v>55.662966886685133</v>
      </c>
      <c r="GC138" s="20">
        <f t="shared" si="133"/>
        <v>492.5415339943097</v>
      </c>
      <c r="GD138" s="59">
        <f t="shared" si="134"/>
        <v>785.87486732764296</v>
      </c>
      <c r="GE138" s="59">
        <f ca="1">AVERAGE(OFFSET($GD$3,0,0,'Données projet'!$E$17+1,1))-AVERAGE(OFFSET($H$3,0,0,'Données projet'!$E$17+1,1))</f>
        <v>319.57811113658374</v>
      </c>
      <c r="GF138" s="59">
        <f t="shared" si="158"/>
        <v>322.03572137403245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18.880543241074825</v>
      </c>
      <c r="GM138" s="21">
        <f>EXP(-LN(2)/25)*GM137+(1-EXP(-LN(2)/25))/(LN(2)/25)*Calculateur!GH138*Calculateur!GJ138*VLOOKUP('Données projet'!$B$17,Paramètres!$A$1:$I$89,3,0)*0.475*44/12</f>
        <v>5.0932056550011771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23.973748896076003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5.4683368944097308E-14</v>
      </c>
      <c r="P139" s="13">
        <f t="shared" si="141"/>
        <v>8.8129432816788268E-13</v>
      </c>
      <c r="Q139" s="20">
        <f t="shared" si="108"/>
        <v>1.6301611558033651E-12</v>
      </c>
      <c r="R139" s="59">
        <f t="shared" si="109"/>
        <v>293.33333333333496</v>
      </c>
      <c r="S139" s="59">
        <f ca="1">AVERAGE(OFFSET($R$3,0,0,'Données projet'!$E$9+1,1))-AVERAGE(OFFSET($H$3,0,0,'Données projet'!$E$9+1,1))</f>
        <v>226.41956082453015</v>
      </c>
      <c r="T139" s="59">
        <f t="shared" si="142"/>
        <v>317.95076157570446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2.9262992029543969E-13</v>
      </c>
      <c r="AK139" s="13">
        <f t="shared" si="143"/>
        <v>3.8796387982050903E-12</v>
      </c>
      <c r="AL139" s="20">
        <f t="shared" si="112"/>
        <v>7.2667013513884219E-12</v>
      </c>
      <c r="AM139" s="59">
        <f t="shared" si="113"/>
        <v>293.33333333334059</v>
      </c>
      <c r="AN139" s="59">
        <f ca="1">AVERAGE(OFFSET($AM$3,0,0,'Données projet'!$E$10+1,1))-AVERAGE(OFFSET($H$3,0,0,'Données projet'!$E$10+1,1))</f>
        <v>257.80662231827404</v>
      </c>
      <c r="AO139" s="59">
        <f t="shared" si="144"/>
        <v>184.04558520039876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-4.5474735088646412E-13</v>
      </c>
      <c r="BE139" s="13">
        <f>BD139*VLOOKUP('Données projet'!$B$11,Paramètres!$A$1:$I$89,3,0)*VLOOKUP('Données projet'!$B$11,Paramètres!$A$1:$I$89,5,0)</f>
        <v>-2.5420376914553347E-13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300.90952915835157</v>
      </c>
      <c r="BJ139" s="59">
        <f t="shared" si="146"/>
        <v>402.81783992925256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45.572187412591937</v>
      </c>
      <c r="BQ139" s="21">
        <f>EXP(-LN(2)/25)*BQ138+(1-EXP(-LN(2)/25))/(LN(2)/25)*Calculateur!BL139*Calculateur!BN139*VLOOKUP('Données projet'!$B$11,Paramètres!$A$1:$I$89,3,0)*0.475*44/12</f>
        <v>6.1628471197449528</v>
      </c>
      <c r="BR139" s="21">
        <f>EXP(-LN(2)/2)*BR138+(1-EXP(-LN(2)/2))/(LN(2)/2)*BL139*BO139*VLOOKUP('Données projet'!$B$11,Paramètres!$A$1:$I$89,3,0)*0.475*44/12</f>
        <v>2.1636601535973104E-11</v>
      </c>
      <c r="BS139" s="22">
        <f t="shared" si="117"/>
        <v>51.735034532358526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-2.8421709430404007E-13</v>
      </c>
      <c r="BZ139" s="13">
        <f>BY139*VLOOKUP('Données projet'!$B$12,Paramètres!$A$1:$I$89,3,0)*VLOOKUP('Données projet'!$B$12,Paramètres!$A$1:$I$89,5,0)</f>
        <v>-1.4040324458619578E-13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246.05217890269194</v>
      </c>
      <c r="CE139" s="59">
        <f t="shared" si="148"/>
        <v>155.54297071424327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98.350220739757816</v>
      </c>
      <c r="CL139" s="21">
        <f>EXP(-LN(2)/25)*CL138+(1-EXP(-LN(2)/25))/(LN(2)/25)*Calculateur!CG139*Calculateur!CI139*VLOOKUP('Données projet'!$B$12,Paramètres!$A$1:$I$89,3,0)*0.475*44/12</f>
        <v>18.932630437985036</v>
      </c>
      <c r="CM139" s="21">
        <f>EXP(-LN(2)/2)*CM138+(1-EXP(-LN(2)/2))/(LN(2)/2)*CG139*CJ139*VLOOKUP('Données projet'!$B$12,Paramètres!$A$1:$I$89,3,0)*0.475*44/12</f>
        <v>9.8137928772463112E-5</v>
      </c>
      <c r="CN139" s="22">
        <f t="shared" si="120"/>
        <v>117.28294931567163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-3.4106051316484809E-13</v>
      </c>
      <c r="CU139" s="17">
        <f>CT139*VLOOKUP('Données projet'!$B$13,Paramètres!$A$1:$I$89,3,0)*VLOOKUP('Données projet'!$B$13,Paramètres!$A$1:$I$89,5,0)</f>
        <v>-2.0395418687257919E-13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237.036496933921</v>
      </c>
      <c r="CZ139" s="59">
        <f t="shared" si="150"/>
        <v>191.04289413665344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46.924205851373131</v>
      </c>
      <c r="DG139" s="21">
        <f>EXP(-LN(2)/25)*DG138+(1-EXP(-LN(2)/25))/(LN(2)/25)*Calculateur!DB139*Calculateur!DD139*VLOOKUP('Données projet'!$B$13,Paramètres!$A$1:$I$89,3,0)*0.475*44/12</f>
        <v>7.3236327991362504</v>
      </c>
      <c r="DH139" s="21">
        <f>EXP(-LN(2)/2)*DH138+(1-EXP(-LN(2)/2))/(LN(2)/2)*DB139*DE139*VLOOKUP('Données projet'!$B$13,Paramètres!$A$1:$I$89,3,0)*0.475*44/12</f>
        <v>1.3267071063554845E-7</v>
      </c>
      <c r="DI139" s="22">
        <f t="shared" si="123"/>
        <v>54.247838783180093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-3.979039320256561E-13</v>
      </c>
      <c r="DP139" s="17">
        <f>DO139*VLOOKUP('Données projet'!$B$14,Paramètres!$A$1:$I$89,3,0)*VLOOKUP('Données projet'!$B$14,Paramètres!$A$1:$I$89,5,0)</f>
        <v>-2.379465513513424E-13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148.22129593028302</v>
      </c>
      <c r="DU139" s="59">
        <f t="shared" si="152"/>
        <v>102.97015482019975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233.89079999999998</v>
      </c>
      <c r="EL139" s="13">
        <f t="shared" si="153"/>
        <v>57.123140349023068</v>
      </c>
      <c r="EM139" s="20">
        <f t="shared" si="127"/>
        <v>506.84927944121517</v>
      </c>
      <c r="EN139" s="59">
        <f t="shared" si="128"/>
        <v>800.18261277454849</v>
      </c>
      <c r="EO139" s="59">
        <f ca="1">AVERAGE(OFFSET($EN$3,0,0,'Données projet'!$E$15+1,1))-AVERAGE(OFFSET($H$3,0,0,'Données projet'!$E$15+1,1))</f>
        <v>278.53123771916404</v>
      </c>
      <c r="EP139" s="59">
        <f t="shared" si="154"/>
        <v>283.79094702030869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11.044471614141123</v>
      </c>
      <c r="EW139" s="21">
        <f>EXP(-LN(2)/25)*EW138+(1-EXP(-LN(2)/25))/(LN(2)/25)*Calculateur!ER139*Calculateur!ET139*VLOOKUP('Données projet'!$B$15,Paramètres!$A$1:$I$89,3,0)*0.475*44/12</f>
        <v>1.1942510597597142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12.238722673900838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6.1378205128205137</v>
      </c>
      <c r="FE139" s="12">
        <f>IF('Données projet'!$A$218&gt;35,FE138+FD139-FM138,IF(A139&lt;'Données projet'!$A$218,$FB$205^A139,IF(A139='Données projet'!$A$218,'Données projet'!$B$218,FE138+FD139-FM138)))</f>
        <v>302.46153846153805</v>
      </c>
      <c r="FF139" s="17">
        <f>FE139*VLOOKUP('Données projet'!$B$16,Paramètres!$A$1:$I$89,3,0)*VLOOKUP('Données projet'!$B$16,Paramètres!$A$1:$I$89,5,0)</f>
        <v>273.66719999999964</v>
      </c>
      <c r="FG139" s="13">
        <f t="shared" si="155"/>
        <v>65.62692955621516</v>
      </c>
      <c r="FH139" s="20">
        <f t="shared" si="130"/>
        <v>590.93727564374069</v>
      </c>
      <c r="FI139" s="59">
        <f t="shared" si="131"/>
        <v>884.27060897707406</v>
      </c>
      <c r="FJ139" s="59">
        <f ca="1">AVERAGE(OFFSET($FI$3,0,0,'Données projet'!$E$16+1,1))-AVERAGE(OFFSET($H$3,0,0,'Données projet'!$E$16+1,1))</f>
        <v>335.99493768537013</v>
      </c>
      <c r="FK139" s="59">
        <f t="shared" si="156"/>
        <v>150.85164849522778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48.460522820458316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48.460522820458316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259.99999999999983</v>
      </c>
      <c r="GA139" s="17">
        <f>FZ139*VLOOKUP('Données projet'!$B$17,Paramètres!$A$1:$I$89,3,0)*VLOOKUP('Données projet'!$B$17,Paramètres!$A$1:$I$89,5,0)</f>
        <v>227.13599999999985</v>
      </c>
      <c r="GB139" s="13">
        <f t="shared" si="157"/>
        <v>55.662966886685133</v>
      </c>
      <c r="GC139" s="20">
        <f t="shared" si="133"/>
        <v>492.5415339943097</v>
      </c>
      <c r="GD139" s="59">
        <f t="shared" si="134"/>
        <v>785.87486732764296</v>
      </c>
      <c r="GE139" s="59">
        <f ca="1">AVERAGE(OFFSET($GD$3,0,0,'Données projet'!$E$17+1,1))-AVERAGE(OFFSET($H$3,0,0,'Données projet'!$E$17+1,1))</f>
        <v>319.57811113658374</v>
      </c>
      <c r="GF139" s="59">
        <f t="shared" si="158"/>
        <v>322.03572137403245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18.510307304111613</v>
      </c>
      <c r="GM139" s="21">
        <f>EXP(-LN(2)/25)*GM138+(1-EXP(-LN(2)/25))/(LN(2)/25)*Calculateur!GH139*Calculateur!GJ139*VLOOKUP('Données projet'!$B$17,Paramètres!$A$1:$I$89,3,0)*0.475*44/12</f>
        <v>4.9539316785251248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23.464238982636736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5.4683368944097308E-14</v>
      </c>
      <c r="P140" s="13">
        <f t="shared" si="141"/>
        <v>8.8129432816788268E-13</v>
      </c>
      <c r="Q140" s="20">
        <f t="shared" si="108"/>
        <v>1.6301611558033651E-12</v>
      </c>
      <c r="R140" s="59">
        <f t="shared" si="109"/>
        <v>293.33333333333496</v>
      </c>
      <c r="S140" s="59">
        <f ca="1">AVERAGE(OFFSET($R$3,0,0,'Données projet'!$E$9+1,1))-AVERAGE(OFFSET($H$3,0,0,'Données projet'!$E$9+1,1))</f>
        <v>226.41956082453015</v>
      </c>
      <c r="T140" s="59">
        <f t="shared" si="142"/>
        <v>317.95076157570446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2.9262992029543969E-13</v>
      </c>
      <c r="AK140" s="13">
        <f t="shared" si="143"/>
        <v>3.8796387982050903E-12</v>
      </c>
      <c r="AL140" s="20">
        <f t="shared" si="112"/>
        <v>7.2667013513884219E-12</v>
      </c>
      <c r="AM140" s="59">
        <f t="shared" si="113"/>
        <v>293.33333333334059</v>
      </c>
      <c r="AN140" s="59">
        <f ca="1">AVERAGE(OFFSET($AM$3,0,0,'Données projet'!$E$10+1,1))-AVERAGE(OFFSET($H$3,0,0,'Données projet'!$E$10+1,1))</f>
        <v>257.80662231827404</v>
      </c>
      <c r="AO140" s="59">
        <f t="shared" si="144"/>
        <v>184.04558520039876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-4.5474735088646412E-13</v>
      </c>
      <c r="BE140" s="13">
        <f>BD140*VLOOKUP('Données projet'!$B$11,Paramètres!$A$1:$I$89,3,0)*VLOOKUP('Données projet'!$B$11,Paramètres!$A$1:$I$89,5,0)</f>
        <v>-2.5420376914553347E-13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300.90952915835157</v>
      </c>
      <c r="BJ140" s="59">
        <f t="shared" si="146"/>
        <v>402.81783992925256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44.678544613720675</v>
      </c>
      <c r="BQ140" s="21">
        <f>EXP(-LN(2)/25)*BQ139+(1-EXP(-LN(2)/25))/(LN(2)/25)*Calculateur!BL140*Calculateur!BN140*VLOOKUP('Données projet'!$B$11,Paramètres!$A$1:$I$89,3,0)*0.475*44/12</f>
        <v>5.9943237411654824</v>
      </c>
      <c r="BR140" s="21">
        <f>EXP(-LN(2)/2)*BR139+(1-EXP(-LN(2)/2))/(LN(2)/2)*BL140*BO140*VLOOKUP('Données projet'!$B$11,Paramètres!$A$1:$I$89,3,0)*0.475*44/12</f>
        <v>1.5299387667917852E-11</v>
      </c>
      <c r="BS140" s="22">
        <f t="shared" si="117"/>
        <v>50.672868354901453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-2.8421709430404007E-13</v>
      </c>
      <c r="BZ140" s="13">
        <f>BY140*VLOOKUP('Données projet'!$B$12,Paramètres!$A$1:$I$89,3,0)*VLOOKUP('Données projet'!$B$12,Paramètres!$A$1:$I$89,5,0)</f>
        <v>-1.4040324458619578E-13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246.05217890269194</v>
      </c>
      <c r="CE140" s="59">
        <f t="shared" si="148"/>
        <v>155.54297071424327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96.421632898762525</v>
      </c>
      <c r="CL140" s="21">
        <f>EXP(-LN(2)/25)*CL139+(1-EXP(-LN(2)/25))/(LN(2)/25)*Calculateur!CG140*Calculateur!CI140*VLOOKUP('Données projet'!$B$12,Paramètres!$A$1:$I$89,3,0)*0.475*44/12</f>
        <v>18.414916663034571</v>
      </c>
      <c r="CM140" s="21">
        <f>EXP(-LN(2)/2)*CM139+(1-EXP(-LN(2)/2))/(LN(2)/2)*CG140*CJ140*VLOOKUP('Données projet'!$B$12,Paramètres!$A$1:$I$89,3,0)*0.475*44/12</f>
        <v>6.9393994926611059E-5</v>
      </c>
      <c r="CN140" s="22">
        <f t="shared" si="120"/>
        <v>114.83661895579202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-3.4106051316484809E-13</v>
      </c>
      <c r="CU140" s="17">
        <f>CT140*VLOOKUP('Données projet'!$B$13,Paramètres!$A$1:$I$89,3,0)*VLOOKUP('Données projet'!$B$13,Paramètres!$A$1:$I$89,5,0)</f>
        <v>-2.0395418687257919E-13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237.036496933921</v>
      </c>
      <c r="CZ140" s="59">
        <f t="shared" si="150"/>
        <v>191.04289413665344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46.004050795567188</v>
      </c>
      <c r="DG140" s="21">
        <f>EXP(-LN(2)/25)*DG139+(1-EXP(-LN(2)/25))/(LN(2)/25)*Calculateur!DB140*Calculateur!DD140*VLOOKUP('Données projet'!$B$13,Paramètres!$A$1:$I$89,3,0)*0.475*44/12</f>
        <v>7.1233676751107593</v>
      </c>
      <c r="DH140" s="21">
        <f>EXP(-LN(2)/2)*DH139+(1-EXP(-LN(2)/2))/(LN(2)/2)*DB140*DE140*VLOOKUP('Données projet'!$B$13,Paramètres!$A$1:$I$89,3,0)*0.475*44/12</f>
        <v>9.3812359155234522E-8</v>
      </c>
      <c r="DI140" s="22">
        <f t="shared" si="123"/>
        <v>53.127418564490306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-3.979039320256561E-13</v>
      </c>
      <c r="DP140" s="17">
        <f>DO140*VLOOKUP('Données projet'!$B$14,Paramètres!$A$1:$I$89,3,0)*VLOOKUP('Données projet'!$B$14,Paramètres!$A$1:$I$89,5,0)</f>
        <v>-2.379465513513424E-13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148.22129593028302</v>
      </c>
      <c r="DU140" s="59">
        <f t="shared" si="152"/>
        <v>102.97015482019975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233.89079999999998</v>
      </c>
      <c r="EL140" s="13">
        <f t="shared" si="153"/>
        <v>57.123140349023068</v>
      </c>
      <c r="EM140" s="20">
        <f t="shared" si="127"/>
        <v>506.84927944121517</v>
      </c>
      <c r="EN140" s="59">
        <f t="shared" si="128"/>
        <v>800.18261277454849</v>
      </c>
      <c r="EO140" s="59">
        <f ca="1">AVERAGE(OFFSET($EN$3,0,0,'Données projet'!$E$15+1,1))-AVERAGE(OFFSET($H$3,0,0,'Données projet'!$E$15+1,1))</f>
        <v>278.53123771916404</v>
      </c>
      <c r="EP140" s="59">
        <f t="shared" si="154"/>
        <v>283.79094702030869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10.827896262250331</v>
      </c>
      <c r="EW140" s="21">
        <f>EXP(-LN(2)/25)*EW139+(1-EXP(-LN(2)/25))/(LN(2)/25)*Calculateur!ER140*Calculateur!ET140*VLOOKUP('Données projet'!$B$15,Paramètres!$A$1:$I$89,3,0)*0.475*44/12</f>
        <v>1.161594201727651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11.989490463977981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6.1378205128205137</v>
      </c>
      <c r="FE140" s="12">
        <f>IF('Données projet'!$A$218&gt;35,FE139+FD140-FM139,IF(A140&lt;'Données projet'!$A$218,$FB$205^A140,IF(A140='Données projet'!$A$218,'Données projet'!$B$218,FE139+FD140-FM139)))</f>
        <v>308.59935897435855</v>
      </c>
      <c r="FF140" s="17">
        <f>FE140*VLOOKUP('Données projet'!$B$16,Paramètres!$A$1:$I$89,3,0)*VLOOKUP('Données projet'!$B$16,Paramètres!$A$1:$I$89,5,0)</f>
        <v>279.22069999999962</v>
      </c>
      <c r="FG140" s="13">
        <f t="shared" si="155"/>
        <v>66.80229368446598</v>
      </c>
      <c r="FH140" s="20">
        <f t="shared" si="130"/>
        <v>602.65671400044437</v>
      </c>
      <c r="FI140" s="59">
        <f t="shared" si="131"/>
        <v>895.99004733377774</v>
      </c>
      <c r="FJ140" s="59">
        <f ca="1">AVERAGE(OFFSET($FI$3,0,0,'Données projet'!$E$16+1,1))-AVERAGE(OFFSET($H$3,0,0,'Données projet'!$E$16+1,1))</f>
        <v>335.99493768537013</v>
      </c>
      <c r="FK140" s="59">
        <f t="shared" si="156"/>
        <v>150.85164849522778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47.510241525949439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47.510241525949439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259.99999999999983</v>
      </c>
      <c r="GA140" s="17">
        <f>FZ140*VLOOKUP('Données projet'!$B$17,Paramètres!$A$1:$I$89,3,0)*VLOOKUP('Données projet'!$B$17,Paramètres!$A$1:$I$89,5,0)</f>
        <v>227.13599999999985</v>
      </c>
      <c r="GB140" s="13">
        <f t="shared" si="157"/>
        <v>55.662966886685133</v>
      </c>
      <c r="GC140" s="20">
        <f t="shared" si="133"/>
        <v>492.5415339943097</v>
      </c>
      <c r="GD140" s="59">
        <f t="shared" si="134"/>
        <v>785.87486732764296</v>
      </c>
      <c r="GE140" s="59">
        <f ca="1">AVERAGE(OFFSET($GD$3,0,0,'Données projet'!$E$17+1,1))-AVERAGE(OFFSET($H$3,0,0,'Données projet'!$E$17+1,1))</f>
        <v>319.57811113658374</v>
      </c>
      <c r="GF140" s="59">
        <f t="shared" si="158"/>
        <v>322.03572137403245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18.147331468050627</v>
      </c>
      <c r="GM140" s="21">
        <f>EXP(-LN(2)/25)*GM139+(1-EXP(-LN(2)/25))/(LN(2)/25)*Calculateur!GH140*Calculateur!GJ140*VLOOKUP('Données projet'!$B$17,Paramètres!$A$1:$I$89,3,0)*0.475*44/12</f>
        <v>4.8184661562599107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22.96579762431054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5.4683368944097308E-14</v>
      </c>
      <c r="P141" s="13">
        <f t="shared" si="141"/>
        <v>8.8129432816788268E-13</v>
      </c>
      <c r="Q141" s="20">
        <f t="shared" si="108"/>
        <v>1.6301611558033651E-12</v>
      </c>
      <c r="R141" s="59">
        <f t="shared" si="109"/>
        <v>293.33333333333496</v>
      </c>
      <c r="S141" s="59">
        <f ca="1">AVERAGE(OFFSET($R$3,0,0,'Données projet'!$E$9+1,1))-AVERAGE(OFFSET($H$3,0,0,'Données projet'!$E$9+1,1))</f>
        <v>226.41956082453015</v>
      </c>
      <c r="T141" s="59">
        <f t="shared" si="142"/>
        <v>317.95076157570446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2.9262992029543969E-13</v>
      </c>
      <c r="AK141" s="13">
        <f t="shared" si="143"/>
        <v>3.8796387982050903E-12</v>
      </c>
      <c r="AL141" s="20">
        <f t="shared" si="112"/>
        <v>7.2667013513884219E-12</v>
      </c>
      <c r="AM141" s="59">
        <f t="shared" si="113"/>
        <v>293.33333333334059</v>
      </c>
      <c r="AN141" s="59">
        <f ca="1">AVERAGE(OFFSET($AM$3,0,0,'Données projet'!$E$10+1,1))-AVERAGE(OFFSET($H$3,0,0,'Données projet'!$E$10+1,1))</f>
        <v>257.80662231827404</v>
      </c>
      <c r="AO141" s="59">
        <f t="shared" si="144"/>
        <v>184.04558520039876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-4.5474735088646412E-13</v>
      </c>
      <c r="BE141" s="13">
        <f>BD141*VLOOKUP('Données projet'!$B$11,Paramètres!$A$1:$I$89,3,0)*VLOOKUP('Données projet'!$B$11,Paramètres!$A$1:$I$89,5,0)</f>
        <v>-2.5420376914553347E-13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300.90952915835157</v>
      </c>
      <c r="BJ141" s="59">
        <f t="shared" si="146"/>
        <v>402.81783992925256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43.802425605066993</v>
      </c>
      <c r="BQ141" s="21">
        <f>EXP(-LN(2)/25)*BQ140+(1-EXP(-LN(2)/25))/(LN(2)/25)*Calculateur!BL141*Calculateur!BN141*VLOOKUP('Données projet'!$B$11,Paramètres!$A$1:$I$89,3,0)*0.475*44/12</f>
        <v>5.8304086432355273</v>
      </c>
      <c r="BR141" s="21">
        <f>EXP(-LN(2)/2)*BR140+(1-EXP(-LN(2)/2))/(LN(2)/2)*BL141*BO141*VLOOKUP('Données projet'!$B$11,Paramètres!$A$1:$I$89,3,0)*0.475*44/12</f>
        <v>1.0818300767986552E-11</v>
      </c>
      <c r="BS141" s="22">
        <f t="shared" si="117"/>
        <v>49.632834248313344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-2.8421709430404007E-13</v>
      </c>
      <c r="BZ141" s="13">
        <f>BY141*VLOOKUP('Données projet'!$B$12,Paramètres!$A$1:$I$89,3,0)*VLOOKUP('Données projet'!$B$12,Paramètres!$A$1:$I$89,5,0)</f>
        <v>-1.4040324458619578E-13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246.05217890269194</v>
      </c>
      <c r="CE141" s="59">
        <f t="shared" si="148"/>
        <v>155.54297071424327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94.53086348900672</v>
      </c>
      <c r="CL141" s="21">
        <f>EXP(-LN(2)/25)*CL140+(1-EXP(-LN(2)/25))/(LN(2)/25)*Calculateur!CG141*Calculateur!CI141*VLOOKUP('Données projet'!$B$12,Paramètres!$A$1:$I$89,3,0)*0.475*44/12</f>
        <v>17.91135979848551</v>
      </c>
      <c r="CM141" s="21">
        <f>EXP(-LN(2)/2)*CM140+(1-EXP(-LN(2)/2))/(LN(2)/2)*CG141*CJ141*VLOOKUP('Données projet'!$B$12,Paramètres!$A$1:$I$89,3,0)*0.475*44/12</f>
        <v>4.9068964386231556E-5</v>
      </c>
      <c r="CN141" s="22">
        <f t="shared" si="120"/>
        <v>112.44227235645661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-3.4106051316484809E-13</v>
      </c>
      <c r="CU141" s="17">
        <f>CT141*VLOOKUP('Données projet'!$B$13,Paramètres!$A$1:$I$89,3,0)*VLOOKUP('Données projet'!$B$13,Paramètres!$A$1:$I$89,5,0)</f>
        <v>-2.0395418687257919E-13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237.036496933921</v>
      </c>
      <c r="CZ141" s="59">
        <f t="shared" si="150"/>
        <v>191.04289413665344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45.101939419166435</v>
      </c>
      <c r="DG141" s="21">
        <f>EXP(-LN(2)/25)*DG140+(1-EXP(-LN(2)/25))/(LN(2)/25)*Calculateur!DB141*Calculateur!DD141*VLOOKUP('Données projet'!$B$13,Paramètres!$A$1:$I$89,3,0)*0.475*44/12</f>
        <v>6.9285788114332298</v>
      </c>
      <c r="DH141" s="21">
        <f>EXP(-LN(2)/2)*DH140+(1-EXP(-LN(2)/2))/(LN(2)/2)*DB141*DE141*VLOOKUP('Données projet'!$B$13,Paramètres!$A$1:$I$89,3,0)*0.475*44/12</f>
        <v>6.6335355317774226E-8</v>
      </c>
      <c r="DI141" s="22">
        <f t="shared" si="123"/>
        <v>52.030518296935021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-3.979039320256561E-13</v>
      </c>
      <c r="DP141" s="17">
        <f>DO141*VLOOKUP('Données projet'!$B$14,Paramètres!$A$1:$I$89,3,0)*VLOOKUP('Données projet'!$B$14,Paramètres!$A$1:$I$89,5,0)</f>
        <v>-2.379465513513424E-13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148.22129593028302</v>
      </c>
      <c r="DU141" s="59">
        <f t="shared" si="152"/>
        <v>102.97015482019975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233.89079999999998</v>
      </c>
      <c r="EL141" s="13">
        <f t="shared" si="153"/>
        <v>57.123140349023068</v>
      </c>
      <c r="EM141" s="20">
        <f t="shared" si="127"/>
        <v>506.84927944121517</v>
      </c>
      <c r="EN141" s="59">
        <f t="shared" si="128"/>
        <v>800.18261277454849</v>
      </c>
      <c r="EO141" s="59">
        <f ca="1">AVERAGE(OFFSET($EN$3,0,0,'Données projet'!$E$15+1,1))-AVERAGE(OFFSET($H$3,0,0,'Données projet'!$E$15+1,1))</f>
        <v>278.53123771916404</v>
      </c>
      <c r="EP141" s="59">
        <f t="shared" si="154"/>
        <v>283.79094702030869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10.615567820912196</v>
      </c>
      <c r="EW141" s="21">
        <f>EXP(-LN(2)/25)*EW140+(1-EXP(-LN(2)/25))/(LN(2)/25)*Calculateur!ER141*Calculateur!ET141*VLOOKUP('Données projet'!$B$15,Paramètres!$A$1:$I$89,3,0)*0.475*44/12</f>
        <v>1.1298303471958242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11.74539816810802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6.1378205128205137</v>
      </c>
      <c r="FE141" s="12">
        <f>IF('Données projet'!$A$218&gt;35,FE140+FD141-FM140,IF(A141&lt;'Données projet'!$A$218,$FB$205^A141,IF(A141='Données projet'!$A$218,'Données projet'!$B$218,FE140+FD141-FM140)))</f>
        <v>314.73717948717905</v>
      </c>
      <c r="FF141" s="17">
        <f>FE141*VLOOKUP('Données projet'!$B$16,Paramètres!$A$1:$I$89,3,0)*VLOOKUP('Données projet'!$B$16,Paramètres!$A$1:$I$89,5,0)</f>
        <v>284.77419999999955</v>
      </c>
      <c r="FG141" s="13">
        <f t="shared" si="155"/>
        <v>67.974939670209011</v>
      </c>
      <c r="FH141" s="20">
        <f t="shared" si="130"/>
        <v>614.37141825894662</v>
      </c>
      <c r="FI141" s="59">
        <f t="shared" si="131"/>
        <v>907.70475159227999</v>
      </c>
      <c r="FJ141" s="59">
        <f ca="1">AVERAGE(OFFSET($FI$3,0,0,'Données projet'!$E$16+1,1))-AVERAGE(OFFSET($H$3,0,0,'Données projet'!$E$16+1,1))</f>
        <v>335.99493768537013</v>
      </c>
      <c r="FK141" s="59">
        <f t="shared" si="156"/>
        <v>150.85164849522778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46.578594668011526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46.578594668011526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259.99999999999983</v>
      </c>
      <c r="GA141" s="17">
        <f>FZ141*VLOOKUP('Données projet'!$B$17,Paramètres!$A$1:$I$89,3,0)*VLOOKUP('Données projet'!$B$17,Paramètres!$A$1:$I$89,5,0)</f>
        <v>227.13599999999985</v>
      </c>
      <c r="GB141" s="13">
        <f t="shared" si="157"/>
        <v>55.662966886685133</v>
      </c>
      <c r="GC141" s="20">
        <f t="shared" si="133"/>
        <v>492.5415339943097</v>
      </c>
      <c r="GD141" s="59">
        <f t="shared" si="134"/>
        <v>785.87486732764296</v>
      </c>
      <c r="GE141" s="59">
        <f ca="1">AVERAGE(OFFSET($GD$3,0,0,'Données projet'!$E$17+1,1))-AVERAGE(OFFSET($H$3,0,0,'Données projet'!$E$17+1,1))</f>
        <v>319.57811113658374</v>
      </c>
      <c r="GF141" s="59">
        <f t="shared" si="158"/>
        <v>322.03572137403245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17.7914733667414</v>
      </c>
      <c r="GM141" s="21">
        <f>EXP(-LN(2)/25)*GM140+(1-EXP(-LN(2)/25))/(LN(2)/25)*Calculateur!GH141*Calculateur!GJ141*VLOOKUP('Données projet'!$B$17,Paramètres!$A$1:$I$89,3,0)*0.475*44/12</f>
        <v>4.6867049458248609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22.478178312566261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5.4683368944097308E-14</v>
      </c>
      <c r="P142" s="13">
        <f t="shared" si="141"/>
        <v>8.8129432816788268E-13</v>
      </c>
      <c r="Q142" s="20">
        <f t="shared" si="108"/>
        <v>1.6301611558033651E-12</v>
      </c>
      <c r="R142" s="59">
        <f t="shared" si="109"/>
        <v>293.33333333333496</v>
      </c>
      <c r="S142" s="59">
        <f ca="1">AVERAGE(OFFSET($R$3,0,0,'Données projet'!$E$9+1,1))-AVERAGE(OFFSET($H$3,0,0,'Données projet'!$E$9+1,1))</f>
        <v>226.41956082453015</v>
      </c>
      <c r="T142" s="59">
        <f t="shared" si="142"/>
        <v>317.95076157570446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2.9262992029543969E-13</v>
      </c>
      <c r="AK142" s="13">
        <f t="shared" si="143"/>
        <v>3.8796387982050903E-12</v>
      </c>
      <c r="AL142" s="20">
        <f t="shared" si="112"/>
        <v>7.2667013513884219E-12</v>
      </c>
      <c r="AM142" s="59">
        <f t="shared" si="113"/>
        <v>293.33333333334059</v>
      </c>
      <c r="AN142" s="59">
        <f ca="1">AVERAGE(OFFSET($AM$3,0,0,'Données projet'!$E$10+1,1))-AVERAGE(OFFSET($H$3,0,0,'Données projet'!$E$10+1,1))</f>
        <v>257.80662231827404</v>
      </c>
      <c r="AO142" s="59">
        <f t="shared" si="144"/>
        <v>184.04558520039876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-4.5474735088646412E-13</v>
      </c>
      <c r="BE142" s="13">
        <f>BD142*VLOOKUP('Données projet'!$B$11,Paramètres!$A$1:$I$89,3,0)*VLOOKUP('Données projet'!$B$11,Paramètres!$A$1:$I$89,5,0)</f>
        <v>-2.5420376914553347E-13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300.90952915835157</v>
      </c>
      <c r="BJ142" s="59">
        <f t="shared" si="146"/>
        <v>402.81783992925256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42.943486755793181</v>
      </c>
      <c r="BQ142" s="21">
        <f>EXP(-LN(2)/25)*BQ141+(1-EXP(-LN(2)/25))/(LN(2)/25)*Calculateur!BL142*Calculateur!BN142*VLOOKUP('Données projet'!$B$11,Paramètres!$A$1:$I$89,3,0)*0.475*44/12</f>
        <v>5.6709758122783871</v>
      </c>
      <c r="BR142" s="21">
        <f>EXP(-LN(2)/2)*BR141+(1-EXP(-LN(2)/2))/(LN(2)/2)*BL142*BO142*VLOOKUP('Données projet'!$B$11,Paramètres!$A$1:$I$89,3,0)*0.475*44/12</f>
        <v>7.6496938339589259E-12</v>
      </c>
      <c r="BS142" s="22">
        <f t="shared" si="117"/>
        <v>48.614462568079219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-2.8421709430404007E-13</v>
      </c>
      <c r="BZ142" s="13">
        <f>BY142*VLOOKUP('Données projet'!$B$12,Paramètres!$A$1:$I$89,3,0)*VLOOKUP('Données projet'!$B$12,Paramètres!$A$1:$I$89,5,0)</f>
        <v>-1.4040324458619578E-13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246.05217890269194</v>
      </c>
      <c r="CE142" s="59">
        <f t="shared" si="148"/>
        <v>155.54297071424327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92.677170914120765</v>
      </c>
      <c r="CL142" s="21">
        <f>EXP(-LN(2)/25)*CL141+(1-EXP(-LN(2)/25))/(LN(2)/25)*Calculateur!CG142*Calculateur!CI142*VLOOKUP('Données projet'!$B$12,Paramètres!$A$1:$I$89,3,0)*0.475*44/12</f>
        <v>17.421572722878448</v>
      </c>
      <c r="CM142" s="21">
        <f>EXP(-LN(2)/2)*CM141+(1-EXP(-LN(2)/2))/(LN(2)/2)*CG142*CJ142*VLOOKUP('Données projet'!$B$12,Paramètres!$A$1:$I$89,3,0)*0.475*44/12</f>
        <v>3.469699746330553E-5</v>
      </c>
      <c r="CN142" s="22">
        <f t="shared" si="120"/>
        <v>110.09877833399668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-3.4106051316484809E-13</v>
      </c>
      <c r="CU142" s="17">
        <f>CT142*VLOOKUP('Données projet'!$B$13,Paramètres!$A$1:$I$89,3,0)*VLOOKUP('Données projet'!$B$13,Paramètres!$A$1:$I$89,5,0)</f>
        <v>-2.0395418687257919E-13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237.036496933921</v>
      </c>
      <c r="CZ142" s="59">
        <f t="shared" si="150"/>
        <v>191.04289413665344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44.217517896623292</v>
      </c>
      <c r="DG142" s="21">
        <f>EXP(-LN(2)/25)*DG141+(1-EXP(-LN(2)/25))/(LN(2)/25)*Calculateur!DB142*Calculateur!DD142*VLOOKUP('Données projet'!$B$13,Paramètres!$A$1:$I$89,3,0)*0.475*44/12</f>
        <v>6.7391164594764641</v>
      </c>
      <c r="DH142" s="21">
        <f>EXP(-LN(2)/2)*DH141+(1-EXP(-LN(2)/2))/(LN(2)/2)*DB142*DE142*VLOOKUP('Données projet'!$B$13,Paramètres!$A$1:$I$89,3,0)*0.475*44/12</f>
        <v>4.6906179577617261E-8</v>
      </c>
      <c r="DI142" s="22">
        <f t="shared" si="123"/>
        <v>50.956634403005935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-3.979039320256561E-13</v>
      </c>
      <c r="DP142" s="17">
        <f>DO142*VLOOKUP('Données projet'!$B$14,Paramètres!$A$1:$I$89,3,0)*VLOOKUP('Données projet'!$B$14,Paramètres!$A$1:$I$89,5,0)</f>
        <v>-2.379465513513424E-13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148.22129593028302</v>
      </c>
      <c r="DU142" s="59">
        <f t="shared" si="152"/>
        <v>102.97015482019975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233.89079999999998</v>
      </c>
      <c r="EL142" s="13">
        <f t="shared" si="153"/>
        <v>57.123140349023068</v>
      </c>
      <c r="EM142" s="20">
        <f t="shared" si="127"/>
        <v>506.84927944121517</v>
      </c>
      <c r="EN142" s="59">
        <f t="shared" si="128"/>
        <v>800.18261277454849</v>
      </c>
      <c r="EO142" s="59">
        <f ca="1">AVERAGE(OFFSET($EN$3,0,0,'Données projet'!$E$15+1,1))-AVERAGE(OFFSET($H$3,0,0,'Données projet'!$E$15+1,1))</f>
        <v>278.53123771916404</v>
      </c>
      <c r="EP142" s="59">
        <f t="shared" si="154"/>
        <v>283.79094702030869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10.40740301080114</v>
      </c>
      <c r="EW142" s="21">
        <f>EXP(-LN(2)/25)*EW141+(1-EXP(-LN(2)/25))/(LN(2)/25)*Calculateur!ER142*Calculateur!ET142*VLOOKUP('Données projet'!$B$15,Paramètres!$A$1:$I$89,3,0)*0.475*44/12</f>
        <v>1.0989350769365587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11.506338087737699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6.1378205128205137</v>
      </c>
      <c r="FE142" s="12">
        <f>IF('Données projet'!$A$218&gt;35,FE141+FD142-FM141,IF(A142&lt;'Données projet'!$A$218,$FB$205^A142,IF(A142='Données projet'!$A$218,'Données projet'!$B$218,FE141+FD142-FM141)))</f>
        <v>320.87499999999955</v>
      </c>
      <c r="FF142" s="17">
        <f>FE142*VLOOKUP('Données projet'!$B$16,Paramètres!$A$1:$I$89,3,0)*VLOOKUP('Données projet'!$B$16,Paramètres!$A$1:$I$89,5,0)</f>
        <v>290.3276999999996</v>
      </c>
      <c r="FG142" s="13">
        <f t="shared" si="155"/>
        <v>69.144926631604633</v>
      </c>
      <c r="FH142" s="20">
        <f t="shared" si="130"/>
        <v>626.08149138337728</v>
      </c>
      <c r="FI142" s="59">
        <f t="shared" si="131"/>
        <v>919.41482471671065</v>
      </c>
      <c r="FJ142" s="59">
        <f ca="1">AVERAGE(OFFSET($FI$3,0,0,'Données projet'!$E$16+1,1))-AVERAGE(OFFSET($H$3,0,0,'Données projet'!$E$16+1,1))</f>
        <v>335.99493768537013</v>
      </c>
      <c r="FK142" s="59">
        <f t="shared" si="156"/>
        <v>150.85164849522778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45.665216836709298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45.665216836709298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259.99999999999983</v>
      </c>
      <c r="GA142" s="17">
        <f>FZ142*VLOOKUP('Données projet'!$B$17,Paramètres!$A$1:$I$89,3,0)*VLOOKUP('Données projet'!$B$17,Paramètres!$A$1:$I$89,5,0)</f>
        <v>227.13599999999985</v>
      </c>
      <c r="GB142" s="13">
        <f t="shared" si="157"/>
        <v>55.662966886685133</v>
      </c>
      <c r="GC142" s="20">
        <f t="shared" si="133"/>
        <v>492.5415339943097</v>
      </c>
      <c r="GD142" s="59">
        <f t="shared" si="134"/>
        <v>785.87486732764296</v>
      </c>
      <c r="GE142" s="59">
        <f ca="1">AVERAGE(OFFSET($GD$3,0,0,'Données projet'!$E$17+1,1))-AVERAGE(OFFSET($H$3,0,0,'Données projet'!$E$17+1,1))</f>
        <v>319.57811113658374</v>
      </c>
      <c r="GF142" s="59">
        <f t="shared" si="158"/>
        <v>322.03572137403245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17.442593425746836</v>
      </c>
      <c r="GM142" s="21">
        <f>EXP(-LN(2)/25)*GM141+(1-EXP(-LN(2)/25))/(LN(2)/25)*Calculateur!GH142*Calculateur!GJ142*VLOOKUP('Données projet'!$B$17,Paramètres!$A$1:$I$89,3,0)*0.475*44/12</f>
        <v>4.5585467526181782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22.001140178365013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5.4683368944097308E-14</v>
      </c>
      <c r="P143" s="13">
        <f t="shared" si="141"/>
        <v>8.8129432816788268E-13</v>
      </c>
      <c r="Q143" s="20">
        <f t="shared" si="108"/>
        <v>1.6301611558033651E-12</v>
      </c>
      <c r="R143" s="59">
        <f t="shared" si="109"/>
        <v>293.33333333333496</v>
      </c>
      <c r="S143" s="59">
        <f ca="1">AVERAGE(OFFSET($R$3,0,0,'Données projet'!$E$9+1,1))-AVERAGE(OFFSET($H$3,0,0,'Données projet'!$E$9+1,1))</f>
        <v>226.41956082453015</v>
      </c>
      <c r="T143" s="59">
        <f t="shared" si="142"/>
        <v>317.95076157570446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2.9262992029543969E-13</v>
      </c>
      <c r="AK143" s="13">
        <f t="shared" si="143"/>
        <v>3.8796387982050903E-12</v>
      </c>
      <c r="AL143" s="20">
        <f t="shared" si="112"/>
        <v>7.2667013513884219E-12</v>
      </c>
      <c r="AM143" s="59">
        <f t="shared" si="113"/>
        <v>293.33333333334059</v>
      </c>
      <c r="AN143" s="59">
        <f ca="1">AVERAGE(OFFSET($AM$3,0,0,'Données projet'!$E$10+1,1))-AVERAGE(OFFSET($H$3,0,0,'Données projet'!$E$10+1,1))</f>
        <v>257.80662231827404</v>
      </c>
      <c r="AO143" s="59">
        <f t="shared" si="144"/>
        <v>184.04558520039876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-4.5474735088646412E-13</v>
      </c>
      <c r="BE143" s="13">
        <f>BD143*VLOOKUP('Données projet'!$B$11,Paramètres!$A$1:$I$89,3,0)*VLOOKUP('Données projet'!$B$11,Paramètres!$A$1:$I$89,5,0)</f>
        <v>-2.5420376914553347E-13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300.90952915835157</v>
      </c>
      <c r="BJ143" s="59">
        <f t="shared" si="146"/>
        <v>402.81783992925256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42.101391173452662</v>
      </c>
      <c r="BQ143" s="21">
        <f>EXP(-LN(2)/25)*BQ142+(1-EXP(-LN(2)/25))/(LN(2)/25)*Calculateur!BL143*Calculateur!BN143*VLOOKUP('Données projet'!$B$11,Paramètres!$A$1:$I$89,3,0)*0.475*44/12</f>
        <v>5.5159026804679776</v>
      </c>
      <c r="BR143" s="21">
        <f>EXP(-LN(2)/2)*BR142+(1-EXP(-LN(2)/2))/(LN(2)/2)*BL143*BO143*VLOOKUP('Données projet'!$B$11,Paramètres!$A$1:$I$89,3,0)*0.475*44/12</f>
        <v>5.4091503839932761E-12</v>
      </c>
      <c r="BS143" s="22">
        <f t="shared" si="117"/>
        <v>47.61729385392605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-2.8421709430404007E-13</v>
      </c>
      <c r="BZ143" s="13">
        <f>BY143*VLOOKUP('Données projet'!$B$12,Paramètres!$A$1:$I$89,3,0)*VLOOKUP('Données projet'!$B$12,Paramètres!$A$1:$I$89,5,0)</f>
        <v>-1.4040324458619578E-13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246.05217890269194</v>
      </c>
      <c r="CE143" s="59">
        <f t="shared" si="148"/>
        <v>155.54297071424327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90.859828119987483</v>
      </c>
      <c r="CL143" s="21">
        <f>EXP(-LN(2)/25)*CL142+(1-EXP(-LN(2)/25))/(LN(2)/25)*Calculateur!CG143*Calculateur!CI143*VLOOKUP('Données projet'!$B$12,Paramètres!$A$1:$I$89,3,0)*0.475*44/12</f>
        <v>16.945178900610646</v>
      </c>
      <c r="CM143" s="21">
        <f>EXP(-LN(2)/2)*CM142+(1-EXP(-LN(2)/2))/(LN(2)/2)*CG143*CJ143*VLOOKUP('Données projet'!$B$12,Paramètres!$A$1:$I$89,3,0)*0.475*44/12</f>
        <v>2.4534482193115778E-5</v>
      </c>
      <c r="CN143" s="22">
        <f t="shared" si="120"/>
        <v>107.80503155508032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-3.4106051316484809E-13</v>
      </c>
      <c r="CU143" s="17">
        <f>CT143*VLOOKUP('Données projet'!$B$13,Paramètres!$A$1:$I$89,3,0)*VLOOKUP('Données projet'!$B$13,Paramètres!$A$1:$I$89,5,0)</f>
        <v>-2.0395418687257919E-13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237.036496933921</v>
      </c>
      <c r="CZ143" s="59">
        <f t="shared" si="150"/>
        <v>191.04289413665344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43.350439340693356</v>
      </c>
      <c r="DG143" s="21">
        <f>EXP(-LN(2)/25)*DG142+(1-EXP(-LN(2)/25))/(LN(2)/25)*Calculateur!DB143*Calculateur!DD143*VLOOKUP('Données projet'!$B$13,Paramètres!$A$1:$I$89,3,0)*0.475*44/12</f>
        <v>6.5548349654973483</v>
      </c>
      <c r="DH143" s="21">
        <f>EXP(-LN(2)/2)*DH142+(1-EXP(-LN(2)/2))/(LN(2)/2)*DB143*DE143*VLOOKUP('Données projet'!$B$13,Paramètres!$A$1:$I$89,3,0)*0.475*44/12</f>
        <v>3.3167677658887113E-8</v>
      </c>
      <c r="DI143" s="22">
        <f t="shared" si="123"/>
        <v>49.905274339358385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-3.979039320256561E-13</v>
      </c>
      <c r="DP143" s="17">
        <f>DO143*VLOOKUP('Données projet'!$B$14,Paramètres!$A$1:$I$89,3,0)*VLOOKUP('Données projet'!$B$14,Paramètres!$A$1:$I$89,5,0)</f>
        <v>-2.379465513513424E-13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148.22129593028302</v>
      </c>
      <c r="DU143" s="59">
        <f t="shared" si="152"/>
        <v>102.97015482019975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233.89079999999998</v>
      </c>
      <c r="EL143" s="13">
        <f t="shared" si="153"/>
        <v>57.123140349023068</v>
      </c>
      <c r="EM143" s="20">
        <f t="shared" si="127"/>
        <v>506.84927944121517</v>
      </c>
      <c r="EN143" s="59">
        <f t="shared" si="128"/>
        <v>800.18261277454849</v>
      </c>
      <c r="EO143" s="59">
        <f ca="1">AVERAGE(OFFSET($EN$3,0,0,'Données projet'!$E$15+1,1))-AVERAGE(OFFSET($H$3,0,0,'Données projet'!$E$15+1,1))</f>
        <v>278.53123771916404</v>
      </c>
      <c r="EP143" s="59">
        <f t="shared" si="154"/>
        <v>283.79094702030869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10.203320185648364</v>
      </c>
      <c r="EW143" s="21">
        <f>EXP(-LN(2)/25)*EW142+(1-EXP(-LN(2)/25))/(LN(2)/25)*Calculateur!ER143*Calculateur!ET143*VLOOKUP('Données projet'!$B$15,Paramètres!$A$1:$I$89,3,0)*0.475*44/12</f>
        <v>1.0688846394672444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11.272204825115608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6.1378205128205137</v>
      </c>
      <c r="FE143" s="12">
        <f>IF('Données projet'!$A$218&gt;35,FE142+FD143-FM142,IF(A143&lt;'Données projet'!$A$218,$FB$205^A143,IF(A143='Données projet'!$A$218,'Données projet'!$B$218,FE142+FD143-FM142)))</f>
        <v>327.01282051282004</v>
      </c>
      <c r="FF143" s="17">
        <f>FE143*VLOOKUP('Données projet'!$B$16,Paramètres!$A$1:$I$89,3,0)*VLOOKUP('Données projet'!$B$16,Paramètres!$A$1:$I$89,5,0)</f>
        <v>295.88119999999958</v>
      </c>
      <c r="FG143" s="13">
        <f t="shared" si="155"/>
        <v>70.31231129573932</v>
      </c>
      <c r="FH143" s="20">
        <f t="shared" si="130"/>
        <v>637.78703217341183</v>
      </c>
      <c r="FI143" s="59">
        <f t="shared" si="131"/>
        <v>931.1203655067452</v>
      </c>
      <c r="FJ143" s="59">
        <f ca="1">AVERAGE(OFFSET($FI$3,0,0,'Données projet'!$E$16+1,1))-AVERAGE(OFFSET($H$3,0,0,'Données projet'!$E$16+1,1))</f>
        <v>335.99493768537013</v>
      </c>
      <c r="FK143" s="59">
        <f t="shared" si="156"/>
        <v>150.85164849522778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44.769749787573438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44.769749787573438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259.99999999999983</v>
      </c>
      <c r="GA143" s="17">
        <f>FZ143*VLOOKUP('Données projet'!$B$17,Paramètres!$A$1:$I$89,3,0)*VLOOKUP('Données projet'!$B$17,Paramètres!$A$1:$I$89,5,0)</f>
        <v>227.13599999999985</v>
      </c>
      <c r="GB143" s="13">
        <f t="shared" si="157"/>
        <v>55.662966886685133</v>
      </c>
      <c r="GC143" s="20">
        <f t="shared" si="133"/>
        <v>492.5415339943097</v>
      </c>
      <c r="GD143" s="59">
        <f t="shared" si="134"/>
        <v>785.87486732764296</v>
      </c>
      <c r="GE143" s="59">
        <f ca="1">AVERAGE(OFFSET($GD$3,0,0,'Données projet'!$E$17+1,1))-AVERAGE(OFFSET($H$3,0,0,'Données projet'!$E$17+1,1))</f>
        <v>319.57811113658374</v>
      </c>
      <c r="GF143" s="59">
        <f t="shared" si="158"/>
        <v>322.03572137403245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17.100554807599423</v>
      </c>
      <c r="GM143" s="21">
        <f>EXP(-LN(2)/25)*GM142+(1-EXP(-LN(2)/25))/(LN(2)/25)*Calculateur!GH143*Calculateur!GJ143*VLOOKUP('Données projet'!$B$17,Paramètres!$A$1:$I$89,3,0)*0.475*44/12</f>
        <v>4.4338930519442794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21.534447859543704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5.4683368944097308E-14</v>
      </c>
      <c r="P144" s="13">
        <f t="shared" si="141"/>
        <v>8.8129432816788268E-13</v>
      </c>
      <c r="Q144" s="20">
        <f t="shared" si="108"/>
        <v>1.6301611558033651E-12</v>
      </c>
      <c r="R144" s="59">
        <f t="shared" si="109"/>
        <v>293.33333333333496</v>
      </c>
      <c r="S144" s="59">
        <f ca="1">AVERAGE(OFFSET($R$3,0,0,'Données projet'!$E$9+1,1))-AVERAGE(OFFSET($H$3,0,0,'Données projet'!$E$9+1,1))</f>
        <v>226.41956082453015</v>
      </c>
      <c r="T144" s="59">
        <f t="shared" si="142"/>
        <v>317.95076157570446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2.9262992029543969E-13</v>
      </c>
      <c r="AK144" s="13">
        <f t="shared" si="143"/>
        <v>3.8796387982050903E-12</v>
      </c>
      <c r="AL144" s="20">
        <f t="shared" si="112"/>
        <v>7.2667013513884219E-12</v>
      </c>
      <c r="AM144" s="59">
        <f t="shared" si="113"/>
        <v>293.33333333334059</v>
      </c>
      <c r="AN144" s="59">
        <f ca="1">AVERAGE(OFFSET($AM$3,0,0,'Données projet'!$E$10+1,1))-AVERAGE(OFFSET($H$3,0,0,'Données projet'!$E$10+1,1))</f>
        <v>257.80662231827404</v>
      </c>
      <c r="AO144" s="59">
        <f t="shared" si="144"/>
        <v>184.04558520039876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-4.5474735088646412E-13</v>
      </c>
      <c r="BE144" s="13">
        <f>BD144*VLOOKUP('Données projet'!$B$11,Paramètres!$A$1:$I$89,3,0)*VLOOKUP('Données projet'!$B$11,Paramètres!$A$1:$I$89,5,0)</f>
        <v>-2.5420376914553347E-13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300.90952915835157</v>
      </c>
      <c r="BJ144" s="59">
        <f t="shared" si="146"/>
        <v>402.81783992925256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41.275808571854249</v>
      </c>
      <c r="BQ144" s="21">
        <f>EXP(-LN(2)/25)*BQ143+(1-EXP(-LN(2)/25))/(LN(2)/25)*Calculateur!BL144*Calculateur!BN144*VLOOKUP('Données projet'!$B$11,Paramètres!$A$1:$I$89,3,0)*0.475*44/12</f>
        <v>5.3650700316018654</v>
      </c>
      <c r="BR144" s="21">
        <f>EXP(-LN(2)/2)*BR143+(1-EXP(-LN(2)/2))/(LN(2)/2)*BL144*BO144*VLOOKUP('Données projet'!$B$11,Paramètres!$A$1:$I$89,3,0)*0.475*44/12</f>
        <v>3.824846916979463E-12</v>
      </c>
      <c r="BS144" s="22">
        <f t="shared" si="117"/>
        <v>46.640878603459939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-2.8421709430404007E-13</v>
      </c>
      <c r="BZ144" s="13">
        <f>BY144*VLOOKUP('Données projet'!$B$12,Paramètres!$A$1:$I$89,3,0)*VLOOKUP('Données projet'!$B$12,Paramètres!$A$1:$I$89,5,0)</f>
        <v>-1.4040324458619578E-13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246.05217890269194</v>
      </c>
      <c r="CE144" s="59">
        <f t="shared" si="148"/>
        <v>155.54297071424327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89.078122309577509</v>
      </c>
      <c r="CL144" s="21">
        <f>EXP(-LN(2)/25)*CL143+(1-EXP(-LN(2)/25))/(LN(2)/25)*Calculateur!CG144*Calculateur!CI144*VLOOKUP('Données projet'!$B$12,Paramètres!$A$1:$I$89,3,0)*0.475*44/12</f>
        <v>16.481812092465219</v>
      </c>
      <c r="CM144" s="21">
        <f>EXP(-LN(2)/2)*CM143+(1-EXP(-LN(2)/2))/(LN(2)/2)*CG144*CJ144*VLOOKUP('Données projet'!$B$12,Paramètres!$A$1:$I$89,3,0)*0.475*44/12</f>
        <v>1.7348498731652765E-5</v>
      </c>
      <c r="CN144" s="22">
        <f t="shared" si="120"/>
        <v>105.55995175054146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-3.4106051316484809E-13</v>
      </c>
      <c r="CU144" s="17">
        <f>CT144*VLOOKUP('Données projet'!$B$13,Paramètres!$A$1:$I$89,3,0)*VLOOKUP('Données projet'!$B$13,Paramètres!$A$1:$I$89,5,0)</f>
        <v>-2.0395418687257919E-13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237.036496933921</v>
      </c>
      <c r="CZ144" s="59">
        <f t="shared" si="150"/>
        <v>191.04289413665344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42.500363666379506</v>
      </c>
      <c r="DG144" s="21">
        <f>EXP(-LN(2)/25)*DG143+(1-EXP(-LN(2)/25))/(LN(2)/25)*Calculateur!DB144*Calculateur!DD144*VLOOKUP('Données projet'!$B$13,Paramètres!$A$1:$I$89,3,0)*0.475*44/12</f>
        <v>6.3755926586620335</v>
      </c>
      <c r="DH144" s="21">
        <f>EXP(-LN(2)/2)*DH143+(1-EXP(-LN(2)/2))/(LN(2)/2)*DB144*DE144*VLOOKUP('Données projet'!$B$13,Paramètres!$A$1:$I$89,3,0)*0.475*44/12</f>
        <v>2.3453089788808631E-8</v>
      </c>
      <c r="DI144" s="22">
        <f t="shared" si="123"/>
        <v>48.875956348494633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-3.979039320256561E-13</v>
      </c>
      <c r="DP144" s="17">
        <f>DO144*VLOOKUP('Données projet'!$B$14,Paramètres!$A$1:$I$89,3,0)*VLOOKUP('Données projet'!$B$14,Paramètres!$A$1:$I$89,5,0)</f>
        <v>-2.379465513513424E-13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148.22129593028302</v>
      </c>
      <c r="DU144" s="59">
        <f t="shared" si="152"/>
        <v>102.97015482019975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233.89079999999998</v>
      </c>
      <c r="EL144" s="13">
        <f t="shared" si="153"/>
        <v>57.123140349023068</v>
      </c>
      <c r="EM144" s="20">
        <f t="shared" si="127"/>
        <v>506.84927944121517</v>
      </c>
      <c r="EN144" s="59">
        <f t="shared" si="128"/>
        <v>800.18261277454849</v>
      </c>
      <c r="EO144" s="59">
        <f ca="1">AVERAGE(OFFSET($EN$3,0,0,'Données projet'!$E$15+1,1))-AVERAGE(OFFSET($H$3,0,0,'Données projet'!$E$15+1,1))</f>
        <v>278.53123771916404</v>
      </c>
      <c r="EP144" s="59">
        <f t="shared" si="154"/>
        <v>283.79094702030869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10.003239300218603</v>
      </c>
      <c r="EW144" s="21">
        <f>EXP(-LN(2)/25)*EW143+(1-EXP(-LN(2)/25))/(LN(2)/25)*Calculateur!ER144*Calculateur!ET144*VLOOKUP('Données projet'!$B$15,Paramètres!$A$1:$I$89,3,0)*0.475*44/12</f>
        <v>1.0396559327908124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11.042895233009414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6.1378205128205137</v>
      </c>
      <c r="FE144" s="12">
        <f>IF('Données projet'!$A$218&gt;35,FE143+FD144-FM143,IF(A144&lt;'Données projet'!$A$218,$FB$205^A144,IF(A144='Données projet'!$A$218,'Données projet'!$B$218,FE143+FD144-FM143)))</f>
        <v>333.15064102564054</v>
      </c>
      <c r="FF144" s="17">
        <f>FE144*VLOOKUP('Données projet'!$B$16,Paramètres!$A$1:$I$89,3,0)*VLOOKUP('Données projet'!$B$16,Paramètres!$A$1:$I$89,5,0)</f>
        <v>301.43469999999951</v>
      </c>
      <c r="FG144" s="13">
        <f t="shared" si="155"/>
        <v>71.477148138366914</v>
      </c>
      <c r="FH144" s="20">
        <f t="shared" si="130"/>
        <v>649.48813550765476</v>
      </c>
      <c r="FI144" s="59">
        <f t="shared" si="131"/>
        <v>942.82146884098802</v>
      </c>
      <c r="FJ144" s="59">
        <f ca="1">AVERAGE(OFFSET($FI$3,0,0,'Données projet'!$E$16+1,1))-AVERAGE(OFFSET($H$3,0,0,'Données projet'!$E$16+1,1))</f>
        <v>335.99493768537013</v>
      </c>
      <c r="FK144" s="59">
        <f t="shared" si="156"/>
        <v>150.85164849522778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43.891842301090165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43.891842301090165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259.99999999999983</v>
      </c>
      <c r="GA144" s="17">
        <f>FZ144*VLOOKUP('Données projet'!$B$17,Paramètres!$A$1:$I$89,3,0)*VLOOKUP('Données projet'!$B$17,Paramètres!$A$1:$I$89,5,0)</f>
        <v>227.13599999999985</v>
      </c>
      <c r="GB144" s="13">
        <f t="shared" si="157"/>
        <v>55.662966886685133</v>
      </c>
      <c r="GC144" s="20">
        <f t="shared" si="133"/>
        <v>492.5415339943097</v>
      </c>
      <c r="GD144" s="59">
        <f t="shared" si="134"/>
        <v>785.87486732764296</v>
      </c>
      <c r="GE144" s="59">
        <f ca="1">AVERAGE(OFFSET($GD$3,0,0,'Données projet'!$E$17+1,1))-AVERAGE(OFFSET($H$3,0,0,'Données projet'!$E$17+1,1))</f>
        <v>319.57811113658374</v>
      </c>
      <c r="GF144" s="59">
        <f t="shared" si="158"/>
        <v>322.03572137403245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16.765223358130925</v>
      </c>
      <c r="GM144" s="21">
        <f>EXP(-LN(2)/25)*GM143+(1-EXP(-LN(2)/25))/(LN(2)/25)*Calculateur!GH144*Calculateur!GJ144*VLOOKUP('Données projet'!$B$17,Paramètres!$A$1:$I$89,3,0)*0.475*44/12</f>
        <v>4.3126480132705609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21.077871371401486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5.4683368944097308E-14</v>
      </c>
      <c r="P145" s="13">
        <f t="shared" si="141"/>
        <v>8.8129432816788268E-13</v>
      </c>
      <c r="Q145" s="20">
        <f t="shared" si="108"/>
        <v>1.6301611558033651E-12</v>
      </c>
      <c r="R145" s="59">
        <f t="shared" si="109"/>
        <v>293.33333333333496</v>
      </c>
      <c r="S145" s="59">
        <f ca="1">AVERAGE(OFFSET($R$3,0,0,'Données projet'!$E$9+1,1))-AVERAGE(OFFSET($H$3,0,0,'Données projet'!$E$9+1,1))</f>
        <v>226.41956082453015</v>
      </c>
      <c r="T145" s="59">
        <f t="shared" si="142"/>
        <v>317.95076157570446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2.9262992029543969E-13</v>
      </c>
      <c r="AK145" s="13">
        <f t="shared" si="143"/>
        <v>3.8796387982050903E-12</v>
      </c>
      <c r="AL145" s="20">
        <f t="shared" si="112"/>
        <v>7.2667013513884219E-12</v>
      </c>
      <c r="AM145" s="59">
        <f t="shared" si="113"/>
        <v>293.33333333334059</v>
      </c>
      <c r="AN145" s="59">
        <f ca="1">AVERAGE(OFFSET($AM$3,0,0,'Données projet'!$E$10+1,1))-AVERAGE(OFFSET($H$3,0,0,'Données projet'!$E$10+1,1))</f>
        <v>257.80662231827404</v>
      </c>
      <c r="AO145" s="59">
        <f t="shared" si="144"/>
        <v>184.04558520039876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-4.5474735088646412E-13</v>
      </c>
      <c r="BE145" s="13">
        <f>BD145*VLOOKUP('Données projet'!$B$11,Paramètres!$A$1:$I$89,3,0)*VLOOKUP('Données projet'!$B$11,Paramètres!$A$1:$I$89,5,0)</f>
        <v>-2.5420376914553347E-13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300.90952915835157</v>
      </c>
      <c r="BJ145" s="59">
        <f t="shared" si="146"/>
        <v>402.81783992925256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40.466415141517516</v>
      </c>
      <c r="BQ145" s="21">
        <f>EXP(-LN(2)/25)*BQ144+(1-EXP(-LN(2)/25))/(LN(2)/25)*Calculateur!BL145*Calculateur!BN145*VLOOKUP('Données projet'!$B$11,Paramètres!$A$1:$I$89,3,0)*0.475*44/12</f>
        <v>5.218361909450941</v>
      </c>
      <c r="BR145" s="21">
        <f>EXP(-LN(2)/2)*BR144+(1-EXP(-LN(2)/2))/(LN(2)/2)*BL145*BO145*VLOOKUP('Données projet'!$B$11,Paramètres!$A$1:$I$89,3,0)*0.475*44/12</f>
        <v>2.704575191996638E-12</v>
      </c>
      <c r="BS145" s="22">
        <f t="shared" si="117"/>
        <v>45.684777050971164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-2.8421709430404007E-13</v>
      </c>
      <c r="BZ145" s="13">
        <f>BY145*VLOOKUP('Données projet'!$B$12,Paramètres!$A$1:$I$89,3,0)*VLOOKUP('Données projet'!$B$12,Paramètres!$A$1:$I$89,5,0)</f>
        <v>-1.4040324458619578E-13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246.05217890269194</v>
      </c>
      <c r="CE145" s="59">
        <f t="shared" si="148"/>
        <v>155.54297071424327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87.33135466337643</v>
      </c>
      <c r="CL145" s="21">
        <f>EXP(-LN(2)/25)*CL144+(1-EXP(-LN(2)/25))/(LN(2)/25)*Calculateur!CG145*Calculateur!CI145*VLOOKUP('Données projet'!$B$12,Paramètres!$A$1:$I$89,3,0)*0.475*44/12</f>
        <v>16.03111607405593</v>
      </c>
      <c r="CM145" s="21">
        <f>EXP(-LN(2)/2)*CM144+(1-EXP(-LN(2)/2))/(LN(2)/2)*CG145*CJ145*VLOOKUP('Données projet'!$B$12,Paramètres!$A$1:$I$89,3,0)*0.475*44/12</f>
        <v>1.2267241096557889E-5</v>
      </c>
      <c r="CN145" s="22">
        <f t="shared" si="120"/>
        <v>103.36248300467345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-3.4106051316484809E-13</v>
      </c>
      <c r="CU145" s="17">
        <f>CT145*VLOOKUP('Données projet'!$B$13,Paramètres!$A$1:$I$89,3,0)*VLOOKUP('Données projet'!$B$13,Paramètres!$A$1:$I$89,5,0)</f>
        <v>-2.0395418687257919E-13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237.036496933921</v>
      </c>
      <c r="CZ145" s="59">
        <f t="shared" si="150"/>
        <v>191.04289413665344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41.666957457543994</v>
      </c>
      <c r="DG145" s="21">
        <f>EXP(-LN(2)/25)*DG144+(1-EXP(-LN(2)/25))/(LN(2)/25)*Calculateur!DB145*Calculateur!DD145*VLOOKUP('Données projet'!$B$13,Paramètres!$A$1:$I$89,3,0)*0.475*44/12</f>
        <v>6.2012517421330742</v>
      </c>
      <c r="DH145" s="21">
        <f>EXP(-LN(2)/2)*DH144+(1-EXP(-LN(2)/2))/(LN(2)/2)*DB145*DE145*VLOOKUP('Données projet'!$B$13,Paramètres!$A$1:$I$89,3,0)*0.475*44/12</f>
        <v>1.6583838829443556E-8</v>
      </c>
      <c r="DI145" s="22">
        <f t="shared" si="123"/>
        <v>47.868209216260908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-3.979039320256561E-13</v>
      </c>
      <c r="DP145" s="17">
        <f>DO145*VLOOKUP('Données projet'!$B$14,Paramètres!$A$1:$I$89,3,0)*VLOOKUP('Données projet'!$B$14,Paramètres!$A$1:$I$89,5,0)</f>
        <v>-2.379465513513424E-13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148.22129593028302</v>
      </c>
      <c r="DU145" s="59">
        <f t="shared" si="152"/>
        <v>102.97015482019975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233.89079999999998</v>
      </c>
      <c r="EL145" s="13">
        <f t="shared" si="153"/>
        <v>57.123140349023068</v>
      </c>
      <c r="EM145" s="20">
        <f t="shared" si="127"/>
        <v>506.84927944121517</v>
      </c>
      <c r="EN145" s="59">
        <f t="shared" si="128"/>
        <v>800.18261277454849</v>
      </c>
      <c r="EO145" s="59">
        <f ca="1">AVERAGE(OFFSET($EN$3,0,0,'Données projet'!$E$15+1,1))-AVERAGE(OFFSET($H$3,0,0,'Données projet'!$E$15+1,1))</f>
        <v>278.53123771916404</v>
      </c>
      <c r="EP145" s="59">
        <f t="shared" si="154"/>
        <v>283.79094702030869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9.8070818789148291</v>
      </c>
      <c r="EW145" s="21">
        <f>EXP(-LN(2)/25)*EW144+(1-EXP(-LN(2)/25))/(LN(2)/25)*Calculateur!ER145*Calculateur!ET145*VLOOKUP('Données projet'!$B$15,Paramètres!$A$1:$I$89,3,0)*0.475*44/12</f>
        <v>1.0112264866355183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10.818308365550347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6.1378205128205137</v>
      </c>
      <c r="FE145" s="12">
        <f>IF('Données projet'!$A$218&gt;35,FE144+FD145-FM144,IF(A145&lt;'Données projet'!$A$218,$FB$205^A145,IF(A145='Données projet'!$A$218,'Données projet'!$B$218,FE144+FD145-FM144)))</f>
        <v>339.28846153846104</v>
      </c>
      <c r="FF145" s="17">
        <f>FE145*VLOOKUP('Données projet'!$B$16,Paramètres!$A$1:$I$89,3,0)*VLOOKUP('Données projet'!$B$16,Paramètres!$A$1:$I$89,5,0)</f>
        <v>306.98819999999955</v>
      </c>
      <c r="FG145" s="13">
        <f t="shared" si="155"/>
        <v>72.639489513059672</v>
      </c>
      <c r="FH145" s="20">
        <f t="shared" si="130"/>
        <v>661.18489256857811</v>
      </c>
      <c r="FI145" s="59">
        <f t="shared" si="131"/>
        <v>954.51822590191136</v>
      </c>
      <c r="FJ145" s="59">
        <f ca="1">AVERAGE(OFFSET($FI$3,0,0,'Données projet'!$E$16+1,1))-AVERAGE(OFFSET($H$3,0,0,'Données projet'!$E$16+1,1))</f>
        <v>335.99493768537013</v>
      </c>
      <c r="FK145" s="59">
        <f t="shared" si="156"/>
        <v>150.85164849522778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43.031150044946138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43.031150044946138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259.99999999999983</v>
      </c>
      <c r="GA145" s="17">
        <f>FZ145*VLOOKUP('Données projet'!$B$17,Paramètres!$A$1:$I$89,3,0)*VLOOKUP('Données projet'!$B$17,Paramètres!$A$1:$I$89,5,0)</f>
        <v>227.13599999999985</v>
      </c>
      <c r="GB145" s="13">
        <f t="shared" si="157"/>
        <v>55.662966886685133</v>
      </c>
      <c r="GC145" s="20">
        <f t="shared" si="133"/>
        <v>492.5415339943097</v>
      </c>
      <c r="GD145" s="59">
        <f t="shared" si="134"/>
        <v>785.87486732764296</v>
      </c>
      <c r="GE145" s="59">
        <f ca="1">AVERAGE(OFFSET($GD$3,0,0,'Données projet'!$E$17+1,1))-AVERAGE(OFFSET($H$3,0,0,'Données projet'!$E$17+1,1))</f>
        <v>319.57811113658374</v>
      </c>
      <c r="GF145" s="59">
        <f t="shared" si="158"/>
        <v>322.03572137403245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16.436467553854513</v>
      </c>
      <c r="GM145" s="21">
        <f>EXP(-LN(2)/25)*GM144+(1-EXP(-LN(2)/25))/(LN(2)/25)*Calculateur!GH145*Calculateur!GJ145*VLOOKUP('Données projet'!$B$17,Paramètres!$A$1:$I$89,3,0)*0.475*44/12</f>
        <v>4.194718426555375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20.631185980409889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5.4683368944097308E-14</v>
      </c>
      <c r="P146" s="13">
        <f t="shared" si="141"/>
        <v>8.8129432816788268E-13</v>
      </c>
      <c r="Q146" s="20">
        <f t="shared" si="108"/>
        <v>1.6301611558033651E-12</v>
      </c>
      <c r="R146" s="59">
        <f t="shared" si="109"/>
        <v>293.33333333333496</v>
      </c>
      <c r="S146" s="59">
        <f ca="1">AVERAGE(OFFSET($R$3,0,0,'Données projet'!$E$9+1,1))-AVERAGE(OFFSET($H$3,0,0,'Données projet'!$E$9+1,1))</f>
        <v>226.41956082453015</v>
      </c>
      <c r="T146" s="59">
        <f t="shared" si="142"/>
        <v>317.95076157570446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2.9262992029543969E-13</v>
      </c>
      <c r="AK146" s="13">
        <f t="shared" si="143"/>
        <v>3.8796387982050903E-12</v>
      </c>
      <c r="AL146" s="20">
        <f t="shared" si="112"/>
        <v>7.2667013513884219E-12</v>
      </c>
      <c r="AM146" s="59">
        <f t="shared" si="113"/>
        <v>293.33333333334059</v>
      </c>
      <c r="AN146" s="59">
        <f ca="1">AVERAGE(OFFSET($AM$3,0,0,'Données projet'!$E$10+1,1))-AVERAGE(OFFSET($H$3,0,0,'Données projet'!$E$10+1,1))</f>
        <v>257.80662231827404</v>
      </c>
      <c r="AO146" s="59">
        <f t="shared" si="144"/>
        <v>184.04558520039876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-4.5474735088646412E-13</v>
      </c>
      <c r="BE146" s="13">
        <f>BD146*VLOOKUP('Données projet'!$B$11,Paramètres!$A$1:$I$89,3,0)*VLOOKUP('Données projet'!$B$11,Paramètres!$A$1:$I$89,5,0)</f>
        <v>-2.5420376914553347E-13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300.90952915835157</v>
      </c>
      <c r="BJ146" s="59">
        <f t="shared" si="146"/>
        <v>402.81783992925256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39.672893422668437</v>
      </c>
      <c r="BQ146" s="21">
        <f>EXP(-LN(2)/25)*BQ145+(1-EXP(-LN(2)/25))/(LN(2)/25)*Calculateur!BL146*Calculateur!BN146*VLOOKUP('Données projet'!$B$11,Paramètres!$A$1:$I$89,3,0)*0.475*44/12</f>
        <v>5.0756655286152785</v>
      </c>
      <c r="BR146" s="21">
        <f>EXP(-LN(2)/2)*BR145+(1-EXP(-LN(2)/2))/(LN(2)/2)*BL146*BO146*VLOOKUP('Données projet'!$B$11,Paramètres!$A$1:$I$89,3,0)*0.475*44/12</f>
        <v>1.9124234584897315E-12</v>
      </c>
      <c r="BS146" s="22">
        <f t="shared" si="117"/>
        <v>44.748558951285624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-2.8421709430404007E-13</v>
      </c>
      <c r="BZ146" s="13">
        <f>BY146*VLOOKUP('Données projet'!$B$12,Paramètres!$A$1:$I$89,3,0)*VLOOKUP('Données projet'!$B$12,Paramètres!$A$1:$I$89,5,0)</f>
        <v>-1.4040324458619578E-13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246.05217890269194</v>
      </c>
      <c r="CE146" s="59">
        <f t="shared" si="148"/>
        <v>155.54297071424327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85.618840065294293</v>
      </c>
      <c r="CL146" s="21">
        <f>EXP(-LN(2)/25)*CL145+(1-EXP(-LN(2)/25))/(LN(2)/25)*Calculateur!CG146*Calculateur!CI146*VLOOKUP('Données projet'!$B$12,Paramètres!$A$1:$I$89,3,0)*0.475*44/12</f>
        <v>15.592744361971116</v>
      </c>
      <c r="CM146" s="21">
        <f>EXP(-LN(2)/2)*CM145+(1-EXP(-LN(2)/2))/(LN(2)/2)*CG146*CJ146*VLOOKUP('Données projet'!$B$12,Paramètres!$A$1:$I$89,3,0)*0.475*44/12</f>
        <v>8.6742493658263824E-6</v>
      </c>
      <c r="CN146" s="22">
        <f t="shared" si="120"/>
        <v>101.21159310151478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-3.4106051316484809E-13</v>
      </c>
      <c r="CU146" s="17">
        <f>CT146*VLOOKUP('Données projet'!$B$13,Paramètres!$A$1:$I$89,3,0)*VLOOKUP('Données projet'!$B$13,Paramètres!$A$1:$I$89,5,0)</f>
        <v>-2.0395418687257919E-13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237.036496933921</v>
      </c>
      <c r="CZ146" s="59">
        <f t="shared" si="150"/>
        <v>191.04289413665344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40.849893836136147</v>
      </c>
      <c r="DG146" s="21">
        <f>EXP(-LN(2)/25)*DG145+(1-EXP(-LN(2)/25))/(LN(2)/25)*Calculateur!DB146*Calculateur!DD146*VLOOKUP('Données projet'!$B$13,Paramètres!$A$1:$I$89,3,0)*0.475*44/12</f>
        <v>6.0316781871347889</v>
      </c>
      <c r="DH146" s="21">
        <f>EXP(-LN(2)/2)*DH145+(1-EXP(-LN(2)/2))/(LN(2)/2)*DB146*DE146*VLOOKUP('Données projet'!$B$13,Paramètres!$A$1:$I$89,3,0)*0.475*44/12</f>
        <v>1.1726544894404315E-8</v>
      </c>
      <c r="DI146" s="22">
        <f t="shared" si="123"/>
        <v>46.881572034997475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-3.979039320256561E-13</v>
      </c>
      <c r="DP146" s="17">
        <f>DO146*VLOOKUP('Données projet'!$B$14,Paramètres!$A$1:$I$89,3,0)*VLOOKUP('Données projet'!$B$14,Paramètres!$A$1:$I$89,5,0)</f>
        <v>-2.379465513513424E-13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148.22129593028302</v>
      </c>
      <c r="DU146" s="59">
        <f t="shared" si="152"/>
        <v>102.97015482019975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233.89079999999998</v>
      </c>
      <c r="EL146" s="13">
        <f t="shared" si="153"/>
        <v>57.123140349023068</v>
      </c>
      <c r="EM146" s="20">
        <f t="shared" si="127"/>
        <v>506.84927944121517</v>
      </c>
      <c r="EN146" s="59">
        <f t="shared" si="128"/>
        <v>800.18261277454849</v>
      </c>
      <c r="EO146" s="59">
        <f ca="1">AVERAGE(OFFSET($EN$3,0,0,'Données projet'!$E$15+1,1))-AVERAGE(OFFSET($H$3,0,0,'Données projet'!$E$15+1,1))</f>
        <v>278.53123771916404</v>
      </c>
      <c r="EP146" s="59">
        <f t="shared" si="154"/>
        <v>283.79094702030869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9.6147709849986089</v>
      </c>
      <c r="EW146" s="21">
        <f>EXP(-LN(2)/25)*EW145+(1-EXP(-LN(2)/25))/(LN(2)/25)*Calculateur!ER146*Calculateur!ET146*VLOOKUP('Données projet'!$B$15,Paramètres!$A$1:$I$89,3,0)*0.475*44/12</f>
        <v>0.98357444518038029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10.598345430178989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6.1378205128205137</v>
      </c>
      <c r="FE146" s="12">
        <f>IF('Données projet'!$A$218&gt;35,FE145+FD146-FM145,IF(A146&lt;'Données projet'!$A$218,$FB$205^A146,IF(A146='Données projet'!$A$218,'Données projet'!$B$218,FE145+FD146-FM145)))</f>
        <v>345.42628205128153</v>
      </c>
      <c r="FF146" s="17">
        <f>FE146*VLOOKUP('Données projet'!$B$16,Paramètres!$A$1:$I$89,3,0)*VLOOKUP('Données projet'!$B$16,Paramètres!$A$1:$I$89,5,0)</f>
        <v>312.54169999999954</v>
      </c>
      <c r="FG146" s="13">
        <f t="shared" si="155"/>
        <v>73.79938577074968</v>
      </c>
      <c r="FH146" s="20">
        <f t="shared" si="130"/>
        <v>672.87739105072149</v>
      </c>
      <c r="FI146" s="59">
        <f t="shared" si="131"/>
        <v>966.21072438405486</v>
      </c>
      <c r="FJ146" s="59">
        <f ca="1">AVERAGE(OFFSET($FI$3,0,0,'Données projet'!$E$16+1,1))-AVERAGE(OFFSET($H$3,0,0,'Données projet'!$E$16+1,1))</f>
        <v>335.99493768537013</v>
      </c>
      <c r="FK146" s="59">
        <f t="shared" si="156"/>
        <v>150.85164849522778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42.187335438974657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42.187335438974657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259.99999999999983</v>
      </c>
      <c r="GA146" s="17">
        <f>FZ146*VLOOKUP('Données projet'!$B$17,Paramètres!$A$1:$I$89,3,0)*VLOOKUP('Données projet'!$B$17,Paramètres!$A$1:$I$89,5,0)</f>
        <v>227.13599999999985</v>
      </c>
      <c r="GB146" s="13">
        <f t="shared" si="157"/>
        <v>55.662966886685133</v>
      </c>
      <c r="GC146" s="20">
        <f t="shared" si="133"/>
        <v>492.5415339943097</v>
      </c>
      <c r="GD146" s="59">
        <f t="shared" si="134"/>
        <v>785.87486732764296</v>
      </c>
      <c r="GE146" s="59">
        <f ca="1">AVERAGE(OFFSET($GD$3,0,0,'Données projet'!$E$17+1,1))-AVERAGE(OFFSET($H$3,0,0,'Données projet'!$E$17+1,1))</f>
        <v>319.57811113658374</v>
      </c>
      <c r="GF146" s="59">
        <f t="shared" si="158"/>
        <v>322.03572137403245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16.114158450378721</v>
      </c>
      <c r="GM146" s="21">
        <f>EXP(-LN(2)/25)*GM145+(1-EXP(-LN(2)/25))/(LN(2)/25)*Calculateur!GH146*Calculateur!GJ146*VLOOKUP('Données projet'!$B$17,Paramètres!$A$1:$I$89,3,0)*0.475*44/12</f>
        <v>4.080013630590563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20.194172080969285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5.4683368944097308E-14</v>
      </c>
      <c r="P147" s="13">
        <f t="shared" si="141"/>
        <v>8.8129432816788268E-13</v>
      </c>
      <c r="Q147" s="20">
        <f t="shared" si="108"/>
        <v>1.6301611558033651E-12</v>
      </c>
      <c r="R147" s="59">
        <f t="shared" si="109"/>
        <v>293.33333333333496</v>
      </c>
      <c r="S147" s="59">
        <f ca="1">AVERAGE(OFFSET($R$3,0,0,'Données projet'!$E$9+1,1))-AVERAGE(OFFSET($H$3,0,0,'Données projet'!$E$9+1,1))</f>
        <v>226.41956082453015</v>
      </c>
      <c r="T147" s="59">
        <f t="shared" si="142"/>
        <v>317.95076157570446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2.9262992029543969E-13</v>
      </c>
      <c r="AK147" s="13">
        <f t="shared" si="143"/>
        <v>3.8796387982050903E-12</v>
      </c>
      <c r="AL147" s="20">
        <f t="shared" si="112"/>
        <v>7.2667013513884219E-12</v>
      </c>
      <c r="AM147" s="59">
        <f t="shared" si="113"/>
        <v>293.33333333334059</v>
      </c>
      <c r="AN147" s="59">
        <f ca="1">AVERAGE(OFFSET($AM$3,0,0,'Données projet'!$E$10+1,1))-AVERAGE(OFFSET($H$3,0,0,'Données projet'!$E$10+1,1))</f>
        <v>257.80662231827404</v>
      </c>
      <c r="AO147" s="59">
        <f t="shared" si="144"/>
        <v>184.04558520039876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-4.5474735088646412E-13</v>
      </c>
      <c r="BE147" s="13">
        <f>BD147*VLOOKUP('Données projet'!$B$11,Paramètres!$A$1:$I$89,3,0)*VLOOKUP('Données projet'!$B$11,Paramètres!$A$1:$I$89,5,0)</f>
        <v>-2.5420376914553347E-13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300.90952915835157</v>
      </c>
      <c r="BJ147" s="59">
        <f t="shared" si="146"/>
        <v>402.81783992925256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38.894932180725533</v>
      </c>
      <c r="BQ147" s="21">
        <f>EXP(-LN(2)/25)*BQ146+(1-EXP(-LN(2)/25))/(LN(2)/25)*Calculateur!BL147*Calculateur!BN147*VLOOKUP('Données projet'!$B$11,Paramètres!$A$1:$I$89,3,0)*0.475*44/12</f>
        <v>4.9368711878176441</v>
      </c>
      <c r="BR147" s="21">
        <f>EXP(-LN(2)/2)*BR146+(1-EXP(-LN(2)/2))/(LN(2)/2)*BL147*BO147*VLOOKUP('Données projet'!$B$11,Paramètres!$A$1:$I$89,3,0)*0.475*44/12</f>
        <v>1.352287595998319E-12</v>
      </c>
      <c r="BS147" s="22">
        <f t="shared" si="117"/>
        <v>43.831803368544527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-2.8421709430404007E-13</v>
      </c>
      <c r="BZ147" s="13">
        <f>BY147*VLOOKUP('Données projet'!$B$12,Paramètres!$A$1:$I$89,3,0)*VLOOKUP('Données projet'!$B$12,Paramètres!$A$1:$I$89,5,0)</f>
        <v>-1.4040324458619578E-13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246.05217890269194</v>
      </c>
      <c r="CE147" s="59">
        <f t="shared" si="148"/>
        <v>155.54297071424327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83.939906833949792</v>
      </c>
      <c r="CL147" s="21">
        <f>EXP(-LN(2)/25)*CL146+(1-EXP(-LN(2)/25))/(LN(2)/25)*Calculateur!CG147*Calculateur!CI147*VLOOKUP('Données projet'!$B$12,Paramètres!$A$1:$I$89,3,0)*0.475*44/12</f>
        <v>15.166359947406228</v>
      </c>
      <c r="CM147" s="21">
        <f>EXP(-LN(2)/2)*CM146+(1-EXP(-LN(2)/2))/(LN(2)/2)*CG147*CJ147*VLOOKUP('Données projet'!$B$12,Paramètres!$A$1:$I$89,3,0)*0.475*44/12</f>
        <v>6.1336205482789445E-6</v>
      </c>
      <c r="CN147" s="22">
        <f t="shared" si="120"/>
        <v>99.106272914976572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-3.4106051316484809E-13</v>
      </c>
      <c r="CU147" s="17">
        <f>CT147*VLOOKUP('Données projet'!$B$13,Paramètres!$A$1:$I$89,3,0)*VLOOKUP('Données projet'!$B$13,Paramètres!$A$1:$I$89,5,0)</f>
        <v>-2.0395418687257919E-13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237.036496933921</v>
      </c>
      <c r="CZ147" s="59">
        <f t="shared" si="150"/>
        <v>191.04289413665344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40.048852333984506</v>
      </c>
      <c r="DG147" s="21">
        <f>EXP(-LN(2)/25)*DG146+(1-EXP(-LN(2)/25))/(LN(2)/25)*Calculateur!DB147*Calculateur!DD147*VLOOKUP('Données projet'!$B$13,Paramètres!$A$1:$I$89,3,0)*0.475*44/12</f>
        <v>5.8667416299154178</v>
      </c>
      <c r="DH147" s="21">
        <f>EXP(-LN(2)/2)*DH146+(1-EXP(-LN(2)/2))/(LN(2)/2)*DB147*DE147*VLOOKUP('Données projet'!$B$13,Paramètres!$A$1:$I$89,3,0)*0.475*44/12</f>
        <v>8.2919194147217782E-9</v>
      </c>
      <c r="DI147" s="22">
        <f t="shared" si="123"/>
        <v>45.915593972191843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-3.979039320256561E-13</v>
      </c>
      <c r="DP147" s="17">
        <f>DO147*VLOOKUP('Données projet'!$B$14,Paramètres!$A$1:$I$89,3,0)*VLOOKUP('Données projet'!$B$14,Paramètres!$A$1:$I$89,5,0)</f>
        <v>-2.379465513513424E-13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148.22129593028302</v>
      </c>
      <c r="DU147" s="59">
        <f t="shared" si="152"/>
        <v>102.97015482019975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233.89079999999998</v>
      </c>
      <c r="EL147" s="13">
        <f t="shared" si="153"/>
        <v>57.123140349023068</v>
      </c>
      <c r="EM147" s="20">
        <f t="shared" si="127"/>
        <v>506.84927944121517</v>
      </c>
      <c r="EN147" s="59">
        <f t="shared" si="128"/>
        <v>800.18261277454849</v>
      </c>
      <c r="EO147" s="59">
        <f ca="1">AVERAGE(OFFSET($EN$3,0,0,'Données projet'!$E$15+1,1))-AVERAGE(OFFSET($H$3,0,0,'Données projet'!$E$15+1,1))</f>
        <v>278.53123771916404</v>
      </c>
      <c r="EP147" s="59">
        <f t="shared" si="154"/>
        <v>283.79094702030869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9.4262311904140219</v>
      </c>
      <c r="EW147" s="21">
        <f>EXP(-LN(2)/25)*EW146+(1-EXP(-LN(2)/25))/(LN(2)/25)*Calculateur!ER147*Calculateur!ET147*VLOOKUP('Données projet'!$B$15,Paramètres!$A$1:$I$89,3,0)*0.475*44/12</f>
        <v>0.95667855025299076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10.382909740667012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>
        <f>VLOOKUP(A147,'Données projet'!$A$217:$I$237,2,0)</f>
        <v>351.5641025641026</v>
      </c>
      <c r="FC147" s="12">
        <f>VLOOKUP(A147,'Données projet'!$A$217:$I$237,9,0)</f>
        <v>6.1378205128205137</v>
      </c>
      <c r="FD147" s="12">
        <f t="array" ref="FD147">INDEX(FC:FC,MIN(IF(ISNUMBER(FC147:FC343),ROW(FC147:FC343),"")))</f>
        <v>6.1378205128205137</v>
      </c>
      <c r="FE147" s="12">
        <f>IF('Données projet'!$A$218&gt;35,FE146+FD147-FM146,IF(A147&lt;'Données projet'!$A$218,$FB$205^A147,IF(A147='Données projet'!$A$218,'Données projet'!$B$218,FE146+FD147-FM146)))</f>
        <v>351.56410256410203</v>
      </c>
      <c r="FF147" s="17">
        <f>FE147*VLOOKUP('Données projet'!$B$16,Paramètres!$A$1:$I$89,3,0)*VLOOKUP('Données projet'!$B$16,Paramètres!$A$1:$I$89,5,0)</f>
        <v>318.09519999999947</v>
      </c>
      <c r="FG147" s="13">
        <f t="shared" si="155"/>
        <v>74.956885370533442</v>
      </c>
      <c r="FH147" s="20">
        <f t="shared" si="130"/>
        <v>684.56571535367812</v>
      </c>
      <c r="FI147" s="59">
        <f t="shared" si="131"/>
        <v>977.89904868701137</v>
      </c>
      <c r="FJ147" s="59">
        <f ca="1">AVERAGE(OFFSET($FI$3,0,0,'Données projet'!$E$16+1,1))-AVERAGE(OFFSET($H$3,0,0,'Données projet'!$E$16+1,1))</f>
        <v>335.99493768537013</v>
      </c>
      <c r="FK147" s="59">
        <f t="shared" si="156"/>
        <v>150.85164849522778</v>
      </c>
      <c r="FL147" s="15">
        <f>IF(ISNA(VLOOKUP(A147,'Données projet'!$A$217:$I$237,3,0)),0,VLOOKUP(A147,'Données projet'!$A$217:$I$237,3,0))</f>
        <v>12</v>
      </c>
      <c r="FM147" s="15">
        <f>IF(ISNA(VLOOKUP(A147,'Données projet'!$A$217:$I$237,4,0)),0,VLOOKUP(A147,'Données projet'!$A$217:$I$237,4,0))</f>
        <v>42.224358974358978</v>
      </c>
      <c r="FN147" s="16">
        <f>IF(ISNA(VLOOKUP(A147,'Données projet'!$A$217:$I$237,5,0)),0%,VLOOKUP(A147,'Données projet'!$A$217:$I$237,5,0)*VLOOKUP('Données projet'!$B$16,Paramètres!$A$1:$I$89,7,0))</f>
        <v>0.38700000000000001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57.704646289907245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57.704646289907245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259.99999999999983</v>
      </c>
      <c r="GA147" s="17">
        <f>FZ147*VLOOKUP('Données projet'!$B$17,Paramètres!$A$1:$I$89,3,0)*VLOOKUP('Données projet'!$B$17,Paramètres!$A$1:$I$89,5,0)</f>
        <v>227.13599999999985</v>
      </c>
      <c r="GB147" s="13">
        <f t="shared" si="157"/>
        <v>55.662966886685133</v>
      </c>
      <c r="GC147" s="20">
        <f t="shared" si="133"/>
        <v>492.5415339943097</v>
      </c>
      <c r="GD147" s="59">
        <f t="shared" si="134"/>
        <v>785.87486732764296</v>
      </c>
      <c r="GE147" s="59">
        <f ca="1">AVERAGE(OFFSET($GD$3,0,0,'Données projet'!$E$17+1,1))-AVERAGE(OFFSET($H$3,0,0,'Données projet'!$E$17+1,1))</f>
        <v>319.57811113658374</v>
      </c>
      <c r="GF147" s="59">
        <f t="shared" si="158"/>
        <v>322.03572137403245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15.798169631832948</v>
      </c>
      <c r="GM147" s="21">
        <f>EXP(-LN(2)/25)*GM146+(1-EXP(-LN(2)/25))/(LN(2)/25)*Calculateur!GH147*Calculateur!GJ147*VLOOKUP('Données projet'!$B$17,Paramètres!$A$1:$I$89,3,0)*0.475*44/12</f>
        <v>3.9684454433034722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19.766615075136421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5.4683368944097308E-14</v>
      </c>
      <c r="P148" s="13">
        <f t="shared" si="141"/>
        <v>8.8129432816788268E-13</v>
      </c>
      <c r="Q148" s="20">
        <f t="shared" si="108"/>
        <v>1.6301611558033651E-12</v>
      </c>
      <c r="R148" s="59">
        <f t="shared" si="109"/>
        <v>293.33333333333496</v>
      </c>
      <c r="S148" s="59">
        <f ca="1">AVERAGE(OFFSET($R$3,0,0,'Données projet'!$E$9+1,1))-AVERAGE(OFFSET($H$3,0,0,'Données projet'!$E$9+1,1))</f>
        <v>226.41956082453015</v>
      </c>
      <c r="T148" s="59">
        <f t="shared" si="142"/>
        <v>317.95076157570446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2.9262992029543969E-13</v>
      </c>
      <c r="AK148" s="13">
        <f t="shared" si="143"/>
        <v>3.8796387982050903E-12</v>
      </c>
      <c r="AL148" s="20">
        <f t="shared" si="112"/>
        <v>7.2667013513884219E-12</v>
      </c>
      <c r="AM148" s="59">
        <f t="shared" si="113"/>
        <v>293.33333333334059</v>
      </c>
      <c r="AN148" s="59">
        <f ca="1">AVERAGE(OFFSET($AM$3,0,0,'Données projet'!$E$10+1,1))-AVERAGE(OFFSET($H$3,0,0,'Données projet'!$E$10+1,1))</f>
        <v>257.80662231827404</v>
      </c>
      <c r="AO148" s="59">
        <f t="shared" si="144"/>
        <v>184.04558520039876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-4.5474735088646412E-13</v>
      </c>
      <c r="BE148" s="13">
        <f>BD148*VLOOKUP('Données projet'!$B$11,Paramètres!$A$1:$I$89,3,0)*VLOOKUP('Données projet'!$B$11,Paramètres!$A$1:$I$89,5,0)</f>
        <v>-2.5420376914553347E-13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300.90952915835157</v>
      </c>
      <c r="BJ148" s="59">
        <f t="shared" si="146"/>
        <v>402.81783992925256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38.132226284227627</v>
      </c>
      <c r="BQ148" s="21">
        <f>EXP(-LN(2)/25)*BQ147+(1-EXP(-LN(2)/25))/(LN(2)/25)*Calculateur!BL148*Calculateur!BN148*VLOOKUP('Données projet'!$B$11,Paramètres!$A$1:$I$89,3,0)*0.475*44/12</f>
        <v>4.8018721855679987</v>
      </c>
      <c r="BR148" s="21">
        <f>EXP(-LN(2)/2)*BR147+(1-EXP(-LN(2)/2))/(LN(2)/2)*BL148*BO148*VLOOKUP('Données projet'!$B$11,Paramètres!$A$1:$I$89,3,0)*0.475*44/12</f>
        <v>9.5621172924486574E-13</v>
      </c>
      <c r="BS148" s="22">
        <f t="shared" si="117"/>
        <v>42.934098469796588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-2.8421709430404007E-13</v>
      </c>
      <c r="BZ148" s="13">
        <f>BY148*VLOOKUP('Données projet'!$B$12,Paramètres!$A$1:$I$89,3,0)*VLOOKUP('Données projet'!$B$12,Paramètres!$A$1:$I$89,5,0)</f>
        <v>-1.4040324458619578E-13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246.05217890269194</v>
      </c>
      <c r="CE148" s="59">
        <f t="shared" si="148"/>
        <v>155.54297071424327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82.293896459223788</v>
      </c>
      <c r="CL148" s="21">
        <f>EXP(-LN(2)/25)*CL147+(1-EXP(-LN(2)/25))/(LN(2)/25)*Calculateur!CG148*Calculateur!CI148*VLOOKUP('Données projet'!$B$12,Paramètres!$A$1:$I$89,3,0)*0.475*44/12</f>
        <v>14.751635037080199</v>
      </c>
      <c r="CM148" s="21">
        <f>EXP(-LN(2)/2)*CM147+(1-EXP(-LN(2)/2))/(LN(2)/2)*CG148*CJ148*VLOOKUP('Données projet'!$B$12,Paramètres!$A$1:$I$89,3,0)*0.475*44/12</f>
        <v>4.3371246829131912E-6</v>
      </c>
      <c r="CN148" s="22">
        <f t="shared" si="120"/>
        <v>97.045535833428673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-3.4106051316484809E-13</v>
      </c>
      <c r="CU148" s="17">
        <f>CT148*VLOOKUP('Données projet'!$B$13,Paramètres!$A$1:$I$89,3,0)*VLOOKUP('Données projet'!$B$13,Paramètres!$A$1:$I$89,5,0)</f>
        <v>-2.0395418687257919E-13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237.036496933921</v>
      </c>
      <c r="CZ148" s="59">
        <f t="shared" si="150"/>
        <v>191.04289413665344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39.263518767102987</v>
      </c>
      <c r="DG148" s="21">
        <f>EXP(-LN(2)/25)*DG147+(1-EXP(-LN(2)/25))/(LN(2)/25)*Calculateur!DB148*Calculateur!DD148*VLOOKUP('Données projet'!$B$13,Paramètres!$A$1:$I$89,3,0)*0.475*44/12</f>
        <v>5.7063152715268473</v>
      </c>
      <c r="DH148" s="21">
        <f>EXP(-LN(2)/2)*DH147+(1-EXP(-LN(2)/2))/(LN(2)/2)*DB148*DE148*VLOOKUP('Données projet'!$B$13,Paramètres!$A$1:$I$89,3,0)*0.475*44/12</f>
        <v>5.8632724472021576E-9</v>
      </c>
      <c r="DI148" s="22">
        <f t="shared" si="123"/>
        <v>44.969834044493105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-3.979039320256561E-13</v>
      </c>
      <c r="DP148" s="17">
        <f>DO148*VLOOKUP('Données projet'!$B$14,Paramètres!$A$1:$I$89,3,0)*VLOOKUP('Données projet'!$B$14,Paramètres!$A$1:$I$89,5,0)</f>
        <v>-2.379465513513424E-13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148.22129593028302</v>
      </c>
      <c r="DU148" s="59">
        <f t="shared" si="152"/>
        <v>102.97015482019975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233.89079999999998</v>
      </c>
      <c r="EL148" s="13">
        <f t="shared" si="153"/>
        <v>57.123140349023068</v>
      </c>
      <c r="EM148" s="20">
        <f t="shared" si="127"/>
        <v>506.84927944121517</v>
      </c>
      <c r="EN148" s="59">
        <f t="shared" si="128"/>
        <v>800.18261277454849</v>
      </c>
      <c r="EO148" s="59">
        <f ca="1">AVERAGE(OFFSET($EN$3,0,0,'Données projet'!$E$15+1,1))-AVERAGE(OFFSET($H$3,0,0,'Données projet'!$E$15+1,1))</f>
        <v>278.53123771916404</v>
      </c>
      <c r="EP148" s="59">
        <f t="shared" si="154"/>
        <v>283.79094702030869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9.2413885462033196</v>
      </c>
      <c r="EW148" s="21">
        <f>EXP(-LN(2)/25)*EW147+(1-EXP(-LN(2)/25))/(LN(2)/25)*Calculateur!ER148*Calculateur!ET148*VLOOKUP('Données projet'!$B$15,Paramètres!$A$1:$I$89,3,0)*0.475*44/12</f>
        <v>0.93051812498678432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10.171906671190104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6.2499999999999947</v>
      </c>
      <c r="FE148" s="12">
        <f>IF('Données projet'!$A$218&gt;35,FE147+FD148-FM147,IF(A148&lt;'Données projet'!$A$218,$FB$205^A148,IF(A148='Données projet'!$A$218,'Données projet'!$B$218,FE147+FD148-FM147)))</f>
        <v>315.58974358974308</v>
      </c>
      <c r="FF148" s="17">
        <f>FE148*VLOOKUP('Données projet'!$B$16,Paramètres!$A$1:$I$89,3,0)*VLOOKUP('Données projet'!$B$16,Paramètres!$A$1:$I$89,5,0)</f>
        <v>285.54559999999952</v>
      </c>
      <c r="FG148" s="13">
        <f t="shared" si="155"/>
        <v>68.137612539795967</v>
      </c>
      <c r="FH148" s="20">
        <f t="shared" si="130"/>
        <v>615.99826184014375</v>
      </c>
      <c r="FI148" s="59">
        <f t="shared" si="131"/>
        <v>909.33159517347713</v>
      </c>
      <c r="FJ148" s="59">
        <f ca="1">AVERAGE(OFFSET($FI$3,0,0,'Données projet'!$E$16+1,1))-AVERAGE(OFFSET($H$3,0,0,'Données projet'!$E$16+1,1))</f>
        <v>335.99493768537013</v>
      </c>
      <c r="FK148" s="59">
        <f t="shared" si="156"/>
        <v>150.85164849522778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56.573093372521051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56.573093372521051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259.99999999999983</v>
      </c>
      <c r="GA148" s="17">
        <f>FZ148*VLOOKUP('Données projet'!$B$17,Paramètres!$A$1:$I$89,3,0)*VLOOKUP('Données projet'!$B$17,Paramètres!$A$1:$I$89,5,0)</f>
        <v>227.13599999999985</v>
      </c>
      <c r="GB148" s="13">
        <f t="shared" si="157"/>
        <v>55.662966886685133</v>
      </c>
      <c r="GC148" s="20">
        <f t="shared" si="133"/>
        <v>492.5415339943097</v>
      </c>
      <c r="GD148" s="59">
        <f t="shared" si="134"/>
        <v>785.87486732764296</v>
      </c>
      <c r="GE148" s="59">
        <f ca="1">AVERAGE(OFFSET($GD$3,0,0,'Données projet'!$E$17+1,1))-AVERAGE(OFFSET($H$3,0,0,'Données projet'!$E$17+1,1))</f>
        <v>319.57811113658374</v>
      </c>
      <c r="GF148" s="59">
        <f t="shared" si="158"/>
        <v>322.03572137403245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15.48837716128471</v>
      </c>
      <c r="GM148" s="21">
        <f>EXP(-LN(2)/25)*GM147+(1-EXP(-LN(2)/25))/(LN(2)/25)*Calculateur!GH148*Calculateur!GJ148*VLOOKUP('Données projet'!$B$17,Paramètres!$A$1:$I$89,3,0)*0.475*44/12</f>
        <v>3.859928093964863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19.348305255249574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5.4683368944097308E-14</v>
      </c>
      <c r="P149" s="13">
        <f t="shared" si="141"/>
        <v>8.8129432816788268E-13</v>
      </c>
      <c r="Q149" s="20">
        <f t="shared" si="108"/>
        <v>1.6301611558033651E-12</v>
      </c>
      <c r="R149" s="59">
        <f t="shared" si="109"/>
        <v>293.33333333333496</v>
      </c>
      <c r="S149" s="59">
        <f ca="1">AVERAGE(OFFSET($R$3,0,0,'Données projet'!$E$9+1,1))-AVERAGE(OFFSET($H$3,0,0,'Données projet'!$E$9+1,1))</f>
        <v>226.41956082453015</v>
      </c>
      <c r="T149" s="59">
        <f t="shared" si="142"/>
        <v>317.95076157570446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2.9262992029543969E-13</v>
      </c>
      <c r="AK149" s="13">
        <f t="shared" si="143"/>
        <v>3.8796387982050903E-12</v>
      </c>
      <c r="AL149" s="20">
        <f t="shared" si="112"/>
        <v>7.2667013513884219E-12</v>
      </c>
      <c r="AM149" s="59">
        <f t="shared" si="113"/>
        <v>293.33333333334059</v>
      </c>
      <c r="AN149" s="59">
        <f ca="1">AVERAGE(OFFSET($AM$3,0,0,'Données projet'!$E$10+1,1))-AVERAGE(OFFSET($H$3,0,0,'Données projet'!$E$10+1,1))</f>
        <v>257.80662231827404</v>
      </c>
      <c r="AO149" s="59">
        <f t="shared" si="144"/>
        <v>184.04558520039876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-4.5474735088646412E-13</v>
      </c>
      <c r="BE149" s="13">
        <f>BD149*VLOOKUP('Données projet'!$B$11,Paramètres!$A$1:$I$89,3,0)*VLOOKUP('Données projet'!$B$11,Paramètres!$A$1:$I$89,5,0)</f>
        <v>-2.5420376914553347E-13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300.90952915835157</v>
      </c>
      <c r="BJ149" s="59">
        <f t="shared" si="146"/>
        <v>402.81783992925256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37.384476585155383</v>
      </c>
      <c r="BQ149" s="21">
        <f>EXP(-LN(2)/25)*BQ148+(1-EXP(-LN(2)/25))/(LN(2)/25)*Calculateur!BL149*Calculateur!BN149*VLOOKUP('Données projet'!$B$11,Paramètres!$A$1:$I$89,3,0)*0.475*44/12</f>
        <v>4.670564738134158</v>
      </c>
      <c r="BR149" s="21">
        <f>EXP(-LN(2)/2)*BR148+(1-EXP(-LN(2)/2))/(LN(2)/2)*BL149*BO149*VLOOKUP('Données projet'!$B$11,Paramètres!$A$1:$I$89,3,0)*0.475*44/12</f>
        <v>6.7614379799915951E-13</v>
      </c>
      <c r="BS149" s="22">
        <f t="shared" si="117"/>
        <v>42.055041323290219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-2.8421709430404007E-13</v>
      </c>
      <c r="BZ149" s="13">
        <f>BY149*VLOOKUP('Données projet'!$B$12,Paramètres!$A$1:$I$89,3,0)*VLOOKUP('Données projet'!$B$12,Paramètres!$A$1:$I$89,5,0)</f>
        <v>-1.4040324458619578E-13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246.05217890269194</v>
      </c>
      <c r="CE149" s="59">
        <f t="shared" si="148"/>
        <v>155.54297071424327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80.680163343978975</v>
      </c>
      <c r="CL149" s="21">
        <f>EXP(-LN(2)/25)*CL148+(1-EXP(-LN(2)/25))/(LN(2)/25)*Calculateur!CG149*Calculateur!CI149*VLOOKUP('Données projet'!$B$12,Paramètres!$A$1:$I$89,3,0)*0.475*44/12</f>
        <v>14.348250801236469</v>
      </c>
      <c r="CM149" s="21">
        <f>EXP(-LN(2)/2)*CM148+(1-EXP(-LN(2)/2))/(LN(2)/2)*CG149*CJ149*VLOOKUP('Données projet'!$B$12,Paramètres!$A$1:$I$89,3,0)*0.475*44/12</f>
        <v>3.0668102741394722E-6</v>
      </c>
      <c r="CN149" s="22">
        <f t="shared" si="120"/>
        <v>95.02841721202573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-3.4106051316484809E-13</v>
      </c>
      <c r="CU149" s="17">
        <f>CT149*VLOOKUP('Données projet'!$B$13,Paramètres!$A$1:$I$89,3,0)*VLOOKUP('Données projet'!$B$13,Paramètres!$A$1:$I$89,5,0)</f>
        <v>-2.0395418687257919E-13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237.036496933921</v>
      </c>
      <c r="CZ149" s="59">
        <f t="shared" si="150"/>
        <v>191.04289413665344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38.493585112461837</v>
      </c>
      <c r="DG149" s="21">
        <f>EXP(-LN(2)/25)*DG148+(1-EXP(-LN(2)/25))/(LN(2)/25)*Calculateur!DB149*Calculateur!DD149*VLOOKUP('Données projet'!$B$13,Paramètres!$A$1:$I$89,3,0)*0.475*44/12</f>
        <v>5.550275780344867</v>
      </c>
      <c r="DH149" s="21">
        <f>EXP(-LN(2)/2)*DH148+(1-EXP(-LN(2)/2))/(LN(2)/2)*DB149*DE149*VLOOKUP('Données projet'!$B$13,Paramètres!$A$1:$I$89,3,0)*0.475*44/12</f>
        <v>4.1459597073608891E-9</v>
      </c>
      <c r="DI149" s="22">
        <f t="shared" si="123"/>
        <v>44.043860896952665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-3.979039320256561E-13</v>
      </c>
      <c r="DP149" s="17">
        <f>DO149*VLOOKUP('Données projet'!$B$14,Paramètres!$A$1:$I$89,3,0)*VLOOKUP('Données projet'!$B$14,Paramètres!$A$1:$I$89,5,0)</f>
        <v>-2.379465513513424E-13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148.22129593028302</v>
      </c>
      <c r="DU149" s="59">
        <f t="shared" si="152"/>
        <v>102.97015482019975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233.89079999999998</v>
      </c>
      <c r="EL149" s="13">
        <f t="shared" si="153"/>
        <v>57.123140349023068</v>
      </c>
      <c r="EM149" s="20">
        <f t="shared" si="127"/>
        <v>506.84927944121517</v>
      </c>
      <c r="EN149" s="59">
        <f t="shared" si="128"/>
        <v>800.18261277454849</v>
      </c>
      <c r="EO149" s="59">
        <f ca="1">AVERAGE(OFFSET($EN$3,0,0,'Données projet'!$E$15+1,1))-AVERAGE(OFFSET($H$3,0,0,'Données projet'!$E$15+1,1))</f>
        <v>278.53123771916404</v>
      </c>
      <c r="EP149" s="59">
        <f t="shared" si="154"/>
        <v>283.79094702030869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9.0601705535027079</v>
      </c>
      <c r="EW149" s="21">
        <f>EXP(-LN(2)/25)*EW148+(1-EXP(-LN(2)/25))/(LN(2)/25)*Calculateur!ER149*Calculateur!ET149*VLOOKUP('Données projet'!$B$15,Paramètres!$A$1:$I$89,3,0)*0.475*44/12</f>
        <v>0.90507305792519921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9.9652436114279066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6.2499999999999947</v>
      </c>
      <c r="FE149" s="12">
        <f>IF('Données projet'!$A$218&gt;35,FE148+FD149-FM148,IF(A149&lt;'Données projet'!$A$218,$FB$205^A149,IF(A149='Données projet'!$A$218,'Données projet'!$B$218,FE148+FD149-FM148)))</f>
        <v>321.83974358974308</v>
      </c>
      <c r="FF149" s="17">
        <f>FE149*VLOOKUP('Données projet'!$B$16,Paramètres!$A$1:$I$89,3,0)*VLOOKUP('Données projet'!$B$16,Paramètres!$A$1:$I$89,5,0)</f>
        <v>291.20059999999955</v>
      </c>
      <c r="FG149" s="13">
        <f t="shared" si="155"/>
        <v>69.328587287431986</v>
      </c>
      <c r="FH149" s="20">
        <f t="shared" si="130"/>
        <v>627.92166785894335</v>
      </c>
      <c r="FI149" s="59">
        <f t="shared" si="131"/>
        <v>921.25500119227672</v>
      </c>
      <c r="FJ149" s="59">
        <f ca="1">AVERAGE(OFFSET($FI$3,0,0,'Données projet'!$E$16+1,1))-AVERAGE(OFFSET($H$3,0,0,'Données projet'!$E$16+1,1))</f>
        <v>335.99493768537013</v>
      </c>
      <c r="FK149" s="59">
        <f t="shared" si="156"/>
        <v>150.85164849522778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55.463729517665669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55.463729517665669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259.99999999999983</v>
      </c>
      <c r="GA149" s="17">
        <f>FZ149*VLOOKUP('Données projet'!$B$17,Paramètres!$A$1:$I$89,3,0)*VLOOKUP('Données projet'!$B$17,Paramètres!$A$1:$I$89,5,0)</f>
        <v>227.13599999999985</v>
      </c>
      <c r="GB149" s="13">
        <f t="shared" si="157"/>
        <v>55.662966886685133</v>
      </c>
      <c r="GC149" s="20">
        <f t="shared" si="133"/>
        <v>492.5415339943097</v>
      </c>
      <c r="GD149" s="59">
        <f t="shared" si="134"/>
        <v>785.87486732764296</v>
      </c>
      <c r="GE149" s="59">
        <f ca="1">AVERAGE(OFFSET($GD$3,0,0,'Données projet'!$E$17+1,1))-AVERAGE(OFFSET($H$3,0,0,'Données projet'!$E$17+1,1))</f>
        <v>319.57811113658374</v>
      </c>
      <c r="GF149" s="59">
        <f t="shared" si="158"/>
        <v>322.03572137403245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15.184659532129174</v>
      </c>
      <c r="GM149" s="21">
        <f>EXP(-LN(2)/25)*GM148+(1-EXP(-LN(2)/25))/(LN(2)/25)*Calculateur!GH149*Calculateur!GJ149*VLOOKUP('Données projet'!$B$17,Paramètres!$A$1:$I$89,3,0)*0.475*44/12</f>
        <v>3.7543781572505974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18.939037689379774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5.4683368944097308E-14</v>
      </c>
      <c r="P150" s="13">
        <f t="shared" si="141"/>
        <v>8.8129432816788268E-13</v>
      </c>
      <c r="Q150" s="20">
        <f t="shared" si="108"/>
        <v>1.6301611558033651E-12</v>
      </c>
      <c r="R150" s="59">
        <f t="shared" si="109"/>
        <v>293.33333333333496</v>
      </c>
      <c r="S150" s="59">
        <f ca="1">AVERAGE(OFFSET($R$3,0,0,'Données projet'!$E$9+1,1))-AVERAGE(OFFSET($H$3,0,0,'Données projet'!$E$9+1,1))</f>
        <v>226.41956082453015</v>
      </c>
      <c r="T150" s="59">
        <f t="shared" si="142"/>
        <v>317.95076157570446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2.9262992029543969E-13</v>
      </c>
      <c r="AK150" s="13">
        <f t="shared" si="143"/>
        <v>3.8796387982050903E-12</v>
      </c>
      <c r="AL150" s="20">
        <f t="shared" si="112"/>
        <v>7.2667013513884219E-12</v>
      </c>
      <c r="AM150" s="59">
        <f t="shared" si="113"/>
        <v>293.33333333334059</v>
      </c>
      <c r="AN150" s="59">
        <f ca="1">AVERAGE(OFFSET($AM$3,0,0,'Données projet'!$E$10+1,1))-AVERAGE(OFFSET($H$3,0,0,'Données projet'!$E$10+1,1))</f>
        <v>257.80662231827404</v>
      </c>
      <c r="AO150" s="59">
        <f t="shared" si="144"/>
        <v>184.04558520039876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-4.5474735088646412E-13</v>
      </c>
      <c r="BE150" s="13">
        <f>BD150*VLOOKUP('Données projet'!$B$11,Paramètres!$A$1:$I$89,3,0)*VLOOKUP('Données projet'!$B$11,Paramètres!$A$1:$I$89,5,0)</f>
        <v>-2.5420376914553347E-13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300.90952915835157</v>
      </c>
      <c r="BJ150" s="59">
        <f t="shared" si="146"/>
        <v>402.81783992925256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36.651389801599663</v>
      </c>
      <c r="BQ150" s="21">
        <f>EXP(-LN(2)/25)*BQ149+(1-EXP(-LN(2)/25))/(LN(2)/25)*Calculateur!BL150*Calculateur!BN150*VLOOKUP('Données projet'!$B$11,Paramètres!$A$1:$I$89,3,0)*0.475*44/12</f>
        <v>4.5428478997555546</v>
      </c>
      <c r="BR150" s="21">
        <f>EXP(-LN(2)/2)*BR149+(1-EXP(-LN(2)/2))/(LN(2)/2)*BL150*BO150*VLOOKUP('Données projet'!$B$11,Paramètres!$A$1:$I$89,3,0)*0.475*44/12</f>
        <v>4.7810586462243287E-13</v>
      </c>
      <c r="BS150" s="22">
        <f t="shared" si="117"/>
        <v>41.194237701355696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-2.8421709430404007E-13</v>
      </c>
      <c r="BZ150" s="13">
        <f>BY150*VLOOKUP('Données projet'!$B$12,Paramètres!$A$1:$I$89,3,0)*VLOOKUP('Données projet'!$B$12,Paramètres!$A$1:$I$89,5,0)</f>
        <v>-1.4040324458619578E-13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246.05217890269194</v>
      </c>
      <c r="CE150" s="59">
        <f t="shared" si="148"/>
        <v>155.54297071424327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79.098074550844103</v>
      </c>
      <c r="CL150" s="21">
        <f>EXP(-LN(2)/25)*CL149+(1-EXP(-LN(2)/25))/(LN(2)/25)*Calculateur!CG150*Calculateur!CI150*VLOOKUP('Données projet'!$B$12,Paramètres!$A$1:$I$89,3,0)*0.475*44/12</f>
        <v>13.955897128534941</v>
      </c>
      <c r="CM150" s="21">
        <f>EXP(-LN(2)/2)*CM149+(1-EXP(-LN(2)/2))/(LN(2)/2)*CG150*CJ150*VLOOKUP('Données projet'!$B$12,Paramètres!$A$1:$I$89,3,0)*0.475*44/12</f>
        <v>2.1685623414565956E-6</v>
      </c>
      <c r="CN150" s="22">
        <f t="shared" si="120"/>
        <v>93.053973847941393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-3.4106051316484809E-13</v>
      </c>
      <c r="CU150" s="17">
        <f>CT150*VLOOKUP('Données projet'!$B$13,Paramètres!$A$1:$I$89,3,0)*VLOOKUP('Données projet'!$B$13,Paramètres!$A$1:$I$89,5,0)</f>
        <v>-2.0395418687257919E-13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237.036496933921</v>
      </c>
      <c r="CZ150" s="59">
        <f t="shared" si="150"/>
        <v>191.04289413665344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37.738749387175041</v>
      </c>
      <c r="DG150" s="21">
        <f>EXP(-LN(2)/25)*DG149+(1-EXP(-LN(2)/25))/(LN(2)/25)*Calculateur!DB150*Calculateur!DD150*VLOOKUP('Données projet'!$B$13,Paramètres!$A$1:$I$89,3,0)*0.475*44/12</f>
        <v>5.3985031972550184</v>
      </c>
      <c r="DH150" s="21">
        <f>EXP(-LN(2)/2)*DH149+(1-EXP(-LN(2)/2))/(LN(2)/2)*DB150*DE150*VLOOKUP('Données projet'!$B$13,Paramètres!$A$1:$I$89,3,0)*0.475*44/12</f>
        <v>2.9316362236010788E-9</v>
      </c>
      <c r="DI150" s="22">
        <f t="shared" si="123"/>
        <v>43.137252587361694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-3.979039320256561E-13</v>
      </c>
      <c r="DP150" s="17">
        <f>DO150*VLOOKUP('Données projet'!$B$14,Paramètres!$A$1:$I$89,3,0)*VLOOKUP('Données projet'!$B$14,Paramètres!$A$1:$I$89,5,0)</f>
        <v>-2.379465513513424E-13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148.22129593028302</v>
      </c>
      <c r="DU150" s="59">
        <f t="shared" si="152"/>
        <v>102.97015482019975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233.89079999999998</v>
      </c>
      <c r="EL150" s="13">
        <f t="shared" si="153"/>
        <v>57.123140349023068</v>
      </c>
      <c r="EM150" s="20">
        <f t="shared" si="127"/>
        <v>506.84927944121517</v>
      </c>
      <c r="EN150" s="59">
        <f t="shared" si="128"/>
        <v>800.18261277454849</v>
      </c>
      <c r="EO150" s="59">
        <f ca="1">AVERAGE(OFFSET($EN$3,0,0,'Données projet'!$E$15+1,1))-AVERAGE(OFFSET($H$3,0,0,'Données projet'!$E$15+1,1))</f>
        <v>278.53123771916404</v>
      </c>
      <c r="EP150" s="59">
        <f t="shared" si="154"/>
        <v>283.79094702030869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8.8825061351068939</v>
      </c>
      <c r="EW150" s="21">
        <f>EXP(-LN(2)/25)*EW149+(1-EXP(-LN(2)/25))/(LN(2)/25)*Calculateur!ER150*Calculateur!ET150*VLOOKUP('Données projet'!$B$15,Paramètres!$A$1:$I$89,3,0)*0.475*44/12</f>
        <v>0.88032378756051111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9.7628299226674056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6.2499999999999947</v>
      </c>
      <c r="FE150" s="12">
        <f>IF('Données projet'!$A$218&gt;35,FE149+FD150-FM149,IF(A150&lt;'Données projet'!$A$218,$FB$205^A150,IF(A150='Données projet'!$A$218,'Données projet'!$B$218,FE149+FD150-FM149)))</f>
        <v>328.08974358974308</v>
      </c>
      <c r="FF150" s="17">
        <f>FE150*VLOOKUP('Données projet'!$B$16,Paramètres!$A$1:$I$89,3,0)*VLOOKUP('Données projet'!$B$16,Paramètres!$A$1:$I$89,5,0)</f>
        <v>296.85559999999953</v>
      </c>
      <c r="FG150" s="13">
        <f t="shared" si="155"/>
        <v>70.516872767727662</v>
      </c>
      <c r="FH150" s="20">
        <f t="shared" si="130"/>
        <v>639.84039007045806</v>
      </c>
      <c r="FI150" s="59">
        <f t="shared" si="131"/>
        <v>933.17372340379143</v>
      </c>
      <c r="FJ150" s="59">
        <f ca="1">AVERAGE(OFFSET($FI$3,0,0,'Données projet'!$E$16+1,1))-AVERAGE(OFFSET($H$3,0,0,'Données projet'!$E$16+1,1))</f>
        <v>335.99493768537013</v>
      </c>
      <c r="FK150" s="59">
        <f t="shared" si="156"/>
        <v>150.85164849522778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54.37611961135886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54.37611961135886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259.99999999999983</v>
      </c>
      <c r="GA150" s="17">
        <f>FZ150*VLOOKUP('Données projet'!$B$17,Paramètres!$A$1:$I$89,3,0)*VLOOKUP('Données projet'!$B$17,Paramètres!$A$1:$I$89,5,0)</f>
        <v>227.13599999999985</v>
      </c>
      <c r="GB150" s="13">
        <f t="shared" si="157"/>
        <v>55.662966886685133</v>
      </c>
      <c r="GC150" s="20">
        <f t="shared" si="133"/>
        <v>492.5415339943097</v>
      </c>
      <c r="GD150" s="59">
        <f t="shared" si="134"/>
        <v>785.87486732764296</v>
      </c>
      <c r="GE150" s="59">
        <f ca="1">AVERAGE(OFFSET($GD$3,0,0,'Données projet'!$E$17+1,1))-AVERAGE(OFFSET($H$3,0,0,'Données projet'!$E$17+1,1))</f>
        <v>319.57811113658374</v>
      </c>
      <c r="GF150" s="59">
        <f t="shared" si="158"/>
        <v>322.03572137403245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14.886897620431917</v>
      </c>
      <c r="GM150" s="21">
        <f>EXP(-LN(2)/25)*GM149+(1-EXP(-LN(2)/25))/(LN(2)/25)*Calculateur!GH150*Calculateur!GJ150*VLOOKUP('Données projet'!$B$17,Paramètres!$A$1:$I$89,3,0)*0.475*44/12</f>
        <v>3.6517144891064133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18.538612109538331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5.4683368944097308E-14</v>
      </c>
      <c r="P151" s="13">
        <f t="shared" si="141"/>
        <v>8.8129432816788268E-13</v>
      </c>
      <c r="Q151" s="20">
        <f t="shared" si="108"/>
        <v>1.6301611558033651E-12</v>
      </c>
      <c r="R151" s="59">
        <f t="shared" si="109"/>
        <v>293.33333333333496</v>
      </c>
      <c r="S151" s="59">
        <f ca="1">AVERAGE(OFFSET($R$3,0,0,'Données projet'!$E$9+1,1))-AVERAGE(OFFSET($H$3,0,0,'Données projet'!$E$9+1,1))</f>
        <v>226.41956082453015</v>
      </c>
      <c r="T151" s="59">
        <f t="shared" si="142"/>
        <v>317.95076157570446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2.9262992029543969E-13</v>
      </c>
      <c r="AK151" s="13">
        <f t="shared" si="143"/>
        <v>3.8796387982050903E-12</v>
      </c>
      <c r="AL151" s="20">
        <f t="shared" si="112"/>
        <v>7.2667013513884219E-12</v>
      </c>
      <c r="AM151" s="59">
        <f t="shared" si="113"/>
        <v>293.33333333334059</v>
      </c>
      <c r="AN151" s="59">
        <f ca="1">AVERAGE(OFFSET($AM$3,0,0,'Données projet'!$E$10+1,1))-AVERAGE(OFFSET($H$3,0,0,'Données projet'!$E$10+1,1))</f>
        <v>257.80662231827404</v>
      </c>
      <c r="AO151" s="59">
        <f t="shared" si="144"/>
        <v>184.04558520039876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-4.5474735088646412E-13</v>
      </c>
      <c r="BE151" s="13">
        <f>BD151*VLOOKUP('Données projet'!$B$11,Paramètres!$A$1:$I$89,3,0)*VLOOKUP('Données projet'!$B$11,Paramètres!$A$1:$I$89,5,0)</f>
        <v>-2.5420376914553347E-13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300.90952915835157</v>
      </c>
      <c r="BJ151" s="59">
        <f t="shared" si="146"/>
        <v>402.81783992925256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35.932678402730687</v>
      </c>
      <c r="BQ151" s="21">
        <f>EXP(-LN(2)/25)*BQ150+(1-EXP(-LN(2)/25))/(LN(2)/25)*Calculateur!BL151*Calculateur!BN151*VLOOKUP('Données projet'!$B$11,Paramètres!$A$1:$I$89,3,0)*0.475*44/12</f>
        <v>4.4186234850387507</v>
      </c>
      <c r="BR151" s="21">
        <f>EXP(-LN(2)/2)*BR150+(1-EXP(-LN(2)/2))/(LN(2)/2)*BL151*BO151*VLOOKUP('Données projet'!$B$11,Paramètres!$A$1:$I$89,3,0)*0.475*44/12</f>
        <v>3.3807189899957976E-13</v>
      </c>
      <c r="BS151" s="22">
        <f t="shared" si="117"/>
        <v>40.351301887769779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-2.8421709430404007E-13</v>
      </c>
      <c r="BZ151" s="13">
        <f>BY151*VLOOKUP('Données projet'!$B$12,Paramètres!$A$1:$I$89,3,0)*VLOOKUP('Données projet'!$B$12,Paramètres!$A$1:$I$89,5,0)</f>
        <v>-1.4040324458619578E-13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246.05217890269194</v>
      </c>
      <c r="CE151" s="59">
        <f t="shared" si="148"/>
        <v>155.54297071424327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77.547009553963719</v>
      </c>
      <c r="CL151" s="21">
        <f>EXP(-LN(2)/25)*CL150+(1-EXP(-LN(2)/25))/(LN(2)/25)*Calculateur!CG151*Calculateur!CI151*VLOOKUP('Données projet'!$B$12,Paramètres!$A$1:$I$89,3,0)*0.475*44/12</f>
        <v>13.57427238764642</v>
      </c>
      <c r="CM151" s="21">
        <f>EXP(-LN(2)/2)*CM150+(1-EXP(-LN(2)/2))/(LN(2)/2)*CG151*CJ151*VLOOKUP('Données projet'!$B$12,Paramètres!$A$1:$I$89,3,0)*0.475*44/12</f>
        <v>1.5334051370697361E-6</v>
      </c>
      <c r="CN151" s="22">
        <f t="shared" si="120"/>
        <v>91.121283475015275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-3.4106051316484809E-13</v>
      </c>
      <c r="CU151" s="17">
        <f>CT151*VLOOKUP('Données projet'!$B$13,Paramètres!$A$1:$I$89,3,0)*VLOOKUP('Données projet'!$B$13,Paramètres!$A$1:$I$89,5,0)</f>
        <v>-2.0395418687257919E-13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237.036496933921</v>
      </c>
      <c r="CZ151" s="59">
        <f t="shared" si="150"/>
        <v>191.04289413665344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36.998715530056792</v>
      </c>
      <c r="DG151" s="21">
        <f>EXP(-LN(2)/25)*DG150+(1-EXP(-LN(2)/25))/(LN(2)/25)*Calculateur!DB151*Calculateur!DD151*VLOOKUP('Données projet'!$B$13,Paramètres!$A$1:$I$89,3,0)*0.475*44/12</f>
        <v>5.2508808434311351</v>
      </c>
      <c r="DH151" s="21">
        <f>EXP(-LN(2)/2)*DH150+(1-EXP(-LN(2)/2))/(LN(2)/2)*DB151*DE151*VLOOKUP('Données projet'!$B$13,Paramètres!$A$1:$I$89,3,0)*0.475*44/12</f>
        <v>2.0729798536804446E-9</v>
      </c>
      <c r="DI151" s="22">
        <f t="shared" si="123"/>
        <v>42.249596375560905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-3.979039320256561E-13</v>
      </c>
      <c r="DP151" s="17">
        <f>DO151*VLOOKUP('Données projet'!$B$14,Paramètres!$A$1:$I$89,3,0)*VLOOKUP('Données projet'!$B$14,Paramètres!$A$1:$I$89,5,0)</f>
        <v>-2.379465513513424E-13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148.22129593028302</v>
      </c>
      <c r="DU151" s="59">
        <f t="shared" si="152"/>
        <v>102.97015482019975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233.89079999999998</v>
      </c>
      <c r="EL151" s="13">
        <f t="shared" si="153"/>
        <v>57.123140349023068</v>
      </c>
      <c r="EM151" s="20">
        <f t="shared" si="127"/>
        <v>506.84927944121517</v>
      </c>
      <c r="EN151" s="59">
        <f t="shared" si="128"/>
        <v>800.18261277454849</v>
      </c>
      <c r="EO151" s="59">
        <f ca="1">AVERAGE(OFFSET($EN$3,0,0,'Données projet'!$E$15+1,1))-AVERAGE(OFFSET($H$3,0,0,'Données projet'!$E$15+1,1))</f>
        <v>278.53123771916404</v>
      </c>
      <c r="EP151" s="59">
        <f t="shared" si="154"/>
        <v>283.79094702030869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8.7083256075912274</v>
      </c>
      <c r="EW151" s="21">
        <f>EXP(-LN(2)/25)*EW150+(1-EXP(-LN(2)/25))/(LN(2)/25)*Calculateur!ER151*Calculateur!ET151*VLOOKUP('Données projet'!$B$15,Paramètres!$A$1:$I$89,3,0)*0.475*44/12</f>
        <v>0.85625128729545297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9.5645768948866809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6.2499999999999947</v>
      </c>
      <c r="FE151" s="12">
        <f>IF('Données projet'!$A$218&gt;35,FE150+FD151-FM150,IF(A151&lt;'Données projet'!$A$218,$FB$205^A151,IF(A151='Données projet'!$A$218,'Données projet'!$B$218,FE150+FD151-FM150)))</f>
        <v>334.33974358974308</v>
      </c>
      <c r="FF151" s="17">
        <f>FE151*VLOOKUP('Données projet'!$B$16,Paramètres!$A$1:$I$89,3,0)*VLOOKUP('Données projet'!$B$16,Paramètres!$A$1:$I$89,5,0)</f>
        <v>302.51059999999956</v>
      </c>
      <c r="FG151" s="13">
        <f t="shared" si="155"/>
        <v>71.702526117067052</v>
      </c>
      <c r="FH151" s="20">
        <f t="shared" si="130"/>
        <v>651.75452798722438</v>
      </c>
      <c r="FI151" s="59">
        <f t="shared" si="131"/>
        <v>945.08786132055775</v>
      </c>
      <c r="FJ151" s="59">
        <f ca="1">AVERAGE(OFFSET($FI$3,0,0,'Données projet'!$E$16+1,1))-AVERAGE(OFFSET($H$3,0,0,'Données projet'!$E$16+1,1))</f>
        <v>335.99493768537013</v>
      </c>
      <c r="FK151" s="59">
        <f t="shared" si="156"/>
        <v>150.85164849522778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53.30983707193819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53.30983707193819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259.99999999999983</v>
      </c>
      <c r="GA151" s="17">
        <f>FZ151*VLOOKUP('Données projet'!$B$17,Paramètres!$A$1:$I$89,3,0)*VLOOKUP('Données projet'!$B$17,Paramètres!$A$1:$I$89,5,0)</f>
        <v>227.13599999999985</v>
      </c>
      <c r="GB151" s="13">
        <f t="shared" si="157"/>
        <v>55.662966886685133</v>
      </c>
      <c r="GC151" s="20">
        <f t="shared" si="133"/>
        <v>492.5415339943097</v>
      </c>
      <c r="GD151" s="59">
        <f t="shared" si="134"/>
        <v>785.87486732764296</v>
      </c>
      <c r="GE151" s="59">
        <f ca="1">AVERAGE(OFFSET($GD$3,0,0,'Données projet'!$E$17+1,1))-AVERAGE(OFFSET($H$3,0,0,'Données projet'!$E$17+1,1))</f>
        <v>319.57811113658374</v>
      </c>
      <c r="GF151" s="59">
        <f t="shared" si="158"/>
        <v>322.03572137403245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14.594974638206208</v>
      </c>
      <c r="GM151" s="21">
        <f>EXP(-LN(2)/25)*GM150+(1-EXP(-LN(2)/25))/(LN(2)/25)*Calculateur!GH151*Calculateur!GJ151*VLOOKUP('Données projet'!$B$17,Paramètres!$A$1:$I$89,3,0)*0.475*44/12</f>
        <v>3.5518581643664797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18.146832802572689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5.4683368944097308E-14</v>
      </c>
      <c r="P152" s="13">
        <f t="shared" si="141"/>
        <v>8.8129432816788268E-13</v>
      </c>
      <c r="Q152" s="20">
        <f t="shared" si="108"/>
        <v>1.6301611558033651E-12</v>
      </c>
      <c r="R152" s="59">
        <f t="shared" si="109"/>
        <v>293.33333333333496</v>
      </c>
      <c r="S152" s="59">
        <f ca="1">AVERAGE(OFFSET($R$3,0,0,'Données projet'!$E$9+1,1))-AVERAGE(OFFSET($H$3,0,0,'Données projet'!$E$9+1,1))</f>
        <v>226.41956082453015</v>
      </c>
      <c r="T152" s="59">
        <f t="shared" si="142"/>
        <v>317.95076157570446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2.9262992029543969E-13</v>
      </c>
      <c r="AK152" s="13">
        <f t="shared" si="143"/>
        <v>3.8796387982050903E-12</v>
      </c>
      <c r="AL152" s="20">
        <f t="shared" si="112"/>
        <v>7.2667013513884219E-12</v>
      </c>
      <c r="AM152" s="59">
        <f t="shared" si="113"/>
        <v>293.33333333334059</v>
      </c>
      <c r="AN152" s="59">
        <f ca="1">AVERAGE(OFFSET($AM$3,0,0,'Données projet'!$E$10+1,1))-AVERAGE(OFFSET($H$3,0,0,'Données projet'!$E$10+1,1))</f>
        <v>257.80662231827404</v>
      </c>
      <c r="AO152" s="59">
        <f t="shared" si="144"/>
        <v>184.04558520039876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-4.5474735088646412E-13</v>
      </c>
      <c r="BE152" s="13">
        <f>BD152*VLOOKUP('Données projet'!$B$11,Paramètres!$A$1:$I$89,3,0)*VLOOKUP('Données projet'!$B$11,Paramètres!$A$1:$I$89,5,0)</f>
        <v>-2.5420376914553347E-13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300.90952915835157</v>
      </c>
      <c r="BJ152" s="59">
        <f t="shared" si="146"/>
        <v>402.81783992925256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35.228060496022863</v>
      </c>
      <c r="BQ152" s="21">
        <f>EXP(-LN(2)/25)*BQ151+(1-EXP(-LN(2)/25))/(LN(2)/25)*Calculateur!BL152*Calculateur!BN152*VLOOKUP('Données projet'!$B$11,Paramètres!$A$1:$I$89,3,0)*0.475*44/12</f>
        <v>4.2977959934750558</v>
      </c>
      <c r="BR152" s="21">
        <f>EXP(-LN(2)/2)*BR151+(1-EXP(-LN(2)/2))/(LN(2)/2)*BL152*BO152*VLOOKUP('Données projet'!$B$11,Paramètres!$A$1:$I$89,3,0)*0.475*44/12</f>
        <v>2.3905293231121643E-13</v>
      </c>
      <c r="BS152" s="22">
        <f t="shared" si="117"/>
        <v>39.52585648949816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-2.8421709430404007E-13</v>
      </c>
      <c r="BZ152" s="13">
        <f>BY152*VLOOKUP('Données projet'!$B$12,Paramètres!$A$1:$I$89,3,0)*VLOOKUP('Données projet'!$B$12,Paramètres!$A$1:$I$89,5,0)</f>
        <v>-1.4040324458619578E-13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246.05217890269194</v>
      </c>
      <c r="CE152" s="59">
        <f t="shared" si="148"/>
        <v>155.54297071424327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76.026359995615934</v>
      </c>
      <c r="CL152" s="21">
        <f>EXP(-LN(2)/25)*CL151+(1-EXP(-LN(2)/25))/(LN(2)/25)*Calculateur!CG152*Calculateur!CI152*VLOOKUP('Données projet'!$B$12,Paramètres!$A$1:$I$89,3,0)*0.475*44/12</f>
        <v>13.203083195366268</v>
      </c>
      <c r="CM152" s="21">
        <f>EXP(-LN(2)/2)*CM151+(1-EXP(-LN(2)/2))/(LN(2)/2)*CG152*CJ152*VLOOKUP('Données projet'!$B$12,Paramètres!$A$1:$I$89,3,0)*0.475*44/12</f>
        <v>1.0842811707282978E-6</v>
      </c>
      <c r="CN152" s="22">
        <f t="shared" si="120"/>
        <v>89.229444275263376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-3.4106051316484809E-13</v>
      </c>
      <c r="CU152" s="17">
        <f>CT152*VLOOKUP('Données projet'!$B$13,Paramètres!$A$1:$I$89,3,0)*VLOOKUP('Données projet'!$B$13,Paramètres!$A$1:$I$89,5,0)</f>
        <v>-2.0395418687257919E-13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237.036496933921</v>
      </c>
      <c r="CZ152" s="59">
        <f t="shared" si="150"/>
        <v>191.04289413665344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36.273193285500547</v>
      </c>
      <c r="DG152" s="21">
        <f>EXP(-LN(2)/25)*DG151+(1-EXP(-LN(2)/25))/(LN(2)/25)*Calculateur!DB152*Calculateur!DD152*VLOOKUP('Données projet'!$B$13,Paramètres!$A$1:$I$89,3,0)*0.475*44/12</f>
        <v>5.107295230635688</v>
      </c>
      <c r="DH152" s="21">
        <f>EXP(-LN(2)/2)*DH151+(1-EXP(-LN(2)/2))/(LN(2)/2)*DB152*DE152*VLOOKUP('Données projet'!$B$13,Paramètres!$A$1:$I$89,3,0)*0.475*44/12</f>
        <v>1.4658181118005394E-9</v>
      </c>
      <c r="DI152" s="22">
        <f t="shared" si="123"/>
        <v>41.380488517602053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-3.979039320256561E-13</v>
      </c>
      <c r="DP152" s="17">
        <f>DO152*VLOOKUP('Données projet'!$B$14,Paramètres!$A$1:$I$89,3,0)*VLOOKUP('Données projet'!$B$14,Paramètres!$A$1:$I$89,5,0)</f>
        <v>-2.379465513513424E-13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148.22129593028302</v>
      </c>
      <c r="DU152" s="59">
        <f t="shared" si="152"/>
        <v>102.97015482019975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233.89079999999998</v>
      </c>
      <c r="EL152" s="13">
        <f t="shared" si="153"/>
        <v>57.123140349023068</v>
      </c>
      <c r="EM152" s="20">
        <f t="shared" si="127"/>
        <v>506.84927944121517</v>
      </c>
      <c r="EN152" s="59">
        <f t="shared" si="128"/>
        <v>800.18261277454849</v>
      </c>
      <c r="EO152" s="59">
        <f ca="1">AVERAGE(OFFSET($EN$3,0,0,'Données projet'!$E$15+1,1))-AVERAGE(OFFSET($H$3,0,0,'Données projet'!$E$15+1,1))</f>
        <v>278.53123771916404</v>
      </c>
      <c r="EP152" s="59">
        <f t="shared" si="154"/>
        <v>283.79094702030869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8.5375606539805116</v>
      </c>
      <c r="EW152" s="21">
        <f>EXP(-LN(2)/25)*EW151+(1-EXP(-LN(2)/25))/(LN(2)/25)*Calculateur!ER152*Calculateur!ET152*VLOOKUP('Données projet'!$B$15,Paramètres!$A$1:$I$89,3,0)*0.475*44/12</f>
        <v>0.83283705081606063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9.3703977047965719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6.2499999999999947</v>
      </c>
      <c r="FE152" s="12">
        <f>IF('Données projet'!$A$218&gt;35,FE151+FD152-FM151,IF(A152&lt;'Données projet'!$A$218,$FB$205^A152,IF(A152='Données projet'!$A$218,'Données projet'!$B$218,FE151+FD152-FM151)))</f>
        <v>340.58974358974308</v>
      </c>
      <c r="FF152" s="17">
        <f>FE152*VLOOKUP('Données projet'!$B$16,Paramètres!$A$1:$I$89,3,0)*VLOOKUP('Données projet'!$B$16,Paramètres!$A$1:$I$89,5,0)</f>
        <v>308.16559999999953</v>
      </c>
      <c r="FG152" s="13">
        <f t="shared" si="155"/>
        <v>72.885602213408205</v>
      </c>
      <c r="FH152" s="20">
        <f t="shared" si="130"/>
        <v>663.6641771883518</v>
      </c>
      <c r="FI152" s="59">
        <f t="shared" si="131"/>
        <v>956.99751052168517</v>
      </c>
      <c r="FJ152" s="59">
        <f ca="1">AVERAGE(OFFSET($FI$3,0,0,'Données projet'!$E$16+1,1))-AVERAGE(OFFSET($H$3,0,0,'Données projet'!$E$16+1,1))</f>
        <v>335.99493768537013</v>
      </c>
      <c r="FK152" s="59">
        <f t="shared" si="156"/>
        <v>150.85164849522778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52.264463682747426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52.264463682747426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259.99999999999983</v>
      </c>
      <c r="GA152" s="17">
        <f>FZ152*VLOOKUP('Données projet'!$B$17,Paramètres!$A$1:$I$89,3,0)*VLOOKUP('Données projet'!$B$17,Paramètres!$A$1:$I$89,5,0)</f>
        <v>227.13599999999985</v>
      </c>
      <c r="GB152" s="13">
        <f t="shared" si="157"/>
        <v>55.662966886685133</v>
      </c>
      <c r="GC152" s="20">
        <f t="shared" si="133"/>
        <v>492.5415339943097</v>
      </c>
      <c r="GD152" s="59">
        <f t="shared" si="134"/>
        <v>785.87486732764296</v>
      </c>
      <c r="GE152" s="59">
        <f ca="1">AVERAGE(OFFSET($GD$3,0,0,'Données projet'!$E$17+1,1))-AVERAGE(OFFSET($H$3,0,0,'Données projet'!$E$17+1,1))</f>
        <v>319.57811113658374</v>
      </c>
      <c r="GF152" s="59">
        <f t="shared" si="158"/>
        <v>322.03572137403245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14.308776087606509</v>
      </c>
      <c r="GM152" s="21">
        <f>EXP(-LN(2)/25)*GM151+(1-EXP(-LN(2)/25))/(LN(2)/25)*Calculateur!GH152*Calculateur!GJ152*VLOOKUP('Données projet'!$B$17,Paramètres!$A$1:$I$89,3,0)*0.475*44/12</f>
        <v>3.4547324160777753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17.763508503684285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5.4683368944097308E-14</v>
      </c>
      <c r="P153" s="13">
        <f t="shared" si="141"/>
        <v>8.8129432816788268E-13</v>
      </c>
      <c r="Q153" s="20">
        <f t="shared" si="108"/>
        <v>1.6301611558033651E-12</v>
      </c>
      <c r="R153" s="59">
        <f t="shared" si="109"/>
        <v>293.33333333333496</v>
      </c>
      <c r="S153" s="59">
        <f ca="1">AVERAGE(OFFSET($R$3,0,0,'Données projet'!$E$9+1,1))-AVERAGE(OFFSET($H$3,0,0,'Données projet'!$E$9+1,1))</f>
        <v>226.41956082453015</v>
      </c>
      <c r="T153" s="59">
        <f t="shared" si="142"/>
        <v>317.95076157570446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2.9262992029543969E-13</v>
      </c>
      <c r="AK153" s="13">
        <f t="shared" si="143"/>
        <v>3.8796387982050903E-12</v>
      </c>
      <c r="AL153" s="20">
        <f t="shared" si="112"/>
        <v>7.2667013513884219E-12</v>
      </c>
      <c r="AM153" s="59">
        <f t="shared" si="113"/>
        <v>293.33333333334059</v>
      </c>
      <c r="AN153" s="59">
        <f ca="1">AVERAGE(OFFSET($AM$3,0,0,'Données projet'!$E$10+1,1))-AVERAGE(OFFSET($H$3,0,0,'Données projet'!$E$10+1,1))</f>
        <v>257.80662231827404</v>
      </c>
      <c r="AO153" s="59">
        <f t="shared" si="144"/>
        <v>184.04558520039876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-4.5474735088646412E-13</v>
      </c>
      <c r="BE153" s="13">
        <f>BD153*VLOOKUP('Données projet'!$B$11,Paramètres!$A$1:$I$89,3,0)*VLOOKUP('Données projet'!$B$11,Paramètres!$A$1:$I$89,5,0)</f>
        <v>-2.5420376914553347E-13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300.90952915835157</v>
      </c>
      <c r="BJ153" s="59">
        <f t="shared" si="146"/>
        <v>402.81783992925256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34.537259716691089</v>
      </c>
      <c r="BQ153" s="21">
        <f>EXP(-LN(2)/25)*BQ152+(1-EXP(-LN(2)/25))/(LN(2)/25)*Calculateur!BL153*Calculateur!BN153*VLOOKUP('Données projet'!$B$11,Paramètres!$A$1:$I$89,3,0)*0.475*44/12</f>
        <v>4.1802725360222119</v>
      </c>
      <c r="BR153" s="21">
        <f>EXP(-LN(2)/2)*BR152+(1-EXP(-LN(2)/2))/(LN(2)/2)*BL153*BO153*VLOOKUP('Données projet'!$B$11,Paramètres!$A$1:$I$89,3,0)*0.475*44/12</f>
        <v>1.6903594949978988E-13</v>
      </c>
      <c r="BS153" s="22">
        <f t="shared" si="117"/>
        <v>38.717532252713468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-2.8421709430404007E-13</v>
      </c>
      <c r="BZ153" s="13">
        <f>BY153*VLOOKUP('Données projet'!$B$12,Paramètres!$A$1:$I$89,3,0)*VLOOKUP('Données projet'!$B$12,Paramètres!$A$1:$I$89,5,0)</f>
        <v>-1.4040324458619578E-13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246.05217890269194</v>
      </c>
      <c r="CE153" s="59">
        <f t="shared" si="148"/>
        <v>155.54297071424327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74.535529447602698</v>
      </c>
      <c r="CL153" s="21">
        <f>EXP(-LN(2)/25)*CL152+(1-EXP(-LN(2)/25))/(LN(2)/25)*Calculateur!CG153*Calculateur!CI153*VLOOKUP('Données projet'!$B$12,Paramètres!$A$1:$I$89,3,0)*0.475*44/12</f>
        <v>12.842044191069009</v>
      </c>
      <c r="CM153" s="21">
        <f>EXP(-LN(2)/2)*CM152+(1-EXP(-LN(2)/2))/(LN(2)/2)*CG153*CJ153*VLOOKUP('Données projet'!$B$12,Paramètres!$A$1:$I$89,3,0)*0.475*44/12</f>
        <v>7.6670256853486806E-7</v>
      </c>
      <c r="CN153" s="22">
        <f t="shared" si="120"/>
        <v>87.377574405374276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-3.4106051316484809E-13</v>
      </c>
      <c r="CU153" s="17">
        <f>CT153*VLOOKUP('Données projet'!$B$13,Paramètres!$A$1:$I$89,3,0)*VLOOKUP('Données projet'!$B$13,Paramètres!$A$1:$I$89,5,0)</f>
        <v>-2.0395418687257919E-13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237.036496933921</v>
      </c>
      <c r="CZ153" s="59">
        <f t="shared" si="150"/>
        <v>191.04289413665344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35.561898089635179</v>
      </c>
      <c r="DG153" s="21">
        <f>EXP(-LN(2)/25)*DG152+(1-EXP(-LN(2)/25))/(LN(2)/25)*Calculateur!DB153*Calculateur!DD153*VLOOKUP('Données projet'!$B$13,Paramètres!$A$1:$I$89,3,0)*0.475*44/12</f>
        <v>4.9676359739729721</v>
      </c>
      <c r="DH153" s="21">
        <f>EXP(-LN(2)/2)*DH152+(1-EXP(-LN(2)/2))/(LN(2)/2)*DB153*DE153*VLOOKUP('Données projet'!$B$13,Paramètres!$A$1:$I$89,3,0)*0.475*44/12</f>
        <v>1.0364899268402223E-9</v>
      </c>
      <c r="DI153" s="22">
        <f t="shared" si="123"/>
        <v>40.529534064644643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-3.979039320256561E-13</v>
      </c>
      <c r="DP153" s="17">
        <f>DO153*VLOOKUP('Données projet'!$B$14,Paramètres!$A$1:$I$89,3,0)*VLOOKUP('Données projet'!$B$14,Paramètres!$A$1:$I$89,5,0)</f>
        <v>-2.379465513513424E-13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148.22129593028302</v>
      </c>
      <c r="DU153" s="59">
        <f t="shared" si="152"/>
        <v>102.97015482019975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233.89079999999998</v>
      </c>
      <c r="EL153" s="13">
        <f t="shared" si="153"/>
        <v>57.123140349023068</v>
      </c>
      <c r="EM153" s="20">
        <f t="shared" si="127"/>
        <v>506.84927944121517</v>
      </c>
      <c r="EN153" s="59">
        <f t="shared" si="128"/>
        <v>800.18261277454849</v>
      </c>
      <c r="EO153" s="59">
        <f ca="1">AVERAGE(OFFSET($EN$3,0,0,'Données projet'!$E$15+1,1))-AVERAGE(OFFSET($H$3,0,0,'Données projet'!$E$15+1,1))</f>
        <v>278.53123771916404</v>
      </c>
      <c r="EP153" s="59">
        <f t="shared" si="154"/>
        <v>283.79094702030869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8.3701442969537645</v>
      </c>
      <c r="EW153" s="21">
        <f>EXP(-LN(2)/25)*EW152+(1-EXP(-LN(2)/25))/(LN(2)/25)*Calculateur!ER153*Calculateur!ET153*VLOOKUP('Données projet'!$B$15,Paramètres!$A$1:$I$89,3,0)*0.475*44/12</f>
        <v>0.81006307786449838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9.1802073748182629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6.2499999999999947</v>
      </c>
      <c r="FE153" s="12">
        <f>IF('Données projet'!$A$218&gt;35,FE152+FD153-FM152,IF(A153&lt;'Données projet'!$A$218,$FB$205^A153,IF(A153='Données projet'!$A$218,'Données projet'!$B$218,FE152+FD153-FM152)))</f>
        <v>346.83974358974308</v>
      </c>
      <c r="FF153" s="17">
        <f>FE153*VLOOKUP('Données projet'!$B$16,Paramètres!$A$1:$I$89,3,0)*VLOOKUP('Données projet'!$B$16,Paramètres!$A$1:$I$89,5,0)</f>
        <v>313.82059999999956</v>
      </c>
      <c r="FG153" s="13">
        <f t="shared" si="155"/>
        <v>74.066153805327986</v>
      </c>
      <c r="FH153" s="20">
        <f t="shared" si="130"/>
        <v>675.56942954427871</v>
      </c>
      <c r="FI153" s="59">
        <f t="shared" si="131"/>
        <v>968.90276287761208</v>
      </c>
      <c r="FJ153" s="59">
        <f ca="1">AVERAGE(OFFSET($FI$3,0,0,'Données projet'!$E$16+1,1))-AVERAGE(OFFSET($H$3,0,0,'Données projet'!$E$16+1,1))</f>
        <v>335.99493768537013</v>
      </c>
      <c r="FK153" s="59">
        <f t="shared" si="156"/>
        <v>150.85164849522778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51.239589428103884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51.239589428103884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259.99999999999983</v>
      </c>
      <c r="GA153" s="17">
        <f>FZ153*VLOOKUP('Données projet'!$B$17,Paramètres!$A$1:$I$89,3,0)*VLOOKUP('Données projet'!$B$17,Paramètres!$A$1:$I$89,5,0)</f>
        <v>227.13599999999985</v>
      </c>
      <c r="GB153" s="13">
        <f t="shared" si="157"/>
        <v>55.662966886685133</v>
      </c>
      <c r="GC153" s="20">
        <f t="shared" si="133"/>
        <v>492.5415339943097</v>
      </c>
      <c r="GD153" s="59">
        <f t="shared" si="134"/>
        <v>785.87486732764296</v>
      </c>
      <c r="GE153" s="59">
        <f ca="1">AVERAGE(OFFSET($GD$3,0,0,'Données projet'!$E$17+1,1))-AVERAGE(OFFSET($H$3,0,0,'Données projet'!$E$17+1,1))</f>
        <v>319.57811113658374</v>
      </c>
      <c r="GF153" s="59">
        <f t="shared" si="158"/>
        <v>322.03572137403245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14.02818971602019</v>
      </c>
      <c r="GM153" s="21">
        <f>EXP(-LN(2)/25)*GM152+(1-EXP(-LN(2)/25))/(LN(2)/25)*Calculateur!GH153*Calculateur!GJ153*VLOOKUP('Données projet'!$B$17,Paramètres!$A$1:$I$89,3,0)*0.475*44/12</f>
        <v>3.3602625764836467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17.388452292503835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5.4683368944097308E-14</v>
      </c>
      <c r="P154" s="13">
        <f t="shared" si="141"/>
        <v>8.8129432816788268E-13</v>
      </c>
      <c r="Q154" s="20">
        <f t="shared" ref="Q154:Q203" si="162">(O154+P154)*0.475*44/12</f>
        <v>1.6301611558033651E-12</v>
      </c>
      <c r="R154" s="59">
        <f t="shared" si="109"/>
        <v>293.33333333333496</v>
      </c>
      <c r="S154" s="59">
        <f ca="1">AVERAGE(OFFSET($R$3,0,0,'Données projet'!$E$9+1,1))-AVERAGE(OFFSET($H$3,0,0,'Données projet'!$E$9+1,1))</f>
        <v>226.41956082453015</v>
      </c>
      <c r="T154" s="59">
        <f t="shared" si="142"/>
        <v>317.95076157570446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2.9262992029543969E-13</v>
      </c>
      <c r="AK154" s="13">
        <f t="shared" ref="AK154:AK203" si="164">EXP(-1.0587+0.8836*LN(AJ154)+0.284)</f>
        <v>3.8796387982050903E-12</v>
      </c>
      <c r="AL154" s="20">
        <f t="shared" ref="AL154:AL203" si="165">(AJ154+AK154)*0.475*44/12</f>
        <v>7.2667013513884219E-12</v>
      </c>
      <c r="AM154" s="59">
        <f t="shared" si="113"/>
        <v>293.33333333334059</v>
      </c>
      <c r="AN154" s="59">
        <f ca="1">AVERAGE(OFFSET($AM$3,0,0,'Données projet'!$E$10+1,1))-AVERAGE(OFFSET($H$3,0,0,'Données projet'!$E$10+1,1))</f>
        <v>257.80662231827404</v>
      </c>
      <c r="AO154" s="59">
        <f t="shared" si="144"/>
        <v>184.04558520039876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-4.5474735088646412E-13</v>
      </c>
      <c r="BE154" s="13">
        <f>BD154*VLOOKUP('Données projet'!$B$11,Paramètres!$A$1:$I$89,3,0)*VLOOKUP('Données projet'!$B$11,Paramètres!$A$1:$I$89,5,0)</f>
        <v>-2.5420376914553347E-13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300.90952915835157</v>
      </c>
      <c r="BJ154" s="59">
        <f t="shared" si="146"/>
        <v>402.81783992925256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33.860005119295145</v>
      </c>
      <c r="BQ154" s="21">
        <f>EXP(-LN(2)/25)*BQ153+(1-EXP(-LN(2)/25))/(LN(2)/25)*Calculateur!BL154*Calculateur!BN154*VLOOKUP('Données projet'!$B$11,Paramètres!$A$1:$I$89,3,0)*0.475*44/12</f>
        <v>4.0659627636937063</v>
      </c>
      <c r="BR154" s="21">
        <f>EXP(-LN(2)/2)*BR153+(1-EXP(-LN(2)/2))/(LN(2)/2)*BL154*BO154*VLOOKUP('Données projet'!$B$11,Paramètres!$A$1:$I$89,3,0)*0.475*44/12</f>
        <v>1.1952646615560822E-13</v>
      </c>
      <c r="BS154" s="22">
        <f t="shared" ref="BS154:BS203" si="169">SUM(BP154:BR154)</f>
        <v>37.925967882988971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-2.8421709430404007E-13</v>
      </c>
      <c r="BZ154" s="13">
        <f>BY154*VLOOKUP('Données projet'!$B$12,Paramètres!$A$1:$I$89,3,0)*VLOOKUP('Données projet'!$B$12,Paramètres!$A$1:$I$89,5,0)</f>
        <v>-1.4040324458619578E-13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246.05217890269194</v>
      </c>
      <c r="CE154" s="59">
        <f t="shared" si="148"/>
        <v>155.54297071424327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73.073933177319148</v>
      </c>
      <c r="CL154" s="21">
        <f>EXP(-LN(2)/25)*CL153+(1-EXP(-LN(2)/25))/(LN(2)/25)*Calculateur!CG154*Calculateur!CI154*VLOOKUP('Données projet'!$B$12,Paramètres!$A$1:$I$89,3,0)*0.475*44/12</f>
        <v>12.490877817330475</v>
      </c>
      <c r="CM154" s="21">
        <f>EXP(-LN(2)/2)*CM153+(1-EXP(-LN(2)/2))/(LN(2)/2)*CG154*CJ154*VLOOKUP('Données projet'!$B$12,Paramètres!$A$1:$I$89,3,0)*0.475*44/12</f>
        <v>5.421405853641489E-7</v>
      </c>
      <c r="CN154" s="22">
        <f t="shared" ref="CN154:CN203" si="172">SUM(CK154:CM154)</f>
        <v>85.564811536790202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-3.4106051316484809E-13</v>
      </c>
      <c r="CU154" s="17">
        <f>CT154*VLOOKUP('Données projet'!$B$13,Paramètres!$A$1:$I$89,3,0)*VLOOKUP('Données projet'!$B$13,Paramètres!$A$1:$I$89,5,0)</f>
        <v>-2.0395418687257919E-13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237.036496933921</v>
      </c>
      <c r="CZ154" s="59">
        <f t="shared" si="150"/>
        <v>191.04289413665344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34.864550958713494</v>
      </c>
      <c r="DG154" s="21">
        <f>EXP(-LN(2)/25)*DG153+(1-EXP(-LN(2)/25))/(LN(2)/25)*Calculateur!DB154*Calculateur!DD154*VLOOKUP('Données projet'!$B$13,Paramètres!$A$1:$I$89,3,0)*0.475*44/12</f>
        <v>4.8317957070280588</v>
      </c>
      <c r="DH154" s="21">
        <f>EXP(-LN(2)/2)*DH153+(1-EXP(-LN(2)/2))/(LN(2)/2)*DB154*DE154*VLOOKUP('Données projet'!$B$13,Paramètres!$A$1:$I$89,3,0)*0.475*44/12</f>
        <v>7.3290905590026971E-10</v>
      </c>
      <c r="DI154" s="22">
        <f t="shared" ref="DI154:DI203" si="175">SUM(DF154:DH154)</f>
        <v>39.696346666474462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-3.979039320256561E-13</v>
      </c>
      <c r="DP154" s="17">
        <f>DO154*VLOOKUP('Données projet'!$B$14,Paramètres!$A$1:$I$89,3,0)*VLOOKUP('Données projet'!$B$14,Paramètres!$A$1:$I$89,5,0)</f>
        <v>-2.379465513513424E-13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148.22129593028302</v>
      </c>
      <c r="DU154" s="59">
        <f t="shared" si="152"/>
        <v>102.97015482019975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233.89079999999998</v>
      </c>
      <c r="EL154" s="13">
        <f t="shared" ref="EL154:EL203" si="179">EXP(-1.0587+0.8836*LN(EK154)+0.284)</f>
        <v>57.123140349023068</v>
      </c>
      <c r="EM154" s="20">
        <f t="shared" ref="EM154:EM203" si="180">(EK154+EL154)*0.475*44/12</f>
        <v>506.84927944121517</v>
      </c>
      <c r="EN154" s="59">
        <f t="shared" si="128"/>
        <v>800.18261277454849</v>
      </c>
      <c r="EO154" s="59">
        <f ca="1">AVERAGE(OFFSET($EN$3,0,0,'Données projet'!$E$15+1,1))-AVERAGE(OFFSET($H$3,0,0,'Données projet'!$E$15+1,1))</f>
        <v>278.53123771916404</v>
      </c>
      <c r="EP154" s="59">
        <f t="shared" si="154"/>
        <v>283.79094702030869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8.2060108725744172</v>
      </c>
      <c r="EW154" s="21">
        <f>EXP(-LN(2)/25)*EW153+(1-EXP(-LN(2)/25))/(LN(2)/25)*Calculateur!ER154*Calculateur!ET154*VLOOKUP('Données projet'!$B$15,Paramètres!$A$1:$I$89,3,0)*0.475*44/12</f>
        <v>0.78791186040092787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8.9939227329753457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6.2499999999999947</v>
      </c>
      <c r="FE154" s="12">
        <f>IF('Données projet'!$A$218&gt;35,FE153+FD154-FM153,IF(A154&lt;'Données projet'!$A$218,$FB$205^A154,IF(A154='Données projet'!$A$218,'Données projet'!$B$218,FE153+FD154-FM153)))</f>
        <v>353.08974358974308</v>
      </c>
      <c r="FF154" s="17">
        <f>FE154*VLOOKUP('Données projet'!$B$16,Paramètres!$A$1:$I$89,3,0)*VLOOKUP('Données projet'!$B$16,Paramètres!$A$1:$I$89,5,0)</f>
        <v>319.47559999999953</v>
      </c>
      <c r="FG154" s="13">
        <f t="shared" ref="FG154:FG203" si="182">EXP(-1.0587+0.8836*LN(FF154)+0.284)</f>
        <v>75.244231631502288</v>
      </c>
      <c r="FH154" s="20">
        <f t="shared" ref="FH154:FH203" si="183">(FF154+FG154)*0.475*44/12</f>
        <v>687.47037342486567</v>
      </c>
      <c r="FI154" s="59">
        <f t="shared" si="131"/>
        <v>980.80370675819904</v>
      </c>
      <c r="FJ154" s="59">
        <f ca="1">AVERAGE(OFFSET($FI$3,0,0,'Données projet'!$E$16+1,1))-AVERAGE(OFFSET($H$3,0,0,'Données projet'!$E$16+1,1))</f>
        <v>335.99493768537013</v>
      </c>
      <c r="FK154" s="59">
        <f t="shared" si="156"/>
        <v>150.85164849522778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50.234812332482335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50.234812332482335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259.99999999999983</v>
      </c>
      <c r="GA154" s="17">
        <f>FZ154*VLOOKUP('Données projet'!$B$17,Paramètres!$A$1:$I$89,3,0)*VLOOKUP('Données projet'!$B$17,Paramètres!$A$1:$I$89,5,0)</f>
        <v>227.13599999999985</v>
      </c>
      <c r="GB154" s="13">
        <f t="shared" ref="GB154:GB203" si="185">EXP(-1.0587+0.8836*LN(GA154)+0.284)</f>
        <v>55.662966886685133</v>
      </c>
      <c r="GC154" s="20">
        <f t="shared" ref="GC154:GC203" si="186">(GA154+GB154)*0.475*44/12</f>
        <v>492.5415339943097</v>
      </c>
      <c r="GD154" s="59">
        <f t="shared" si="134"/>
        <v>785.87486732764296</v>
      </c>
      <c r="GE154" s="59">
        <f ca="1">AVERAGE(OFFSET($GD$3,0,0,'Données projet'!$E$17+1,1))-AVERAGE(OFFSET($H$3,0,0,'Données projet'!$E$17+1,1))</f>
        <v>319.57811113658374</v>
      </c>
      <c r="GF154" s="59">
        <f t="shared" si="158"/>
        <v>322.03572137403245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13.753105472039891</v>
      </c>
      <c r="GM154" s="21">
        <f>EXP(-LN(2)/25)*GM153+(1-EXP(-LN(2)/25))/(LN(2)/25)*Calculateur!GH154*Calculateur!GJ154*VLOOKUP('Données projet'!$B$17,Paramètres!$A$1:$I$89,3,0)*0.475*44/12</f>
        <v>3.2683760196211726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17.021481491661064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5.4683368944097308E-14</v>
      </c>
      <c r="P155" s="13">
        <f t="shared" si="141"/>
        <v>8.8129432816788268E-13</v>
      </c>
      <c r="Q155" s="20">
        <f t="shared" si="162"/>
        <v>1.6301611558033651E-12</v>
      </c>
      <c r="R155" s="59">
        <f t="shared" si="109"/>
        <v>293.33333333333496</v>
      </c>
      <c r="S155" s="59">
        <f ca="1">AVERAGE(OFFSET($R$3,0,0,'Données projet'!$E$9+1,1))-AVERAGE(OFFSET($H$3,0,0,'Données projet'!$E$9+1,1))</f>
        <v>226.41956082453015</v>
      </c>
      <c r="T155" s="59">
        <f t="shared" si="142"/>
        <v>317.95076157570446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2.9262992029543969E-13</v>
      </c>
      <c r="AK155" s="13">
        <f t="shared" si="164"/>
        <v>3.8796387982050903E-12</v>
      </c>
      <c r="AL155" s="20">
        <f t="shared" si="165"/>
        <v>7.2667013513884219E-12</v>
      </c>
      <c r="AM155" s="59">
        <f t="shared" si="113"/>
        <v>293.33333333334059</v>
      </c>
      <c r="AN155" s="59">
        <f ca="1">AVERAGE(OFFSET($AM$3,0,0,'Données projet'!$E$10+1,1))-AVERAGE(OFFSET($H$3,0,0,'Données projet'!$E$10+1,1))</f>
        <v>257.80662231827404</v>
      </c>
      <c r="AO155" s="59">
        <f t="shared" si="144"/>
        <v>184.04558520039876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-4.5474735088646412E-13</v>
      </c>
      <c r="BE155" s="13">
        <f>BD155*VLOOKUP('Données projet'!$B$11,Paramètres!$A$1:$I$89,3,0)*VLOOKUP('Données projet'!$B$11,Paramètres!$A$1:$I$89,5,0)</f>
        <v>-2.5420376914553347E-13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300.90952915835157</v>
      </c>
      <c r="BJ155" s="59">
        <f t="shared" si="146"/>
        <v>402.81783992925256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33.196031071469619</v>
      </c>
      <c r="BQ155" s="21">
        <f>EXP(-LN(2)/25)*BQ154+(1-EXP(-LN(2)/25))/(LN(2)/25)*Calculateur!BL155*Calculateur!BN155*VLOOKUP('Données projet'!$B$11,Paramètres!$A$1:$I$89,3,0)*0.475*44/12</f>
        <v>3.9547787981008131</v>
      </c>
      <c r="BR155" s="21">
        <f>EXP(-LN(2)/2)*BR154+(1-EXP(-LN(2)/2))/(LN(2)/2)*BL155*BO155*VLOOKUP('Données projet'!$B$11,Paramètres!$A$1:$I$89,3,0)*0.475*44/12</f>
        <v>8.4517974749894939E-14</v>
      </c>
      <c r="BS155" s="22">
        <f t="shared" si="169"/>
        <v>37.150809869570516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-2.8421709430404007E-13</v>
      </c>
      <c r="BZ155" s="13">
        <f>BY155*VLOOKUP('Données projet'!$B$12,Paramètres!$A$1:$I$89,3,0)*VLOOKUP('Données projet'!$B$12,Paramètres!$A$1:$I$89,5,0)</f>
        <v>-1.4040324458619578E-13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246.05217890269194</v>
      </c>
      <c r="CE155" s="59">
        <f t="shared" si="148"/>
        <v>155.54297071424327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71.640997918410164</v>
      </c>
      <c r="CL155" s="21">
        <f>EXP(-LN(2)/25)*CL154+(1-EXP(-LN(2)/25))/(LN(2)/25)*Calculateur!CG155*Calculateur!CI155*VLOOKUP('Données projet'!$B$12,Paramètres!$A$1:$I$89,3,0)*0.475*44/12</f>
        <v>12.149314106548857</v>
      </c>
      <c r="CM155" s="21">
        <f>EXP(-LN(2)/2)*CM154+(1-EXP(-LN(2)/2))/(LN(2)/2)*CG155*CJ155*VLOOKUP('Données projet'!$B$12,Paramètres!$A$1:$I$89,3,0)*0.475*44/12</f>
        <v>3.8335128426743403E-7</v>
      </c>
      <c r="CN155" s="22">
        <f t="shared" si="172"/>
        <v>83.790312408310299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-3.4106051316484809E-13</v>
      </c>
      <c r="CU155" s="17">
        <f>CT155*VLOOKUP('Données projet'!$B$13,Paramètres!$A$1:$I$89,3,0)*VLOOKUP('Données projet'!$B$13,Paramètres!$A$1:$I$89,5,0)</f>
        <v>-2.0395418687257919E-13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237.036496933921</v>
      </c>
      <c r="CZ155" s="59">
        <f t="shared" si="150"/>
        <v>191.04289413665344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34.180878379689439</v>
      </c>
      <c r="DG155" s="21">
        <f>EXP(-LN(2)/25)*DG154+(1-EXP(-LN(2)/25))/(LN(2)/25)*Calculateur!DB155*Calculateur!DD155*VLOOKUP('Données projet'!$B$13,Paramètres!$A$1:$I$89,3,0)*0.475*44/12</f>
        <v>4.6996699993262832</v>
      </c>
      <c r="DH155" s="21">
        <f>EXP(-LN(2)/2)*DH154+(1-EXP(-LN(2)/2))/(LN(2)/2)*DB155*DE155*VLOOKUP('Données projet'!$B$13,Paramètres!$A$1:$I$89,3,0)*0.475*44/12</f>
        <v>5.1824496342011114E-10</v>
      </c>
      <c r="DI155" s="22">
        <f t="shared" si="175"/>
        <v>38.880548379533963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-3.979039320256561E-13</v>
      </c>
      <c r="DP155" s="17">
        <f>DO155*VLOOKUP('Données projet'!$B$14,Paramètres!$A$1:$I$89,3,0)*VLOOKUP('Données projet'!$B$14,Paramètres!$A$1:$I$89,5,0)</f>
        <v>-2.379465513513424E-13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148.22129593028302</v>
      </c>
      <c r="DU155" s="59">
        <f t="shared" si="152"/>
        <v>102.97015482019975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233.89079999999998</v>
      </c>
      <c r="EL155" s="13">
        <f t="shared" si="179"/>
        <v>57.123140349023068</v>
      </c>
      <c r="EM155" s="20">
        <f t="shared" si="180"/>
        <v>506.84927944121517</v>
      </c>
      <c r="EN155" s="59">
        <f t="shared" si="128"/>
        <v>800.18261277454849</v>
      </c>
      <c r="EO155" s="59">
        <f ca="1">AVERAGE(OFFSET($EN$3,0,0,'Données projet'!$E$15+1,1))-AVERAGE(OFFSET($H$3,0,0,'Données projet'!$E$15+1,1))</f>
        <v>278.53123771916404</v>
      </c>
      <c r="EP155" s="59">
        <f t="shared" si="154"/>
        <v>283.79094702030869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8.0450960045356457</v>
      </c>
      <c r="EW155" s="21">
        <f>EXP(-LN(2)/25)*EW154+(1-EXP(-LN(2)/25))/(LN(2)/25)*Calculateur!ER155*Calculateur!ET155*VLOOKUP('Données projet'!$B$15,Paramètres!$A$1:$I$89,3,0)*0.475*44/12</f>
        <v>0.76636636914378053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8.8114623736794258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6.2499999999999947</v>
      </c>
      <c r="FE155" s="12">
        <f>IF('Données projet'!$A$218&gt;35,FE154+FD155-FM154,IF(A155&lt;'Données projet'!$A$218,$FB$205^A155,IF(A155='Données projet'!$A$218,'Données projet'!$B$218,FE154+FD155-FM154)))</f>
        <v>359.33974358974308</v>
      </c>
      <c r="FF155" s="17">
        <f>FE155*VLOOKUP('Données projet'!$B$16,Paramètres!$A$1:$I$89,3,0)*VLOOKUP('Données projet'!$B$16,Paramètres!$A$1:$I$89,5,0)</f>
        <v>325.13059999999956</v>
      </c>
      <c r="FG155" s="13">
        <f t="shared" si="182"/>
        <v>76.419884531487469</v>
      </c>
      <c r="FH155" s="20">
        <f t="shared" si="183"/>
        <v>699.36709389233977</v>
      </c>
      <c r="FI155" s="59">
        <f t="shared" si="131"/>
        <v>992.70042722567314</v>
      </c>
      <c r="FJ155" s="59">
        <f ca="1">AVERAGE(OFFSET($FI$3,0,0,'Données projet'!$E$16+1,1))-AVERAGE(OFFSET($H$3,0,0,'Données projet'!$E$16+1,1))</f>
        <v>335.99493768537013</v>
      </c>
      <c r="FK155" s="59">
        <f t="shared" si="156"/>
        <v>150.85164849522778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49.249738302852407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49.249738302852407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259.99999999999983</v>
      </c>
      <c r="GA155" s="17">
        <f>FZ155*VLOOKUP('Données projet'!$B$17,Paramètres!$A$1:$I$89,3,0)*VLOOKUP('Données projet'!$B$17,Paramètres!$A$1:$I$89,5,0)</f>
        <v>227.13599999999985</v>
      </c>
      <c r="GB155" s="13">
        <f t="shared" si="185"/>
        <v>55.662966886685133</v>
      </c>
      <c r="GC155" s="20">
        <f t="shared" si="186"/>
        <v>492.5415339943097</v>
      </c>
      <c r="GD155" s="59">
        <f t="shared" si="134"/>
        <v>785.87486732764296</v>
      </c>
      <c r="GE155" s="59">
        <f ca="1">AVERAGE(OFFSET($GD$3,0,0,'Données projet'!$E$17+1,1))-AVERAGE(OFFSET($H$3,0,0,'Données projet'!$E$17+1,1))</f>
        <v>319.57811113658374</v>
      </c>
      <c r="GF155" s="59">
        <f t="shared" si="158"/>
        <v>322.03572137403245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13.483415462299225</v>
      </c>
      <c r="GM155" s="21">
        <f>EXP(-LN(2)/25)*GM154+(1-EXP(-LN(2)/25))/(LN(2)/25)*Calculateur!GH155*Calculateur!GJ155*VLOOKUP('Données projet'!$B$17,Paramètres!$A$1:$I$89,3,0)*0.475*44/12</f>
        <v>3.1790021054882067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16.662417567787433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5.4683368944097308E-14</v>
      </c>
      <c r="P156" s="13">
        <f t="shared" si="141"/>
        <v>8.8129432816788268E-13</v>
      </c>
      <c r="Q156" s="20">
        <f t="shared" si="162"/>
        <v>1.6301611558033651E-12</v>
      </c>
      <c r="R156" s="59">
        <f t="shared" si="109"/>
        <v>293.33333333333496</v>
      </c>
      <c r="S156" s="59">
        <f ca="1">AVERAGE(OFFSET($R$3,0,0,'Données projet'!$E$9+1,1))-AVERAGE(OFFSET($H$3,0,0,'Données projet'!$E$9+1,1))</f>
        <v>226.41956082453015</v>
      </c>
      <c r="T156" s="59">
        <f t="shared" si="142"/>
        <v>317.95076157570446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2.9262992029543969E-13</v>
      </c>
      <c r="AK156" s="13">
        <f t="shared" si="164"/>
        <v>3.8796387982050903E-12</v>
      </c>
      <c r="AL156" s="20">
        <f t="shared" si="165"/>
        <v>7.2667013513884219E-12</v>
      </c>
      <c r="AM156" s="59">
        <f t="shared" si="113"/>
        <v>293.33333333334059</v>
      </c>
      <c r="AN156" s="59">
        <f ca="1">AVERAGE(OFFSET($AM$3,0,0,'Données projet'!$E$10+1,1))-AVERAGE(OFFSET($H$3,0,0,'Données projet'!$E$10+1,1))</f>
        <v>257.80662231827404</v>
      </c>
      <c r="AO156" s="59">
        <f t="shared" si="144"/>
        <v>184.04558520039876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-4.5474735088646412E-13</v>
      </c>
      <c r="BE156" s="13">
        <f>BD156*VLOOKUP('Données projet'!$B$11,Paramètres!$A$1:$I$89,3,0)*VLOOKUP('Données projet'!$B$11,Paramètres!$A$1:$I$89,5,0)</f>
        <v>-2.5420376914553347E-13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300.90952915835157</v>
      </c>
      <c r="BJ156" s="59">
        <f t="shared" si="146"/>
        <v>402.81783992925256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32.545077149737772</v>
      </c>
      <c r="BQ156" s="21">
        <f>EXP(-LN(2)/25)*BQ155+(1-EXP(-LN(2)/25))/(LN(2)/25)*Calculateur!BL156*Calculateur!BN156*VLOOKUP('Données projet'!$B$11,Paramètres!$A$1:$I$89,3,0)*0.475*44/12</f>
        <v>3.8466351638939682</v>
      </c>
      <c r="BR156" s="21">
        <f>EXP(-LN(2)/2)*BR155+(1-EXP(-LN(2)/2))/(LN(2)/2)*BL156*BO156*VLOOKUP('Données projet'!$B$11,Paramètres!$A$1:$I$89,3,0)*0.475*44/12</f>
        <v>5.9763233077804109E-14</v>
      </c>
      <c r="BS156" s="22">
        <f t="shared" si="169"/>
        <v>36.3917123136318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-2.8421709430404007E-13</v>
      </c>
      <c r="BZ156" s="13">
        <f>BY156*VLOOKUP('Données projet'!$B$12,Paramètres!$A$1:$I$89,3,0)*VLOOKUP('Données projet'!$B$12,Paramètres!$A$1:$I$89,5,0)</f>
        <v>-1.4040324458619578E-13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246.05217890269194</v>
      </c>
      <c r="CE156" s="59">
        <f t="shared" si="148"/>
        <v>155.54297071424327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70.236161645924184</v>
      </c>
      <c r="CL156" s="21">
        <f>EXP(-LN(2)/25)*CL155+(1-EXP(-LN(2)/25))/(LN(2)/25)*Calculateur!CG156*Calculateur!CI156*VLOOKUP('Données projet'!$B$12,Paramètres!$A$1:$I$89,3,0)*0.475*44/12</f>
        <v>11.817090473400617</v>
      </c>
      <c r="CM156" s="21">
        <f>EXP(-LN(2)/2)*CM155+(1-EXP(-LN(2)/2))/(LN(2)/2)*CG156*CJ156*VLOOKUP('Données projet'!$B$12,Paramètres!$A$1:$I$89,3,0)*0.475*44/12</f>
        <v>2.7107029268207445E-7</v>
      </c>
      <c r="CN156" s="22">
        <f t="shared" si="172"/>
        <v>82.053252390395087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-3.4106051316484809E-13</v>
      </c>
      <c r="CU156" s="17">
        <f>CT156*VLOOKUP('Données projet'!$B$13,Paramètres!$A$1:$I$89,3,0)*VLOOKUP('Données projet'!$B$13,Paramètres!$A$1:$I$89,5,0)</f>
        <v>-2.0395418687257919E-13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237.036496933921</v>
      </c>
      <c r="CZ156" s="59">
        <f t="shared" si="150"/>
        <v>191.04289413665344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33.510612202940948</v>
      </c>
      <c r="DG156" s="21">
        <f>EXP(-LN(2)/25)*DG155+(1-EXP(-LN(2)/25))/(LN(2)/25)*Calculateur!DB156*Calculateur!DD156*VLOOKUP('Données projet'!$B$13,Paramètres!$A$1:$I$89,3,0)*0.475*44/12</f>
        <v>4.571157276049802</v>
      </c>
      <c r="DH156" s="21">
        <f>EXP(-LN(2)/2)*DH155+(1-EXP(-LN(2)/2))/(LN(2)/2)*DB156*DE156*VLOOKUP('Données projet'!$B$13,Paramètres!$A$1:$I$89,3,0)*0.475*44/12</f>
        <v>3.6645452795013485E-10</v>
      </c>
      <c r="DI156" s="22">
        <f t="shared" si="175"/>
        <v>38.081769479357206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-3.979039320256561E-13</v>
      </c>
      <c r="DP156" s="17">
        <f>DO156*VLOOKUP('Données projet'!$B$14,Paramètres!$A$1:$I$89,3,0)*VLOOKUP('Données projet'!$B$14,Paramètres!$A$1:$I$89,5,0)</f>
        <v>-2.379465513513424E-13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148.22129593028302</v>
      </c>
      <c r="DU156" s="59">
        <f t="shared" si="152"/>
        <v>102.97015482019975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233.89079999999998</v>
      </c>
      <c r="EL156" s="13">
        <f t="shared" si="179"/>
        <v>57.123140349023068</v>
      </c>
      <c r="EM156" s="20">
        <f t="shared" si="180"/>
        <v>506.84927944121517</v>
      </c>
      <c r="EN156" s="59">
        <f t="shared" si="128"/>
        <v>800.18261277454849</v>
      </c>
      <c r="EO156" s="59">
        <f ca="1">AVERAGE(OFFSET($EN$3,0,0,'Données projet'!$E$15+1,1))-AVERAGE(OFFSET($H$3,0,0,'Données projet'!$E$15+1,1))</f>
        <v>278.53123771916404</v>
      </c>
      <c r="EP156" s="59">
        <f t="shared" si="154"/>
        <v>283.79094702030869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7.8873365789107357</v>
      </c>
      <c r="EW156" s="21">
        <f>EXP(-LN(2)/25)*EW155+(1-EXP(-LN(2)/25))/(LN(2)/25)*Calculateur!ER156*Calculateur!ET156*VLOOKUP('Données projet'!$B$15,Paramètres!$A$1:$I$89,3,0)*0.475*44/12</f>
        <v>0.74541004047808801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8.6327466193888238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6.2499999999999947</v>
      </c>
      <c r="FE156" s="12">
        <f>IF('Données projet'!$A$218&gt;35,FE155+FD156-FM155,IF(A156&lt;'Données projet'!$A$218,$FB$205^A156,IF(A156='Données projet'!$A$218,'Données projet'!$B$218,FE155+FD156-FM155)))</f>
        <v>365.58974358974308</v>
      </c>
      <c r="FF156" s="17">
        <f>FE156*VLOOKUP('Données projet'!$B$16,Paramètres!$A$1:$I$89,3,0)*VLOOKUP('Données projet'!$B$16,Paramètres!$A$1:$I$89,5,0)</f>
        <v>330.78559999999953</v>
      </c>
      <c r="FG156" s="13">
        <f t="shared" si="182"/>
        <v>77.593159548575656</v>
      </c>
      <c r="FH156" s="20">
        <f t="shared" si="183"/>
        <v>711.25967288043512</v>
      </c>
      <c r="FI156" s="59">
        <f t="shared" si="131"/>
        <v>1004.5930062137684</v>
      </c>
      <c r="FJ156" s="59">
        <f ca="1">AVERAGE(OFFSET($FI$3,0,0,'Données projet'!$E$16+1,1))-AVERAGE(OFFSET($H$3,0,0,'Données projet'!$E$16+1,1))</f>
        <v>335.99493768537013</v>
      </c>
      <c r="FK156" s="59">
        <f t="shared" si="156"/>
        <v>150.85164849522778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48.283980974107692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48.283980974107692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259.99999999999983</v>
      </c>
      <c r="GA156" s="17">
        <f>FZ156*VLOOKUP('Données projet'!$B$17,Paramètres!$A$1:$I$89,3,0)*VLOOKUP('Données projet'!$B$17,Paramètres!$A$1:$I$89,5,0)</f>
        <v>227.13599999999985</v>
      </c>
      <c r="GB156" s="13">
        <f t="shared" si="185"/>
        <v>55.662966886685133</v>
      </c>
      <c r="GC156" s="20">
        <f t="shared" si="186"/>
        <v>492.5415339943097</v>
      </c>
      <c r="GD156" s="59">
        <f t="shared" si="134"/>
        <v>785.87486732764296</v>
      </c>
      <c r="GE156" s="59">
        <f ca="1">AVERAGE(OFFSET($GD$3,0,0,'Données projet'!$E$17+1,1))-AVERAGE(OFFSET($H$3,0,0,'Données projet'!$E$17+1,1))</f>
        <v>319.57811113658374</v>
      </c>
      <c r="GF156" s="59">
        <f t="shared" si="158"/>
        <v>322.03572137403245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13.21901390915491</v>
      </c>
      <c r="GM156" s="21">
        <f>EXP(-LN(2)/25)*GM155+(1-EXP(-LN(2)/25))/(LN(2)/25)*Calculateur!GH156*Calculateur!GJ156*VLOOKUP('Données projet'!$B$17,Paramètres!$A$1:$I$89,3,0)*0.475*44/12</f>
        <v>3.0920721257371766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16.311086034892085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5.4683368944097308E-14</v>
      </c>
      <c r="P157" s="13">
        <f t="shared" si="141"/>
        <v>8.8129432816788268E-13</v>
      </c>
      <c r="Q157" s="20">
        <f t="shared" si="162"/>
        <v>1.6301611558033651E-12</v>
      </c>
      <c r="R157" s="59">
        <f t="shared" si="109"/>
        <v>293.33333333333496</v>
      </c>
      <c r="S157" s="59">
        <f ca="1">AVERAGE(OFFSET($R$3,0,0,'Données projet'!$E$9+1,1))-AVERAGE(OFFSET($H$3,0,0,'Données projet'!$E$9+1,1))</f>
        <v>226.41956082453015</v>
      </c>
      <c r="T157" s="59">
        <f t="shared" si="142"/>
        <v>317.95076157570446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2.9262992029543969E-13</v>
      </c>
      <c r="AK157" s="13">
        <f t="shared" si="164"/>
        <v>3.8796387982050903E-12</v>
      </c>
      <c r="AL157" s="20">
        <f t="shared" si="165"/>
        <v>7.2667013513884219E-12</v>
      </c>
      <c r="AM157" s="59">
        <f t="shared" si="113"/>
        <v>293.33333333334059</v>
      </c>
      <c r="AN157" s="59">
        <f ca="1">AVERAGE(OFFSET($AM$3,0,0,'Données projet'!$E$10+1,1))-AVERAGE(OFFSET($H$3,0,0,'Données projet'!$E$10+1,1))</f>
        <v>257.80662231827404</v>
      </c>
      <c r="AO157" s="59">
        <f t="shared" si="144"/>
        <v>184.04558520039876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-4.5474735088646412E-13</v>
      </c>
      <c r="BE157" s="13">
        <f>BD157*VLOOKUP('Données projet'!$B$11,Paramètres!$A$1:$I$89,3,0)*VLOOKUP('Données projet'!$B$11,Paramètres!$A$1:$I$89,5,0)</f>
        <v>-2.5420376914553347E-13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300.90952915835157</v>
      </c>
      <c r="BJ157" s="59">
        <f t="shared" si="146"/>
        <v>402.81783992925256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31.906888037368397</v>
      </c>
      <c r="BQ157" s="21">
        <f>EXP(-LN(2)/25)*BQ156+(1-EXP(-LN(2)/25))/(LN(2)/25)*Calculateur!BL157*Calculateur!BN157*VLOOKUP('Données projet'!$B$11,Paramètres!$A$1:$I$89,3,0)*0.475*44/12</f>
        <v>3.7414487230515361</v>
      </c>
      <c r="BR157" s="21">
        <f>EXP(-LN(2)/2)*BR156+(1-EXP(-LN(2)/2))/(LN(2)/2)*BL157*BO157*VLOOKUP('Données projet'!$B$11,Paramètres!$A$1:$I$89,3,0)*0.475*44/12</f>
        <v>4.2258987374947469E-14</v>
      </c>
      <c r="BS157" s="22">
        <f t="shared" si="169"/>
        <v>35.648336760419973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-2.8421709430404007E-13</v>
      </c>
      <c r="BZ157" s="13">
        <f>BY157*VLOOKUP('Données projet'!$B$12,Paramètres!$A$1:$I$89,3,0)*VLOOKUP('Données projet'!$B$12,Paramètres!$A$1:$I$89,5,0)</f>
        <v>-1.4040324458619578E-13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246.05217890269194</v>
      </c>
      <c r="CE157" s="59">
        <f t="shared" si="148"/>
        <v>155.54297071424327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68.858873355876128</v>
      </c>
      <c r="CL157" s="21">
        <f>EXP(-LN(2)/25)*CL156+(1-EXP(-LN(2)/25))/(LN(2)/25)*Calculateur!CG157*Calculateur!CI157*VLOOKUP('Données projet'!$B$12,Paramètres!$A$1:$I$89,3,0)*0.475*44/12</f>
        <v>11.493951512971698</v>
      </c>
      <c r="CM157" s="21">
        <f>EXP(-LN(2)/2)*CM156+(1-EXP(-LN(2)/2))/(LN(2)/2)*CG157*CJ157*VLOOKUP('Données projet'!$B$12,Paramètres!$A$1:$I$89,3,0)*0.475*44/12</f>
        <v>1.9167564213371702E-7</v>
      </c>
      <c r="CN157" s="22">
        <f t="shared" si="172"/>
        <v>80.352825060523458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-3.4106051316484809E-13</v>
      </c>
      <c r="CU157" s="17">
        <f>CT157*VLOOKUP('Données projet'!$B$13,Paramètres!$A$1:$I$89,3,0)*VLOOKUP('Données projet'!$B$13,Paramètres!$A$1:$I$89,5,0)</f>
        <v>-2.0395418687257919E-13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237.036496933921</v>
      </c>
      <c r="CZ157" s="59">
        <f t="shared" si="150"/>
        <v>191.04289413665344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32.853489537096493</v>
      </c>
      <c r="DG157" s="21">
        <f>EXP(-LN(2)/25)*DG156+(1-EXP(-LN(2)/25))/(LN(2)/25)*Calculateur!DB157*Calculateur!DD157*VLOOKUP('Données projet'!$B$13,Paramètres!$A$1:$I$89,3,0)*0.475*44/12</f>
        <v>4.4461587399495066</v>
      </c>
      <c r="DH157" s="21">
        <f>EXP(-LN(2)/2)*DH156+(1-EXP(-LN(2)/2))/(LN(2)/2)*DB157*DE157*VLOOKUP('Données projet'!$B$13,Paramètres!$A$1:$I$89,3,0)*0.475*44/12</f>
        <v>2.5912248171005557E-10</v>
      </c>
      <c r="DI157" s="22">
        <f t="shared" si="175"/>
        <v>37.299648277305124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-3.979039320256561E-13</v>
      </c>
      <c r="DP157" s="17">
        <f>DO157*VLOOKUP('Données projet'!$B$14,Paramètres!$A$1:$I$89,3,0)*VLOOKUP('Données projet'!$B$14,Paramètres!$A$1:$I$89,5,0)</f>
        <v>-2.379465513513424E-13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148.22129593028302</v>
      </c>
      <c r="DU157" s="59">
        <f t="shared" si="152"/>
        <v>102.97015482019975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233.89079999999998</v>
      </c>
      <c r="EL157" s="13">
        <f t="shared" si="179"/>
        <v>57.123140349023068</v>
      </c>
      <c r="EM157" s="20">
        <f t="shared" si="180"/>
        <v>506.84927944121517</v>
      </c>
      <c r="EN157" s="59">
        <f t="shared" si="128"/>
        <v>800.18261277454849</v>
      </c>
      <c r="EO157" s="59">
        <f ca="1">AVERAGE(OFFSET($EN$3,0,0,'Données projet'!$E$15+1,1))-AVERAGE(OFFSET($H$3,0,0,'Données projet'!$E$15+1,1))</f>
        <v>278.53123771916404</v>
      </c>
      <c r="EP157" s="59">
        <f t="shared" si="154"/>
        <v>283.79094702030869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7.7326707193985822</v>
      </c>
      <c r="EW157" s="21">
        <f>EXP(-LN(2)/25)*EW156+(1-EXP(-LN(2)/25))/(LN(2)/25)*Calculateur!ER157*Calculateur!ET157*VLOOKUP('Données projet'!$B$15,Paramètres!$A$1:$I$89,3,0)*0.475*44/12</f>
        <v>0.7250267637218043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8.4576974831203859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>
        <f>VLOOKUP(A157,'Données projet'!$A$217:$I$237,2,0)</f>
        <v>371.83974358974359</v>
      </c>
      <c r="FC157" s="12">
        <f>VLOOKUP(A157,'Données projet'!$A$217:$I$237,9,0)</f>
        <v>6.2499999999999947</v>
      </c>
      <c r="FD157" s="12">
        <f t="array" ref="FD157">INDEX(FC:FC,MIN(IF(ISNUMBER(FC157:FC353),ROW(FC157:FC353),"")))</f>
        <v>6.2499999999999947</v>
      </c>
      <c r="FE157" s="12">
        <f>IF('Données projet'!$A$218&gt;35,FE156+FD157-FM156,IF(A157&lt;'Données projet'!$A$218,$FB$205^A157,IF(A157='Données projet'!$A$218,'Données projet'!$B$218,FE156+FD157-FM156)))</f>
        <v>371.83974358974308</v>
      </c>
      <c r="FF157" s="17">
        <f>FE157*VLOOKUP('Données projet'!$B$16,Paramètres!$A$1:$I$89,3,0)*VLOOKUP('Données projet'!$B$16,Paramètres!$A$1:$I$89,5,0)</f>
        <v>336.44059999999956</v>
      </c>
      <c r="FG157" s="13">
        <f t="shared" si="182"/>
        <v>78.764102025417841</v>
      </c>
      <c r="FH157" s="20">
        <f t="shared" si="183"/>
        <v>723.14818936093525</v>
      </c>
      <c r="FI157" s="59">
        <f t="shared" si="131"/>
        <v>1016.4815226942685</v>
      </c>
      <c r="FJ157" s="59">
        <f ca="1">AVERAGE(OFFSET($FI$3,0,0,'Données projet'!$E$16+1,1))-AVERAGE(OFFSET($H$3,0,0,'Données projet'!$E$16+1,1))</f>
        <v>335.99493768537013</v>
      </c>
      <c r="FK157" s="59">
        <f t="shared" si="156"/>
        <v>150.85164849522778</v>
      </c>
      <c r="FL157" s="15">
        <f>IF(ISNA(VLOOKUP(A157,'Données projet'!$A$217:$I$237,3,0)),0,VLOOKUP(A157,'Données projet'!$A$217:$I$237,3,0))</f>
        <v>13</v>
      </c>
      <c r="FM157" s="15">
        <f>IF(ISNA(VLOOKUP(A157,'Données projet'!$A$217:$I$237,4,0)),0,VLOOKUP(A157,'Données projet'!$A$217:$I$237,4,0))</f>
        <v>41.557692307692307</v>
      </c>
      <c r="FN157" s="16">
        <f>IF(ISNA(VLOOKUP(A157,'Données projet'!$A$217:$I$237,5,0)),0%,VLOOKUP(A157,'Données projet'!$A$217:$I$237,5,0)*VLOOKUP('Données projet'!$B$16,Paramètres!$A$1:$I$89,7,0))</f>
        <v>0.38700000000000001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63.423681088037355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63.423681088037355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259.99999999999983</v>
      </c>
      <c r="GA157" s="17">
        <f>FZ157*VLOOKUP('Données projet'!$B$17,Paramètres!$A$1:$I$89,3,0)*VLOOKUP('Données projet'!$B$17,Paramètres!$A$1:$I$89,5,0)</f>
        <v>227.13599999999985</v>
      </c>
      <c r="GB157" s="13">
        <f t="shared" si="185"/>
        <v>55.662966886685133</v>
      </c>
      <c r="GC157" s="20">
        <f t="shared" si="186"/>
        <v>492.5415339943097</v>
      </c>
      <c r="GD157" s="59">
        <f t="shared" si="134"/>
        <v>785.87486732764296</v>
      </c>
      <c r="GE157" s="59">
        <f ca="1">AVERAGE(OFFSET($GD$3,0,0,'Données projet'!$E$17+1,1))-AVERAGE(OFFSET($H$3,0,0,'Données projet'!$E$17+1,1))</f>
        <v>319.57811113658374</v>
      </c>
      <c r="GF157" s="59">
        <f t="shared" si="158"/>
        <v>322.03572137403245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12.959797109198732</v>
      </c>
      <c r="GM157" s="21">
        <f>EXP(-LN(2)/25)*GM156+(1-EXP(-LN(2)/25))/(LN(2)/25)*Calculateur!GH157*Calculateur!GJ157*VLOOKUP('Données projet'!$B$17,Paramètres!$A$1:$I$89,3,0)*0.475*44/12</f>
        <v>3.0075192508538873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15.967316360052619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5.4683368944097308E-14</v>
      </c>
      <c r="P158" s="13">
        <f t="shared" si="141"/>
        <v>8.8129432816788268E-13</v>
      </c>
      <c r="Q158" s="20">
        <f t="shared" si="162"/>
        <v>1.6301611558033651E-12</v>
      </c>
      <c r="R158" s="59">
        <f t="shared" si="109"/>
        <v>293.33333333333496</v>
      </c>
      <c r="S158" s="59">
        <f ca="1">AVERAGE(OFFSET($R$3,0,0,'Données projet'!$E$9+1,1))-AVERAGE(OFFSET($H$3,0,0,'Données projet'!$E$9+1,1))</f>
        <v>226.41956082453015</v>
      </c>
      <c r="T158" s="59">
        <f t="shared" si="142"/>
        <v>317.95076157570446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2.9262992029543969E-13</v>
      </c>
      <c r="AK158" s="13">
        <f t="shared" si="164"/>
        <v>3.8796387982050903E-12</v>
      </c>
      <c r="AL158" s="20">
        <f t="shared" si="165"/>
        <v>7.2667013513884219E-12</v>
      </c>
      <c r="AM158" s="59">
        <f t="shared" si="113"/>
        <v>293.33333333334059</v>
      </c>
      <c r="AN158" s="59">
        <f ca="1">AVERAGE(OFFSET($AM$3,0,0,'Données projet'!$E$10+1,1))-AVERAGE(OFFSET($H$3,0,0,'Données projet'!$E$10+1,1))</f>
        <v>257.80662231827404</v>
      </c>
      <c r="AO158" s="59">
        <f t="shared" si="144"/>
        <v>184.04558520039876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-4.5474735088646412E-13</v>
      </c>
      <c r="BE158" s="13">
        <f>BD158*VLOOKUP('Données projet'!$B$11,Paramètres!$A$1:$I$89,3,0)*VLOOKUP('Données projet'!$B$11,Paramètres!$A$1:$I$89,5,0)</f>
        <v>-2.5420376914553347E-13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300.90952915835157</v>
      </c>
      <c r="BJ158" s="59">
        <f t="shared" si="146"/>
        <v>402.81783992925256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31.281213424235663</v>
      </c>
      <c r="BQ158" s="21">
        <f>EXP(-LN(2)/25)*BQ157+(1-EXP(-LN(2)/25))/(LN(2)/25)*Calculateur!BL158*Calculateur!BN158*VLOOKUP('Données projet'!$B$11,Paramètres!$A$1:$I$89,3,0)*0.475*44/12</f>
        <v>3.6391386109654547</v>
      </c>
      <c r="BR158" s="21">
        <f>EXP(-LN(2)/2)*BR157+(1-EXP(-LN(2)/2))/(LN(2)/2)*BL158*BO158*VLOOKUP('Données projet'!$B$11,Paramètres!$A$1:$I$89,3,0)*0.475*44/12</f>
        <v>2.9881616538902054E-14</v>
      </c>
      <c r="BS158" s="22">
        <f t="shared" si="169"/>
        <v>34.920352035201148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-2.8421709430404007E-13</v>
      </c>
      <c r="BZ158" s="13">
        <f>BY158*VLOOKUP('Données projet'!$B$12,Paramètres!$A$1:$I$89,3,0)*VLOOKUP('Données projet'!$B$12,Paramètres!$A$1:$I$89,5,0)</f>
        <v>-1.4040324458619578E-13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246.05217890269194</v>
      </c>
      <c r="CE158" s="59">
        <f t="shared" si="148"/>
        <v>155.54297071424327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67.508592849133009</v>
      </c>
      <c r="CL158" s="21">
        <f>EXP(-LN(2)/25)*CL157+(1-EXP(-LN(2)/25))/(LN(2)/25)*Calculateur!CG158*Calculateur!CI158*VLOOKUP('Données projet'!$B$12,Paramètres!$A$1:$I$89,3,0)*0.475*44/12</f>
        <v>11.179648804408847</v>
      </c>
      <c r="CM158" s="21">
        <f>EXP(-LN(2)/2)*CM157+(1-EXP(-LN(2)/2))/(LN(2)/2)*CG158*CJ158*VLOOKUP('Données projet'!$B$12,Paramètres!$A$1:$I$89,3,0)*0.475*44/12</f>
        <v>1.3553514634103723E-7</v>
      </c>
      <c r="CN158" s="22">
        <f t="shared" si="172"/>
        <v>78.688241789076997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-3.4106051316484809E-13</v>
      </c>
      <c r="CU158" s="17">
        <f>CT158*VLOOKUP('Données projet'!$B$13,Paramètres!$A$1:$I$89,3,0)*VLOOKUP('Données projet'!$B$13,Paramètres!$A$1:$I$89,5,0)</f>
        <v>-2.0395418687257919E-13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237.036496933921</v>
      </c>
      <c r="CZ158" s="59">
        <f t="shared" si="150"/>
        <v>191.04289413665344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32.209252645923996</v>
      </c>
      <c r="DG158" s="21">
        <f>EXP(-LN(2)/25)*DG157+(1-EXP(-LN(2)/25))/(LN(2)/25)*Calculateur!DB158*Calculateur!DD158*VLOOKUP('Données projet'!$B$13,Paramètres!$A$1:$I$89,3,0)*0.475*44/12</f>
        <v>4.3245782953922607</v>
      </c>
      <c r="DH158" s="21">
        <f>EXP(-LN(2)/2)*DH157+(1-EXP(-LN(2)/2))/(LN(2)/2)*DB158*DE158*VLOOKUP('Données projet'!$B$13,Paramètres!$A$1:$I$89,3,0)*0.475*44/12</f>
        <v>1.8322726397506743E-10</v>
      </c>
      <c r="DI158" s="22">
        <f t="shared" si="175"/>
        <v>36.533830941499481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-3.979039320256561E-13</v>
      </c>
      <c r="DP158" s="17">
        <f>DO158*VLOOKUP('Données projet'!$B$14,Paramètres!$A$1:$I$89,3,0)*VLOOKUP('Données projet'!$B$14,Paramètres!$A$1:$I$89,5,0)</f>
        <v>-2.379465513513424E-13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148.22129593028302</v>
      </c>
      <c r="DU158" s="59">
        <f t="shared" si="152"/>
        <v>102.97015482019975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233.89079999999998</v>
      </c>
      <c r="EL158" s="13">
        <f t="shared" si="179"/>
        <v>57.123140349023068</v>
      </c>
      <c r="EM158" s="20">
        <f t="shared" si="180"/>
        <v>506.84927944121517</v>
      </c>
      <c r="EN158" s="59">
        <f t="shared" si="128"/>
        <v>800.18261277454849</v>
      </c>
      <c r="EO158" s="59">
        <f ca="1">AVERAGE(OFFSET($EN$3,0,0,'Données projet'!$E$15+1,1))-AVERAGE(OFFSET($H$3,0,0,'Données projet'!$E$15+1,1))</f>
        <v>278.53123771916404</v>
      </c>
      <c r="EP158" s="59">
        <f t="shared" si="154"/>
        <v>283.79094702030869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7.5810377630546029</v>
      </c>
      <c r="EW158" s="21">
        <f>EXP(-LN(2)/25)*EW157+(1-EXP(-LN(2)/25))/(LN(2)/25)*Calculateur!ER158*Calculateur!ET158*VLOOKUP('Données projet'!$B$15,Paramètres!$A$1:$I$89,3,0)*0.475*44/12</f>
        <v>0.70520086874033117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8.2862386317949337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6.3403846153846128</v>
      </c>
      <c r="FE158" s="12">
        <f>IF('Données projet'!$A$218&gt;35,FE157+FD158-FM157,IF(A158&lt;'Données projet'!$A$218,$FB$205^A158,IF(A158='Données projet'!$A$218,'Données projet'!$B$218,FE157+FD158-FM157)))</f>
        <v>336.62243589743537</v>
      </c>
      <c r="FF158" s="17">
        <f>FE158*VLOOKUP('Données projet'!$B$16,Paramètres!$A$1:$I$89,3,0)*VLOOKUP('Données projet'!$B$16,Paramètres!$A$1:$I$89,5,0)</f>
        <v>304.5759799999995</v>
      </c>
      <c r="FG158" s="13">
        <f t="shared" si="182"/>
        <v>72.134917834185984</v>
      </c>
      <c r="FH158" s="20">
        <f t="shared" si="183"/>
        <v>656.10481372787308</v>
      </c>
      <c r="FI158" s="59">
        <f t="shared" si="131"/>
        <v>949.43814706120634</v>
      </c>
      <c r="FJ158" s="59">
        <f ca="1">AVERAGE(OFFSET($FI$3,0,0,'Données projet'!$E$16+1,1))-AVERAGE(OFFSET($H$3,0,0,'Données projet'!$E$16+1,1))</f>
        <v>335.99493768537013</v>
      </c>
      <c r="FK158" s="59">
        <f t="shared" si="156"/>
        <v>150.85164849522778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62.17998138652662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62.17998138652662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259.99999999999983</v>
      </c>
      <c r="GA158" s="17">
        <f>FZ158*VLOOKUP('Données projet'!$B$17,Paramètres!$A$1:$I$89,3,0)*VLOOKUP('Données projet'!$B$17,Paramètres!$A$1:$I$89,5,0)</f>
        <v>227.13599999999985</v>
      </c>
      <c r="GB158" s="13">
        <f t="shared" si="185"/>
        <v>55.662966886685133</v>
      </c>
      <c r="GC158" s="20">
        <f t="shared" si="186"/>
        <v>492.5415339943097</v>
      </c>
      <c r="GD158" s="59">
        <f t="shared" si="134"/>
        <v>785.87486732764296</v>
      </c>
      <c r="GE158" s="59">
        <f ca="1">AVERAGE(OFFSET($GD$3,0,0,'Données projet'!$E$17+1,1))-AVERAGE(OFFSET($H$3,0,0,'Données projet'!$E$17+1,1))</f>
        <v>319.57811113658374</v>
      </c>
      <c r="GF158" s="59">
        <f t="shared" si="158"/>
        <v>322.03572137403245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12.705663392583057</v>
      </c>
      <c r="GM158" s="21">
        <f>EXP(-LN(2)/25)*GM157+(1-EXP(-LN(2)/25))/(LN(2)/25)*Calculateur!GH158*Calculateur!GJ158*VLOOKUP('Données projet'!$B$17,Paramètres!$A$1:$I$89,3,0)*0.475*44/12</f>
        <v>2.925278478780724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15.630941871363781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5.4683368944097308E-14</v>
      </c>
      <c r="P159" s="13">
        <f t="shared" si="141"/>
        <v>8.8129432816788268E-13</v>
      </c>
      <c r="Q159" s="20">
        <f t="shared" si="162"/>
        <v>1.6301611558033651E-12</v>
      </c>
      <c r="R159" s="59">
        <f t="shared" si="109"/>
        <v>293.33333333333496</v>
      </c>
      <c r="S159" s="59">
        <f ca="1">AVERAGE(OFFSET($R$3,0,0,'Données projet'!$E$9+1,1))-AVERAGE(OFFSET($H$3,0,0,'Données projet'!$E$9+1,1))</f>
        <v>226.41956082453015</v>
      </c>
      <c r="T159" s="59">
        <f t="shared" si="142"/>
        <v>317.95076157570446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2.9262992029543969E-13</v>
      </c>
      <c r="AK159" s="13">
        <f t="shared" si="164"/>
        <v>3.8796387982050903E-12</v>
      </c>
      <c r="AL159" s="20">
        <f t="shared" si="165"/>
        <v>7.2667013513884219E-12</v>
      </c>
      <c r="AM159" s="59">
        <f t="shared" si="113"/>
        <v>293.33333333334059</v>
      </c>
      <c r="AN159" s="59">
        <f ca="1">AVERAGE(OFFSET($AM$3,0,0,'Données projet'!$E$10+1,1))-AVERAGE(OFFSET($H$3,0,0,'Données projet'!$E$10+1,1))</f>
        <v>257.80662231827404</v>
      </c>
      <c r="AO159" s="59">
        <f t="shared" si="144"/>
        <v>184.04558520039876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-4.5474735088646412E-13</v>
      </c>
      <c r="BE159" s="13">
        <f>BD159*VLOOKUP('Données projet'!$B$11,Paramètres!$A$1:$I$89,3,0)*VLOOKUP('Données projet'!$B$11,Paramètres!$A$1:$I$89,5,0)</f>
        <v>-2.5420376914553347E-13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300.90952915835157</v>
      </c>
      <c r="BJ159" s="59">
        <f t="shared" si="146"/>
        <v>402.81783992925256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30.667807908642629</v>
      </c>
      <c r="BQ159" s="21">
        <f>EXP(-LN(2)/25)*BQ158+(1-EXP(-LN(2)/25))/(LN(2)/25)*Calculateur!BL159*Calculateur!BN159*VLOOKUP('Données projet'!$B$11,Paramètres!$A$1:$I$89,3,0)*0.475*44/12</f>
        <v>3.539626174274622</v>
      </c>
      <c r="BR159" s="21">
        <f>EXP(-LN(2)/2)*BR158+(1-EXP(-LN(2)/2))/(LN(2)/2)*BL159*BO159*VLOOKUP('Données projet'!$B$11,Paramètres!$A$1:$I$89,3,0)*0.475*44/12</f>
        <v>2.1129493687473735E-14</v>
      </c>
      <c r="BS159" s="22">
        <f t="shared" si="169"/>
        <v>34.207434082917274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-2.8421709430404007E-13</v>
      </c>
      <c r="BZ159" s="13">
        <f>BY159*VLOOKUP('Données projet'!$B$12,Paramètres!$A$1:$I$89,3,0)*VLOOKUP('Données projet'!$B$12,Paramètres!$A$1:$I$89,5,0)</f>
        <v>-1.4040324458619578E-13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246.05217890269194</v>
      </c>
      <c r="CE159" s="59">
        <f t="shared" si="148"/>
        <v>155.54297071424327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66.184790519537344</v>
      </c>
      <c r="CL159" s="21">
        <f>EXP(-LN(2)/25)*CL158+(1-EXP(-LN(2)/25))/(LN(2)/25)*Calculateur!CG159*Calculateur!CI159*VLOOKUP('Données projet'!$B$12,Paramètres!$A$1:$I$89,3,0)*0.475*44/12</f>
        <v>10.873940719940109</v>
      </c>
      <c r="CM159" s="21">
        <f>EXP(-LN(2)/2)*CM158+(1-EXP(-LN(2)/2))/(LN(2)/2)*CG159*CJ159*VLOOKUP('Données projet'!$B$12,Paramètres!$A$1:$I$89,3,0)*0.475*44/12</f>
        <v>9.5837821066858508E-8</v>
      </c>
      <c r="CN159" s="22">
        <f t="shared" si="172"/>
        <v>77.058731335315272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-3.4106051316484809E-13</v>
      </c>
      <c r="CU159" s="17">
        <f>CT159*VLOOKUP('Données projet'!$B$13,Paramètres!$A$1:$I$89,3,0)*VLOOKUP('Données projet'!$B$13,Paramètres!$A$1:$I$89,5,0)</f>
        <v>-2.0395418687257919E-13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237.036496933921</v>
      </c>
      <c r="CZ159" s="59">
        <f t="shared" si="150"/>
        <v>191.04289413665344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31.57764884724169</v>
      </c>
      <c r="DG159" s="21">
        <f>EXP(-LN(2)/25)*DG158+(1-EXP(-LN(2)/25))/(LN(2)/25)*Calculateur!DB159*Calculateur!DD159*VLOOKUP('Données projet'!$B$13,Paramètres!$A$1:$I$89,3,0)*0.475*44/12</f>
        <v>4.2063224744850709</v>
      </c>
      <c r="DH159" s="21">
        <f>EXP(-LN(2)/2)*DH158+(1-EXP(-LN(2)/2))/(LN(2)/2)*DB159*DE159*VLOOKUP('Données projet'!$B$13,Paramètres!$A$1:$I$89,3,0)*0.475*44/12</f>
        <v>1.2956124085502778E-10</v>
      </c>
      <c r="DI159" s="22">
        <f t="shared" si="175"/>
        <v>35.78397132185632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-3.979039320256561E-13</v>
      </c>
      <c r="DP159" s="17">
        <f>DO159*VLOOKUP('Données projet'!$B$14,Paramètres!$A$1:$I$89,3,0)*VLOOKUP('Données projet'!$B$14,Paramètres!$A$1:$I$89,5,0)</f>
        <v>-2.379465513513424E-13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148.22129593028302</v>
      </c>
      <c r="DU159" s="59">
        <f t="shared" si="152"/>
        <v>102.97015482019975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233.89079999999998</v>
      </c>
      <c r="EL159" s="13">
        <f t="shared" si="179"/>
        <v>57.123140349023068</v>
      </c>
      <c r="EM159" s="20">
        <f t="shared" si="180"/>
        <v>506.84927944121517</v>
      </c>
      <c r="EN159" s="59">
        <f t="shared" si="128"/>
        <v>800.18261277454849</v>
      </c>
      <c r="EO159" s="59">
        <f ca="1">AVERAGE(OFFSET($EN$3,0,0,'Données projet'!$E$15+1,1))-AVERAGE(OFFSET($H$3,0,0,'Données projet'!$E$15+1,1))</f>
        <v>278.53123771916404</v>
      </c>
      <c r="EP159" s="59">
        <f t="shared" si="154"/>
        <v>283.79094702030869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7.4323782364975575</v>
      </c>
      <c r="EW159" s="21">
        <f>EXP(-LN(2)/25)*EW158+(1-EXP(-LN(2)/25))/(LN(2)/25)*Calculateur!ER159*Calculateur!ET159*VLOOKUP('Données projet'!$B$15,Paramètres!$A$1:$I$89,3,0)*0.475*44/12</f>
        <v>0.68591711389972487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8.1182953503972826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6.3403846153846128</v>
      </c>
      <c r="FE159" s="12">
        <f>IF('Données projet'!$A$218&gt;35,FE158+FD159-FM158,IF(A159&lt;'Données projet'!$A$218,$FB$205^A159,IF(A159='Données projet'!$A$218,'Données projet'!$B$218,FE158+FD159-FM158)))</f>
        <v>342.96282051281997</v>
      </c>
      <c r="FF159" s="17">
        <f>FE159*VLOOKUP('Données projet'!$B$16,Paramètres!$A$1:$I$89,3,0)*VLOOKUP('Données projet'!$B$16,Paramètres!$A$1:$I$89,5,0)</f>
        <v>310.31275999999946</v>
      </c>
      <c r="FG159" s="13">
        <f t="shared" si="182"/>
        <v>73.334143074131603</v>
      </c>
      <c r="FH159" s="20">
        <f t="shared" si="183"/>
        <v>668.18502285411148</v>
      </c>
      <c r="FI159" s="59">
        <f t="shared" si="131"/>
        <v>961.51835618744485</v>
      </c>
      <c r="FJ159" s="59">
        <f ca="1">AVERAGE(OFFSET($FI$3,0,0,'Données projet'!$E$16+1,1))-AVERAGE(OFFSET($H$3,0,0,'Données projet'!$E$16+1,1))</f>
        <v>335.99493768537013</v>
      </c>
      <c r="FK159" s="59">
        <f t="shared" si="156"/>
        <v>150.85164849522778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60.960669877580592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60.960669877580592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259.99999999999983</v>
      </c>
      <c r="GA159" s="17">
        <f>FZ159*VLOOKUP('Données projet'!$B$17,Paramètres!$A$1:$I$89,3,0)*VLOOKUP('Données projet'!$B$17,Paramètres!$A$1:$I$89,5,0)</f>
        <v>227.13599999999985</v>
      </c>
      <c r="GB159" s="13">
        <f t="shared" si="185"/>
        <v>55.662966886685133</v>
      </c>
      <c r="GC159" s="20">
        <f t="shared" si="186"/>
        <v>492.5415339943097</v>
      </c>
      <c r="GD159" s="59">
        <f t="shared" si="134"/>
        <v>785.87486732764296</v>
      </c>
      <c r="GE159" s="59">
        <f ca="1">AVERAGE(OFFSET($GD$3,0,0,'Données projet'!$E$17+1,1))-AVERAGE(OFFSET($H$3,0,0,'Données projet'!$E$17+1,1))</f>
        <v>319.57811113658374</v>
      </c>
      <c r="GF159" s="59">
        <f t="shared" si="158"/>
        <v>322.03572137403245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12.456513083143955</v>
      </c>
      <c r="GM159" s="21">
        <f>EXP(-LN(2)/25)*GM158+(1-EXP(-LN(2)/25))/(LN(2)/25)*Calculateur!GH159*Calculateur!GJ159*VLOOKUP('Données projet'!$B$17,Paramètres!$A$1:$I$89,3,0)*0.475*44/12</f>
        <v>2.8452865849447555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15.301799668088711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5.4683368944097308E-14</v>
      </c>
      <c r="P160" s="13">
        <f t="shared" si="141"/>
        <v>8.8129432816788268E-13</v>
      </c>
      <c r="Q160" s="20">
        <f t="shared" si="162"/>
        <v>1.6301611558033651E-12</v>
      </c>
      <c r="R160" s="59">
        <f t="shared" si="109"/>
        <v>293.33333333333496</v>
      </c>
      <c r="S160" s="59">
        <f ca="1">AVERAGE(OFFSET($R$3,0,0,'Données projet'!$E$9+1,1))-AVERAGE(OFFSET($H$3,0,0,'Données projet'!$E$9+1,1))</f>
        <v>226.41956082453015</v>
      </c>
      <c r="T160" s="59">
        <f t="shared" si="142"/>
        <v>317.95076157570446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2.9262992029543969E-13</v>
      </c>
      <c r="AK160" s="13">
        <f t="shared" si="164"/>
        <v>3.8796387982050903E-12</v>
      </c>
      <c r="AL160" s="20">
        <f t="shared" si="165"/>
        <v>7.2667013513884219E-12</v>
      </c>
      <c r="AM160" s="59">
        <f t="shared" si="113"/>
        <v>293.33333333334059</v>
      </c>
      <c r="AN160" s="59">
        <f ca="1">AVERAGE(OFFSET($AM$3,0,0,'Données projet'!$E$10+1,1))-AVERAGE(OFFSET($H$3,0,0,'Données projet'!$E$10+1,1))</f>
        <v>257.80662231827404</v>
      </c>
      <c r="AO160" s="59">
        <f t="shared" si="144"/>
        <v>184.04558520039876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-4.5474735088646412E-13</v>
      </c>
      <c r="BE160" s="13">
        <f>BD160*VLOOKUP('Données projet'!$B$11,Paramètres!$A$1:$I$89,3,0)*VLOOKUP('Données projet'!$B$11,Paramètres!$A$1:$I$89,5,0)</f>
        <v>-2.5420376914553347E-13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300.90952915835157</v>
      </c>
      <c r="BJ160" s="59">
        <f t="shared" si="146"/>
        <v>402.81783992925256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30.066430901069957</v>
      </c>
      <c r="BQ160" s="21">
        <f>EXP(-LN(2)/25)*BQ159+(1-EXP(-LN(2)/25))/(LN(2)/25)*Calculateur!BL160*Calculateur!BN160*VLOOKUP('Données projet'!$B$11,Paramètres!$A$1:$I$89,3,0)*0.475*44/12</f>
        <v>3.4428349103982319</v>
      </c>
      <c r="BR160" s="21">
        <f>EXP(-LN(2)/2)*BR159+(1-EXP(-LN(2)/2))/(LN(2)/2)*BL160*BO160*VLOOKUP('Données projet'!$B$11,Paramètres!$A$1:$I$89,3,0)*0.475*44/12</f>
        <v>1.4940808269451027E-14</v>
      </c>
      <c r="BS160" s="22">
        <f t="shared" si="169"/>
        <v>33.509265811468204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-2.8421709430404007E-13</v>
      </c>
      <c r="BZ160" s="13">
        <f>BY160*VLOOKUP('Données projet'!$B$12,Paramètres!$A$1:$I$89,3,0)*VLOOKUP('Données projet'!$B$12,Paramètres!$A$1:$I$89,5,0)</f>
        <v>-1.4040324458619578E-13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246.05217890269194</v>
      </c>
      <c r="CE160" s="59">
        <f t="shared" si="148"/>
        <v>155.54297071424327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64.886947146185349</v>
      </c>
      <c r="CL160" s="21">
        <f>EXP(-LN(2)/25)*CL159+(1-EXP(-LN(2)/25))/(LN(2)/25)*Calculateur!CG160*Calculateur!CI160*VLOOKUP('Données projet'!$B$12,Paramètres!$A$1:$I$89,3,0)*0.475*44/12</f>
        <v>10.576592239117657</v>
      </c>
      <c r="CM160" s="21">
        <f>EXP(-LN(2)/2)*CM159+(1-EXP(-LN(2)/2))/(LN(2)/2)*CG160*CJ160*VLOOKUP('Données projet'!$B$12,Paramètres!$A$1:$I$89,3,0)*0.475*44/12</f>
        <v>6.7767573170518613E-8</v>
      </c>
      <c r="CN160" s="22">
        <f t="shared" si="172"/>
        <v>75.463539453070581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-3.4106051316484809E-13</v>
      </c>
      <c r="CU160" s="17">
        <f>CT160*VLOOKUP('Données projet'!$B$13,Paramètres!$A$1:$I$89,3,0)*VLOOKUP('Données projet'!$B$13,Paramètres!$A$1:$I$89,5,0)</f>
        <v>-2.0395418687257919E-13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237.036496933921</v>
      </c>
      <c r="CZ160" s="59">
        <f t="shared" si="150"/>
        <v>191.04289413665344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30.958430413811264</v>
      </c>
      <c r="DG160" s="21">
        <f>EXP(-LN(2)/25)*DG159+(1-EXP(-LN(2)/25))/(LN(2)/25)*Calculateur!DB160*Calculateur!DD160*VLOOKUP('Données projet'!$B$13,Paramètres!$A$1:$I$89,3,0)*0.475*44/12</f>
        <v>4.0913003652193911</v>
      </c>
      <c r="DH160" s="21">
        <f>EXP(-LN(2)/2)*DH159+(1-EXP(-LN(2)/2))/(LN(2)/2)*DB160*DE160*VLOOKUP('Données projet'!$B$13,Paramètres!$A$1:$I$89,3,0)*0.475*44/12</f>
        <v>9.1613631987533713E-11</v>
      </c>
      <c r="DI160" s="22">
        <f t="shared" si="175"/>
        <v>35.049730779122264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-3.979039320256561E-13</v>
      </c>
      <c r="DP160" s="17">
        <f>DO160*VLOOKUP('Données projet'!$B$14,Paramètres!$A$1:$I$89,3,0)*VLOOKUP('Données projet'!$B$14,Paramètres!$A$1:$I$89,5,0)</f>
        <v>-2.379465513513424E-13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148.22129593028302</v>
      </c>
      <c r="DU160" s="59">
        <f t="shared" si="152"/>
        <v>102.97015482019975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233.89079999999998</v>
      </c>
      <c r="EL160" s="13">
        <f t="shared" si="179"/>
        <v>57.123140349023068</v>
      </c>
      <c r="EM160" s="20">
        <f t="shared" si="180"/>
        <v>506.84927944121517</v>
      </c>
      <c r="EN160" s="59">
        <f t="shared" si="128"/>
        <v>800.18261277454849</v>
      </c>
      <c r="EO160" s="59">
        <f ca="1">AVERAGE(OFFSET($EN$3,0,0,'Données projet'!$E$15+1,1))-AVERAGE(OFFSET($H$3,0,0,'Données projet'!$E$15+1,1))</f>
        <v>278.53123771916404</v>
      </c>
      <c r="EP160" s="59">
        <f t="shared" si="154"/>
        <v>283.79094702030869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7.2866338325829378</v>
      </c>
      <c r="EW160" s="21">
        <f>EXP(-LN(2)/25)*EW159+(1-EXP(-LN(2)/25))/(LN(2)/25)*Calculateur!ER160*Calculateur!ET160*VLOOKUP('Données projet'!$B$15,Paramètres!$A$1:$I$89,3,0)*0.475*44/12</f>
        <v>0.66716067434932358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7.9537945069322618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6.3403846153846128</v>
      </c>
      <c r="FE160" s="12">
        <f>IF('Données projet'!$A$218&gt;35,FE159+FD160-FM159,IF(A160&lt;'Données projet'!$A$218,$FB$205^A160,IF(A160='Données projet'!$A$218,'Données projet'!$B$218,FE159+FD160-FM159)))</f>
        <v>349.30320512820458</v>
      </c>
      <c r="FF160" s="17">
        <f>FE160*VLOOKUP('Données projet'!$B$16,Paramètres!$A$1:$I$89,3,0)*VLOOKUP('Données projet'!$B$16,Paramètres!$A$1:$I$89,5,0)</f>
        <v>316.04953999999947</v>
      </c>
      <c r="FG160" s="13">
        <f t="shared" si="182"/>
        <v>74.530790323887828</v>
      </c>
      <c r="FH160" s="20">
        <f t="shared" si="183"/>
        <v>680.26074198077038</v>
      </c>
      <c r="FI160" s="59">
        <f t="shared" si="131"/>
        <v>973.59407531410375</v>
      </c>
      <c r="FJ160" s="59">
        <f ca="1">AVERAGE(OFFSET($FI$3,0,0,'Données projet'!$E$16+1,1))-AVERAGE(OFFSET($H$3,0,0,'Données projet'!$E$16+1,1))</f>
        <v>335.99493768537013</v>
      </c>
      <c r="FK160" s="59">
        <f t="shared" si="156"/>
        <v>150.85164849522778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59.765268323618415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59.765268323618415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259.99999999999983</v>
      </c>
      <c r="GA160" s="17">
        <f>FZ160*VLOOKUP('Données projet'!$B$17,Paramètres!$A$1:$I$89,3,0)*VLOOKUP('Données projet'!$B$17,Paramètres!$A$1:$I$89,5,0)</f>
        <v>227.13599999999985</v>
      </c>
      <c r="GB160" s="13">
        <f t="shared" si="185"/>
        <v>55.662966886685133</v>
      </c>
      <c r="GC160" s="20">
        <f t="shared" si="186"/>
        <v>492.5415339943097</v>
      </c>
      <c r="GD160" s="59">
        <f t="shared" si="134"/>
        <v>785.87486732764296</v>
      </c>
      <c r="GE160" s="59">
        <f ca="1">AVERAGE(OFFSET($GD$3,0,0,'Données projet'!$E$17+1,1))-AVERAGE(OFFSET($H$3,0,0,'Données projet'!$E$17+1,1))</f>
        <v>319.57811113658374</v>
      </c>
      <c r="GF160" s="59">
        <f t="shared" si="158"/>
        <v>322.03572137403245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12.21224845930627</v>
      </c>
      <c r="GM160" s="21">
        <f>EXP(-LN(2)/25)*GM159+(1-EXP(-LN(2)/25))/(LN(2)/25)*Calculateur!GH160*Calculateur!GJ160*VLOOKUP('Données projet'!$B$17,Paramètres!$A$1:$I$89,3,0)*0.475*44/12</f>
        <v>2.7674820736523227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14.979730532958593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5.4683368944097308E-14</v>
      </c>
      <c r="P161" s="13">
        <f t="shared" si="141"/>
        <v>8.8129432816788268E-13</v>
      </c>
      <c r="Q161" s="20">
        <f t="shared" si="162"/>
        <v>1.6301611558033651E-12</v>
      </c>
      <c r="R161" s="59">
        <f t="shared" si="109"/>
        <v>293.33333333333496</v>
      </c>
      <c r="S161" s="59">
        <f ca="1">AVERAGE(OFFSET($R$3,0,0,'Données projet'!$E$9+1,1))-AVERAGE(OFFSET($H$3,0,0,'Données projet'!$E$9+1,1))</f>
        <v>226.41956082453015</v>
      </c>
      <c r="T161" s="59">
        <f t="shared" si="142"/>
        <v>317.95076157570446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2.9262992029543969E-13</v>
      </c>
      <c r="AK161" s="13">
        <f t="shared" si="164"/>
        <v>3.8796387982050903E-12</v>
      </c>
      <c r="AL161" s="20">
        <f t="shared" si="165"/>
        <v>7.2667013513884219E-12</v>
      </c>
      <c r="AM161" s="59">
        <f t="shared" si="113"/>
        <v>293.33333333334059</v>
      </c>
      <c r="AN161" s="59">
        <f ca="1">AVERAGE(OFFSET($AM$3,0,0,'Données projet'!$E$10+1,1))-AVERAGE(OFFSET($H$3,0,0,'Données projet'!$E$10+1,1))</f>
        <v>257.80662231827404</v>
      </c>
      <c r="AO161" s="59">
        <f t="shared" si="144"/>
        <v>184.04558520039876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-4.5474735088646412E-13</v>
      </c>
      <c r="BE161" s="13">
        <f>BD161*VLOOKUP('Données projet'!$B$11,Paramètres!$A$1:$I$89,3,0)*VLOOKUP('Données projet'!$B$11,Paramètres!$A$1:$I$89,5,0)</f>
        <v>-2.5420376914553347E-13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300.90952915835157</v>
      </c>
      <c r="BJ161" s="59">
        <f t="shared" si="146"/>
        <v>402.81783992925256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29.476846529812029</v>
      </c>
      <c r="BQ161" s="21">
        <f>EXP(-LN(2)/25)*BQ160+(1-EXP(-LN(2)/25))/(LN(2)/25)*Calculateur!BL161*Calculateur!BN161*VLOOKUP('Données projet'!$B$11,Paramètres!$A$1:$I$89,3,0)*0.475*44/12</f>
        <v>3.3486904087225731</v>
      </c>
      <c r="BR161" s="21">
        <f>EXP(-LN(2)/2)*BR160+(1-EXP(-LN(2)/2))/(LN(2)/2)*BL161*BO161*VLOOKUP('Données projet'!$B$11,Paramètres!$A$1:$I$89,3,0)*0.475*44/12</f>
        <v>1.0564746843736867E-14</v>
      </c>
      <c r="BS161" s="22">
        <f t="shared" si="169"/>
        <v>32.825536938534611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-2.8421709430404007E-13</v>
      </c>
      <c r="BZ161" s="13">
        <f>BY161*VLOOKUP('Données projet'!$B$12,Paramètres!$A$1:$I$89,3,0)*VLOOKUP('Données projet'!$B$12,Paramètres!$A$1:$I$89,5,0)</f>
        <v>-1.4040324458619578E-13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246.05217890269194</v>
      </c>
      <c r="CE161" s="59">
        <f t="shared" si="148"/>
        <v>155.54297071424327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63.614553689778496</v>
      </c>
      <c r="CL161" s="21">
        <f>EXP(-LN(2)/25)*CL160+(1-EXP(-LN(2)/25))/(LN(2)/25)*Calculateur!CG161*Calculateur!CI161*VLOOKUP('Données projet'!$B$12,Paramètres!$A$1:$I$89,3,0)*0.475*44/12</f>
        <v>10.287374768140172</v>
      </c>
      <c r="CM161" s="21">
        <f>EXP(-LN(2)/2)*CM160+(1-EXP(-LN(2)/2))/(LN(2)/2)*CG161*CJ161*VLOOKUP('Données projet'!$B$12,Paramètres!$A$1:$I$89,3,0)*0.475*44/12</f>
        <v>4.7918910533429254E-8</v>
      </c>
      <c r="CN161" s="22">
        <f t="shared" si="172"/>
        <v>73.901928505837589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-3.4106051316484809E-13</v>
      </c>
      <c r="CU161" s="17">
        <f>CT161*VLOOKUP('Données projet'!$B$13,Paramètres!$A$1:$I$89,3,0)*VLOOKUP('Données projet'!$B$13,Paramètres!$A$1:$I$89,5,0)</f>
        <v>-2.0395418687257919E-13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237.036496933921</v>
      </c>
      <c r="CZ161" s="59">
        <f t="shared" si="150"/>
        <v>191.04289413665344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30.351354476174457</v>
      </c>
      <c r="DG161" s="21">
        <f>EXP(-LN(2)/25)*DG160+(1-EXP(-LN(2)/25))/(LN(2)/25)*Calculateur!DB161*Calculateur!DD161*VLOOKUP('Données projet'!$B$13,Paramètres!$A$1:$I$89,3,0)*0.475*44/12</f>
        <v>3.9794235415803314</v>
      </c>
      <c r="DH161" s="21">
        <f>EXP(-LN(2)/2)*DH160+(1-EXP(-LN(2)/2))/(LN(2)/2)*DB161*DE161*VLOOKUP('Données projet'!$B$13,Paramètres!$A$1:$I$89,3,0)*0.475*44/12</f>
        <v>6.4780620427513892E-11</v>
      </c>
      <c r="DI161" s="22">
        <f t="shared" si="175"/>
        <v>34.330778017819569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-3.979039320256561E-13</v>
      </c>
      <c r="DP161" s="17">
        <f>DO161*VLOOKUP('Données projet'!$B$14,Paramètres!$A$1:$I$89,3,0)*VLOOKUP('Données projet'!$B$14,Paramètres!$A$1:$I$89,5,0)</f>
        <v>-2.379465513513424E-13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148.22129593028302</v>
      </c>
      <c r="DU161" s="59">
        <f t="shared" si="152"/>
        <v>102.97015482019975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233.89079999999998</v>
      </c>
      <c r="EL161" s="13">
        <f t="shared" si="179"/>
        <v>57.123140349023068</v>
      </c>
      <c r="EM161" s="20">
        <f t="shared" si="180"/>
        <v>506.84927944121517</v>
      </c>
      <c r="EN161" s="59">
        <f t="shared" si="128"/>
        <v>800.18261277454849</v>
      </c>
      <c r="EO161" s="59">
        <f ca="1">AVERAGE(OFFSET($EN$3,0,0,'Données projet'!$E$15+1,1))-AVERAGE(OFFSET($H$3,0,0,'Données projet'!$E$15+1,1))</f>
        <v>278.53123771916404</v>
      </c>
      <c r="EP161" s="59">
        <f t="shared" si="154"/>
        <v>283.79094702030869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7.1437473875337751</v>
      </c>
      <c r="EW161" s="21">
        <f>EXP(-LN(2)/25)*EW160+(1-EXP(-LN(2)/25))/(LN(2)/25)*Calculateur!ER161*Calculateur!ET161*VLOOKUP('Données projet'!$B$15,Paramètres!$A$1:$I$89,3,0)*0.475*44/12</f>
        <v>0.64891713062478629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7.7926645181585616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6.3403846153846128</v>
      </c>
      <c r="FE161" s="12">
        <f>IF('Données projet'!$A$218&gt;35,FE160+FD161-FM160,IF(A161&lt;'Données projet'!$A$218,$FB$205^A161,IF(A161='Données projet'!$A$218,'Données projet'!$B$218,FE160+FD161-FM160)))</f>
        <v>355.64358974358919</v>
      </c>
      <c r="FF161" s="17">
        <f>FE161*VLOOKUP('Données projet'!$B$16,Paramètres!$A$1:$I$89,3,0)*VLOOKUP('Données projet'!$B$16,Paramètres!$A$1:$I$89,5,0)</f>
        <v>321.78631999999948</v>
      </c>
      <c r="FG161" s="13">
        <f t="shared" si="182"/>
        <v>75.724911775401807</v>
      </c>
      <c r="FH161" s="20">
        <f t="shared" si="183"/>
        <v>692.33206200882375</v>
      </c>
      <c r="FI161" s="59">
        <f t="shared" si="131"/>
        <v>985.66539534215713</v>
      </c>
      <c r="FJ161" s="59">
        <f ca="1">AVERAGE(OFFSET($FI$3,0,0,'Données projet'!$E$16+1,1))-AVERAGE(OFFSET($H$3,0,0,'Données projet'!$E$16+1,1))</f>
        <v>335.99493768537013</v>
      </c>
      <c r="FK161" s="59">
        <f t="shared" si="156"/>
        <v>150.85164849522778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58.59330786500648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58.59330786500648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259.99999999999983</v>
      </c>
      <c r="GA161" s="17">
        <f>FZ161*VLOOKUP('Données projet'!$B$17,Paramètres!$A$1:$I$89,3,0)*VLOOKUP('Données projet'!$B$17,Paramètres!$A$1:$I$89,5,0)</f>
        <v>227.13599999999985</v>
      </c>
      <c r="GB161" s="13">
        <f t="shared" si="185"/>
        <v>55.662966886685133</v>
      </c>
      <c r="GC161" s="20">
        <f t="shared" si="186"/>
        <v>492.5415339943097</v>
      </c>
      <c r="GD161" s="59">
        <f t="shared" si="134"/>
        <v>785.87486732764296</v>
      </c>
      <c r="GE161" s="59">
        <f ca="1">AVERAGE(OFFSET($GD$3,0,0,'Données projet'!$E$17+1,1))-AVERAGE(OFFSET($H$3,0,0,'Données projet'!$E$17+1,1))</f>
        <v>319.57811113658374</v>
      </c>
      <c r="GF161" s="59">
        <f t="shared" si="158"/>
        <v>322.03572137403245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11.972773715755332</v>
      </c>
      <c r="GM161" s="21">
        <f>EXP(-LN(2)/25)*GM160+(1-EXP(-LN(2)/25))/(LN(2)/25)*Calculateur!GH161*Calculateur!GJ161*VLOOKUP('Données projet'!$B$17,Paramètres!$A$1:$I$89,3,0)*0.475*44/12</f>
        <v>2.6918051308127429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14.664578846568075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5.4683368944097308E-14</v>
      </c>
      <c r="P162" s="13">
        <f t="shared" si="141"/>
        <v>8.8129432816788268E-13</v>
      </c>
      <c r="Q162" s="20">
        <f t="shared" si="162"/>
        <v>1.6301611558033651E-12</v>
      </c>
      <c r="R162" s="59">
        <f t="shared" si="109"/>
        <v>293.33333333333496</v>
      </c>
      <c r="S162" s="59">
        <f ca="1">AVERAGE(OFFSET($R$3,0,0,'Données projet'!$E$9+1,1))-AVERAGE(OFFSET($H$3,0,0,'Données projet'!$E$9+1,1))</f>
        <v>226.41956082453015</v>
      </c>
      <c r="T162" s="59">
        <f t="shared" si="142"/>
        <v>317.95076157570446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2.9262992029543969E-13</v>
      </c>
      <c r="AK162" s="13">
        <f t="shared" si="164"/>
        <v>3.8796387982050903E-12</v>
      </c>
      <c r="AL162" s="20">
        <f t="shared" si="165"/>
        <v>7.2667013513884219E-12</v>
      </c>
      <c r="AM162" s="59">
        <f t="shared" si="113"/>
        <v>293.33333333334059</v>
      </c>
      <c r="AN162" s="59">
        <f ca="1">AVERAGE(OFFSET($AM$3,0,0,'Données projet'!$E$10+1,1))-AVERAGE(OFFSET($H$3,0,0,'Données projet'!$E$10+1,1))</f>
        <v>257.80662231827404</v>
      </c>
      <c r="AO162" s="59">
        <f t="shared" si="144"/>
        <v>184.04558520039876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-4.5474735088646412E-13</v>
      </c>
      <c r="BE162" s="13">
        <f>BD162*VLOOKUP('Données projet'!$B$11,Paramètres!$A$1:$I$89,3,0)*VLOOKUP('Données projet'!$B$11,Paramètres!$A$1:$I$89,5,0)</f>
        <v>-2.5420376914553347E-13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300.90952915835157</v>
      </c>
      <c r="BJ162" s="59">
        <f t="shared" si="146"/>
        <v>402.81783992925256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28.898823548463511</v>
      </c>
      <c r="BQ162" s="21">
        <f>EXP(-LN(2)/25)*BQ161+(1-EXP(-LN(2)/25))/(LN(2)/25)*Calculateur!BL162*Calculateur!BN162*VLOOKUP('Données projet'!$B$11,Paramètres!$A$1:$I$89,3,0)*0.475*44/12</f>
        <v>3.2571202933960794</v>
      </c>
      <c r="BR162" s="21">
        <f>EXP(-LN(2)/2)*BR161+(1-EXP(-LN(2)/2))/(LN(2)/2)*BL162*BO162*VLOOKUP('Données projet'!$B$11,Paramètres!$A$1:$I$89,3,0)*0.475*44/12</f>
        <v>7.4704041347255136E-15</v>
      </c>
      <c r="BS162" s="22">
        <f t="shared" si="169"/>
        <v>32.155943841859596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-2.8421709430404007E-13</v>
      </c>
      <c r="BZ162" s="13">
        <f>BY162*VLOOKUP('Données projet'!$B$12,Paramètres!$A$1:$I$89,3,0)*VLOOKUP('Données projet'!$B$12,Paramètres!$A$1:$I$89,5,0)</f>
        <v>-1.4040324458619578E-13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246.05217890269194</v>
      </c>
      <c r="CE162" s="59">
        <f t="shared" si="148"/>
        <v>155.54297071424327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62.367111092968408</v>
      </c>
      <c r="CL162" s="21">
        <f>EXP(-LN(2)/25)*CL161+(1-EXP(-LN(2)/25))/(LN(2)/25)*Calculateur!CG162*Calculateur!CI162*VLOOKUP('Données projet'!$B$12,Paramètres!$A$1:$I$89,3,0)*0.475*44/12</f>
        <v>10.006065964115852</v>
      </c>
      <c r="CM162" s="21">
        <f>EXP(-LN(2)/2)*CM161+(1-EXP(-LN(2)/2))/(LN(2)/2)*CG162*CJ162*VLOOKUP('Données projet'!$B$12,Paramètres!$A$1:$I$89,3,0)*0.475*44/12</f>
        <v>3.3883786585259306E-8</v>
      </c>
      <c r="CN162" s="22">
        <f t="shared" si="172"/>
        <v>72.373177090968056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-3.4106051316484809E-13</v>
      </c>
      <c r="CU162" s="17">
        <f>CT162*VLOOKUP('Données projet'!$B$13,Paramètres!$A$1:$I$89,3,0)*VLOOKUP('Données projet'!$B$13,Paramètres!$A$1:$I$89,5,0)</f>
        <v>-2.0395418687257919E-13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237.036496933921</v>
      </c>
      <c r="CZ162" s="59">
        <f t="shared" si="150"/>
        <v>191.04289413665344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29.756182927394949</v>
      </c>
      <c r="DG162" s="21">
        <f>EXP(-LN(2)/25)*DG161+(1-EXP(-LN(2)/25))/(LN(2)/25)*Calculateur!DB162*Calculateur!DD162*VLOOKUP('Données projet'!$B$13,Paramètres!$A$1:$I$89,3,0)*0.475*44/12</f>
        <v>3.8706059955670282</v>
      </c>
      <c r="DH162" s="21">
        <f>EXP(-LN(2)/2)*DH161+(1-EXP(-LN(2)/2))/(LN(2)/2)*DB162*DE162*VLOOKUP('Données projet'!$B$13,Paramètres!$A$1:$I$89,3,0)*0.475*44/12</f>
        <v>4.5806815993766857E-11</v>
      </c>
      <c r="DI162" s="22">
        <f t="shared" si="175"/>
        <v>33.626788923007787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-3.979039320256561E-13</v>
      </c>
      <c r="DP162" s="17">
        <f>DO162*VLOOKUP('Données projet'!$B$14,Paramètres!$A$1:$I$89,3,0)*VLOOKUP('Données projet'!$B$14,Paramètres!$A$1:$I$89,5,0)</f>
        <v>-2.379465513513424E-13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148.22129593028302</v>
      </c>
      <c r="DU162" s="59">
        <f t="shared" si="152"/>
        <v>102.97015482019975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233.89079999999998</v>
      </c>
      <c r="EL162" s="13">
        <f t="shared" si="179"/>
        <v>57.123140349023068</v>
      </c>
      <c r="EM162" s="20">
        <f t="shared" si="180"/>
        <v>506.84927944121517</v>
      </c>
      <c r="EN162" s="59">
        <f t="shared" si="128"/>
        <v>800.18261277454849</v>
      </c>
      <c r="EO162" s="59">
        <f ca="1">AVERAGE(OFFSET($EN$3,0,0,'Données projet'!$E$15+1,1))-AVERAGE(OFFSET($H$3,0,0,'Données projet'!$E$15+1,1))</f>
        <v>278.53123771916404</v>
      </c>
      <c r="EP162" s="59">
        <f t="shared" si="154"/>
        <v>283.79094702030869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7.0036628585199008</v>
      </c>
      <c r="EW162" s="21">
        <f>EXP(-LN(2)/25)*EW161+(1-EXP(-LN(2)/25))/(LN(2)/25)*Calculateur!ER162*Calculateur!ET162*VLOOKUP('Données projet'!$B$15,Paramètres!$A$1:$I$89,3,0)*0.475*44/12</f>
        <v>0.63117245756278273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7.6348353160826834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6.3403846153846128</v>
      </c>
      <c r="FE162" s="12">
        <f>IF('Données projet'!$A$218&gt;35,FE161+FD162-FM161,IF(A162&lt;'Données projet'!$A$218,$FB$205^A162,IF(A162='Données projet'!$A$218,'Données projet'!$B$218,FE161+FD162-FM161)))</f>
        <v>361.9839743589738</v>
      </c>
      <c r="FF162" s="17">
        <f>FE162*VLOOKUP('Données projet'!$B$16,Paramètres!$A$1:$I$89,3,0)*VLOOKUP('Données projet'!$B$16,Paramètres!$A$1:$I$89,5,0)</f>
        <v>327.52309999999949</v>
      </c>
      <c r="FG162" s="13">
        <f t="shared" si="182"/>
        <v>76.916557653095737</v>
      </c>
      <c r="FH162" s="20">
        <f t="shared" si="183"/>
        <v>704.39907041247409</v>
      </c>
      <c r="FI162" s="59">
        <f t="shared" si="131"/>
        <v>997.73240374580746</v>
      </c>
      <c r="FJ162" s="59">
        <f ca="1">AVERAGE(OFFSET($FI$3,0,0,'Données projet'!$E$16+1,1))-AVERAGE(OFFSET($H$3,0,0,'Données projet'!$E$16+1,1))</f>
        <v>335.99493768537013</v>
      </c>
      <c r="FK162" s="59">
        <f t="shared" si="156"/>
        <v>150.85164849522778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57.444328836162626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57.444328836162626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259.99999999999983</v>
      </c>
      <c r="GA162" s="17">
        <f>FZ162*VLOOKUP('Données projet'!$B$17,Paramètres!$A$1:$I$89,3,0)*VLOOKUP('Données projet'!$B$17,Paramètres!$A$1:$I$89,5,0)</f>
        <v>227.13599999999985</v>
      </c>
      <c r="GB162" s="13">
        <f t="shared" si="185"/>
        <v>55.662966886685133</v>
      </c>
      <c r="GC162" s="20">
        <f t="shared" si="186"/>
        <v>492.5415339943097</v>
      </c>
      <c r="GD162" s="59">
        <f t="shared" si="134"/>
        <v>785.87486732764296</v>
      </c>
      <c r="GE162" s="59">
        <f ca="1">AVERAGE(OFFSET($GD$3,0,0,'Données projet'!$E$17+1,1))-AVERAGE(OFFSET($H$3,0,0,'Données projet'!$E$17+1,1))</f>
        <v>319.57811113658374</v>
      </c>
      <c r="GF162" s="59">
        <f t="shared" si="158"/>
        <v>322.03572137403245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11.737994925860258</v>
      </c>
      <c r="GM162" s="21">
        <f>EXP(-LN(2)/25)*GM161+(1-EXP(-LN(2)/25))/(LN(2)/25)*Calculateur!GH162*Calculateur!GJ162*VLOOKUP('Données projet'!$B$17,Paramètres!$A$1:$I$89,3,0)*0.475*44/12</f>
        <v>2.6181975779547888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14.356192503815047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5.4683368944097308E-14</v>
      </c>
      <c r="P163" s="13">
        <f t="shared" si="141"/>
        <v>8.8129432816788268E-13</v>
      </c>
      <c r="Q163" s="20">
        <f t="shared" si="162"/>
        <v>1.6301611558033651E-12</v>
      </c>
      <c r="R163" s="59">
        <f t="shared" si="109"/>
        <v>293.33333333333496</v>
      </c>
      <c r="S163" s="59">
        <f ca="1">AVERAGE(OFFSET($R$3,0,0,'Données projet'!$E$9+1,1))-AVERAGE(OFFSET($H$3,0,0,'Données projet'!$E$9+1,1))</f>
        <v>226.41956082453015</v>
      </c>
      <c r="T163" s="59">
        <f t="shared" si="142"/>
        <v>317.95076157570446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2.9262992029543969E-13</v>
      </c>
      <c r="AK163" s="13">
        <f t="shared" si="164"/>
        <v>3.8796387982050903E-12</v>
      </c>
      <c r="AL163" s="20">
        <f t="shared" si="165"/>
        <v>7.2667013513884219E-12</v>
      </c>
      <c r="AM163" s="59">
        <f t="shared" si="113"/>
        <v>293.33333333334059</v>
      </c>
      <c r="AN163" s="59">
        <f ca="1">AVERAGE(OFFSET($AM$3,0,0,'Données projet'!$E$10+1,1))-AVERAGE(OFFSET($H$3,0,0,'Données projet'!$E$10+1,1))</f>
        <v>257.80662231827404</v>
      </c>
      <c r="AO163" s="59">
        <f t="shared" si="144"/>
        <v>184.04558520039876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-4.5474735088646412E-13</v>
      </c>
      <c r="BE163" s="13">
        <f>BD163*VLOOKUP('Données projet'!$B$11,Paramètres!$A$1:$I$89,3,0)*VLOOKUP('Données projet'!$B$11,Paramètres!$A$1:$I$89,5,0)</f>
        <v>-2.5420376914553347E-13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300.90952915835157</v>
      </c>
      <c r="BJ163" s="59">
        <f t="shared" si="146"/>
        <v>402.81783992925256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28.33213524522003</v>
      </c>
      <c r="BQ163" s="21">
        <f>EXP(-LN(2)/25)*BQ162+(1-EXP(-LN(2)/25))/(LN(2)/25)*Calculateur!BL163*Calculateur!BN163*VLOOKUP('Données projet'!$B$11,Paramètres!$A$1:$I$89,3,0)*0.475*44/12</f>
        <v>3.1680541676886516</v>
      </c>
      <c r="BR163" s="21">
        <f>EXP(-LN(2)/2)*BR162+(1-EXP(-LN(2)/2))/(LN(2)/2)*BL163*BO163*VLOOKUP('Données projet'!$B$11,Paramètres!$A$1:$I$89,3,0)*0.475*44/12</f>
        <v>5.2823734218684337E-15</v>
      </c>
      <c r="BS163" s="22">
        <f t="shared" si="169"/>
        <v>31.500189412908686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-2.8421709430404007E-13</v>
      </c>
      <c r="BZ163" s="13">
        <f>BY163*VLOOKUP('Données projet'!$B$12,Paramètres!$A$1:$I$89,3,0)*VLOOKUP('Données projet'!$B$12,Paramètres!$A$1:$I$89,5,0)</f>
        <v>-1.4040324458619578E-13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246.05217890269194</v>
      </c>
      <c r="CE163" s="59">
        <f t="shared" si="148"/>
        <v>155.54297071424327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61.144130084616911</v>
      </c>
      <c r="CL163" s="21">
        <f>EXP(-LN(2)/25)*CL162+(1-EXP(-LN(2)/25))/(LN(2)/25)*Calculateur!CG163*Calculateur!CI163*VLOOKUP('Données projet'!$B$12,Paramètres!$A$1:$I$89,3,0)*0.475*44/12</f>
        <v>9.7324495641309632</v>
      </c>
      <c r="CM163" s="21">
        <f>EXP(-LN(2)/2)*CM162+(1-EXP(-LN(2)/2))/(LN(2)/2)*CG163*CJ163*VLOOKUP('Données projet'!$B$12,Paramètres!$A$1:$I$89,3,0)*0.475*44/12</f>
        <v>2.3959455266714627E-8</v>
      </c>
      <c r="CN163" s="22">
        <f t="shared" si="172"/>
        <v>70.876579672707336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-3.4106051316484809E-13</v>
      </c>
      <c r="CU163" s="17">
        <f>CT163*VLOOKUP('Données projet'!$B$13,Paramètres!$A$1:$I$89,3,0)*VLOOKUP('Données projet'!$B$13,Paramètres!$A$1:$I$89,5,0)</f>
        <v>-2.0395418687257919E-13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237.036496933921</v>
      </c>
      <c r="CZ163" s="59">
        <f t="shared" si="150"/>
        <v>191.04289413665344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29.172682329668209</v>
      </c>
      <c r="DG163" s="21">
        <f>EXP(-LN(2)/25)*DG162+(1-EXP(-LN(2)/25))/(LN(2)/25)*Calculateur!DB163*Calculateur!DD163*VLOOKUP('Données projet'!$B$13,Paramètres!$A$1:$I$89,3,0)*0.475*44/12</f>
        <v>3.7647640710719248</v>
      </c>
      <c r="DH163" s="21">
        <f>EXP(-LN(2)/2)*DH162+(1-EXP(-LN(2)/2))/(LN(2)/2)*DB163*DE163*VLOOKUP('Données projet'!$B$13,Paramètres!$A$1:$I$89,3,0)*0.475*44/12</f>
        <v>3.2390310213756946E-11</v>
      </c>
      <c r="DI163" s="22">
        <f t="shared" si="175"/>
        <v>32.937446400772529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-3.979039320256561E-13</v>
      </c>
      <c r="DP163" s="17">
        <f>DO163*VLOOKUP('Données projet'!$B$14,Paramètres!$A$1:$I$89,3,0)*VLOOKUP('Données projet'!$B$14,Paramètres!$A$1:$I$89,5,0)</f>
        <v>-2.379465513513424E-13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148.22129593028302</v>
      </c>
      <c r="DU163" s="59">
        <f t="shared" si="152"/>
        <v>102.97015482019975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233.89079999999998</v>
      </c>
      <c r="EL163" s="13">
        <f t="shared" si="179"/>
        <v>57.123140349023068</v>
      </c>
      <c r="EM163" s="20">
        <f t="shared" si="180"/>
        <v>506.84927944121517</v>
      </c>
      <c r="EN163" s="59">
        <f t="shared" si="128"/>
        <v>800.18261277454849</v>
      </c>
      <c r="EO163" s="59">
        <f ca="1">AVERAGE(OFFSET($EN$3,0,0,'Données projet'!$E$15+1,1))-AVERAGE(OFFSET($H$3,0,0,'Données projet'!$E$15+1,1))</f>
        <v>278.53123771916404</v>
      </c>
      <c r="EP163" s="59">
        <f t="shared" si="154"/>
        <v>283.79094702030869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6.8663253016768628</v>
      </c>
      <c r="EW163" s="21">
        <f>EXP(-LN(2)/25)*EW162+(1-EXP(-LN(2)/25))/(LN(2)/25)*Calculateur!ER163*Calculateur!ET163*VLOOKUP('Données projet'!$B$15,Paramètres!$A$1:$I$89,3,0)*0.475*44/12</f>
        <v>0.61391301351881145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7.4802383151956739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6.3403846153846128</v>
      </c>
      <c r="FE163" s="12">
        <f>IF('Données projet'!$A$218&gt;35,FE162+FD163-FM162,IF(A163&lt;'Données projet'!$A$218,$FB$205^A163,IF(A163='Données projet'!$A$218,'Données projet'!$B$218,FE162+FD163-FM162)))</f>
        <v>368.3243589743584</v>
      </c>
      <c r="FF163" s="17">
        <f>FE163*VLOOKUP('Données projet'!$B$16,Paramètres!$A$1:$I$89,3,0)*VLOOKUP('Données projet'!$B$16,Paramètres!$A$1:$I$89,5,0)</f>
        <v>333.2598799999995</v>
      </c>
      <c r="FG163" s="13">
        <f t="shared" si="182"/>
        <v>78.105776321178652</v>
      </c>
      <c r="FH163" s="20">
        <f t="shared" si="183"/>
        <v>716.46185142605191</v>
      </c>
      <c r="FI163" s="59">
        <f t="shared" si="131"/>
        <v>1009.7951847593852</v>
      </c>
      <c r="FJ163" s="59">
        <f ca="1">AVERAGE(OFFSET($FI$3,0,0,'Données projet'!$E$16+1,1))-AVERAGE(OFFSET($H$3,0,0,'Données projet'!$E$16+1,1))</f>
        <v>335.99493768537013</v>
      </c>
      <c r="FK163" s="59">
        <f t="shared" si="156"/>
        <v>150.85164849522778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56.317880585266394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56.317880585266394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259.99999999999983</v>
      </c>
      <c r="GA163" s="17">
        <f>FZ163*VLOOKUP('Données projet'!$B$17,Paramètres!$A$1:$I$89,3,0)*VLOOKUP('Données projet'!$B$17,Paramètres!$A$1:$I$89,5,0)</f>
        <v>227.13599999999985</v>
      </c>
      <c r="GB163" s="13">
        <f t="shared" si="185"/>
        <v>55.662966886685133</v>
      </c>
      <c r="GC163" s="20">
        <f t="shared" si="186"/>
        <v>492.5415339943097</v>
      </c>
      <c r="GD163" s="59">
        <f t="shared" si="134"/>
        <v>785.87486732764296</v>
      </c>
      <c r="GE163" s="59">
        <f ca="1">AVERAGE(OFFSET($GD$3,0,0,'Données projet'!$E$17+1,1))-AVERAGE(OFFSET($H$3,0,0,'Données projet'!$E$17+1,1))</f>
        <v>319.57811113658374</v>
      </c>
      <c r="GF163" s="59">
        <f t="shared" si="158"/>
        <v>322.03572137403245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11.507820004834105</v>
      </c>
      <c r="GM163" s="21">
        <f>EXP(-LN(2)/25)*GM162+(1-EXP(-LN(2)/25))/(LN(2)/25)*Calculateur!GH163*Calculateur!GJ163*VLOOKUP('Données projet'!$B$17,Paramètres!$A$1:$I$89,3,0)*0.475*44/12</f>
        <v>2.5466028275005885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14.054422832334694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5.4683368944097308E-14</v>
      </c>
      <c r="P164" s="13">
        <f t="shared" si="141"/>
        <v>8.8129432816788268E-13</v>
      </c>
      <c r="Q164" s="20">
        <f t="shared" si="162"/>
        <v>1.6301611558033651E-12</v>
      </c>
      <c r="R164" s="59">
        <f t="shared" si="109"/>
        <v>293.33333333333496</v>
      </c>
      <c r="S164" s="59">
        <f ca="1">AVERAGE(OFFSET($R$3,0,0,'Données projet'!$E$9+1,1))-AVERAGE(OFFSET($H$3,0,0,'Données projet'!$E$9+1,1))</f>
        <v>226.41956082453015</v>
      </c>
      <c r="T164" s="59">
        <f t="shared" si="142"/>
        <v>317.95076157570446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2.9262992029543969E-13</v>
      </c>
      <c r="AK164" s="13">
        <f t="shared" si="164"/>
        <v>3.8796387982050903E-12</v>
      </c>
      <c r="AL164" s="20">
        <f t="shared" si="165"/>
        <v>7.2667013513884219E-12</v>
      </c>
      <c r="AM164" s="59">
        <f t="shared" si="113"/>
        <v>293.33333333334059</v>
      </c>
      <c r="AN164" s="59">
        <f ca="1">AVERAGE(OFFSET($AM$3,0,0,'Données projet'!$E$10+1,1))-AVERAGE(OFFSET($H$3,0,0,'Données projet'!$E$10+1,1))</f>
        <v>257.80662231827404</v>
      </c>
      <c r="AO164" s="59">
        <f t="shared" si="144"/>
        <v>184.04558520039876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-4.5474735088646412E-13</v>
      </c>
      <c r="BE164" s="13">
        <f>BD164*VLOOKUP('Données projet'!$B$11,Paramètres!$A$1:$I$89,3,0)*VLOOKUP('Données projet'!$B$11,Paramètres!$A$1:$I$89,5,0)</f>
        <v>-2.5420376914553347E-13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300.90952915835157</v>
      </c>
      <c r="BJ164" s="59">
        <f t="shared" si="146"/>
        <v>402.81783992925256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27.776559353957417</v>
      </c>
      <c r="BQ164" s="21">
        <f>EXP(-LN(2)/25)*BQ163+(1-EXP(-LN(2)/25))/(LN(2)/25)*Calculateur!BL164*Calculateur!BN164*VLOOKUP('Données projet'!$B$11,Paramètres!$A$1:$I$89,3,0)*0.475*44/12</f>
        <v>3.0814235598724773</v>
      </c>
      <c r="BR164" s="21">
        <f>EXP(-LN(2)/2)*BR163+(1-EXP(-LN(2)/2))/(LN(2)/2)*BL164*BO164*VLOOKUP('Données projet'!$B$11,Paramètres!$A$1:$I$89,3,0)*0.475*44/12</f>
        <v>3.7352020673627568E-15</v>
      </c>
      <c r="BS164" s="22">
        <f t="shared" si="169"/>
        <v>30.857982913829897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-2.8421709430404007E-13</v>
      </c>
      <c r="BZ164" s="13">
        <f>BY164*VLOOKUP('Données projet'!$B$12,Paramètres!$A$1:$I$89,3,0)*VLOOKUP('Données projet'!$B$12,Paramètres!$A$1:$I$89,5,0)</f>
        <v>-1.4040324458619578E-13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246.05217890269194</v>
      </c>
      <c r="CE164" s="59">
        <f t="shared" si="148"/>
        <v>155.54297071424327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59.945130987894423</v>
      </c>
      <c r="CL164" s="21">
        <f>EXP(-LN(2)/25)*CL163+(1-EXP(-LN(2)/25))/(LN(2)/25)*Calculateur!CG164*Calculateur!CI164*VLOOKUP('Données projet'!$B$12,Paramètres!$A$1:$I$89,3,0)*0.475*44/12</f>
        <v>9.4663152189925235</v>
      </c>
      <c r="CM164" s="21">
        <f>EXP(-LN(2)/2)*CM163+(1-EXP(-LN(2)/2))/(LN(2)/2)*CG164*CJ164*VLOOKUP('Données projet'!$B$12,Paramètres!$A$1:$I$89,3,0)*0.475*44/12</f>
        <v>1.6941893292629653E-8</v>
      </c>
      <c r="CN164" s="22">
        <f t="shared" si="172"/>
        <v>69.411446223828847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-3.4106051316484809E-13</v>
      </c>
      <c r="CU164" s="17">
        <f>CT164*VLOOKUP('Données projet'!$B$13,Paramètres!$A$1:$I$89,3,0)*VLOOKUP('Données projet'!$B$13,Paramètres!$A$1:$I$89,5,0)</f>
        <v>-2.0395418687257919E-13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237.036496933921</v>
      </c>
      <c r="CZ164" s="59">
        <f t="shared" si="150"/>
        <v>191.04289413665344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28.600623822762667</v>
      </c>
      <c r="DG164" s="21">
        <f>EXP(-LN(2)/25)*DG163+(1-EXP(-LN(2)/25))/(LN(2)/25)*Calculateur!DB164*Calculateur!DD164*VLOOKUP('Données projet'!$B$13,Paramètres!$A$1:$I$89,3,0)*0.475*44/12</f>
        <v>3.6618163995681252</v>
      </c>
      <c r="DH164" s="21">
        <f>EXP(-LN(2)/2)*DH163+(1-EXP(-LN(2)/2))/(LN(2)/2)*DB164*DE164*VLOOKUP('Données projet'!$B$13,Paramètres!$A$1:$I$89,3,0)*0.475*44/12</f>
        <v>2.2903407996883428E-11</v>
      </c>
      <c r="DI164" s="22">
        <f t="shared" si="175"/>
        <v>32.262440222353696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-3.979039320256561E-13</v>
      </c>
      <c r="DP164" s="17">
        <f>DO164*VLOOKUP('Données projet'!$B$14,Paramètres!$A$1:$I$89,3,0)*VLOOKUP('Données projet'!$B$14,Paramètres!$A$1:$I$89,5,0)</f>
        <v>-2.379465513513424E-13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148.22129593028302</v>
      </c>
      <c r="DU164" s="59">
        <f t="shared" si="152"/>
        <v>102.97015482019975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233.89079999999998</v>
      </c>
      <c r="EL164" s="13">
        <f t="shared" si="179"/>
        <v>57.123140349023068</v>
      </c>
      <c r="EM164" s="20">
        <f t="shared" si="180"/>
        <v>506.84927944121517</v>
      </c>
      <c r="EN164" s="59">
        <f t="shared" si="128"/>
        <v>800.18261277454849</v>
      </c>
      <c r="EO164" s="59">
        <f ca="1">AVERAGE(OFFSET($EN$3,0,0,'Données projet'!$E$15+1,1))-AVERAGE(OFFSET($H$3,0,0,'Données projet'!$E$15+1,1))</f>
        <v>278.53123771916404</v>
      </c>
      <c r="EP164" s="59">
        <f t="shared" si="154"/>
        <v>283.79094702030869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6.7316808505558781</v>
      </c>
      <c r="EW164" s="21">
        <f>EXP(-LN(2)/25)*EW163+(1-EXP(-LN(2)/25))/(LN(2)/25)*Calculateur!ER164*Calculateur!ET164*VLOOKUP('Données projet'!$B$15,Paramètres!$A$1:$I$89,3,0)*0.475*44/12</f>
        <v>0.59712552987985723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7.3288063804357355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6.3403846153846128</v>
      </c>
      <c r="FE164" s="12">
        <f>IF('Données projet'!$A$218&gt;35,FE163+FD164-FM163,IF(A164&lt;'Données projet'!$A$218,$FB$205^A164,IF(A164='Données projet'!$A$218,'Données projet'!$B$218,FE163+FD164-FM163)))</f>
        <v>374.66474358974301</v>
      </c>
      <c r="FF164" s="17">
        <f>FE164*VLOOKUP('Données projet'!$B$16,Paramètres!$A$1:$I$89,3,0)*VLOOKUP('Données projet'!$B$16,Paramètres!$A$1:$I$89,5,0)</f>
        <v>338.99665999999951</v>
      </c>
      <c r="FG164" s="13">
        <f t="shared" si="182"/>
        <v>79.292614383358782</v>
      </c>
      <c r="FH164" s="20">
        <f t="shared" si="183"/>
        <v>728.52048621768233</v>
      </c>
      <c r="FI164" s="59">
        <f t="shared" si="131"/>
        <v>1021.8538195510157</v>
      </c>
      <c r="FJ164" s="59">
        <f ca="1">AVERAGE(OFFSET($FI$3,0,0,'Données projet'!$E$16+1,1))-AVERAGE(OFFSET($H$3,0,0,'Données projet'!$E$16+1,1))</f>
        <v>335.99493768537013</v>
      </c>
      <c r="FK164" s="59">
        <f t="shared" si="156"/>
        <v>150.85164849522778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55.213521297504649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55.213521297504649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259.99999999999983</v>
      </c>
      <c r="GA164" s="17">
        <f>FZ164*VLOOKUP('Données projet'!$B$17,Paramètres!$A$1:$I$89,3,0)*VLOOKUP('Données projet'!$B$17,Paramètres!$A$1:$I$89,5,0)</f>
        <v>227.13599999999985</v>
      </c>
      <c r="GB164" s="13">
        <f t="shared" si="185"/>
        <v>55.662966886685133</v>
      </c>
      <c r="GC164" s="20">
        <f t="shared" si="186"/>
        <v>492.5415339943097</v>
      </c>
      <c r="GD164" s="59">
        <f t="shared" si="134"/>
        <v>785.87486732764296</v>
      </c>
      <c r="GE164" s="59">
        <f ca="1">AVERAGE(OFFSET($GD$3,0,0,'Données projet'!$E$17+1,1))-AVERAGE(OFFSET($H$3,0,0,'Données projet'!$E$17+1,1))</f>
        <v>319.57811113658374</v>
      </c>
      <c r="GF164" s="59">
        <f t="shared" si="158"/>
        <v>322.03572137403245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11.282158673616435</v>
      </c>
      <c r="GM164" s="21">
        <f>EXP(-LN(2)/25)*GM163+(1-EXP(-LN(2)/25))/(LN(2)/25)*Calculateur!GH164*Calculateur!GJ164*VLOOKUP('Données projet'!$B$17,Paramètres!$A$1:$I$89,3,0)*0.475*44/12</f>
        <v>2.4769658392625624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13.759124512878998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5.4683368944097308E-14</v>
      </c>
      <c r="P165" s="13">
        <f t="shared" si="141"/>
        <v>8.8129432816788268E-13</v>
      </c>
      <c r="Q165" s="20">
        <f t="shared" si="162"/>
        <v>1.6301611558033651E-12</v>
      </c>
      <c r="R165" s="59">
        <f t="shared" si="109"/>
        <v>293.33333333333496</v>
      </c>
      <c r="S165" s="59">
        <f ca="1">AVERAGE(OFFSET($R$3,0,0,'Données projet'!$E$9+1,1))-AVERAGE(OFFSET($H$3,0,0,'Données projet'!$E$9+1,1))</f>
        <v>226.41956082453015</v>
      </c>
      <c r="T165" s="59">
        <f t="shared" si="142"/>
        <v>317.95076157570446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2.9262992029543969E-13</v>
      </c>
      <c r="AK165" s="13">
        <f t="shared" si="164"/>
        <v>3.8796387982050903E-12</v>
      </c>
      <c r="AL165" s="20">
        <f t="shared" si="165"/>
        <v>7.2667013513884219E-12</v>
      </c>
      <c r="AM165" s="59">
        <f t="shared" si="113"/>
        <v>293.33333333334059</v>
      </c>
      <c r="AN165" s="59">
        <f ca="1">AVERAGE(OFFSET($AM$3,0,0,'Données projet'!$E$10+1,1))-AVERAGE(OFFSET($H$3,0,0,'Données projet'!$E$10+1,1))</f>
        <v>257.80662231827404</v>
      </c>
      <c r="AO165" s="59">
        <f t="shared" si="144"/>
        <v>184.04558520039876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-2.5420376914553347E-13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300.90952915835157</v>
      </c>
      <c r="BJ165" s="59">
        <f t="shared" si="146"/>
        <v>402.81783992925256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27.231877967054633</v>
      </c>
      <c r="BQ165" s="21">
        <f>EXP(-LN(2)/25)*BQ164+(1-EXP(-LN(2)/25))/(LN(2)/25)*Calculateur!BL165*Calculateur!BN165*VLOOKUP('Données projet'!$B$11,Paramètres!$A$1:$I$89,3,0)*0.475*44/12</f>
        <v>2.9971618705827421</v>
      </c>
      <c r="BR165" s="21">
        <f>EXP(-LN(2)/2)*BR164+(1-EXP(-LN(2)/2))/(LN(2)/2)*BL165*BO165*VLOOKUP('Données projet'!$B$11,Paramètres!$A$1:$I$89,3,0)*0.475*44/12</f>
        <v>2.6411867109342168E-15</v>
      </c>
      <c r="BS165" s="22">
        <f t="shared" si="169"/>
        <v>30.229039837637377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-2.8421709430404007E-13</v>
      </c>
      <c r="BZ165" s="13">
        <f>BY165*VLOOKUP('Données projet'!$B$12,Paramètres!$A$1:$I$89,3,0)*VLOOKUP('Données projet'!$B$12,Paramètres!$A$1:$I$89,5,0)</f>
        <v>-1.4040324458619578E-13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246.05217890269194</v>
      </c>
      <c r="CE165" s="59">
        <f t="shared" si="148"/>
        <v>155.54297071424327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58.76964353214143</v>
      </c>
      <c r="CL165" s="21">
        <f>EXP(-LN(2)/25)*CL164+(1-EXP(-LN(2)/25))/(LN(2)/25)*Calculateur!CG165*Calculateur!CI165*VLOOKUP('Données projet'!$B$12,Paramètres!$A$1:$I$89,3,0)*0.475*44/12</f>
        <v>9.2074583315172909</v>
      </c>
      <c r="CM165" s="21">
        <f>EXP(-LN(2)/2)*CM164+(1-EXP(-LN(2)/2))/(LN(2)/2)*CG165*CJ165*VLOOKUP('Données projet'!$B$12,Paramètres!$A$1:$I$89,3,0)*0.475*44/12</f>
        <v>1.1979727633357313E-8</v>
      </c>
      <c r="CN165" s="22">
        <f t="shared" si="172"/>
        <v>67.977101875638439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-3.4106051316484809E-13</v>
      </c>
      <c r="CU165" s="17">
        <f>CT165*VLOOKUP('Données projet'!$B$13,Paramètres!$A$1:$I$89,3,0)*VLOOKUP('Données projet'!$B$13,Paramètres!$A$1:$I$89,5,0)</f>
        <v>-2.0395418687257919E-13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237.036496933921</v>
      </c>
      <c r="CZ165" s="59">
        <f t="shared" si="150"/>
        <v>191.04289413665344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28.039783034256306</v>
      </c>
      <c r="DG165" s="21">
        <f>EXP(-LN(2)/25)*DG164+(1-EXP(-LN(2)/25))/(LN(2)/25)*Calculateur!DB165*Calculateur!DD165*VLOOKUP('Données projet'!$B$13,Paramètres!$A$1:$I$89,3,0)*0.475*44/12</f>
        <v>3.5616838375553797</v>
      </c>
      <c r="DH165" s="21">
        <f>EXP(-LN(2)/2)*DH164+(1-EXP(-LN(2)/2))/(LN(2)/2)*DB165*DE165*VLOOKUP('Données projet'!$B$13,Paramètres!$A$1:$I$89,3,0)*0.475*44/12</f>
        <v>1.6195155106878473E-11</v>
      </c>
      <c r="DI165" s="22">
        <f t="shared" si="175"/>
        <v>31.601466871827881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-3.979039320256561E-13</v>
      </c>
      <c r="DP165" s="17">
        <f>DO165*VLOOKUP('Données projet'!$B$14,Paramètres!$A$1:$I$89,3,0)*VLOOKUP('Données projet'!$B$14,Paramètres!$A$1:$I$89,5,0)</f>
        <v>-2.379465513513424E-13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148.22129593028302</v>
      </c>
      <c r="DU165" s="59">
        <f t="shared" si="152"/>
        <v>102.97015482019975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233.89079999999998</v>
      </c>
      <c r="EL165" s="13">
        <f t="shared" si="179"/>
        <v>57.123140349023068</v>
      </c>
      <c r="EM165" s="20">
        <f t="shared" si="180"/>
        <v>506.84927944121517</v>
      </c>
      <c r="EN165" s="59">
        <f t="shared" si="128"/>
        <v>800.18261277454849</v>
      </c>
      <c r="EO165" s="59">
        <f ca="1">AVERAGE(OFFSET($EN$3,0,0,'Données projet'!$E$15+1,1))-AVERAGE(OFFSET($H$3,0,0,'Données projet'!$E$15+1,1))</f>
        <v>278.53123771916404</v>
      </c>
      <c r="EP165" s="59">
        <f t="shared" si="154"/>
        <v>283.79094702030869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6.5996766949963703</v>
      </c>
      <c r="EW165" s="21">
        <f>EXP(-LN(2)/25)*EW164+(1-EXP(-LN(2)/25))/(LN(2)/25)*Calculateur!ER165*Calculateur!ET165*VLOOKUP('Données projet'!$B$15,Paramètres!$A$1:$I$89,3,0)*0.475*44/12</f>
        <v>0.58079710086382563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7.1804737958601956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6.3403846153846128</v>
      </c>
      <c r="FE165" s="12">
        <f>IF('Données projet'!$A$218&gt;35,FE164+FD165-FM164,IF(A165&lt;'Données projet'!$A$218,$FB$205^A165,IF(A165='Données projet'!$A$218,'Données projet'!$B$218,FE164+FD165-FM164)))</f>
        <v>381.00512820512762</v>
      </c>
      <c r="FF165" s="17">
        <f>FE165*VLOOKUP('Données projet'!$B$16,Paramètres!$A$1:$I$89,3,0)*VLOOKUP('Données projet'!$B$16,Paramètres!$A$1:$I$89,5,0)</f>
        <v>344.73343999999946</v>
      </c>
      <c r="FG165" s="13">
        <f t="shared" si="182"/>
        <v>80.477116775616508</v>
      </c>
      <c r="FH165" s="20">
        <f t="shared" si="183"/>
        <v>740.57505305086443</v>
      </c>
      <c r="FI165" s="59">
        <f t="shared" si="131"/>
        <v>1033.9083863841977</v>
      </c>
      <c r="FJ165" s="59">
        <f ca="1">AVERAGE(OFFSET($FI$3,0,0,'Données projet'!$E$16+1,1))-AVERAGE(OFFSET($H$3,0,0,'Données projet'!$E$16+1,1))</f>
        <v>335.99493768537013</v>
      </c>
      <c r="FK165" s="59">
        <f t="shared" si="156"/>
        <v>150.85164849522778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54.130817821783253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54.130817821783253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259.99999999999983</v>
      </c>
      <c r="GA165" s="17">
        <f>FZ165*VLOOKUP('Données projet'!$B$17,Paramètres!$A$1:$I$89,3,0)*VLOOKUP('Données projet'!$B$17,Paramètres!$A$1:$I$89,5,0)</f>
        <v>227.13599999999985</v>
      </c>
      <c r="GB165" s="13">
        <f t="shared" si="185"/>
        <v>55.662966886685133</v>
      </c>
      <c r="GC165" s="20">
        <f t="shared" si="186"/>
        <v>492.5415339943097</v>
      </c>
      <c r="GD165" s="59">
        <f t="shared" si="134"/>
        <v>785.87486732764296</v>
      </c>
      <c r="GE165" s="59">
        <f ca="1">AVERAGE(OFFSET($GD$3,0,0,'Données projet'!$E$17+1,1))-AVERAGE(OFFSET($H$3,0,0,'Données projet'!$E$17+1,1))</f>
        <v>319.57811113658374</v>
      </c>
      <c r="GF165" s="59">
        <f t="shared" si="158"/>
        <v>322.03572137403245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11.060922423464122</v>
      </c>
      <c r="GM165" s="21">
        <f>EXP(-LN(2)/25)*GM164+(1-EXP(-LN(2)/25))/(LN(2)/25)*Calculateur!GH165*Calculateur!GJ165*VLOOKUP('Données projet'!$B$17,Paramètres!$A$1:$I$89,3,0)*0.475*44/12</f>
        <v>2.4092330781299554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13.470155501594078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5.4683368944097308E-14</v>
      </c>
      <c r="P166" s="13">
        <f t="shared" si="141"/>
        <v>8.8129432816788268E-13</v>
      </c>
      <c r="Q166" s="20">
        <f t="shared" si="162"/>
        <v>1.6301611558033651E-12</v>
      </c>
      <c r="R166" s="59">
        <f t="shared" si="109"/>
        <v>293.33333333333496</v>
      </c>
      <c r="S166" s="59">
        <f ca="1">AVERAGE(OFFSET($R$3,0,0,'Données projet'!$E$9+1,1))-AVERAGE(OFFSET($H$3,0,0,'Données projet'!$E$9+1,1))</f>
        <v>226.41956082453015</v>
      </c>
      <c r="T166" s="59">
        <f t="shared" si="142"/>
        <v>317.95076157570446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2.9262992029543969E-13</v>
      </c>
      <c r="AK166" s="13">
        <f t="shared" si="164"/>
        <v>3.8796387982050903E-12</v>
      </c>
      <c r="AL166" s="20">
        <f t="shared" si="165"/>
        <v>7.2667013513884219E-12</v>
      </c>
      <c r="AM166" s="59">
        <f t="shared" si="113"/>
        <v>293.33333333334059</v>
      </c>
      <c r="AN166" s="59">
        <f ca="1">AVERAGE(OFFSET($AM$3,0,0,'Données projet'!$E$10+1,1))-AVERAGE(OFFSET($H$3,0,0,'Données projet'!$E$10+1,1))</f>
        <v>257.80662231827404</v>
      </c>
      <c r="AO166" s="59">
        <f t="shared" si="144"/>
        <v>184.04558520039876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-2.5420376914553347E-13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300.90952915835157</v>
      </c>
      <c r="BJ166" s="59">
        <f t="shared" si="146"/>
        <v>402.81783992925256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26.697877449926168</v>
      </c>
      <c r="BQ166" s="21">
        <f>EXP(-LN(2)/25)*BQ165+(1-EXP(-LN(2)/25))/(LN(2)/25)*Calculateur!BL166*Calculateur!BN166*VLOOKUP('Données projet'!$B$11,Paramètres!$A$1:$I$89,3,0)*0.475*44/12</f>
        <v>2.9152043216177645</v>
      </c>
      <c r="BR166" s="21">
        <f>EXP(-LN(2)/2)*BR165+(1-EXP(-LN(2)/2))/(LN(2)/2)*BL166*BO166*VLOOKUP('Données projet'!$B$11,Paramètres!$A$1:$I$89,3,0)*0.475*44/12</f>
        <v>1.8676010336813784E-15</v>
      </c>
      <c r="BS166" s="22">
        <f t="shared" si="169"/>
        <v>29.613081771543936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-2.8421709430404007E-13</v>
      </c>
      <c r="BZ166" s="13">
        <f>BY166*VLOOKUP('Données projet'!$B$12,Paramètres!$A$1:$I$89,3,0)*VLOOKUP('Données projet'!$B$12,Paramètres!$A$1:$I$89,5,0)</f>
        <v>-1.4040324458619578E-13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246.05217890269194</v>
      </c>
      <c r="CE166" s="59">
        <f t="shared" si="148"/>
        <v>155.54297071424327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57.6172066684192</v>
      </c>
      <c r="CL166" s="21">
        <f>EXP(-LN(2)/25)*CL165+(1-EXP(-LN(2)/25))/(LN(2)/25)*Calculateur!CG166*Calculateur!CI166*VLOOKUP('Données projet'!$B$12,Paramètres!$A$1:$I$89,3,0)*0.475*44/12</f>
        <v>8.9556798992427602</v>
      </c>
      <c r="CM166" s="21">
        <f>EXP(-LN(2)/2)*CM165+(1-EXP(-LN(2)/2))/(LN(2)/2)*CG166*CJ166*VLOOKUP('Données projet'!$B$12,Paramètres!$A$1:$I$89,3,0)*0.475*44/12</f>
        <v>8.4709466463148266E-9</v>
      </c>
      <c r="CN166" s="22">
        <f t="shared" si="172"/>
        <v>66.572886576132902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-3.4106051316484809E-13</v>
      </c>
      <c r="CU166" s="17">
        <f>CT166*VLOOKUP('Données projet'!$B$13,Paramètres!$A$1:$I$89,3,0)*VLOOKUP('Données projet'!$B$13,Paramètres!$A$1:$I$89,5,0)</f>
        <v>-2.0395418687257919E-13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237.036496933921</v>
      </c>
      <c r="CZ166" s="59">
        <f t="shared" si="150"/>
        <v>191.04289413665344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27.489939991533451</v>
      </c>
      <c r="DG166" s="21">
        <f>EXP(-LN(2)/25)*DG165+(1-EXP(-LN(2)/25))/(LN(2)/25)*Calculateur!DB166*Calculateur!DD166*VLOOKUP('Données projet'!$B$13,Paramètres!$A$1:$I$89,3,0)*0.475*44/12</f>
        <v>3.4642894057166149</v>
      </c>
      <c r="DH166" s="21">
        <f>EXP(-LN(2)/2)*DH165+(1-EXP(-LN(2)/2))/(LN(2)/2)*DB166*DE166*VLOOKUP('Données projet'!$B$13,Paramètres!$A$1:$I$89,3,0)*0.475*44/12</f>
        <v>1.1451703998441714E-11</v>
      </c>
      <c r="DI166" s="22">
        <f t="shared" si="175"/>
        <v>30.954229397261518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-3.979039320256561E-13</v>
      </c>
      <c r="DP166" s="17">
        <f>DO166*VLOOKUP('Données projet'!$B$14,Paramètres!$A$1:$I$89,3,0)*VLOOKUP('Données projet'!$B$14,Paramètres!$A$1:$I$89,5,0)</f>
        <v>-2.379465513513424E-13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148.22129593028302</v>
      </c>
      <c r="DU166" s="59">
        <f t="shared" si="152"/>
        <v>102.97015482019975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233.89079999999998</v>
      </c>
      <c r="EL166" s="13">
        <f t="shared" si="179"/>
        <v>57.123140349023068</v>
      </c>
      <c r="EM166" s="20">
        <f t="shared" si="180"/>
        <v>506.84927944121517</v>
      </c>
      <c r="EN166" s="59">
        <f t="shared" si="128"/>
        <v>800.18261277454849</v>
      </c>
      <c r="EO166" s="59">
        <f ca="1">AVERAGE(OFFSET($EN$3,0,0,'Données projet'!$E$15+1,1))-AVERAGE(OFFSET($H$3,0,0,'Données projet'!$E$15+1,1))</f>
        <v>278.53123771916404</v>
      </c>
      <c r="EP166" s="59">
        <f t="shared" si="154"/>
        <v>283.79094702030869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6.4702610604127999</v>
      </c>
      <c r="EW166" s="21">
        <f>EXP(-LN(2)/25)*EW165+(1-EXP(-LN(2)/25))/(LN(2)/25)*Calculateur!ER166*Calculateur!ET166*VLOOKUP('Données projet'!$B$15,Paramètres!$A$1:$I$89,3,0)*0.475*44/12</f>
        <v>0.56491517359791221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7.035176234010712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6.3403846153846128</v>
      </c>
      <c r="FE166" s="12">
        <f>IF('Données projet'!$A$218&gt;35,FE165+FD166-FM165,IF(A166&lt;'Données projet'!$A$218,$FB$205^A166,IF(A166='Données projet'!$A$218,'Données projet'!$B$218,FE165+FD166-FM165)))</f>
        <v>387.34551282051223</v>
      </c>
      <c r="FF166" s="17">
        <f>FE166*VLOOKUP('Données projet'!$B$16,Paramètres!$A$1:$I$89,3,0)*VLOOKUP('Données projet'!$B$16,Paramètres!$A$1:$I$89,5,0)</f>
        <v>350.47021999999941</v>
      </c>
      <c r="FG166" s="13">
        <f t="shared" si="182"/>
        <v>81.659326852624957</v>
      </c>
      <c r="FH166" s="20">
        <f t="shared" si="183"/>
        <v>752.62562743498745</v>
      </c>
      <c r="FI166" s="59">
        <f t="shared" si="131"/>
        <v>1045.9589607683208</v>
      </c>
      <c r="FJ166" s="59">
        <f ca="1">AVERAGE(OFFSET($FI$3,0,0,'Données projet'!$E$16+1,1))-AVERAGE(OFFSET($H$3,0,0,'Données projet'!$E$16+1,1))</f>
        <v>335.99493768537013</v>
      </c>
      <c r="FK166" s="59">
        <f t="shared" si="156"/>
        <v>150.85164849522778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53.069345500836846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53.069345500836846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259.99999999999983</v>
      </c>
      <c r="GA166" s="17">
        <f>FZ166*VLOOKUP('Données projet'!$B$17,Paramètres!$A$1:$I$89,3,0)*VLOOKUP('Données projet'!$B$17,Paramètres!$A$1:$I$89,5,0)</f>
        <v>227.13599999999985</v>
      </c>
      <c r="GB166" s="13">
        <f t="shared" si="185"/>
        <v>55.662966886685133</v>
      </c>
      <c r="GC166" s="20">
        <f t="shared" si="186"/>
        <v>492.5415339943097</v>
      </c>
      <c r="GD166" s="59">
        <f t="shared" si="134"/>
        <v>785.87486732764296</v>
      </c>
      <c r="GE166" s="59">
        <f ca="1">AVERAGE(OFFSET($GD$3,0,0,'Données projet'!$E$17+1,1))-AVERAGE(OFFSET($H$3,0,0,'Données projet'!$E$17+1,1))</f>
        <v>319.57811113658374</v>
      </c>
      <c r="GF166" s="59">
        <f t="shared" si="158"/>
        <v>322.03572137403245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10.844024481236508</v>
      </c>
      <c r="GM166" s="21">
        <f>EXP(-LN(2)/25)*GM165+(1-EXP(-LN(2)/25))/(LN(2)/25)*Calculateur!GH166*Calculateur!GJ166*VLOOKUP('Données projet'!$B$17,Paramètres!$A$1:$I$89,3,0)*0.475*44/12</f>
        <v>2.3433524729124304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13.187376954148938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5.4683368944097308E-14</v>
      </c>
      <c r="P167" s="13">
        <f t="shared" si="141"/>
        <v>8.8129432816788268E-13</v>
      </c>
      <c r="Q167" s="20">
        <f t="shared" si="162"/>
        <v>1.6301611558033651E-12</v>
      </c>
      <c r="R167" s="59">
        <f t="shared" si="109"/>
        <v>293.33333333333496</v>
      </c>
      <c r="S167" s="59">
        <f ca="1">AVERAGE(OFFSET($R$3,0,0,'Données projet'!$E$9+1,1))-AVERAGE(OFFSET($H$3,0,0,'Données projet'!$E$9+1,1))</f>
        <v>226.41956082453015</v>
      </c>
      <c r="T167" s="59">
        <f t="shared" si="142"/>
        <v>317.95076157570446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2.9262992029543969E-13</v>
      </c>
      <c r="AK167" s="13">
        <f t="shared" si="164"/>
        <v>3.8796387982050903E-12</v>
      </c>
      <c r="AL167" s="20">
        <f t="shared" si="165"/>
        <v>7.2667013513884219E-12</v>
      </c>
      <c r="AM167" s="59">
        <f t="shared" si="113"/>
        <v>293.33333333334059</v>
      </c>
      <c r="AN167" s="59">
        <f ca="1">AVERAGE(OFFSET($AM$3,0,0,'Données projet'!$E$10+1,1))-AVERAGE(OFFSET($H$3,0,0,'Données projet'!$E$10+1,1))</f>
        <v>257.80662231827404</v>
      </c>
      <c r="AO167" s="59">
        <f t="shared" si="144"/>
        <v>184.04558520039876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-2.5420376914553347E-13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300.90952915835157</v>
      </c>
      <c r="BJ167" s="59">
        <f t="shared" si="146"/>
        <v>402.81783992925256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26.174348357230439</v>
      </c>
      <c r="BQ167" s="21">
        <f>EXP(-LN(2)/25)*BQ166+(1-EXP(-LN(2)/25))/(LN(2)/25)*Calculateur!BL167*Calculateur!BN167*VLOOKUP('Données projet'!$B$11,Paramètres!$A$1:$I$89,3,0)*0.475*44/12</f>
        <v>2.8354879061391944</v>
      </c>
      <c r="BR167" s="21">
        <f>EXP(-LN(2)/2)*BR166+(1-EXP(-LN(2)/2))/(LN(2)/2)*BL167*BO167*VLOOKUP('Données projet'!$B$11,Paramètres!$A$1:$I$89,3,0)*0.475*44/12</f>
        <v>1.3205933554671084E-15</v>
      </c>
      <c r="BS167" s="22">
        <f t="shared" si="169"/>
        <v>29.009836263369635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-2.8421709430404007E-13</v>
      </c>
      <c r="BZ167" s="13">
        <f>BY167*VLOOKUP('Données projet'!$B$12,Paramètres!$A$1:$I$89,3,0)*VLOOKUP('Données projet'!$B$12,Paramètres!$A$1:$I$89,5,0)</f>
        <v>-1.4040324458619578E-13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246.05217890269194</v>
      </c>
      <c r="CE167" s="59">
        <f t="shared" si="148"/>
        <v>155.54297071424327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56.487368388677481</v>
      </c>
      <c r="CL167" s="21">
        <f>EXP(-LN(2)/25)*CL166+(1-EXP(-LN(2)/25))/(LN(2)/25)*Calculateur!CG167*Calculateur!CI167*VLOOKUP('Données projet'!$B$12,Paramètres!$A$1:$I$89,3,0)*0.475*44/12</f>
        <v>8.7107863614392294</v>
      </c>
      <c r="CM167" s="21">
        <f>EXP(-LN(2)/2)*CM166+(1-EXP(-LN(2)/2))/(LN(2)/2)*CG167*CJ167*VLOOKUP('Données projet'!$B$12,Paramètres!$A$1:$I$89,3,0)*0.475*44/12</f>
        <v>5.9898638166786567E-9</v>
      </c>
      <c r="CN167" s="22">
        <f t="shared" si="172"/>
        <v>65.198154756106575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-3.4106051316484809E-13</v>
      </c>
      <c r="CU167" s="17">
        <f>CT167*VLOOKUP('Données projet'!$B$13,Paramètres!$A$1:$I$89,3,0)*VLOOKUP('Données projet'!$B$13,Paramètres!$A$1:$I$89,5,0)</f>
        <v>-2.0395418687257919E-13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237.036496933921</v>
      </c>
      <c r="CZ167" s="59">
        <f t="shared" si="150"/>
        <v>191.04289413665344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26.950879035507249</v>
      </c>
      <c r="DG167" s="21">
        <f>EXP(-LN(2)/25)*DG166+(1-EXP(-LN(2)/25))/(LN(2)/25)*Calculateur!DB167*Calculateur!DD167*VLOOKUP('Données projet'!$B$13,Paramètres!$A$1:$I$89,3,0)*0.475*44/12</f>
        <v>3.369558229738232</v>
      </c>
      <c r="DH167" s="21">
        <f>EXP(-LN(2)/2)*DH166+(1-EXP(-LN(2)/2))/(LN(2)/2)*DB167*DE167*VLOOKUP('Données projet'!$B$13,Paramètres!$A$1:$I$89,3,0)*0.475*44/12</f>
        <v>8.0975775534392366E-12</v>
      </c>
      <c r="DI167" s="22">
        <f t="shared" si="175"/>
        <v>30.320437265253577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-3.979039320256561E-13</v>
      </c>
      <c r="DP167" s="17">
        <f>DO167*VLOOKUP('Données projet'!$B$14,Paramètres!$A$1:$I$89,3,0)*VLOOKUP('Données projet'!$B$14,Paramètres!$A$1:$I$89,5,0)</f>
        <v>-2.379465513513424E-13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148.22129593028302</v>
      </c>
      <c r="DU167" s="59">
        <f t="shared" si="152"/>
        <v>102.97015482019975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233.89079999999998</v>
      </c>
      <c r="EL167" s="13">
        <f t="shared" si="179"/>
        <v>57.123140349023068</v>
      </c>
      <c r="EM167" s="20">
        <f t="shared" si="180"/>
        <v>506.84927944121517</v>
      </c>
      <c r="EN167" s="59">
        <f t="shared" si="128"/>
        <v>800.18261277454849</v>
      </c>
      <c r="EO167" s="59">
        <f ca="1">AVERAGE(OFFSET($EN$3,0,0,'Données projet'!$E$15+1,1))-AVERAGE(OFFSET($H$3,0,0,'Données projet'!$E$15+1,1))</f>
        <v>278.53123771916404</v>
      </c>
      <c r="EP167" s="59">
        <f t="shared" si="154"/>
        <v>283.79094702030869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6.34338318748767</v>
      </c>
      <c r="EW167" s="21">
        <f>EXP(-LN(2)/25)*EW166+(1-EXP(-LN(2)/25))/(LN(2)/25)*Calculateur!ER167*Calculateur!ET167*VLOOKUP('Données projet'!$B$15,Paramètres!$A$1:$I$89,3,0)*0.475*44/12</f>
        <v>0.54946753846827945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6.8928507259559497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>
        <f>VLOOKUP(A167,'Données projet'!$A$217:$I$237,2,0)</f>
        <v>393.6858974358974</v>
      </c>
      <c r="FC167" s="12">
        <f>VLOOKUP(A167,'Données projet'!$A$217:$I$237,9,0)</f>
        <v>6.3403846153846128</v>
      </c>
      <c r="FD167" s="12">
        <f t="array" ref="FD167">INDEX(FC:FC,MIN(IF(ISNUMBER(FC167:FC363),ROW(FC167:FC363),"")))</f>
        <v>6.3403846153846128</v>
      </c>
      <c r="FE167" s="12">
        <f>IF('Données projet'!$A$218&gt;35,FE166+FD167-FM166,IF(A167&lt;'Données projet'!$A$218,$FB$205^A167,IF(A167='Données projet'!$A$218,'Données projet'!$B$218,FE166+FD167-FM166)))</f>
        <v>393.68589743589683</v>
      </c>
      <c r="FF167" s="17">
        <f>FE167*VLOOKUP('Données projet'!$B$16,Paramètres!$A$1:$I$89,3,0)*VLOOKUP('Données projet'!$B$16,Paramètres!$A$1:$I$89,5,0)</f>
        <v>356.20699999999943</v>
      </c>
      <c r="FG167" s="13">
        <f t="shared" si="182"/>
        <v>82.839286468353521</v>
      </c>
      <c r="FH167" s="20">
        <f t="shared" si="183"/>
        <v>764.67228226571467</v>
      </c>
      <c r="FI167" s="59">
        <f t="shared" si="131"/>
        <v>1058.005615599048</v>
      </c>
      <c r="FJ167" s="59">
        <f ca="1">AVERAGE(OFFSET($FI$3,0,0,'Données projet'!$E$16+1,1))-AVERAGE(OFFSET($H$3,0,0,'Données projet'!$E$16+1,1))</f>
        <v>335.99493768537013</v>
      </c>
      <c r="FK167" s="59">
        <f t="shared" si="156"/>
        <v>150.85164849522778</v>
      </c>
      <c r="FL167" s="15">
        <f>IF(ISNA(VLOOKUP(A167,'Données projet'!$A$217:$I$237,3,0)),0,VLOOKUP(A167,'Données projet'!$A$217:$I$237,3,0))</f>
        <v>14</v>
      </c>
      <c r="FM167" s="15">
        <f>IF(ISNA(VLOOKUP(A167,'Données projet'!$A$217:$I$237,4,0)),0,VLOOKUP(A167,'Données projet'!$A$217:$I$237,4,0))</f>
        <v>44.814102564102562</v>
      </c>
      <c r="FN167" s="16">
        <f>IF(ISNA(VLOOKUP(A167,'Données projet'!$A$217:$I$237,5,0)),0%,VLOOKUP(A167,'Données projet'!$A$217:$I$237,5,0)*VLOOKUP('Données projet'!$B$16,Paramètres!$A$1:$I$89,7,0))</f>
        <v>0.38700000000000001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69.375727652642539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69.375727652642539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259.99999999999983</v>
      </c>
      <c r="GA167" s="17">
        <f>FZ167*VLOOKUP('Données projet'!$B$17,Paramètres!$A$1:$I$89,3,0)*VLOOKUP('Données projet'!$B$17,Paramètres!$A$1:$I$89,5,0)</f>
        <v>227.13599999999985</v>
      </c>
      <c r="GB167" s="13">
        <f t="shared" si="185"/>
        <v>55.662966886685133</v>
      </c>
      <c r="GC167" s="20">
        <f t="shared" si="186"/>
        <v>492.5415339943097</v>
      </c>
      <c r="GD167" s="59">
        <f t="shared" si="134"/>
        <v>785.87486732764296</v>
      </c>
      <c r="GE167" s="59">
        <f ca="1">AVERAGE(OFFSET($GD$3,0,0,'Données projet'!$E$17+1,1))-AVERAGE(OFFSET($H$3,0,0,'Données projet'!$E$17+1,1))</f>
        <v>319.57811113658374</v>
      </c>
      <c r="GF167" s="59">
        <f t="shared" si="158"/>
        <v>322.03572137403245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10.631379775361296</v>
      </c>
      <c r="GM167" s="21">
        <f>EXP(-LN(2)/25)*GM166+(1-EXP(-LN(2)/25))/(LN(2)/25)*Calculateur!GH167*Calculateur!GJ167*VLOOKUP('Données projet'!$B$17,Paramètres!$A$1:$I$89,3,0)*0.475*44/12</f>
        <v>2.2792733763090891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12.910653151670385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5.4683368944097308E-14</v>
      </c>
      <c r="P168" s="13">
        <f t="shared" si="141"/>
        <v>8.8129432816788268E-13</v>
      </c>
      <c r="Q168" s="20">
        <f t="shared" si="162"/>
        <v>1.6301611558033651E-12</v>
      </c>
      <c r="R168" s="59">
        <f t="shared" si="109"/>
        <v>293.33333333333496</v>
      </c>
      <c r="S168" s="59">
        <f ca="1">AVERAGE(OFFSET($R$3,0,0,'Données projet'!$E$9+1,1))-AVERAGE(OFFSET($H$3,0,0,'Données projet'!$E$9+1,1))</f>
        <v>226.41956082453015</v>
      </c>
      <c r="T168" s="59">
        <f t="shared" si="142"/>
        <v>317.95076157570446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2.9262992029543969E-13</v>
      </c>
      <c r="AK168" s="13">
        <f t="shared" si="164"/>
        <v>3.8796387982050903E-12</v>
      </c>
      <c r="AL168" s="20">
        <f t="shared" si="165"/>
        <v>7.2667013513884219E-12</v>
      </c>
      <c r="AM168" s="59">
        <f t="shared" si="113"/>
        <v>293.33333333334059</v>
      </c>
      <c r="AN168" s="59">
        <f ca="1">AVERAGE(OFFSET($AM$3,0,0,'Données projet'!$E$10+1,1))-AVERAGE(OFFSET($H$3,0,0,'Données projet'!$E$10+1,1))</f>
        <v>257.80662231827404</v>
      </c>
      <c r="AO168" s="59">
        <f t="shared" si="144"/>
        <v>184.04558520039876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-2.5420376914553347E-13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300.90952915835157</v>
      </c>
      <c r="BJ168" s="59">
        <f t="shared" si="146"/>
        <v>402.81783992925256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25.661085350721258</v>
      </c>
      <c r="BQ168" s="21">
        <f>EXP(-LN(2)/25)*BQ167+(1-EXP(-LN(2)/25))/(LN(2)/25)*Calculateur!BL168*Calculateur!BN168*VLOOKUP('Données projet'!$B$11,Paramètres!$A$1:$I$89,3,0)*0.475*44/12</f>
        <v>2.7579513402339897</v>
      </c>
      <c r="BR168" s="21">
        <f>EXP(-LN(2)/2)*BR167+(1-EXP(-LN(2)/2))/(LN(2)/2)*BL168*BO168*VLOOKUP('Données projet'!$B$11,Paramètres!$A$1:$I$89,3,0)*0.475*44/12</f>
        <v>9.338005168406892E-16</v>
      </c>
      <c r="BS168" s="22">
        <f t="shared" si="169"/>
        <v>28.419036690955249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-2.8421709430404007E-13</v>
      </c>
      <c r="BZ168" s="13">
        <f>BY168*VLOOKUP('Données projet'!$B$12,Paramètres!$A$1:$I$89,3,0)*VLOOKUP('Données projet'!$B$12,Paramètres!$A$1:$I$89,5,0)</f>
        <v>-1.4040324458619578E-13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246.05217890269194</v>
      </c>
      <c r="CE168" s="59">
        <f t="shared" si="148"/>
        <v>155.54297071424327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55.379685548468196</v>
      </c>
      <c r="CL168" s="21">
        <f>EXP(-LN(2)/25)*CL167+(1-EXP(-LN(2)/25))/(LN(2)/25)*Calculateur!CG168*Calculateur!CI168*VLOOKUP('Données projet'!$B$12,Paramètres!$A$1:$I$89,3,0)*0.475*44/12</f>
        <v>8.4725894503053283</v>
      </c>
      <c r="CM168" s="21">
        <f>EXP(-LN(2)/2)*CM167+(1-EXP(-LN(2)/2))/(LN(2)/2)*CG168*CJ168*VLOOKUP('Données projet'!$B$12,Paramètres!$A$1:$I$89,3,0)*0.475*44/12</f>
        <v>4.2354733231574133E-9</v>
      </c>
      <c r="CN168" s="22">
        <f t="shared" si="172"/>
        <v>63.852275003008998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-3.4106051316484809E-13</v>
      </c>
      <c r="CU168" s="17">
        <f>CT168*VLOOKUP('Données projet'!$B$13,Paramètres!$A$1:$I$89,3,0)*VLOOKUP('Données projet'!$B$13,Paramètres!$A$1:$I$89,5,0)</f>
        <v>-2.0395418687257919E-13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237.036496933921</v>
      </c>
      <c r="CZ168" s="59">
        <f t="shared" si="150"/>
        <v>191.04289413665344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26.422388736034005</v>
      </c>
      <c r="DG168" s="21">
        <f>EXP(-LN(2)/25)*DG167+(1-EXP(-LN(2)/25))/(LN(2)/25)*Calculateur!DB168*Calculateur!DD168*VLOOKUP('Données projet'!$B$13,Paramètres!$A$1:$I$89,3,0)*0.475*44/12</f>
        <v>3.2774174827486742</v>
      </c>
      <c r="DH168" s="21">
        <f>EXP(-LN(2)/2)*DH167+(1-EXP(-LN(2)/2))/(LN(2)/2)*DB168*DE168*VLOOKUP('Données projet'!$B$13,Paramètres!$A$1:$I$89,3,0)*0.475*44/12</f>
        <v>5.7258519992208571E-12</v>
      </c>
      <c r="DI168" s="22">
        <f t="shared" si="175"/>
        <v>29.699806218788407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-3.979039320256561E-13</v>
      </c>
      <c r="DP168" s="17">
        <f>DO168*VLOOKUP('Données projet'!$B$14,Paramètres!$A$1:$I$89,3,0)*VLOOKUP('Données projet'!$B$14,Paramètres!$A$1:$I$89,5,0)</f>
        <v>-2.379465513513424E-13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148.22129593028302</v>
      </c>
      <c r="DU168" s="59">
        <f t="shared" si="152"/>
        <v>102.97015482019975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233.89079999999998</v>
      </c>
      <c r="EL168" s="13">
        <f t="shared" si="179"/>
        <v>57.123140349023068</v>
      </c>
      <c r="EM168" s="20">
        <f t="shared" si="180"/>
        <v>506.84927944121517</v>
      </c>
      <c r="EN168" s="59">
        <f t="shared" si="128"/>
        <v>800.18261277454849</v>
      </c>
      <c r="EO168" s="59">
        <f ca="1">AVERAGE(OFFSET($EN$3,0,0,'Données projet'!$E$15+1,1))-AVERAGE(OFFSET($H$3,0,0,'Données projet'!$E$15+1,1))</f>
        <v>278.53123771916404</v>
      </c>
      <c r="EP168" s="59">
        <f t="shared" si="154"/>
        <v>283.79094702030869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6.2189933122627412</v>
      </c>
      <c r="EW168" s="21">
        <f>EXP(-LN(2)/25)*EW167+(1-EXP(-LN(2)/25))/(LN(2)/25)*Calculateur!ER168*Calculateur!ET168*VLOOKUP('Données projet'!$B$15,Paramètres!$A$1:$I$89,3,0)*0.475*44/12</f>
        <v>0.53444231973362233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6.7534356319963633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6.4179487179487182</v>
      </c>
      <c r="FE168" s="12">
        <f>IF('Données projet'!$A$218&gt;35,FE167+FD168-FM167,IF(A168&lt;'Données projet'!$A$218,$FB$205^A168,IF(A168='Données projet'!$A$218,'Données projet'!$B$218,FE167+FD168-FM167)))</f>
        <v>355.28974358974301</v>
      </c>
      <c r="FF168" s="17">
        <f>FE168*VLOOKUP('Données projet'!$B$16,Paramètres!$A$1:$I$89,3,0)*VLOOKUP('Données projet'!$B$16,Paramètres!$A$1:$I$89,5,0)</f>
        <v>321.46615999999949</v>
      </c>
      <c r="FG168" s="13">
        <f t="shared" si="182"/>
        <v>75.658335555310842</v>
      </c>
      <c r="FH168" s="20">
        <f t="shared" si="183"/>
        <v>691.65849642549881</v>
      </c>
      <c r="FI168" s="59">
        <f t="shared" si="131"/>
        <v>984.99182975883218</v>
      </c>
      <c r="FJ168" s="59">
        <f ca="1">AVERAGE(OFFSET($FI$3,0,0,'Données projet'!$E$16+1,1))-AVERAGE(OFFSET($H$3,0,0,'Données projet'!$E$16+1,1))</f>
        <v>335.99493768537013</v>
      </c>
      <c r="FK168" s="59">
        <f t="shared" si="156"/>
        <v>150.85164849522778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68.015311948389822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68.015311948389822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259.99999999999983</v>
      </c>
      <c r="GA168" s="17">
        <f>FZ168*VLOOKUP('Données projet'!$B$17,Paramètres!$A$1:$I$89,3,0)*VLOOKUP('Données projet'!$B$17,Paramètres!$A$1:$I$89,5,0)</f>
        <v>227.13599999999985</v>
      </c>
      <c r="GB168" s="13">
        <f t="shared" si="185"/>
        <v>55.662966886685133</v>
      </c>
      <c r="GC168" s="20">
        <f t="shared" si="186"/>
        <v>492.5415339943097</v>
      </c>
      <c r="GD168" s="59">
        <f t="shared" si="134"/>
        <v>785.87486732764296</v>
      </c>
      <c r="GE168" s="59">
        <f ca="1">AVERAGE(OFFSET($GD$3,0,0,'Données projet'!$E$17+1,1))-AVERAGE(OFFSET($H$3,0,0,'Données projet'!$E$17+1,1))</f>
        <v>319.57811113658374</v>
      </c>
      <c r="GF168" s="59">
        <f t="shared" si="158"/>
        <v>322.03572137403245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10.422904902467833</v>
      </c>
      <c r="GM168" s="21">
        <f>EXP(-LN(2)/25)*GM167+(1-EXP(-LN(2)/25))/(LN(2)/25)*Calculateur!GH168*Calculateur!GJ168*VLOOKUP('Données projet'!$B$17,Paramètres!$A$1:$I$89,3,0)*0.475*44/12</f>
        <v>2.2169465259721397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12.639851428439972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5.4683368944097308E-14</v>
      </c>
      <c r="P169" s="13">
        <f t="shared" si="141"/>
        <v>8.8129432816788268E-13</v>
      </c>
      <c r="Q169" s="20">
        <f t="shared" si="162"/>
        <v>1.6301611558033651E-12</v>
      </c>
      <c r="R169" s="59">
        <f t="shared" si="109"/>
        <v>293.33333333333496</v>
      </c>
      <c r="S169" s="59">
        <f ca="1">AVERAGE(OFFSET($R$3,0,0,'Données projet'!$E$9+1,1))-AVERAGE(OFFSET($H$3,0,0,'Données projet'!$E$9+1,1))</f>
        <v>226.41956082453015</v>
      </c>
      <c r="T169" s="59">
        <f t="shared" si="142"/>
        <v>317.95076157570446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2.9262992029543969E-13</v>
      </c>
      <c r="AK169" s="13">
        <f t="shared" si="164"/>
        <v>3.8796387982050903E-12</v>
      </c>
      <c r="AL169" s="20">
        <f t="shared" si="165"/>
        <v>7.2667013513884219E-12</v>
      </c>
      <c r="AM169" s="59">
        <f t="shared" si="113"/>
        <v>293.33333333334059</v>
      </c>
      <c r="AN169" s="59">
        <f ca="1">AVERAGE(OFFSET($AM$3,0,0,'Données projet'!$E$10+1,1))-AVERAGE(OFFSET($H$3,0,0,'Données projet'!$E$10+1,1))</f>
        <v>257.80662231827404</v>
      </c>
      <c r="AO169" s="59">
        <f t="shared" si="144"/>
        <v>184.04558520039876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-2.5420376914553347E-13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300.90952915835157</v>
      </c>
      <c r="BJ169" s="59">
        <f t="shared" si="146"/>
        <v>402.81783992925256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25.1578871187102</v>
      </c>
      <c r="BQ169" s="21">
        <f>EXP(-LN(2)/25)*BQ168+(1-EXP(-LN(2)/25))/(LN(2)/25)*Calculateur!BL169*Calculateur!BN169*VLOOKUP('Données projet'!$B$11,Paramètres!$A$1:$I$89,3,0)*0.475*44/12</f>
        <v>2.6825350158009336</v>
      </c>
      <c r="BR169" s="21">
        <f>EXP(-LN(2)/2)*BR168+(1-EXP(-LN(2)/2))/(LN(2)/2)*BL169*BO169*VLOOKUP('Données projet'!$B$11,Paramètres!$A$1:$I$89,3,0)*0.475*44/12</f>
        <v>6.6029667773355421E-16</v>
      </c>
      <c r="BS169" s="22">
        <f t="shared" si="169"/>
        <v>27.840422134511133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-2.8421709430404007E-13</v>
      </c>
      <c r="BZ169" s="13">
        <f>BY169*VLOOKUP('Données projet'!$B$12,Paramètres!$A$1:$I$89,3,0)*VLOOKUP('Données projet'!$B$12,Paramètres!$A$1:$I$89,5,0)</f>
        <v>-1.4040324458619578E-13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246.05217890269194</v>
      </c>
      <c r="CE169" s="59">
        <f t="shared" si="148"/>
        <v>155.54297071424327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54.29372369313559</v>
      </c>
      <c r="CL169" s="21">
        <f>EXP(-LN(2)/25)*CL168+(1-EXP(-LN(2)/25))/(LN(2)/25)*Calculateur!CG169*Calculateur!CI169*VLOOKUP('Données projet'!$B$12,Paramètres!$A$1:$I$89,3,0)*0.475*44/12</f>
        <v>8.2409060462326149</v>
      </c>
      <c r="CM169" s="21">
        <f>EXP(-LN(2)/2)*CM168+(1-EXP(-LN(2)/2))/(LN(2)/2)*CG169*CJ169*VLOOKUP('Données projet'!$B$12,Paramètres!$A$1:$I$89,3,0)*0.475*44/12</f>
        <v>2.9949319083393284E-9</v>
      </c>
      <c r="CN169" s="22">
        <f t="shared" si="172"/>
        <v>62.534629742363137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-3.4106051316484809E-13</v>
      </c>
      <c r="CU169" s="17">
        <f>CT169*VLOOKUP('Données projet'!$B$13,Paramètres!$A$1:$I$89,3,0)*VLOOKUP('Données projet'!$B$13,Paramètres!$A$1:$I$89,5,0)</f>
        <v>-2.0395418687257919E-13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237.036496933921</v>
      </c>
      <c r="CZ169" s="59">
        <f t="shared" si="150"/>
        <v>191.04289413665344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25.904261808986178</v>
      </c>
      <c r="DG169" s="21">
        <f>EXP(-LN(2)/25)*DG168+(1-EXP(-LN(2)/25))/(LN(2)/25)*Calculateur!DB169*Calculateur!DD169*VLOOKUP('Données projet'!$B$13,Paramètres!$A$1:$I$89,3,0)*0.475*44/12</f>
        <v>3.1877963293310168</v>
      </c>
      <c r="DH169" s="21">
        <f>EXP(-LN(2)/2)*DH168+(1-EXP(-LN(2)/2))/(LN(2)/2)*DB169*DE169*VLOOKUP('Données projet'!$B$13,Paramètres!$A$1:$I$89,3,0)*0.475*44/12</f>
        <v>4.0487887767196183E-12</v>
      </c>
      <c r="DI169" s="22">
        <f t="shared" si="175"/>
        <v>29.092058138321246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-3.979039320256561E-13</v>
      </c>
      <c r="DP169" s="17">
        <f>DO169*VLOOKUP('Données projet'!$B$14,Paramètres!$A$1:$I$89,3,0)*VLOOKUP('Données projet'!$B$14,Paramètres!$A$1:$I$89,5,0)</f>
        <v>-2.379465513513424E-13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148.22129593028302</v>
      </c>
      <c r="DU169" s="59">
        <f t="shared" si="152"/>
        <v>102.97015482019975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233.89079999999998</v>
      </c>
      <c r="EL169" s="13">
        <f t="shared" si="179"/>
        <v>57.123140349023068</v>
      </c>
      <c r="EM169" s="20">
        <f t="shared" si="180"/>
        <v>506.84927944121517</v>
      </c>
      <c r="EN169" s="59">
        <f t="shared" si="128"/>
        <v>800.18261277454849</v>
      </c>
      <c r="EO169" s="59">
        <f ca="1">AVERAGE(OFFSET($EN$3,0,0,'Données projet'!$E$15+1,1))-AVERAGE(OFFSET($H$3,0,0,'Données projet'!$E$15+1,1))</f>
        <v>278.53123771916404</v>
      </c>
      <c r="EP169" s="59">
        <f t="shared" si="154"/>
        <v>283.79094702030869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6.0970426466206407</v>
      </c>
      <c r="EW169" s="21">
        <f>EXP(-LN(2)/25)*EW168+(1-EXP(-LN(2)/25))/(LN(2)/25)*Calculateur!ER169*Calculateur!ET169*VLOOKUP('Données projet'!$B$15,Paramètres!$A$1:$I$89,3,0)*0.475*44/12</f>
        <v>0.51982796639540629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6.6168706130160473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6.4179487179487182</v>
      </c>
      <c r="FE169" s="12">
        <f>IF('Données projet'!$A$218&gt;35,FE168+FD169-FM168,IF(A169&lt;'Données projet'!$A$218,$FB$205^A169,IF(A169='Données projet'!$A$218,'Données projet'!$B$218,FE168+FD169-FM168)))</f>
        <v>361.70769230769173</v>
      </c>
      <c r="FF169" s="17">
        <f>FE169*VLOOKUP('Données projet'!$B$16,Paramètres!$A$1:$I$89,3,0)*VLOOKUP('Données projet'!$B$16,Paramètres!$A$1:$I$89,5,0)</f>
        <v>327.27311999999944</v>
      </c>
      <c r="FG169" s="13">
        <f t="shared" si="182"/>
        <v>76.864682645751117</v>
      </c>
      <c r="FH169" s="20">
        <f t="shared" si="183"/>
        <v>703.8733396080155</v>
      </c>
      <c r="FI169" s="59">
        <f t="shared" si="131"/>
        <v>997.20667294134887</v>
      </c>
      <c r="FJ169" s="59">
        <f ca="1">AVERAGE(OFFSET($FI$3,0,0,'Données projet'!$E$16+1,1))-AVERAGE(OFFSET($H$3,0,0,'Données projet'!$E$16+1,1))</f>
        <v>335.99493768537013</v>
      </c>
      <c r="FK169" s="59">
        <f t="shared" si="156"/>
        <v>150.85164849522778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66.681573166325862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66.681573166325862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259.99999999999983</v>
      </c>
      <c r="GA169" s="17">
        <f>FZ169*VLOOKUP('Données projet'!$B$17,Paramètres!$A$1:$I$89,3,0)*VLOOKUP('Données projet'!$B$17,Paramètres!$A$1:$I$89,5,0)</f>
        <v>227.13599999999985</v>
      </c>
      <c r="GB169" s="13">
        <f t="shared" si="185"/>
        <v>55.662966886685133</v>
      </c>
      <c r="GC169" s="20">
        <f t="shared" si="186"/>
        <v>492.5415339943097</v>
      </c>
      <c r="GD169" s="59">
        <f t="shared" si="134"/>
        <v>785.87486732764296</v>
      </c>
      <c r="GE169" s="59">
        <f ca="1">AVERAGE(OFFSET($GD$3,0,0,'Données projet'!$E$17+1,1))-AVERAGE(OFFSET($H$3,0,0,'Données projet'!$E$17+1,1))</f>
        <v>319.57811113658374</v>
      </c>
      <c r="GF169" s="59">
        <f t="shared" si="158"/>
        <v>322.03572137403245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10.218518094674694</v>
      </c>
      <c r="GM169" s="21">
        <f>EXP(-LN(2)/25)*GM168+(1-EXP(-LN(2)/25))/(LN(2)/25)*Calculateur!GH169*Calculateur!GJ169*VLOOKUP('Données projet'!$B$17,Paramètres!$A$1:$I$89,3,0)*0.475*44/12</f>
        <v>2.1563240066352805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12.374842101309975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5.4683368944097308E-14</v>
      </c>
      <c r="P170" s="13">
        <f t="shared" si="141"/>
        <v>8.8129432816788268E-13</v>
      </c>
      <c r="Q170" s="20">
        <f t="shared" si="162"/>
        <v>1.6301611558033651E-12</v>
      </c>
      <c r="R170" s="59">
        <f t="shared" si="109"/>
        <v>293.33333333333496</v>
      </c>
      <c r="S170" s="59">
        <f ca="1">AVERAGE(OFFSET($R$3,0,0,'Données projet'!$E$9+1,1))-AVERAGE(OFFSET($H$3,0,0,'Données projet'!$E$9+1,1))</f>
        <v>226.41956082453015</v>
      </c>
      <c r="T170" s="59">
        <f t="shared" si="142"/>
        <v>317.95076157570446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2.9262992029543969E-13</v>
      </c>
      <c r="AK170" s="13">
        <f t="shared" si="164"/>
        <v>3.8796387982050903E-12</v>
      </c>
      <c r="AL170" s="20">
        <f t="shared" si="165"/>
        <v>7.2667013513884219E-12</v>
      </c>
      <c r="AM170" s="59">
        <f t="shared" si="113"/>
        <v>293.33333333334059</v>
      </c>
      <c r="AN170" s="59">
        <f ca="1">AVERAGE(OFFSET($AM$3,0,0,'Données projet'!$E$10+1,1))-AVERAGE(OFFSET($H$3,0,0,'Données projet'!$E$10+1,1))</f>
        <v>257.80662231827404</v>
      </c>
      <c r="AO170" s="59">
        <f t="shared" si="144"/>
        <v>184.04558520039876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-2.5420376914553347E-13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300.90952915835157</v>
      </c>
      <c r="BJ170" s="59">
        <f t="shared" si="146"/>
        <v>402.81783992925256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24.664556297108263</v>
      </c>
      <c r="BQ170" s="21">
        <f>EXP(-LN(2)/25)*BQ169+(1-EXP(-LN(2)/25))/(LN(2)/25)*Calculateur!BL170*Calculateur!BN170*VLOOKUP('Données projet'!$B$11,Paramètres!$A$1:$I$89,3,0)*0.475*44/12</f>
        <v>2.6091809547254714</v>
      </c>
      <c r="BR170" s="21">
        <f>EXP(-LN(2)/2)*BR169+(1-EXP(-LN(2)/2))/(LN(2)/2)*BL170*BO170*VLOOKUP('Données projet'!$B$11,Paramètres!$A$1:$I$89,3,0)*0.475*44/12</f>
        <v>4.669002584203446E-16</v>
      </c>
      <c r="BS170" s="22">
        <f t="shared" si="169"/>
        <v>27.273737251833733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-2.8421709430404007E-13</v>
      </c>
      <c r="BZ170" s="13">
        <f>BY170*VLOOKUP('Données projet'!$B$12,Paramètres!$A$1:$I$89,3,0)*VLOOKUP('Données projet'!$B$12,Paramètres!$A$1:$I$89,5,0)</f>
        <v>-1.4040324458619578E-13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246.05217890269194</v>
      </c>
      <c r="CE170" s="59">
        <f t="shared" si="148"/>
        <v>155.54297071424327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53.229056887414728</v>
      </c>
      <c r="CL170" s="21">
        <f>EXP(-LN(2)/25)*CL169+(1-EXP(-LN(2)/25))/(LN(2)/25)*Calculateur!CG170*Calculateur!CI170*VLOOKUP('Données projet'!$B$12,Paramètres!$A$1:$I$89,3,0)*0.475*44/12</f>
        <v>8.0155580370279704</v>
      </c>
      <c r="CM170" s="21">
        <f>EXP(-LN(2)/2)*CM169+(1-EXP(-LN(2)/2))/(LN(2)/2)*CG170*CJ170*VLOOKUP('Données projet'!$B$12,Paramètres!$A$1:$I$89,3,0)*0.475*44/12</f>
        <v>2.1177366615787066E-9</v>
      </c>
      <c r="CN170" s="22">
        <f t="shared" si="172"/>
        <v>61.244614926560438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-3.4106051316484809E-13</v>
      </c>
      <c r="CU170" s="17">
        <f>CT170*VLOOKUP('Données projet'!$B$13,Paramètres!$A$1:$I$89,3,0)*VLOOKUP('Données projet'!$B$13,Paramètres!$A$1:$I$89,5,0)</f>
        <v>-2.0395418687257919E-13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237.036496933921</v>
      </c>
      <c r="CZ170" s="59">
        <f t="shared" si="150"/>
        <v>191.04289413665344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25.396295034951539</v>
      </c>
      <c r="DG170" s="21">
        <f>EXP(-LN(2)/25)*DG169+(1-EXP(-LN(2)/25))/(LN(2)/25)*Calculateur!DB170*Calculateur!DD170*VLOOKUP('Données projet'!$B$13,Paramètres!$A$1:$I$89,3,0)*0.475*44/12</f>
        <v>3.1006258710665371</v>
      </c>
      <c r="DH170" s="21">
        <f>EXP(-LN(2)/2)*DH169+(1-EXP(-LN(2)/2))/(LN(2)/2)*DB170*DE170*VLOOKUP('Données projet'!$B$13,Paramètres!$A$1:$I$89,3,0)*0.475*44/12</f>
        <v>2.8629259996104285E-12</v>
      </c>
      <c r="DI170" s="22">
        <f t="shared" si="175"/>
        <v>28.496920906020939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-3.979039320256561E-13</v>
      </c>
      <c r="DP170" s="17">
        <f>DO170*VLOOKUP('Données projet'!$B$14,Paramètres!$A$1:$I$89,3,0)*VLOOKUP('Données projet'!$B$14,Paramètres!$A$1:$I$89,5,0)</f>
        <v>-2.379465513513424E-13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148.22129593028302</v>
      </c>
      <c r="DU170" s="59">
        <f t="shared" si="152"/>
        <v>102.97015482019975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233.89079999999998</v>
      </c>
      <c r="EL170" s="13">
        <f t="shared" si="179"/>
        <v>57.123140349023068</v>
      </c>
      <c r="EM170" s="20">
        <f t="shared" si="180"/>
        <v>506.84927944121517</v>
      </c>
      <c r="EN170" s="59">
        <f t="shared" si="128"/>
        <v>800.18261277454849</v>
      </c>
      <c r="EO170" s="59">
        <f ca="1">AVERAGE(OFFSET($EN$3,0,0,'Données projet'!$E$15+1,1))-AVERAGE(OFFSET($H$3,0,0,'Données projet'!$E$15+1,1))</f>
        <v>278.53123771916404</v>
      </c>
      <c r="EP170" s="59">
        <f t="shared" si="154"/>
        <v>283.79094702030869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5.9774833591492209</v>
      </c>
      <c r="EW170" s="21">
        <f>EXP(-LN(2)/25)*EW169+(1-EXP(-LN(2)/25))/(LN(2)/25)*Calculateur!ER170*Calculateur!ET170*VLOOKUP('Données projet'!$B$15,Paramètres!$A$1:$I$89,3,0)*0.475*44/12</f>
        <v>0.50561324331775925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6.4830966024669801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6.4179487179487182</v>
      </c>
      <c r="FE170" s="12">
        <f>IF('Données projet'!$A$218&gt;35,FE169+FD170-FM169,IF(A170&lt;'Données projet'!$A$218,$FB$205^A170,IF(A170='Données projet'!$A$218,'Données projet'!$B$218,FE169+FD170-FM169)))</f>
        <v>368.12564102564045</v>
      </c>
      <c r="FF170" s="17">
        <f>FE170*VLOOKUP('Données projet'!$B$16,Paramètres!$A$1:$I$89,3,0)*VLOOKUP('Données projet'!$B$16,Paramètres!$A$1:$I$89,5,0)</f>
        <v>333.08007999999944</v>
      </c>
      <c r="FG170" s="13">
        <f t="shared" si="182"/>
        <v>78.068540652807755</v>
      </c>
      <c r="FH170" s="20">
        <f t="shared" si="183"/>
        <v>716.08384763697256</v>
      </c>
      <c r="FI170" s="59">
        <f t="shared" si="131"/>
        <v>1009.4171809703059</v>
      </c>
      <c r="FJ170" s="59">
        <f ca="1">AVERAGE(OFFSET($FI$3,0,0,'Données projet'!$E$16+1,1))-AVERAGE(OFFSET($H$3,0,0,'Données projet'!$E$16+1,1))</f>
        <v>335.99493768537013</v>
      </c>
      <c r="FK170" s="59">
        <f t="shared" si="156"/>
        <v>150.85164849522778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65.373988188277835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65.373988188277835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259.99999999999983</v>
      </c>
      <c r="GA170" s="17">
        <f>FZ170*VLOOKUP('Données projet'!$B$17,Paramètres!$A$1:$I$89,3,0)*VLOOKUP('Données projet'!$B$17,Paramètres!$A$1:$I$89,5,0)</f>
        <v>227.13599999999985</v>
      </c>
      <c r="GB170" s="13">
        <f t="shared" si="185"/>
        <v>55.662966886685133</v>
      </c>
      <c r="GC170" s="20">
        <f t="shared" si="186"/>
        <v>492.5415339943097</v>
      </c>
      <c r="GD170" s="59">
        <f t="shared" si="134"/>
        <v>785.87486732764296</v>
      </c>
      <c r="GE170" s="59">
        <f ca="1">AVERAGE(OFFSET($GD$3,0,0,'Données projet'!$E$17+1,1))-AVERAGE(OFFSET($H$3,0,0,'Données projet'!$E$17+1,1))</f>
        <v>319.57811113658374</v>
      </c>
      <c r="GF170" s="59">
        <f t="shared" si="158"/>
        <v>322.03572137403245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10.018139187518734</v>
      </c>
      <c r="GM170" s="21">
        <f>EXP(-LN(2)/25)*GM169+(1-EXP(-LN(2)/25))/(LN(2)/25)*Calculateur!GH170*Calculateur!GJ170*VLOOKUP('Données projet'!$B$17,Paramètres!$A$1:$I$89,3,0)*0.475*44/12</f>
        <v>2.0973592132776875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12.115498400796422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5.4683368944097308E-14</v>
      </c>
      <c r="P171" s="13">
        <f t="shared" si="141"/>
        <v>8.8129432816788268E-13</v>
      </c>
      <c r="Q171" s="20">
        <f t="shared" si="162"/>
        <v>1.6301611558033651E-12</v>
      </c>
      <c r="R171" s="59">
        <f t="shared" si="109"/>
        <v>293.33333333333496</v>
      </c>
      <c r="S171" s="59">
        <f ca="1">AVERAGE(OFFSET($R$3,0,0,'Données projet'!$E$9+1,1))-AVERAGE(OFFSET($H$3,0,0,'Données projet'!$E$9+1,1))</f>
        <v>226.41956082453015</v>
      </c>
      <c r="T171" s="59">
        <f t="shared" si="142"/>
        <v>317.95076157570446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2.9262992029543969E-13</v>
      </c>
      <c r="AK171" s="13">
        <f t="shared" si="164"/>
        <v>3.8796387982050903E-12</v>
      </c>
      <c r="AL171" s="20">
        <f t="shared" si="165"/>
        <v>7.2667013513884219E-12</v>
      </c>
      <c r="AM171" s="59">
        <f t="shared" si="113"/>
        <v>293.33333333334059</v>
      </c>
      <c r="AN171" s="59">
        <f ca="1">AVERAGE(OFFSET($AM$3,0,0,'Données projet'!$E$10+1,1))-AVERAGE(OFFSET($H$3,0,0,'Données projet'!$E$10+1,1))</f>
        <v>257.80662231827404</v>
      </c>
      <c r="AO171" s="59">
        <f t="shared" si="144"/>
        <v>184.04558520039876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-2.5420376914553347E-13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300.90952915835157</v>
      </c>
      <c r="BJ171" s="59">
        <f t="shared" si="146"/>
        <v>402.81783992925256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24.180899392015849</v>
      </c>
      <c r="BQ171" s="21">
        <f>EXP(-LN(2)/25)*BQ170+(1-EXP(-LN(2)/25))/(LN(2)/25)*Calculateur!BL171*Calculateur!BN171*VLOOKUP('Données projet'!$B$11,Paramètres!$A$1:$I$89,3,0)*0.475*44/12</f>
        <v>2.5378327643076402</v>
      </c>
      <c r="BR171" s="21">
        <f>EXP(-LN(2)/2)*BR170+(1-EXP(-LN(2)/2))/(LN(2)/2)*BL171*BO171*VLOOKUP('Données projet'!$B$11,Paramètres!$A$1:$I$89,3,0)*0.475*44/12</f>
        <v>3.301483388667771E-16</v>
      </c>
      <c r="BS171" s="22">
        <f t="shared" si="169"/>
        <v>26.71873215632349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-2.8421709430404007E-13</v>
      </c>
      <c r="BZ171" s="13">
        <f>BY171*VLOOKUP('Données projet'!$B$12,Paramètres!$A$1:$I$89,3,0)*VLOOKUP('Données projet'!$B$12,Paramètres!$A$1:$I$89,5,0)</f>
        <v>-1.4040324458619578E-13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246.05217890269194</v>
      </c>
      <c r="CE171" s="59">
        <f t="shared" si="148"/>
        <v>155.54297071424327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52.185267548371421</v>
      </c>
      <c r="CL171" s="21">
        <f>EXP(-LN(2)/25)*CL170+(1-EXP(-LN(2)/25))/(LN(2)/25)*Calculateur!CG171*Calculateur!CI171*VLOOKUP('Données projet'!$B$12,Paramètres!$A$1:$I$89,3,0)*0.475*44/12</f>
        <v>7.7963721809855633</v>
      </c>
      <c r="CM171" s="21">
        <f>EXP(-LN(2)/2)*CM170+(1-EXP(-LN(2)/2))/(LN(2)/2)*CG171*CJ171*VLOOKUP('Données projet'!$B$12,Paramètres!$A$1:$I$89,3,0)*0.475*44/12</f>
        <v>1.4974659541696642E-9</v>
      </c>
      <c r="CN171" s="22">
        <f t="shared" si="172"/>
        <v>59.981639730854454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-3.4106051316484809E-13</v>
      </c>
      <c r="CU171" s="17">
        <f>CT171*VLOOKUP('Données projet'!$B$13,Paramètres!$A$1:$I$89,3,0)*VLOOKUP('Données projet'!$B$13,Paramètres!$A$1:$I$89,5,0)</f>
        <v>-2.0395418687257919E-13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237.036496933921</v>
      </c>
      <c r="CZ171" s="59">
        <f t="shared" si="150"/>
        <v>191.04289413665344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24.898289179526579</v>
      </c>
      <c r="DG171" s="21">
        <f>EXP(-LN(2)/25)*DG170+(1-EXP(-LN(2)/25))/(LN(2)/25)*Calculateur!DB171*Calculateur!DD171*VLOOKUP('Données projet'!$B$13,Paramètres!$A$1:$I$89,3,0)*0.475*44/12</f>
        <v>3.0158390935673944</v>
      </c>
      <c r="DH171" s="21">
        <f>EXP(-LN(2)/2)*DH170+(1-EXP(-LN(2)/2))/(LN(2)/2)*DB171*DE171*VLOOKUP('Données projet'!$B$13,Paramètres!$A$1:$I$89,3,0)*0.475*44/12</f>
        <v>2.0243943883598091E-12</v>
      </c>
      <c r="DI171" s="22">
        <f t="shared" si="175"/>
        <v>27.914128273095997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-3.979039320256561E-13</v>
      </c>
      <c r="DP171" s="17">
        <f>DO171*VLOOKUP('Données projet'!$B$14,Paramètres!$A$1:$I$89,3,0)*VLOOKUP('Données projet'!$B$14,Paramètres!$A$1:$I$89,5,0)</f>
        <v>-2.379465513513424E-13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148.22129593028302</v>
      </c>
      <c r="DU171" s="59">
        <f t="shared" si="152"/>
        <v>102.97015482019975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233.89079999999998</v>
      </c>
      <c r="EL171" s="13">
        <f t="shared" si="179"/>
        <v>57.123140349023068</v>
      </c>
      <c r="EM171" s="20">
        <f t="shared" si="180"/>
        <v>506.84927944121517</v>
      </c>
      <c r="EN171" s="59">
        <f t="shared" si="128"/>
        <v>800.18261277454849</v>
      </c>
      <c r="EO171" s="59">
        <f ca="1">AVERAGE(OFFSET($EN$3,0,0,'Données projet'!$E$15+1,1))-AVERAGE(OFFSET($H$3,0,0,'Données projet'!$E$15+1,1))</f>
        <v>278.53123771916404</v>
      </c>
      <c r="EP171" s="59">
        <f t="shared" si="154"/>
        <v>283.79094702030869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5.8602685563811505</v>
      </c>
      <c r="EW171" s="21">
        <f>EXP(-LN(2)/25)*EW170+(1-EXP(-LN(2)/25))/(LN(2)/25)*Calculateur!ER171*Calculateur!ET171*VLOOKUP('Données projet'!$B$15,Paramètres!$A$1:$I$89,3,0)*0.475*44/12</f>
        <v>0.49178722259019025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6.3520557789713408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6.4179487179487182</v>
      </c>
      <c r="FE171" s="12">
        <f>IF('Données projet'!$A$218&gt;35,FE170+FD171-FM170,IF(A171&lt;'Données projet'!$A$218,$FB$205^A171,IF(A171='Données projet'!$A$218,'Données projet'!$B$218,FE170+FD171-FM170)))</f>
        <v>374.54358974358917</v>
      </c>
      <c r="FF171" s="17">
        <f>FE171*VLOOKUP('Données projet'!$B$16,Paramètres!$A$1:$I$89,3,0)*VLOOKUP('Données projet'!$B$16,Paramètres!$A$1:$I$89,5,0)</f>
        <v>338.88703999999944</v>
      </c>
      <c r="FG171" s="13">
        <f t="shared" si="182"/>
        <v>79.26995797846979</v>
      </c>
      <c r="FH171" s="20">
        <f t="shared" si="183"/>
        <v>728.29010481250054</v>
      </c>
      <c r="FI171" s="59">
        <f t="shared" si="131"/>
        <v>1021.6234381458339</v>
      </c>
      <c r="FJ171" s="59">
        <f ca="1">AVERAGE(OFFSET($FI$3,0,0,'Données projet'!$E$16+1,1))-AVERAGE(OFFSET($H$3,0,0,'Données projet'!$E$16+1,1))</f>
        <v>335.99493768537013</v>
      </c>
      <c r="FK171" s="59">
        <f t="shared" si="156"/>
        <v>150.85164849522778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64.092044154101245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64.092044154101245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259.99999999999983</v>
      </c>
      <c r="GA171" s="17">
        <f>FZ171*VLOOKUP('Données projet'!$B$17,Paramètres!$A$1:$I$89,3,0)*VLOOKUP('Données projet'!$B$17,Paramètres!$A$1:$I$89,5,0)</f>
        <v>227.13599999999985</v>
      </c>
      <c r="GB171" s="13">
        <f t="shared" si="185"/>
        <v>55.662966886685133</v>
      </c>
      <c r="GC171" s="20">
        <f t="shared" si="186"/>
        <v>492.5415339943097</v>
      </c>
      <c r="GD171" s="59">
        <f t="shared" si="134"/>
        <v>785.87486732764296</v>
      </c>
      <c r="GE171" s="59">
        <f ca="1">AVERAGE(OFFSET($GD$3,0,0,'Données projet'!$E$17+1,1))-AVERAGE(OFFSET($H$3,0,0,'Données projet'!$E$17+1,1))</f>
        <v>319.57811113658374</v>
      </c>
      <c r="GF171" s="59">
        <f t="shared" si="158"/>
        <v>322.03572137403245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9.8216895885130384</v>
      </c>
      <c r="GM171" s="21">
        <f>EXP(-LN(2)/25)*GM170+(1-EXP(-LN(2)/25))/(LN(2)/25)*Calculateur!GH171*Calculateur!GJ171*VLOOKUP('Données projet'!$B$17,Paramètres!$A$1:$I$89,3,0)*0.475*44/12</f>
        <v>2.0400068152952815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11.86169640380832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5.4683368944097308E-14</v>
      </c>
      <c r="P172" s="13">
        <f t="shared" si="141"/>
        <v>8.8129432816788268E-13</v>
      </c>
      <c r="Q172" s="20">
        <f t="shared" si="162"/>
        <v>1.6301611558033651E-12</v>
      </c>
      <c r="R172" s="59">
        <f t="shared" si="109"/>
        <v>293.33333333333496</v>
      </c>
      <c r="S172" s="59">
        <f ca="1">AVERAGE(OFFSET($R$3,0,0,'Données projet'!$E$9+1,1))-AVERAGE(OFFSET($H$3,0,0,'Données projet'!$E$9+1,1))</f>
        <v>226.41956082453015</v>
      </c>
      <c r="T172" s="59">
        <f t="shared" si="142"/>
        <v>317.95076157570446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2.9262992029543969E-13</v>
      </c>
      <c r="AK172" s="13">
        <f t="shared" si="164"/>
        <v>3.8796387982050903E-12</v>
      </c>
      <c r="AL172" s="20">
        <f t="shared" si="165"/>
        <v>7.2667013513884219E-12</v>
      </c>
      <c r="AM172" s="59">
        <f t="shared" si="113"/>
        <v>293.33333333334059</v>
      </c>
      <c r="AN172" s="59">
        <f ca="1">AVERAGE(OFFSET($AM$3,0,0,'Données projet'!$E$10+1,1))-AVERAGE(OFFSET($H$3,0,0,'Données projet'!$E$10+1,1))</f>
        <v>257.80662231827404</v>
      </c>
      <c r="AO172" s="59">
        <f t="shared" si="144"/>
        <v>184.04558520039876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-2.5420376914553347E-13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300.90952915835157</v>
      </c>
      <c r="BJ172" s="59">
        <f t="shared" si="146"/>
        <v>402.81783992925256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23.706726703830714</v>
      </c>
      <c r="BQ172" s="21">
        <f>EXP(-LN(2)/25)*BQ171+(1-EXP(-LN(2)/25))/(LN(2)/25)*Calculateur!BL172*Calculateur!BN172*VLOOKUP('Données projet'!$B$11,Paramètres!$A$1:$I$89,3,0)*0.475*44/12</f>
        <v>2.4684355939088229</v>
      </c>
      <c r="BR172" s="21">
        <f>EXP(-LN(2)/2)*BR171+(1-EXP(-LN(2)/2))/(LN(2)/2)*BL172*BO172*VLOOKUP('Données projet'!$B$11,Paramètres!$A$1:$I$89,3,0)*0.475*44/12</f>
        <v>2.334501292101723E-16</v>
      </c>
      <c r="BS172" s="22">
        <f t="shared" si="169"/>
        <v>26.175162297739536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-2.8421709430404007E-13</v>
      </c>
      <c r="BZ172" s="13">
        <f>BY172*VLOOKUP('Données projet'!$B$12,Paramètres!$A$1:$I$89,3,0)*VLOOKUP('Données projet'!$B$12,Paramètres!$A$1:$I$89,5,0)</f>
        <v>-1.4040324458619578E-13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246.05217890269194</v>
      </c>
      <c r="CE172" s="59">
        <f t="shared" si="148"/>
        <v>155.54297071424327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51.161946281618121</v>
      </c>
      <c r="CL172" s="21">
        <f>EXP(-LN(2)/25)*CL171+(1-EXP(-LN(2)/25))/(LN(2)/25)*Calculateur!CG172*Calculateur!CI172*VLOOKUP('Données projet'!$B$12,Paramètres!$A$1:$I$89,3,0)*0.475*44/12</f>
        <v>7.5831799737031185</v>
      </c>
      <c r="CM172" s="21">
        <f>EXP(-LN(2)/2)*CM171+(1-EXP(-LN(2)/2))/(LN(2)/2)*CG172*CJ172*VLOOKUP('Données projet'!$B$12,Paramètres!$A$1:$I$89,3,0)*0.475*44/12</f>
        <v>1.0588683307893533E-9</v>
      </c>
      <c r="CN172" s="22">
        <f t="shared" si="172"/>
        <v>58.745126256380104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-3.4106051316484809E-13</v>
      </c>
      <c r="CU172" s="17">
        <f>CT172*VLOOKUP('Données projet'!$B$13,Paramètres!$A$1:$I$89,3,0)*VLOOKUP('Données projet'!$B$13,Paramètres!$A$1:$I$89,5,0)</f>
        <v>-2.0395418687257919E-13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237.036496933921</v>
      </c>
      <c r="CZ172" s="59">
        <f t="shared" si="150"/>
        <v>191.04289413665344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24.410048915172922</v>
      </c>
      <c r="DG172" s="21">
        <f>EXP(-LN(2)/25)*DG171+(1-EXP(-LN(2)/25))/(LN(2)/25)*Calculateur!DB172*Calculateur!DD172*VLOOKUP('Données projet'!$B$13,Paramètres!$A$1:$I$89,3,0)*0.475*44/12</f>
        <v>2.9333708149577089</v>
      </c>
      <c r="DH172" s="21">
        <f>EXP(-LN(2)/2)*DH171+(1-EXP(-LN(2)/2))/(LN(2)/2)*DB172*DE172*VLOOKUP('Données projet'!$B$13,Paramètres!$A$1:$I$89,3,0)*0.475*44/12</f>
        <v>1.4314629998052143E-12</v>
      </c>
      <c r="DI172" s="22">
        <f t="shared" si="175"/>
        <v>27.343419730132062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-3.979039320256561E-13</v>
      </c>
      <c r="DP172" s="17">
        <f>DO172*VLOOKUP('Données projet'!$B$14,Paramètres!$A$1:$I$89,3,0)*VLOOKUP('Données projet'!$B$14,Paramètres!$A$1:$I$89,5,0)</f>
        <v>-2.379465513513424E-13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148.22129593028302</v>
      </c>
      <c r="DU172" s="59">
        <f t="shared" si="152"/>
        <v>102.97015482019975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233.89079999999998</v>
      </c>
      <c r="EL172" s="13">
        <f t="shared" si="179"/>
        <v>57.123140349023068</v>
      </c>
      <c r="EM172" s="20">
        <f t="shared" si="180"/>
        <v>506.84927944121517</v>
      </c>
      <c r="EN172" s="59">
        <f t="shared" si="128"/>
        <v>800.18261277454849</v>
      </c>
      <c r="EO172" s="59">
        <f ca="1">AVERAGE(OFFSET($EN$3,0,0,'Données projet'!$E$15+1,1))-AVERAGE(OFFSET($H$3,0,0,'Données projet'!$E$15+1,1))</f>
        <v>278.53123771916404</v>
      </c>
      <c r="EP172" s="59">
        <f t="shared" si="154"/>
        <v>283.79094702030869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5.7453522644013919</v>
      </c>
      <c r="EW172" s="21">
        <f>EXP(-LN(2)/25)*EW171+(1-EXP(-LN(2)/25))/(LN(2)/25)*Calculateur!ER172*Calculateur!ET172*VLOOKUP('Données projet'!$B$15,Paramètres!$A$1:$I$89,3,0)*0.475*44/12</f>
        <v>0.47833927512649543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6.2236915395278878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6.4179487179487182</v>
      </c>
      <c r="FE172" s="12">
        <f>IF('Données projet'!$A$218&gt;35,FE171+FD172-FM171,IF(A172&lt;'Données projet'!$A$218,$FB$205^A172,IF(A172='Données projet'!$A$218,'Données projet'!$B$218,FE171+FD172-FM171)))</f>
        <v>380.96153846153788</v>
      </c>
      <c r="FF172" s="17">
        <f>FE172*VLOOKUP('Données projet'!$B$16,Paramètres!$A$1:$I$89,3,0)*VLOOKUP('Données projet'!$B$16,Paramètres!$A$1:$I$89,5,0)</f>
        <v>344.69399999999945</v>
      </c>
      <c r="FG172" s="13">
        <f t="shared" si="182"/>
        <v>80.468981270905161</v>
      </c>
      <c r="FH172" s="20">
        <f t="shared" si="183"/>
        <v>740.49219238015883</v>
      </c>
      <c r="FI172" s="59">
        <f t="shared" si="131"/>
        <v>1033.8255257134922</v>
      </c>
      <c r="FJ172" s="59">
        <f ca="1">AVERAGE(OFFSET($FI$3,0,0,'Données projet'!$E$16+1,1))-AVERAGE(OFFSET($H$3,0,0,'Données projet'!$E$16+1,1))</f>
        <v>335.99493768537013</v>
      </c>
      <c r="FK172" s="59">
        <f t="shared" si="156"/>
        <v>150.85164849522778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62.835238260526211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62.835238260526211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259.99999999999983</v>
      </c>
      <c r="GA172" s="17">
        <f>FZ172*VLOOKUP('Données projet'!$B$17,Paramètres!$A$1:$I$89,3,0)*VLOOKUP('Données projet'!$B$17,Paramètres!$A$1:$I$89,5,0)</f>
        <v>227.13599999999985</v>
      </c>
      <c r="GB172" s="13">
        <f t="shared" si="185"/>
        <v>55.662966886685133</v>
      </c>
      <c r="GC172" s="20">
        <f t="shared" si="186"/>
        <v>492.5415339943097</v>
      </c>
      <c r="GD172" s="59">
        <f t="shared" si="134"/>
        <v>785.87486732764296</v>
      </c>
      <c r="GE172" s="59">
        <f ca="1">AVERAGE(OFFSET($GD$3,0,0,'Données projet'!$E$17+1,1))-AVERAGE(OFFSET($H$3,0,0,'Données projet'!$E$17+1,1))</f>
        <v>319.57811113658374</v>
      </c>
      <c r="GF172" s="59">
        <f t="shared" si="158"/>
        <v>322.03572137403245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9.6290922463214201</v>
      </c>
      <c r="GM172" s="21">
        <f>EXP(-LN(2)/25)*GM171+(1-EXP(-LN(2)/25))/(LN(2)/25)*Calculateur!GH172*Calculateur!GJ172*VLOOKUP('Données projet'!$B$17,Paramètres!$A$1:$I$89,3,0)*0.475*44/12</f>
        <v>1.9842227216517361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11.613314967973157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5.4683368944097308E-14</v>
      </c>
      <c r="P173" s="13">
        <f t="shared" si="141"/>
        <v>8.8129432816788268E-13</v>
      </c>
      <c r="Q173" s="20">
        <f t="shared" si="162"/>
        <v>1.6301611558033651E-12</v>
      </c>
      <c r="R173" s="59">
        <f t="shared" si="109"/>
        <v>293.33333333333496</v>
      </c>
      <c r="S173" s="59">
        <f ca="1">AVERAGE(OFFSET($R$3,0,0,'Données projet'!$E$9+1,1))-AVERAGE(OFFSET($H$3,0,0,'Données projet'!$E$9+1,1))</f>
        <v>226.41956082453015</v>
      </c>
      <c r="T173" s="59">
        <f t="shared" si="142"/>
        <v>317.95076157570446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2.9262992029543969E-13</v>
      </c>
      <c r="AK173" s="13">
        <f t="shared" si="164"/>
        <v>3.8796387982050903E-12</v>
      </c>
      <c r="AL173" s="20">
        <f t="shared" si="165"/>
        <v>7.2667013513884219E-12</v>
      </c>
      <c r="AM173" s="59">
        <f t="shared" si="113"/>
        <v>293.33333333334059</v>
      </c>
      <c r="AN173" s="59">
        <f ca="1">AVERAGE(OFFSET($AM$3,0,0,'Données projet'!$E$10+1,1))-AVERAGE(OFFSET($H$3,0,0,'Données projet'!$E$10+1,1))</f>
        <v>257.80662231827404</v>
      </c>
      <c r="AO173" s="59">
        <f t="shared" si="144"/>
        <v>184.04558520039876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-2.5420376914553347E-13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300.90952915835157</v>
      </c>
      <c r="BJ173" s="59">
        <f t="shared" si="146"/>
        <v>402.81783992925256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23.241852252844108</v>
      </c>
      <c r="BQ173" s="21">
        <f>EXP(-LN(2)/25)*BQ172+(1-EXP(-LN(2)/25))/(LN(2)/25)*Calculateur!BL173*Calculateur!BN173*VLOOKUP('Données projet'!$B$11,Paramètres!$A$1:$I$89,3,0)*0.475*44/12</f>
        <v>2.4009360927839998</v>
      </c>
      <c r="BR173" s="21">
        <f>EXP(-LN(2)/2)*BR172+(1-EXP(-LN(2)/2))/(LN(2)/2)*BL173*BO173*VLOOKUP('Données projet'!$B$11,Paramètres!$A$1:$I$89,3,0)*0.475*44/12</f>
        <v>1.6507416943338855E-16</v>
      </c>
      <c r="BS173" s="22">
        <f t="shared" si="169"/>
        <v>25.642788345628109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-2.8421709430404007E-13</v>
      </c>
      <c r="BZ173" s="13">
        <f>BY173*VLOOKUP('Données projet'!$B$12,Paramètres!$A$1:$I$89,3,0)*VLOOKUP('Données projet'!$B$12,Paramètres!$A$1:$I$89,5,0)</f>
        <v>-1.4040324458619578E-13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246.05217890269194</v>
      </c>
      <c r="CE173" s="59">
        <f t="shared" si="148"/>
        <v>155.54297071424327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50.158691720741515</v>
      </c>
      <c r="CL173" s="21">
        <f>EXP(-LN(2)/25)*CL172+(1-EXP(-LN(2)/25))/(LN(2)/25)*Calculateur!CG173*Calculateur!CI173*VLOOKUP('Données projet'!$B$12,Paramètres!$A$1:$I$89,3,0)*0.475*44/12</f>
        <v>7.3758175185401038</v>
      </c>
      <c r="CM173" s="21">
        <f>EXP(-LN(2)/2)*CM172+(1-EXP(-LN(2)/2))/(LN(2)/2)*CG173*CJ173*VLOOKUP('Données projet'!$B$12,Paramètres!$A$1:$I$89,3,0)*0.475*44/12</f>
        <v>7.4873297708483209E-10</v>
      </c>
      <c r="CN173" s="22">
        <f t="shared" si="172"/>
        <v>57.534509240030353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-3.4106051316484809E-13</v>
      </c>
      <c r="CU173" s="17">
        <f>CT173*VLOOKUP('Données projet'!$B$13,Paramètres!$A$1:$I$89,3,0)*VLOOKUP('Données projet'!$B$13,Paramètres!$A$1:$I$89,5,0)</f>
        <v>-2.0395418687257919E-13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237.036496933921</v>
      </c>
      <c r="CZ173" s="59">
        <f t="shared" si="150"/>
        <v>191.04289413665344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23.931382744606086</v>
      </c>
      <c r="DG173" s="21">
        <f>EXP(-LN(2)/25)*DG172+(1-EXP(-LN(2)/25))/(LN(2)/25)*Calculateur!DB173*Calculateur!DD173*VLOOKUP('Données projet'!$B$13,Paramètres!$A$1:$I$89,3,0)*0.475*44/12</f>
        <v>2.8531576357634236</v>
      </c>
      <c r="DH173" s="21">
        <f>EXP(-LN(2)/2)*DH172+(1-EXP(-LN(2)/2))/(LN(2)/2)*DB173*DE173*VLOOKUP('Données projet'!$B$13,Paramètres!$A$1:$I$89,3,0)*0.475*44/12</f>
        <v>1.0121971941799046E-12</v>
      </c>
      <c r="DI173" s="22">
        <f t="shared" si="175"/>
        <v>26.784540380370522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-3.979039320256561E-13</v>
      </c>
      <c r="DP173" s="17">
        <f>DO173*VLOOKUP('Données projet'!$B$14,Paramètres!$A$1:$I$89,3,0)*VLOOKUP('Données projet'!$B$14,Paramètres!$A$1:$I$89,5,0)</f>
        <v>-2.379465513513424E-13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148.22129593028302</v>
      </c>
      <c r="DU173" s="59">
        <f t="shared" si="152"/>
        <v>102.97015482019975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233.89079999999998</v>
      </c>
      <c r="EL173" s="13">
        <f t="shared" si="179"/>
        <v>57.123140349023068</v>
      </c>
      <c r="EM173" s="20">
        <f t="shared" si="180"/>
        <v>506.84927944121517</v>
      </c>
      <c r="EN173" s="59">
        <f t="shared" si="128"/>
        <v>800.18261277454849</v>
      </c>
      <c r="EO173" s="59">
        <f ca="1">AVERAGE(OFFSET($EN$3,0,0,'Données projet'!$E$15+1,1))-AVERAGE(OFFSET($H$3,0,0,'Données projet'!$E$15+1,1))</f>
        <v>278.53123771916404</v>
      </c>
      <c r="EP173" s="59">
        <f t="shared" si="154"/>
        <v>283.79094702030869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5.6326894108153391</v>
      </c>
      <c r="EW173" s="21">
        <f>EXP(-LN(2)/25)*EW172+(1-EXP(-LN(2)/25))/(LN(2)/25)*Calculateur!ER173*Calculateur!ET173*VLOOKUP('Données projet'!$B$15,Paramètres!$A$1:$I$89,3,0)*0.475*44/12</f>
        <v>0.46525906249339222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6.0979484733087315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6.4179487179487182</v>
      </c>
      <c r="FE173" s="12">
        <f>IF('Données projet'!$A$218&gt;35,FE172+FD173-FM172,IF(A173&lt;'Données projet'!$A$218,$FB$205^A173,IF(A173='Données projet'!$A$218,'Données projet'!$B$218,FE172+FD173-FM172)))</f>
        <v>387.3794871794866</v>
      </c>
      <c r="FF173" s="17">
        <f>FE173*VLOOKUP('Données projet'!$B$16,Paramètres!$A$1:$I$89,3,0)*VLOOKUP('Données projet'!$B$16,Paramètres!$A$1:$I$89,5,0)</f>
        <v>350.50095999999945</v>
      </c>
      <c r="FG173" s="13">
        <f t="shared" si="182"/>
        <v>81.665655516464668</v>
      </c>
      <c r="FH173" s="20">
        <f t="shared" si="183"/>
        <v>752.69018869117497</v>
      </c>
      <c r="FI173" s="59">
        <f t="shared" si="131"/>
        <v>1046.0235220245083</v>
      </c>
      <c r="FJ173" s="59">
        <f ca="1">AVERAGE(OFFSET($FI$3,0,0,'Données projet'!$E$16+1,1))-AVERAGE(OFFSET($H$3,0,0,'Données projet'!$E$16+1,1))</f>
        <v>335.99493768537013</v>
      </c>
      <c r="FK173" s="59">
        <f t="shared" si="156"/>
        <v>150.85164849522778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61.603077563948283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61.603077563948283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259.99999999999983</v>
      </c>
      <c r="GA173" s="17">
        <f>FZ173*VLOOKUP('Données projet'!$B$17,Paramètres!$A$1:$I$89,3,0)*VLOOKUP('Données projet'!$B$17,Paramètres!$A$1:$I$89,5,0)</f>
        <v>227.13599999999985</v>
      </c>
      <c r="GB173" s="13">
        <f t="shared" si="185"/>
        <v>55.662966886685133</v>
      </c>
      <c r="GC173" s="20">
        <f t="shared" si="186"/>
        <v>492.5415339943097</v>
      </c>
      <c r="GD173" s="59">
        <f t="shared" si="134"/>
        <v>785.87486732764296</v>
      </c>
      <c r="GE173" s="59">
        <f ca="1">AVERAGE(OFFSET($GD$3,0,0,'Données projet'!$E$17+1,1))-AVERAGE(OFFSET($H$3,0,0,'Données projet'!$E$17+1,1))</f>
        <v>319.57811113658374</v>
      </c>
      <c r="GF173" s="59">
        <f t="shared" si="158"/>
        <v>322.03572137403245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9.4402716205374002</v>
      </c>
      <c r="GM173" s="21">
        <f>EXP(-LN(2)/25)*GM172+(1-EXP(-LN(2)/25))/(LN(2)/25)*Calculateur!GH173*Calculateur!GJ173*VLOOKUP('Données projet'!$B$17,Paramètres!$A$1:$I$89,3,0)*0.475*44/12</f>
        <v>1.9299640469824315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11.370235667519832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5.4683368944097308E-14</v>
      </c>
      <c r="P174" s="13">
        <f t="shared" si="141"/>
        <v>8.8129432816788268E-13</v>
      </c>
      <c r="Q174" s="20">
        <f t="shared" si="162"/>
        <v>1.6301611558033651E-12</v>
      </c>
      <c r="R174" s="59">
        <f t="shared" si="109"/>
        <v>293.33333333333496</v>
      </c>
      <c r="S174" s="59">
        <f ca="1">AVERAGE(OFFSET($R$3,0,0,'Données projet'!$E$9+1,1))-AVERAGE(OFFSET($H$3,0,0,'Données projet'!$E$9+1,1))</f>
        <v>226.41956082453015</v>
      </c>
      <c r="T174" s="59">
        <f t="shared" si="142"/>
        <v>317.95076157570446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2.9262992029543969E-13</v>
      </c>
      <c r="AK174" s="13">
        <f t="shared" si="164"/>
        <v>3.8796387982050903E-12</v>
      </c>
      <c r="AL174" s="20">
        <f t="shared" si="165"/>
        <v>7.2667013513884219E-12</v>
      </c>
      <c r="AM174" s="59">
        <f t="shared" si="113"/>
        <v>293.33333333334059</v>
      </c>
      <c r="AN174" s="59">
        <f ca="1">AVERAGE(OFFSET($AM$3,0,0,'Données projet'!$E$10+1,1))-AVERAGE(OFFSET($H$3,0,0,'Données projet'!$E$10+1,1))</f>
        <v>257.80662231827404</v>
      </c>
      <c r="AO174" s="59">
        <f t="shared" si="144"/>
        <v>184.04558520039876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-2.5420376914553347E-13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300.90952915835157</v>
      </c>
      <c r="BJ174" s="59">
        <f t="shared" si="146"/>
        <v>402.81783992925256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22.786093706295933</v>
      </c>
      <c r="BQ174" s="21">
        <f>EXP(-LN(2)/25)*BQ173+(1-EXP(-LN(2)/25))/(LN(2)/25)*Calculateur!BL174*Calculateur!BN174*VLOOKUP('Données projet'!$B$11,Paramètres!$A$1:$I$89,3,0)*0.475*44/12</f>
        <v>2.3352823690670794</v>
      </c>
      <c r="BR174" s="21">
        <f>EXP(-LN(2)/2)*BR173+(1-EXP(-LN(2)/2))/(LN(2)/2)*BL174*BO174*VLOOKUP('Données projet'!$B$11,Paramètres!$A$1:$I$89,3,0)*0.475*44/12</f>
        <v>1.1672506460508615E-16</v>
      </c>
      <c r="BS174" s="22">
        <f t="shared" si="169"/>
        <v>25.121376075363013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-2.8421709430404007E-13</v>
      </c>
      <c r="BZ174" s="13">
        <f>BY174*VLOOKUP('Données projet'!$B$12,Paramètres!$A$1:$I$89,3,0)*VLOOKUP('Données projet'!$B$12,Paramètres!$A$1:$I$89,5,0)</f>
        <v>-1.4040324458619578E-13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246.05217890269194</v>
      </c>
      <c r="CE174" s="59">
        <f t="shared" si="148"/>
        <v>155.54297071424327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49.175110369878837</v>
      </c>
      <c r="CL174" s="21">
        <f>EXP(-LN(2)/25)*CL173+(1-EXP(-LN(2)/25))/(LN(2)/25)*Calculateur!CG174*Calculateur!CI174*VLOOKUP('Données projet'!$B$12,Paramètres!$A$1:$I$89,3,0)*0.475*44/12</f>
        <v>7.1741254006182391</v>
      </c>
      <c r="CM174" s="21">
        <f>EXP(-LN(2)/2)*CM173+(1-EXP(-LN(2)/2))/(LN(2)/2)*CG174*CJ174*VLOOKUP('Données projet'!$B$12,Paramètres!$A$1:$I$89,3,0)*0.475*44/12</f>
        <v>5.2943416539467666E-10</v>
      </c>
      <c r="CN174" s="22">
        <f t="shared" si="172"/>
        <v>56.349235771026507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-3.4106051316484809E-13</v>
      </c>
      <c r="CU174" s="17">
        <f>CT174*VLOOKUP('Données projet'!$B$13,Paramètres!$A$1:$I$89,3,0)*VLOOKUP('Données projet'!$B$13,Paramètres!$A$1:$I$89,5,0)</f>
        <v>-2.0395418687257919E-13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237.036496933921</v>
      </c>
      <c r="CZ174" s="59">
        <f t="shared" si="150"/>
        <v>191.04289413665344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23.46210292568653</v>
      </c>
      <c r="DG174" s="21">
        <f>EXP(-LN(2)/25)*DG173+(1-EXP(-LN(2)/25))/(LN(2)/25)*Calculateur!DB174*Calculateur!DD174*VLOOKUP('Données projet'!$B$13,Paramètres!$A$1:$I$89,3,0)*0.475*44/12</f>
        <v>2.7751378901724335</v>
      </c>
      <c r="DH174" s="21">
        <f>EXP(-LN(2)/2)*DH173+(1-EXP(-LN(2)/2))/(LN(2)/2)*DB174*DE174*VLOOKUP('Données projet'!$B$13,Paramètres!$A$1:$I$89,3,0)*0.475*44/12</f>
        <v>7.1573149990260713E-13</v>
      </c>
      <c r="DI174" s="22">
        <f t="shared" si="175"/>
        <v>26.237240815859678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-3.979039320256561E-13</v>
      </c>
      <c r="DP174" s="17">
        <f>DO174*VLOOKUP('Données projet'!$B$14,Paramètres!$A$1:$I$89,3,0)*VLOOKUP('Données projet'!$B$14,Paramètres!$A$1:$I$89,5,0)</f>
        <v>-2.379465513513424E-13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148.22129593028302</v>
      </c>
      <c r="DU174" s="59">
        <f t="shared" si="152"/>
        <v>102.97015482019975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233.89079999999998</v>
      </c>
      <c r="EL174" s="13">
        <f t="shared" si="179"/>
        <v>57.123140349023068</v>
      </c>
      <c r="EM174" s="20">
        <f t="shared" si="180"/>
        <v>506.84927944121517</v>
      </c>
      <c r="EN174" s="59">
        <f t="shared" si="128"/>
        <v>800.18261277454849</v>
      </c>
      <c r="EO174" s="59">
        <f ca="1">AVERAGE(OFFSET($EN$3,0,0,'Données projet'!$E$15+1,1))-AVERAGE(OFFSET($H$3,0,0,'Données projet'!$E$15+1,1))</f>
        <v>278.53123771916404</v>
      </c>
      <c r="EP174" s="59">
        <f t="shared" si="154"/>
        <v>283.79094702030869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5.5222358070705537</v>
      </c>
      <c r="EW174" s="21">
        <f>EXP(-LN(2)/25)*EW173+(1-EXP(-LN(2)/25))/(LN(2)/25)*Calculateur!ER174*Calculateur!ET174*VLOOKUP('Données projet'!$B$15,Paramètres!$A$1:$I$89,3,0)*0.475*44/12</f>
        <v>0.45253652896259966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5.9747723360331531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6.4179487179487182</v>
      </c>
      <c r="FE174" s="12">
        <f>IF('Données projet'!$A$218&gt;35,FE173+FD174-FM173,IF(A174&lt;'Données projet'!$A$218,$FB$205^A174,IF(A174='Données projet'!$A$218,'Données projet'!$B$218,FE173+FD174-FM173)))</f>
        <v>393.79743589743532</v>
      </c>
      <c r="FF174" s="17">
        <f>FE174*VLOOKUP('Données projet'!$B$16,Paramètres!$A$1:$I$89,3,0)*VLOOKUP('Données projet'!$B$16,Paramètres!$A$1:$I$89,5,0)</f>
        <v>356.30791999999946</v>
      </c>
      <c r="FG174" s="13">
        <f t="shared" si="182"/>
        <v>82.860024125417155</v>
      </c>
      <c r="FH174" s="20">
        <f t="shared" si="183"/>
        <v>764.88416935176735</v>
      </c>
      <c r="FI174" s="59">
        <f t="shared" si="131"/>
        <v>1058.2175026851007</v>
      </c>
      <c r="FJ174" s="59">
        <f ca="1">AVERAGE(OFFSET($FI$3,0,0,'Données projet'!$E$16+1,1))-AVERAGE(OFFSET($H$3,0,0,'Données projet'!$E$16+1,1))</f>
        <v>335.99493768537013</v>
      </c>
      <c r="FK174" s="59">
        <f t="shared" si="156"/>
        <v>150.85164849522778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60.395078787086433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60.395078787086433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259.99999999999983</v>
      </c>
      <c r="GA174" s="17">
        <f>FZ174*VLOOKUP('Données projet'!$B$17,Paramètres!$A$1:$I$89,3,0)*VLOOKUP('Données projet'!$B$17,Paramètres!$A$1:$I$89,5,0)</f>
        <v>227.13599999999985</v>
      </c>
      <c r="GB174" s="13">
        <f t="shared" si="185"/>
        <v>55.662966886685133</v>
      </c>
      <c r="GC174" s="20">
        <f t="shared" si="186"/>
        <v>492.5415339943097</v>
      </c>
      <c r="GD174" s="59">
        <f t="shared" si="134"/>
        <v>785.87486732764296</v>
      </c>
      <c r="GE174" s="59">
        <f ca="1">AVERAGE(OFFSET($GD$3,0,0,'Données projet'!$E$17+1,1))-AVERAGE(OFFSET($H$3,0,0,'Données projet'!$E$17+1,1))</f>
        <v>319.57811113658374</v>
      </c>
      <c r="GF174" s="59">
        <f t="shared" si="158"/>
        <v>322.03572137403245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9.255153652055796</v>
      </c>
      <c r="GM174" s="21">
        <f>EXP(-LN(2)/25)*GM173+(1-EXP(-LN(2)/25))/(LN(2)/25)*Calculateur!GH174*Calculateur!GJ174*VLOOKUP('Données projet'!$B$17,Paramètres!$A$1:$I$89,3,0)*0.475*44/12</f>
        <v>1.8771890786252987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11.132342730681096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5.4683368944097308E-14</v>
      </c>
      <c r="P175" s="13">
        <f t="shared" si="141"/>
        <v>8.8129432816788268E-13</v>
      </c>
      <c r="Q175" s="20">
        <f t="shared" si="162"/>
        <v>1.6301611558033651E-12</v>
      </c>
      <c r="R175" s="59">
        <f t="shared" si="109"/>
        <v>293.33333333333496</v>
      </c>
      <c r="S175" s="59">
        <f ca="1">AVERAGE(OFFSET($R$3,0,0,'Données projet'!$E$9+1,1))-AVERAGE(OFFSET($H$3,0,0,'Données projet'!$E$9+1,1))</f>
        <v>226.41956082453015</v>
      </c>
      <c r="T175" s="59">
        <f t="shared" si="142"/>
        <v>317.95076157570446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2.9262992029543969E-13</v>
      </c>
      <c r="AK175" s="13">
        <f t="shared" si="164"/>
        <v>3.8796387982050903E-12</v>
      </c>
      <c r="AL175" s="20">
        <f t="shared" si="165"/>
        <v>7.2667013513884219E-12</v>
      </c>
      <c r="AM175" s="59">
        <f t="shared" si="113"/>
        <v>293.33333333334059</v>
      </c>
      <c r="AN175" s="59">
        <f ca="1">AVERAGE(OFFSET($AM$3,0,0,'Données projet'!$E$10+1,1))-AVERAGE(OFFSET($H$3,0,0,'Données projet'!$E$10+1,1))</f>
        <v>257.80662231827404</v>
      </c>
      <c r="AO175" s="59">
        <f t="shared" si="144"/>
        <v>184.04558520039876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-2.5420376914553347E-13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300.90952915835157</v>
      </c>
      <c r="BJ175" s="59">
        <f t="shared" si="146"/>
        <v>402.81783992925256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22.339272306860302</v>
      </c>
      <c r="BQ175" s="21">
        <f>EXP(-LN(2)/25)*BQ174+(1-EXP(-LN(2)/25))/(LN(2)/25)*Calculateur!BL175*Calculateur!BN175*VLOOKUP('Données projet'!$B$11,Paramètres!$A$1:$I$89,3,0)*0.475*44/12</f>
        <v>2.2714239498777777</v>
      </c>
      <c r="BR175" s="21">
        <f>EXP(-LN(2)/2)*BR174+(1-EXP(-LN(2)/2))/(LN(2)/2)*BL175*BO175*VLOOKUP('Données projet'!$B$11,Paramètres!$A$1:$I$89,3,0)*0.475*44/12</f>
        <v>8.2537084716694276E-17</v>
      </c>
      <c r="BS175" s="22">
        <f t="shared" si="169"/>
        <v>24.61069625673808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-2.8421709430404007E-13</v>
      </c>
      <c r="BZ175" s="13">
        <f>BY175*VLOOKUP('Données projet'!$B$12,Paramètres!$A$1:$I$89,3,0)*VLOOKUP('Données projet'!$B$12,Paramètres!$A$1:$I$89,5,0)</f>
        <v>-1.4040324458619578E-13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246.05217890269194</v>
      </c>
      <c r="CE175" s="59">
        <f t="shared" si="148"/>
        <v>155.54297071424327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48.210816449381191</v>
      </c>
      <c r="CL175" s="21">
        <f>EXP(-LN(2)/25)*CL174+(1-EXP(-LN(2)/25))/(LN(2)/25)*Calculateur!CG175*Calculateur!CI175*VLOOKUP('Données projet'!$B$12,Paramètres!$A$1:$I$89,3,0)*0.475*44/12</f>
        <v>6.977948564267475</v>
      </c>
      <c r="CM175" s="21">
        <f>EXP(-LN(2)/2)*CM174+(1-EXP(-LN(2)/2))/(LN(2)/2)*CG175*CJ175*VLOOKUP('Données projet'!$B$12,Paramètres!$A$1:$I$89,3,0)*0.475*44/12</f>
        <v>3.7436648854241605E-10</v>
      </c>
      <c r="CN175" s="22">
        <f t="shared" si="172"/>
        <v>55.188765014023026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-3.4106051316484809E-13</v>
      </c>
      <c r="CU175" s="17">
        <f>CT175*VLOOKUP('Données projet'!$B$13,Paramètres!$A$1:$I$89,3,0)*VLOOKUP('Données projet'!$B$13,Paramètres!$A$1:$I$89,5,0)</f>
        <v>-2.0395418687257919E-13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237.036496933921</v>
      </c>
      <c r="CZ175" s="59">
        <f t="shared" si="150"/>
        <v>191.04289413665344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23.002025397783559</v>
      </c>
      <c r="DG175" s="21">
        <f>EXP(-LN(2)/25)*DG174+(1-EXP(-LN(2)/25))/(LN(2)/25)*Calculateur!DB175*Calculateur!DD175*VLOOKUP('Données projet'!$B$13,Paramètres!$A$1:$I$89,3,0)*0.475*44/12</f>
        <v>2.6992515986275092</v>
      </c>
      <c r="DH175" s="21">
        <f>EXP(-LN(2)/2)*DH174+(1-EXP(-LN(2)/2))/(LN(2)/2)*DB175*DE175*VLOOKUP('Données projet'!$B$13,Paramètres!$A$1:$I$89,3,0)*0.475*44/12</f>
        <v>5.0609859708995229E-13</v>
      </c>
      <c r="DI175" s="22">
        <f t="shared" si="175"/>
        <v>25.701276996411572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-3.979039320256561E-13</v>
      </c>
      <c r="DP175" s="17">
        <f>DO175*VLOOKUP('Données projet'!$B$14,Paramètres!$A$1:$I$89,3,0)*VLOOKUP('Données projet'!$B$14,Paramètres!$A$1:$I$89,5,0)</f>
        <v>-2.379465513513424E-13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148.22129593028302</v>
      </c>
      <c r="DU175" s="59">
        <f t="shared" si="152"/>
        <v>102.97015482019975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233.89079999999998</v>
      </c>
      <c r="EL175" s="13">
        <f t="shared" si="179"/>
        <v>57.123140349023068</v>
      </c>
      <c r="EM175" s="20">
        <f t="shared" si="180"/>
        <v>506.84927944121517</v>
      </c>
      <c r="EN175" s="59">
        <f t="shared" si="128"/>
        <v>800.18261277454849</v>
      </c>
      <c r="EO175" s="59">
        <f ca="1">AVERAGE(OFFSET($EN$3,0,0,'Données projet'!$E$15+1,1))-AVERAGE(OFFSET($H$3,0,0,'Données projet'!$E$15+1,1))</f>
        <v>278.53123771916404</v>
      </c>
      <c r="EP175" s="59">
        <f t="shared" si="154"/>
        <v>283.79094702030869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5.4139481311251574</v>
      </c>
      <c r="EW175" s="21">
        <f>EXP(-LN(2)/25)*EW174+(1-EXP(-LN(2)/25))/(LN(2)/25)*Calculateur!ER175*Calculateur!ET175*VLOOKUP('Données projet'!$B$15,Paramètres!$A$1:$I$89,3,0)*0.475*44/12</f>
        <v>0.44016189378025561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5.8541100249054132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6.4179487179487182</v>
      </c>
      <c r="FE175" s="12">
        <f>IF('Données projet'!$A$218&gt;35,FE174+FD175-FM174,IF(A175&lt;'Données projet'!$A$218,$FB$205^A175,IF(A175='Données projet'!$A$218,'Données projet'!$B$218,FE174+FD175-FM174)))</f>
        <v>400.21538461538404</v>
      </c>
      <c r="FF175" s="17">
        <f>FE175*VLOOKUP('Données projet'!$B$16,Paramètres!$A$1:$I$89,3,0)*VLOOKUP('Données projet'!$B$16,Paramètres!$A$1:$I$89,5,0)</f>
        <v>362.11487999999946</v>
      </c>
      <c r="FG175" s="13">
        <f t="shared" si="182"/>
        <v>84.052129011936628</v>
      </c>
      <c r="FH175" s="20">
        <f t="shared" si="183"/>
        <v>777.07420736245524</v>
      </c>
      <c r="FI175" s="59">
        <f t="shared" si="131"/>
        <v>1070.4075406957886</v>
      </c>
      <c r="FJ175" s="59">
        <f ca="1">AVERAGE(OFFSET($FI$3,0,0,'Données projet'!$E$16+1,1))-AVERAGE(OFFSET($H$3,0,0,'Données projet'!$E$16+1,1))</f>
        <v>335.99493768537013</v>
      </c>
      <c r="FK175" s="59">
        <f t="shared" si="156"/>
        <v>150.85164849522778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59.210768129432338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59.210768129432338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259.99999999999983</v>
      </c>
      <c r="GA175" s="17">
        <f>FZ175*VLOOKUP('Données projet'!$B$17,Paramètres!$A$1:$I$89,3,0)*VLOOKUP('Données projet'!$B$17,Paramètres!$A$1:$I$89,5,0)</f>
        <v>227.13599999999985</v>
      </c>
      <c r="GB175" s="13">
        <f t="shared" si="185"/>
        <v>55.662966886685133</v>
      </c>
      <c r="GC175" s="20">
        <f t="shared" si="186"/>
        <v>492.5415339943097</v>
      </c>
      <c r="GD175" s="59">
        <f t="shared" si="134"/>
        <v>785.87486732764296</v>
      </c>
      <c r="GE175" s="59">
        <f ca="1">AVERAGE(OFFSET($GD$3,0,0,'Données projet'!$E$17+1,1))-AVERAGE(OFFSET($H$3,0,0,'Données projet'!$E$17+1,1))</f>
        <v>319.57811113658374</v>
      </c>
      <c r="GF175" s="59">
        <f t="shared" si="158"/>
        <v>322.03572137403245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9.0736657340253029</v>
      </c>
      <c r="GM175" s="21">
        <f>EXP(-LN(2)/25)*GM174+(1-EXP(-LN(2)/25))/(LN(2)/25)*Calculateur!GH175*Calculateur!GJ175*VLOOKUP('Données projet'!$B$17,Paramètres!$A$1:$I$89,3,0)*0.475*44/12</f>
        <v>1.8258572445532066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10.89952297857851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5.4683368944097308E-14</v>
      </c>
      <c r="P176" s="13">
        <f t="shared" si="141"/>
        <v>8.8129432816788268E-13</v>
      </c>
      <c r="Q176" s="20">
        <f t="shared" si="162"/>
        <v>1.6301611558033651E-12</v>
      </c>
      <c r="R176" s="59">
        <f t="shared" si="109"/>
        <v>293.33333333333496</v>
      </c>
      <c r="S176" s="59">
        <f ca="1">AVERAGE(OFFSET($R$3,0,0,'Données projet'!$E$9+1,1))-AVERAGE(OFFSET($H$3,0,0,'Données projet'!$E$9+1,1))</f>
        <v>226.41956082453015</v>
      </c>
      <c r="T176" s="59">
        <f t="shared" si="142"/>
        <v>317.95076157570446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2.9262992029543969E-13</v>
      </c>
      <c r="AK176" s="13">
        <f t="shared" si="164"/>
        <v>3.8796387982050903E-12</v>
      </c>
      <c r="AL176" s="20">
        <f t="shared" si="165"/>
        <v>7.2667013513884219E-12</v>
      </c>
      <c r="AM176" s="59">
        <f t="shared" si="113"/>
        <v>293.33333333334059</v>
      </c>
      <c r="AN176" s="59">
        <f ca="1">AVERAGE(OFFSET($AM$3,0,0,'Données projet'!$E$10+1,1))-AVERAGE(OFFSET($H$3,0,0,'Données projet'!$E$10+1,1))</f>
        <v>257.80662231827404</v>
      </c>
      <c r="AO176" s="59">
        <f t="shared" si="144"/>
        <v>184.04558520039876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-2.5420376914553347E-13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300.90952915835157</v>
      </c>
      <c r="BJ176" s="59">
        <f t="shared" si="146"/>
        <v>402.81783992925256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21.901212802533461</v>
      </c>
      <c r="BQ176" s="21">
        <f>EXP(-LN(2)/25)*BQ175+(1-EXP(-LN(2)/25))/(LN(2)/25)*Calculateur!BL176*Calculateur!BN176*VLOOKUP('Données projet'!$B$11,Paramètres!$A$1:$I$89,3,0)*0.475*44/12</f>
        <v>2.2093117425193758</v>
      </c>
      <c r="BR176" s="21">
        <f>EXP(-LN(2)/2)*BR175+(1-EXP(-LN(2)/2))/(LN(2)/2)*BL176*BO176*VLOOKUP('Données projet'!$B$11,Paramètres!$A$1:$I$89,3,0)*0.475*44/12</f>
        <v>5.8362532302543075E-17</v>
      </c>
      <c r="BS176" s="22">
        <f t="shared" si="169"/>
        <v>24.110524545052836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-2.8421709430404007E-13</v>
      </c>
      <c r="BZ176" s="13">
        <f>BY176*VLOOKUP('Données projet'!$B$12,Paramètres!$A$1:$I$89,3,0)*VLOOKUP('Données projet'!$B$12,Paramètres!$A$1:$I$89,5,0)</f>
        <v>-1.4040324458619578E-13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246.05217890269194</v>
      </c>
      <c r="CE176" s="59">
        <f t="shared" si="148"/>
        <v>155.54297071424327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47.265431744503289</v>
      </c>
      <c r="CL176" s="21">
        <f>EXP(-LN(2)/25)*CL175+(1-EXP(-LN(2)/25))/(LN(2)/25)*Calculateur!CG176*Calculateur!CI176*VLOOKUP('Données projet'!$B$12,Paramètres!$A$1:$I$89,3,0)*0.475*44/12</f>
        <v>6.7871361938232146</v>
      </c>
      <c r="CM176" s="21">
        <f>EXP(-LN(2)/2)*CM175+(1-EXP(-LN(2)/2))/(LN(2)/2)*CG176*CJ176*VLOOKUP('Données projet'!$B$12,Paramètres!$A$1:$I$89,3,0)*0.475*44/12</f>
        <v>2.6471708269733833E-10</v>
      </c>
      <c r="CN176" s="22">
        <f t="shared" si="172"/>
        <v>54.052567938591224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-3.4106051316484809E-13</v>
      </c>
      <c r="CU176" s="17">
        <f>CT176*VLOOKUP('Données projet'!$B$13,Paramètres!$A$1:$I$89,3,0)*VLOOKUP('Données projet'!$B$13,Paramètres!$A$1:$I$89,5,0)</f>
        <v>-2.0395418687257919E-13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237.036496933921</v>
      </c>
      <c r="CZ176" s="59">
        <f t="shared" si="150"/>
        <v>191.04289413665344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22.550969709583182</v>
      </c>
      <c r="DG176" s="21">
        <f>EXP(-LN(2)/25)*DG175+(1-EXP(-LN(2)/25))/(LN(2)/25)*Calculateur!DB176*Calculateur!DD176*VLOOKUP('Données projet'!$B$13,Paramètres!$A$1:$I$89,3,0)*0.475*44/12</f>
        <v>2.6254404217155676</v>
      </c>
      <c r="DH176" s="21">
        <f>EXP(-LN(2)/2)*DH175+(1-EXP(-LN(2)/2))/(LN(2)/2)*DB176*DE176*VLOOKUP('Données projet'!$B$13,Paramètres!$A$1:$I$89,3,0)*0.475*44/12</f>
        <v>3.5786574995130357E-13</v>
      </c>
      <c r="DI176" s="22">
        <f t="shared" si="175"/>
        <v>25.176410131299107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-3.979039320256561E-13</v>
      </c>
      <c r="DP176" s="17">
        <f>DO176*VLOOKUP('Données projet'!$B$14,Paramètres!$A$1:$I$89,3,0)*VLOOKUP('Données projet'!$B$14,Paramètres!$A$1:$I$89,5,0)</f>
        <v>-2.379465513513424E-13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148.22129593028302</v>
      </c>
      <c r="DU176" s="59">
        <f t="shared" si="152"/>
        <v>102.97015482019975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233.89079999999998</v>
      </c>
      <c r="EL176" s="13">
        <f t="shared" si="179"/>
        <v>57.123140349023068</v>
      </c>
      <c r="EM176" s="20">
        <f t="shared" si="180"/>
        <v>506.84927944121517</v>
      </c>
      <c r="EN176" s="59">
        <f t="shared" si="128"/>
        <v>800.18261277454849</v>
      </c>
      <c r="EO176" s="59">
        <f ca="1">AVERAGE(OFFSET($EN$3,0,0,'Données projet'!$E$15+1,1))-AVERAGE(OFFSET($H$3,0,0,'Données projet'!$E$15+1,1))</f>
        <v>278.53123771916404</v>
      </c>
      <c r="EP176" s="59">
        <f t="shared" si="154"/>
        <v>283.79094702030869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5.3077839104560898</v>
      </c>
      <c r="EW176" s="21">
        <f>EXP(-LN(2)/25)*EW175+(1-EXP(-LN(2)/25))/(LN(2)/25)*Calculateur!ER176*Calculateur!ET176*VLOOKUP('Données projet'!$B$15,Paramètres!$A$1:$I$89,3,0)*0.475*44/12</f>
        <v>0.42812564364772654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5.7359095541038165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6.4179487179487182</v>
      </c>
      <c r="FE176" s="12">
        <f>IF('Données projet'!$A$218&gt;35,FE175+FD176-FM175,IF(A176&lt;'Données projet'!$A$218,$FB$205^A176,IF(A176='Données projet'!$A$218,'Données projet'!$B$218,FE175+FD176-FM175)))</f>
        <v>406.63333333333276</v>
      </c>
      <c r="FF176" s="17">
        <f>FE176*VLOOKUP('Données projet'!$B$16,Paramètres!$A$1:$I$89,3,0)*VLOOKUP('Données projet'!$B$16,Paramètres!$A$1:$I$89,5,0)</f>
        <v>367.92183999999946</v>
      </c>
      <c r="FG176" s="13">
        <f t="shared" si="182"/>
        <v>85.242010668812711</v>
      </c>
      <c r="FH176" s="20">
        <f t="shared" si="183"/>
        <v>789.26037324818117</v>
      </c>
      <c r="FI176" s="59">
        <f t="shared" si="131"/>
        <v>1082.5937065815144</v>
      </c>
      <c r="FJ176" s="59">
        <f ca="1">AVERAGE(OFFSET($FI$3,0,0,'Données projet'!$E$16+1,1))-AVERAGE(OFFSET($H$3,0,0,'Données projet'!$E$16+1,1))</f>
        <v>335.99493768537013</v>
      </c>
      <c r="FK176" s="59">
        <f t="shared" si="156"/>
        <v>150.85164849522778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58.049681081416672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58.049681081416672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259.99999999999983</v>
      </c>
      <c r="GA176" s="17">
        <f>FZ176*VLOOKUP('Données projet'!$B$17,Paramètres!$A$1:$I$89,3,0)*VLOOKUP('Données projet'!$B$17,Paramètres!$A$1:$I$89,5,0)</f>
        <v>227.13599999999985</v>
      </c>
      <c r="GB176" s="13">
        <f t="shared" si="185"/>
        <v>55.662966886685133</v>
      </c>
      <c r="GC176" s="20">
        <f t="shared" si="186"/>
        <v>492.5415339943097</v>
      </c>
      <c r="GD176" s="59">
        <f t="shared" si="134"/>
        <v>785.87486732764296</v>
      </c>
      <c r="GE176" s="59">
        <f ca="1">AVERAGE(OFFSET($GD$3,0,0,'Données projet'!$E$17+1,1))-AVERAGE(OFFSET($H$3,0,0,'Données projet'!$E$17+1,1))</f>
        <v>319.57811113658374</v>
      </c>
      <c r="GF176" s="59">
        <f t="shared" si="158"/>
        <v>322.03572137403245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8.8957366833706892</v>
      </c>
      <c r="GM176" s="21">
        <f>EXP(-LN(2)/25)*GM175+(1-EXP(-LN(2)/25))/(LN(2)/25)*Calculateur!GH176*Calculateur!GJ176*VLOOKUP('Données projet'!$B$17,Paramètres!$A$1:$I$89,3,0)*0.475*44/12</f>
        <v>1.7759290821832399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10.671665765553929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5.4683368944097308E-14</v>
      </c>
      <c r="P177" s="13">
        <f t="shared" si="141"/>
        <v>8.8129432816788268E-13</v>
      </c>
      <c r="Q177" s="20">
        <f t="shared" si="162"/>
        <v>1.6301611558033651E-12</v>
      </c>
      <c r="R177" s="59">
        <f t="shared" si="109"/>
        <v>293.33333333333496</v>
      </c>
      <c r="S177" s="59">
        <f ca="1">AVERAGE(OFFSET($R$3,0,0,'Données projet'!$E$9+1,1))-AVERAGE(OFFSET($H$3,0,0,'Données projet'!$E$9+1,1))</f>
        <v>226.41956082453015</v>
      </c>
      <c r="T177" s="59">
        <f t="shared" si="142"/>
        <v>317.95076157570446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2.9262992029543969E-13</v>
      </c>
      <c r="AK177" s="13">
        <f t="shared" si="164"/>
        <v>3.8796387982050903E-12</v>
      </c>
      <c r="AL177" s="20">
        <f t="shared" si="165"/>
        <v>7.2667013513884219E-12</v>
      </c>
      <c r="AM177" s="59">
        <f t="shared" si="113"/>
        <v>293.33333333334059</v>
      </c>
      <c r="AN177" s="59">
        <f ca="1">AVERAGE(OFFSET($AM$3,0,0,'Données projet'!$E$10+1,1))-AVERAGE(OFFSET($H$3,0,0,'Données projet'!$E$10+1,1))</f>
        <v>257.80662231827404</v>
      </c>
      <c r="AO177" s="59">
        <f t="shared" si="144"/>
        <v>184.04558520039876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-2.5420376914553347E-13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300.90952915835157</v>
      </c>
      <c r="BJ177" s="59">
        <f t="shared" si="146"/>
        <v>402.81783992925256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21.471743377896555</v>
      </c>
      <c r="BQ177" s="21">
        <f>EXP(-LN(2)/25)*BQ176+(1-EXP(-LN(2)/25))/(LN(2)/25)*Calculateur!BL177*Calculateur!BN177*VLOOKUP('Données projet'!$B$11,Paramètres!$A$1:$I$89,3,0)*0.475*44/12</f>
        <v>2.1488979967375283</v>
      </c>
      <c r="BR177" s="21">
        <f>EXP(-LN(2)/2)*BR176+(1-EXP(-LN(2)/2))/(LN(2)/2)*BL177*BO177*VLOOKUP('Données projet'!$B$11,Paramètres!$A$1:$I$89,3,0)*0.475*44/12</f>
        <v>4.1268542358347138E-17</v>
      </c>
      <c r="BS177" s="22">
        <f t="shared" si="169"/>
        <v>23.620641374634083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-2.8421709430404007E-13</v>
      </c>
      <c r="BZ177" s="13">
        <f>BY177*VLOOKUP('Données projet'!$B$12,Paramètres!$A$1:$I$89,3,0)*VLOOKUP('Données projet'!$B$12,Paramètres!$A$1:$I$89,5,0)</f>
        <v>-1.4040324458619578E-13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246.05217890269194</v>
      </c>
      <c r="CE177" s="59">
        <f t="shared" si="148"/>
        <v>155.54297071424327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46.338585457060312</v>
      </c>
      <c r="CL177" s="21">
        <f>EXP(-LN(2)/25)*CL176+(1-EXP(-LN(2)/25))/(LN(2)/25)*Calculateur!CG177*Calculateur!CI177*VLOOKUP('Données projet'!$B$12,Paramètres!$A$1:$I$89,3,0)*0.475*44/12</f>
        <v>6.6015415976831386</v>
      </c>
      <c r="CM177" s="21">
        <f>EXP(-LN(2)/2)*CM176+(1-EXP(-LN(2)/2))/(LN(2)/2)*CG177*CJ177*VLOOKUP('Données projet'!$B$12,Paramètres!$A$1:$I$89,3,0)*0.475*44/12</f>
        <v>1.8718324427120802E-10</v>
      </c>
      <c r="CN177" s="22">
        <f t="shared" si="172"/>
        <v>52.940127054930635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-3.4106051316484809E-13</v>
      </c>
      <c r="CU177" s="17">
        <f>CT177*VLOOKUP('Données projet'!$B$13,Paramètres!$A$1:$I$89,3,0)*VLOOKUP('Données projet'!$B$13,Paramètres!$A$1:$I$89,5,0)</f>
        <v>-2.0395418687257919E-13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237.036496933921</v>
      </c>
      <c r="CZ177" s="59">
        <f t="shared" si="150"/>
        <v>191.04289413665344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22.10875894831161</v>
      </c>
      <c r="DG177" s="21">
        <f>EXP(-LN(2)/25)*DG176+(1-EXP(-LN(2)/25))/(LN(2)/25)*Calculateur!DB177*Calculateur!DD177*VLOOKUP('Données projet'!$B$13,Paramètres!$A$1:$I$89,3,0)*0.475*44/12</f>
        <v>2.553647615317844</v>
      </c>
      <c r="DH177" s="21">
        <f>EXP(-LN(2)/2)*DH176+(1-EXP(-LN(2)/2))/(LN(2)/2)*DB177*DE177*VLOOKUP('Données projet'!$B$13,Paramètres!$A$1:$I$89,3,0)*0.475*44/12</f>
        <v>2.5304929854497614E-13</v>
      </c>
      <c r="DI177" s="22">
        <f t="shared" si="175"/>
        <v>24.662406563629705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-3.979039320256561E-13</v>
      </c>
      <c r="DP177" s="17">
        <f>DO177*VLOOKUP('Données projet'!$B$14,Paramètres!$A$1:$I$89,3,0)*VLOOKUP('Données projet'!$B$14,Paramètres!$A$1:$I$89,5,0)</f>
        <v>-2.379465513513424E-13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148.22129593028302</v>
      </c>
      <c r="DU177" s="59">
        <f t="shared" si="152"/>
        <v>102.97015482019975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233.89079999999998</v>
      </c>
      <c r="EL177" s="13">
        <f t="shared" si="179"/>
        <v>57.123140349023068</v>
      </c>
      <c r="EM177" s="20">
        <f t="shared" si="180"/>
        <v>506.84927944121517</v>
      </c>
      <c r="EN177" s="59">
        <f t="shared" si="128"/>
        <v>800.18261277454849</v>
      </c>
      <c r="EO177" s="59">
        <f ca="1">AVERAGE(OFFSET($EN$3,0,0,'Données projet'!$E$15+1,1))-AVERAGE(OFFSET($H$3,0,0,'Données projet'!$E$15+1,1))</f>
        <v>278.53123771916404</v>
      </c>
      <c r="EP177" s="59">
        <f t="shared" si="154"/>
        <v>283.79094702030869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5.203701505400562</v>
      </c>
      <c r="EW177" s="21">
        <f>EXP(-LN(2)/25)*EW176+(1-EXP(-LN(2)/25))/(LN(2)/25)*Calculateur!ER177*Calculateur!ET177*VLOOKUP('Données projet'!$B$15,Paramètres!$A$1:$I$89,3,0)*0.475*44/12</f>
        <v>0.41641852540803037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5.6201200308085921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>
        <f>VLOOKUP(A177,'Données projet'!$A$217:$I$237,2,0)</f>
        <v>413.05128205128204</v>
      </c>
      <c r="FC177" s="12">
        <f>VLOOKUP(A177,'Données projet'!$A$217:$I$237,9,0)</f>
        <v>6.4179487179487182</v>
      </c>
      <c r="FD177" s="12">
        <f t="array" ref="FD177">INDEX(FC:FC,MIN(IF(ISNUMBER(FC177:FC373),ROW(FC177:FC373),"")))</f>
        <v>6.4179487179487182</v>
      </c>
      <c r="FE177" s="12">
        <f>IF('Données projet'!$A$218&gt;35,FE176+FD177-FM176,IF(A177&lt;'Données projet'!$A$218,$FB$205^A177,IF(A177='Données projet'!$A$218,'Données projet'!$B$218,FE176+FD177-FM176)))</f>
        <v>413.05128205128148</v>
      </c>
      <c r="FF177" s="17">
        <f>FE177*VLOOKUP('Données projet'!$B$16,Paramètres!$A$1:$I$89,3,0)*VLOOKUP('Données projet'!$B$16,Paramètres!$A$1:$I$89,5,0)</f>
        <v>373.72879999999947</v>
      </c>
      <c r="FG177" s="13">
        <f t="shared" si="182"/>
        <v>86.429708237311118</v>
      </c>
      <c r="FH177" s="20">
        <f t="shared" si="183"/>
        <v>801.44273517998261</v>
      </c>
      <c r="FI177" s="59">
        <f t="shared" si="131"/>
        <v>1094.776068513316</v>
      </c>
      <c r="FJ177" s="59">
        <f ca="1">AVERAGE(OFFSET($FI$3,0,0,'Données projet'!$E$16+1,1))-AVERAGE(OFFSET($H$3,0,0,'Données projet'!$E$16+1,1))</f>
        <v>335.99493768537013</v>
      </c>
      <c r="FK177" s="59">
        <f t="shared" si="156"/>
        <v>150.85164849522778</v>
      </c>
      <c r="FL177" s="15">
        <f>IF(ISNA(VLOOKUP(A177,'Données projet'!$A$217:$I$237,3,0)),0,VLOOKUP(A177,'Données projet'!$A$217:$I$237,3,0))</f>
        <v>15</v>
      </c>
      <c r="FM177" s="15">
        <f>IF(ISNA(VLOOKUP(A177,'Données projet'!$A$217:$I$237,4,0)),0,VLOOKUP(A177,'Données projet'!$A$217:$I$237,4,0))</f>
        <v>162.38461538461539</v>
      </c>
      <c r="FN177" s="16">
        <f>IF(ISNA(VLOOKUP(A177,'Données projet'!$A$217:$I$237,5,0)),0%,VLOOKUP(A177,'Données projet'!$A$217:$I$237,5,0)*VLOOKUP('Données projet'!$B$16,Paramètres!$A$1:$I$89,7,0))</f>
        <v>0.38700000000000001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119.7686370759256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119.7686370759256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259.99999999999983</v>
      </c>
      <c r="GA177" s="17">
        <f>FZ177*VLOOKUP('Données projet'!$B$17,Paramètres!$A$1:$I$89,3,0)*VLOOKUP('Données projet'!$B$17,Paramètres!$A$1:$I$89,5,0)</f>
        <v>227.13599999999985</v>
      </c>
      <c r="GB177" s="13">
        <f t="shared" si="185"/>
        <v>55.662966886685133</v>
      </c>
      <c r="GC177" s="20">
        <f t="shared" si="186"/>
        <v>492.5415339943097</v>
      </c>
      <c r="GD177" s="59">
        <f t="shared" si="134"/>
        <v>785.87486732764296</v>
      </c>
      <c r="GE177" s="59">
        <f ca="1">AVERAGE(OFFSET($GD$3,0,0,'Données projet'!$E$17+1,1))-AVERAGE(OFFSET($H$3,0,0,'Données projet'!$E$17+1,1))</f>
        <v>319.57811113658374</v>
      </c>
      <c r="GF177" s="59">
        <f t="shared" si="158"/>
        <v>322.03572137403245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8.7212967128734071</v>
      </c>
      <c r="GM177" s="21">
        <f>EXP(-LN(2)/25)*GM176+(1-EXP(-LN(2)/25))/(LN(2)/25)*Calculateur!GH177*Calculateur!GJ177*VLOOKUP('Données projet'!$B$17,Paramètres!$A$1:$I$89,3,0)*0.475*44/12</f>
        <v>1.7273662080388876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10.448662920912295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5.4683368944097308E-14</v>
      </c>
      <c r="P178" s="13">
        <f t="shared" si="141"/>
        <v>8.8129432816788268E-13</v>
      </c>
      <c r="Q178" s="20">
        <f t="shared" si="162"/>
        <v>1.6301611558033651E-12</v>
      </c>
      <c r="R178" s="59">
        <f t="shared" si="109"/>
        <v>293.33333333333496</v>
      </c>
      <c r="S178" s="59">
        <f ca="1">AVERAGE(OFFSET($R$3,0,0,'Données projet'!$E$9+1,1))-AVERAGE(OFFSET($H$3,0,0,'Données projet'!$E$9+1,1))</f>
        <v>226.41956082453015</v>
      </c>
      <c r="T178" s="59">
        <f t="shared" si="142"/>
        <v>317.95076157570446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2.9262992029543969E-13</v>
      </c>
      <c r="AK178" s="13">
        <f t="shared" si="164"/>
        <v>3.8796387982050903E-12</v>
      </c>
      <c r="AL178" s="20">
        <f t="shared" si="165"/>
        <v>7.2667013513884219E-12</v>
      </c>
      <c r="AM178" s="59">
        <f t="shared" si="113"/>
        <v>293.33333333334059</v>
      </c>
      <c r="AN178" s="59">
        <f ca="1">AVERAGE(OFFSET($AM$3,0,0,'Données projet'!$E$10+1,1))-AVERAGE(OFFSET($H$3,0,0,'Données projet'!$E$10+1,1))</f>
        <v>257.80662231827404</v>
      </c>
      <c r="AO178" s="59">
        <f t="shared" si="144"/>
        <v>184.04558520039876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-2.5420376914553347E-13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300.90952915835157</v>
      </c>
      <c r="BJ178" s="59">
        <f t="shared" si="146"/>
        <v>402.81783992925256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21.050695586726295</v>
      </c>
      <c r="BQ178" s="21">
        <f>EXP(-LN(2)/25)*BQ177+(1-EXP(-LN(2)/25))/(LN(2)/25)*Calculateur!BL178*Calculateur!BN178*VLOOKUP('Données projet'!$B$11,Paramètres!$A$1:$I$89,3,0)*0.475*44/12</f>
        <v>2.0901362680111064</v>
      </c>
      <c r="BR178" s="21">
        <f>EXP(-LN(2)/2)*BR177+(1-EXP(-LN(2)/2))/(LN(2)/2)*BL178*BO178*VLOOKUP('Données projet'!$B$11,Paramètres!$A$1:$I$89,3,0)*0.475*44/12</f>
        <v>2.9181266151271537E-17</v>
      </c>
      <c r="BS178" s="22">
        <f t="shared" si="169"/>
        <v>23.140831854737403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-2.8421709430404007E-13</v>
      </c>
      <c r="BZ178" s="13">
        <f>BY178*VLOOKUP('Données projet'!$B$12,Paramètres!$A$1:$I$89,3,0)*VLOOKUP('Données projet'!$B$12,Paramètres!$A$1:$I$89,5,0)</f>
        <v>-1.4040324458619578E-13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246.05217890269194</v>
      </c>
      <c r="CE178" s="59">
        <f t="shared" si="148"/>
        <v>155.54297071424327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45.429914059993678</v>
      </c>
      <c r="CL178" s="21">
        <f>EXP(-LN(2)/25)*CL177+(1-EXP(-LN(2)/25))/(LN(2)/25)*Calculateur!CG178*Calculateur!CI178*VLOOKUP('Données projet'!$B$12,Paramètres!$A$1:$I$89,3,0)*0.475*44/12</f>
        <v>6.421022095534509</v>
      </c>
      <c r="CM178" s="21">
        <f>EXP(-LN(2)/2)*CM177+(1-EXP(-LN(2)/2))/(LN(2)/2)*CG178*CJ178*VLOOKUP('Données projet'!$B$12,Paramètres!$A$1:$I$89,3,0)*0.475*44/12</f>
        <v>1.3235854134866917E-10</v>
      </c>
      <c r="CN178" s="22">
        <f t="shared" si="172"/>
        <v>51.850936155660548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-3.4106051316484809E-13</v>
      </c>
      <c r="CU178" s="17">
        <f>CT178*VLOOKUP('Données projet'!$B$13,Paramètres!$A$1:$I$89,3,0)*VLOOKUP('Données projet'!$B$13,Paramètres!$A$1:$I$89,5,0)</f>
        <v>-2.0395418687257919E-13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237.036496933921</v>
      </c>
      <c r="CZ178" s="59">
        <f t="shared" si="150"/>
        <v>191.04289413665344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21.675219670346642</v>
      </c>
      <c r="DG178" s="21">
        <f>EXP(-LN(2)/25)*DG177+(1-EXP(-LN(2)/25))/(LN(2)/25)*Calculateur!DB178*Calculateur!DD178*VLOOKUP('Données projet'!$B$13,Paramètres!$A$1:$I$89,3,0)*0.475*44/12</f>
        <v>2.483817986986486</v>
      </c>
      <c r="DH178" s="21">
        <f>EXP(-LN(2)/2)*DH177+(1-EXP(-LN(2)/2))/(LN(2)/2)*DB178*DE178*VLOOKUP('Données projet'!$B$13,Paramètres!$A$1:$I$89,3,0)*0.475*44/12</f>
        <v>1.7893287497565178E-13</v>
      </c>
      <c r="DI178" s="22">
        <f t="shared" si="175"/>
        <v>24.159037657333307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-3.979039320256561E-13</v>
      </c>
      <c r="DP178" s="17">
        <f>DO178*VLOOKUP('Données projet'!$B$14,Paramètres!$A$1:$I$89,3,0)*VLOOKUP('Données projet'!$B$14,Paramètres!$A$1:$I$89,5,0)</f>
        <v>-2.379465513513424E-13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148.22129593028302</v>
      </c>
      <c r="DU178" s="59">
        <f t="shared" si="152"/>
        <v>102.97015482019975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233.89079999999998</v>
      </c>
      <c r="EL178" s="13">
        <f t="shared" si="179"/>
        <v>57.123140349023068</v>
      </c>
      <c r="EM178" s="20">
        <f t="shared" si="180"/>
        <v>506.84927944121517</v>
      </c>
      <c r="EN178" s="59">
        <f t="shared" si="128"/>
        <v>800.18261277454849</v>
      </c>
      <c r="EO178" s="59">
        <f ca="1">AVERAGE(OFFSET($EN$3,0,0,'Données projet'!$E$15+1,1))-AVERAGE(OFFSET($H$3,0,0,'Données projet'!$E$15+1,1))</f>
        <v>278.53123771916404</v>
      </c>
      <c r="EP178" s="59">
        <f t="shared" si="154"/>
        <v>283.79094702030869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5.101660092824174</v>
      </c>
      <c r="EW178" s="21">
        <f>EXP(-LN(2)/25)*EW177+(1-EXP(-LN(2)/25))/(LN(2)/25)*Calculateur!ER178*Calculateur!ET178*VLOOKUP('Données projet'!$B$15,Paramètres!$A$1:$I$89,3,0)*0.475*44/12</f>
        <v>0.40503153893224925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5.5066916317564232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4.0982905982905988</v>
      </c>
      <c r="FE178" s="12">
        <f>IF('Données projet'!$A$218&gt;35,FE177+FD178-FM177,IF(A178&lt;'Données projet'!$A$218,$FB$205^A178,IF(A178='Données projet'!$A$218,'Données projet'!$B$218,FE177+FD178-FM177)))</f>
        <v>254.76495726495668</v>
      </c>
      <c r="FF178" s="17">
        <f>FE178*VLOOKUP('Données projet'!$B$16,Paramètres!$A$1:$I$89,3,0)*VLOOKUP('Données projet'!$B$16,Paramètres!$A$1:$I$89,5,0)</f>
        <v>230.5113333333328</v>
      </c>
      <c r="FG178" s="13">
        <f t="shared" si="182"/>
        <v>56.393229459006619</v>
      </c>
      <c r="FH178" s="20">
        <f t="shared" si="183"/>
        <v>499.6921135299911</v>
      </c>
      <c r="FI178" s="59">
        <f t="shared" si="131"/>
        <v>793.02544686332442</v>
      </c>
      <c r="FJ178" s="59">
        <f ca="1">AVERAGE(OFFSET($FI$3,0,0,'Données projet'!$E$16+1,1))-AVERAGE(OFFSET($H$3,0,0,'Données projet'!$E$16+1,1))</f>
        <v>335.99493768537013</v>
      </c>
      <c r="FK178" s="59">
        <f t="shared" si="156"/>
        <v>150.85164849522778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117.42004715452207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117.42004715452207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259.99999999999983</v>
      </c>
      <c r="GA178" s="17">
        <f>FZ178*VLOOKUP('Données projet'!$B$17,Paramètres!$A$1:$I$89,3,0)*VLOOKUP('Données projet'!$B$17,Paramètres!$A$1:$I$89,5,0)</f>
        <v>227.13599999999985</v>
      </c>
      <c r="GB178" s="13">
        <f t="shared" si="185"/>
        <v>55.662966886685133</v>
      </c>
      <c r="GC178" s="20">
        <f t="shared" si="186"/>
        <v>492.5415339943097</v>
      </c>
      <c r="GD178" s="59">
        <f t="shared" si="134"/>
        <v>785.87486732764296</v>
      </c>
      <c r="GE178" s="59">
        <f ca="1">AVERAGE(OFFSET($GD$3,0,0,'Données projet'!$E$17+1,1))-AVERAGE(OFFSET($H$3,0,0,'Données projet'!$E$17+1,1))</f>
        <v>319.57811113658374</v>
      </c>
      <c r="GF178" s="59">
        <f t="shared" si="158"/>
        <v>322.03572137403245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8.5502774037997007</v>
      </c>
      <c r="GM178" s="21">
        <f>EXP(-LN(2)/25)*GM177+(1-EXP(-LN(2)/25))/(LN(2)/25)*Calculateur!GH178*Calculateur!GJ178*VLOOKUP('Données projet'!$B$17,Paramètres!$A$1:$I$89,3,0)*0.475*44/12</f>
        <v>1.6801312882418233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10.230408692041523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5.4683368944097308E-14</v>
      </c>
      <c r="P179" s="13">
        <f t="shared" si="141"/>
        <v>8.8129432816788268E-13</v>
      </c>
      <c r="Q179" s="20">
        <f t="shared" si="162"/>
        <v>1.6301611558033651E-12</v>
      </c>
      <c r="R179" s="59">
        <f t="shared" si="109"/>
        <v>293.33333333333496</v>
      </c>
      <c r="S179" s="59">
        <f ca="1">AVERAGE(OFFSET($R$3,0,0,'Données projet'!$E$9+1,1))-AVERAGE(OFFSET($H$3,0,0,'Données projet'!$E$9+1,1))</f>
        <v>226.41956082453015</v>
      </c>
      <c r="T179" s="59">
        <f t="shared" si="142"/>
        <v>317.95076157570446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2.9262992029543969E-13</v>
      </c>
      <c r="AK179" s="13">
        <f t="shared" si="164"/>
        <v>3.8796387982050903E-12</v>
      </c>
      <c r="AL179" s="20">
        <f t="shared" si="165"/>
        <v>7.2667013513884219E-12</v>
      </c>
      <c r="AM179" s="59">
        <f t="shared" si="113"/>
        <v>293.33333333334059</v>
      </c>
      <c r="AN179" s="59">
        <f ca="1">AVERAGE(OFFSET($AM$3,0,0,'Données projet'!$E$10+1,1))-AVERAGE(OFFSET($H$3,0,0,'Données projet'!$E$10+1,1))</f>
        <v>257.80662231827404</v>
      </c>
      <c r="AO179" s="59">
        <f t="shared" si="144"/>
        <v>184.04558520039876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-2.5420376914553347E-13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300.90952915835157</v>
      </c>
      <c r="BJ179" s="59">
        <f t="shared" si="146"/>
        <v>402.81783992925256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20.637904285927089</v>
      </c>
      <c r="BQ179" s="21">
        <f>EXP(-LN(2)/25)*BQ178+(1-EXP(-LN(2)/25))/(LN(2)/25)*Calculateur!BL179*Calculateur!BN179*VLOOKUP('Données projet'!$B$11,Paramètres!$A$1:$I$89,3,0)*0.475*44/12</f>
        <v>2.0329813818468536</v>
      </c>
      <c r="BR179" s="21">
        <f>EXP(-LN(2)/2)*BR178+(1-EXP(-LN(2)/2))/(LN(2)/2)*BL179*BO179*VLOOKUP('Données projet'!$B$11,Paramètres!$A$1:$I$89,3,0)*0.475*44/12</f>
        <v>2.0634271179173569E-17</v>
      </c>
      <c r="BS179" s="22">
        <f t="shared" si="169"/>
        <v>22.670885667773941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-2.8421709430404007E-13</v>
      </c>
      <c r="BZ179" s="13">
        <f>BY179*VLOOKUP('Données projet'!$B$12,Paramètres!$A$1:$I$89,3,0)*VLOOKUP('Données projet'!$B$12,Paramètres!$A$1:$I$89,5,0)</f>
        <v>-1.4040324458619578E-13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246.05217890269194</v>
      </c>
      <c r="CE179" s="59">
        <f t="shared" si="148"/>
        <v>155.54297071424327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44.539061154788691</v>
      </c>
      <c r="CL179" s="21">
        <f>EXP(-LN(2)/25)*CL178+(1-EXP(-LN(2)/25))/(LN(2)/25)*Calculateur!CG179*Calculateur!CI179*VLOOKUP('Données projet'!$B$12,Paramètres!$A$1:$I$89,3,0)*0.475*44/12</f>
        <v>6.2454389086652409</v>
      </c>
      <c r="CM179" s="21">
        <f>EXP(-LN(2)/2)*CM178+(1-EXP(-LN(2)/2))/(LN(2)/2)*CG179*CJ179*VLOOKUP('Données projet'!$B$12,Paramètres!$A$1:$I$89,3,0)*0.475*44/12</f>
        <v>9.3591622135604011E-11</v>
      </c>
      <c r="CN179" s="22">
        <f t="shared" si="172"/>
        <v>50.784500063547526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-3.4106051316484809E-13</v>
      </c>
      <c r="CU179" s="17">
        <f>CT179*VLOOKUP('Données projet'!$B$13,Paramètres!$A$1:$I$89,3,0)*VLOOKUP('Données projet'!$B$13,Paramètres!$A$1:$I$89,5,0)</f>
        <v>-2.0395418687257919E-13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237.036496933921</v>
      </c>
      <c r="CZ179" s="59">
        <f t="shared" si="150"/>
        <v>191.04289413665344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21.250181833189721</v>
      </c>
      <c r="DG179" s="21">
        <f>EXP(-LN(2)/25)*DG178+(1-EXP(-LN(2)/25))/(LN(2)/25)*Calculateur!DB179*Calculateur!DD179*VLOOKUP('Données projet'!$B$13,Paramètres!$A$1:$I$89,3,0)*0.475*44/12</f>
        <v>2.4158978535140294</v>
      </c>
      <c r="DH179" s="21">
        <f>EXP(-LN(2)/2)*DH178+(1-EXP(-LN(2)/2))/(LN(2)/2)*DB179*DE179*VLOOKUP('Données projet'!$B$13,Paramètres!$A$1:$I$89,3,0)*0.475*44/12</f>
        <v>1.2652464927248807E-13</v>
      </c>
      <c r="DI179" s="22">
        <f t="shared" si="175"/>
        <v>23.666079686703878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-3.979039320256561E-13</v>
      </c>
      <c r="DP179" s="17">
        <f>DO179*VLOOKUP('Données projet'!$B$14,Paramètres!$A$1:$I$89,3,0)*VLOOKUP('Données projet'!$B$14,Paramètres!$A$1:$I$89,5,0)</f>
        <v>-2.379465513513424E-13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148.22129593028302</v>
      </c>
      <c r="DU179" s="59">
        <f t="shared" si="152"/>
        <v>102.97015482019975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233.89079999999998</v>
      </c>
      <c r="EL179" s="13">
        <f t="shared" si="179"/>
        <v>57.123140349023068</v>
      </c>
      <c r="EM179" s="20">
        <f t="shared" si="180"/>
        <v>506.84927944121517</v>
      </c>
      <c r="EN179" s="59">
        <f t="shared" si="128"/>
        <v>800.18261277454849</v>
      </c>
      <c r="EO179" s="59">
        <f ca="1">AVERAGE(OFFSET($EN$3,0,0,'Données projet'!$E$15+1,1))-AVERAGE(OFFSET($H$3,0,0,'Données projet'!$E$15+1,1))</f>
        <v>278.53123771916404</v>
      </c>
      <c r="EP179" s="59">
        <f t="shared" si="154"/>
        <v>283.79094702030869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5.0016196501092933</v>
      </c>
      <c r="EW179" s="21">
        <f>EXP(-LN(2)/25)*EW178+(1-EXP(-LN(2)/25))/(LN(2)/25)*Calculateur!ER179*Calculateur!ET179*VLOOKUP('Données projet'!$B$15,Paramètres!$A$1:$I$89,3,0)*0.475*44/12</f>
        <v>0.39395593020046399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5.3955755803097576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4.0982905982905988</v>
      </c>
      <c r="FE179" s="12">
        <f>IF('Données projet'!$A$218&gt;35,FE178+FD179-FM178,IF(A179&lt;'Données projet'!$A$218,$FB$205^A179,IF(A179='Données projet'!$A$218,'Données projet'!$B$218,FE178+FD179-FM178)))</f>
        <v>258.8632478632473</v>
      </c>
      <c r="FF179" s="17">
        <f>FE179*VLOOKUP('Données projet'!$B$16,Paramètres!$A$1:$I$89,3,0)*VLOOKUP('Données projet'!$B$16,Paramètres!$A$1:$I$89,5,0)</f>
        <v>234.21946666666616</v>
      </c>
      <c r="FG179" s="13">
        <f t="shared" si="182"/>
        <v>57.194061341064028</v>
      </c>
      <c r="FH179" s="20">
        <f t="shared" si="183"/>
        <v>507.54522794679673</v>
      </c>
      <c r="FI179" s="59">
        <f t="shared" si="131"/>
        <v>800.87856128013004</v>
      </c>
      <c r="FJ179" s="59">
        <f ca="1">AVERAGE(OFFSET($FI$3,0,0,'Données projet'!$E$16+1,1))-AVERAGE(OFFSET($H$3,0,0,'Données projet'!$E$16+1,1))</f>
        <v>335.99493768537013</v>
      </c>
      <c r="FK179" s="59">
        <f t="shared" si="156"/>
        <v>150.85164849522778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115.11751164897885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115.11751164897885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259.99999999999983</v>
      </c>
      <c r="GA179" s="17">
        <f>FZ179*VLOOKUP('Données projet'!$B$17,Paramètres!$A$1:$I$89,3,0)*VLOOKUP('Données projet'!$B$17,Paramètres!$A$1:$I$89,5,0)</f>
        <v>227.13599999999985</v>
      </c>
      <c r="GB179" s="13">
        <f t="shared" si="185"/>
        <v>55.662966886685133</v>
      </c>
      <c r="GC179" s="20">
        <f t="shared" si="186"/>
        <v>492.5415339943097</v>
      </c>
      <c r="GD179" s="59">
        <f t="shared" si="134"/>
        <v>785.87486732764296</v>
      </c>
      <c r="GE179" s="59">
        <f ca="1">AVERAGE(OFFSET($GD$3,0,0,'Données projet'!$E$17+1,1))-AVERAGE(OFFSET($H$3,0,0,'Données projet'!$E$17+1,1))</f>
        <v>319.57811113658374</v>
      </c>
      <c r="GF179" s="59">
        <f t="shared" si="158"/>
        <v>322.03572137403245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8.3826116790654517</v>
      </c>
      <c r="GM179" s="21">
        <f>EXP(-LN(2)/25)*GM178+(1-EXP(-LN(2)/25))/(LN(2)/25)*Calculateur!GH179*Calculateur!GJ179*VLOOKUP('Données projet'!$B$17,Paramètres!$A$1:$I$89,3,0)*0.475*44/12</f>
        <v>1.6341880098105863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10.016799688876038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5.4683368944097308E-14</v>
      </c>
      <c r="P180" s="13">
        <f t="shared" si="141"/>
        <v>8.8129432816788268E-13</v>
      </c>
      <c r="Q180" s="20">
        <f t="shared" si="162"/>
        <v>1.6301611558033651E-12</v>
      </c>
      <c r="R180" s="59">
        <f t="shared" si="109"/>
        <v>293.33333333333496</v>
      </c>
      <c r="S180" s="59">
        <f ca="1">AVERAGE(OFFSET($R$3,0,0,'Données projet'!$E$9+1,1))-AVERAGE(OFFSET($H$3,0,0,'Données projet'!$E$9+1,1))</f>
        <v>226.41956082453015</v>
      </c>
      <c r="T180" s="59">
        <f t="shared" si="142"/>
        <v>317.95076157570446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2.9262992029543969E-13</v>
      </c>
      <c r="AK180" s="13">
        <f t="shared" si="164"/>
        <v>3.8796387982050903E-12</v>
      </c>
      <c r="AL180" s="20">
        <f t="shared" si="165"/>
        <v>7.2667013513884219E-12</v>
      </c>
      <c r="AM180" s="59">
        <f t="shared" si="113"/>
        <v>293.33333333334059</v>
      </c>
      <c r="AN180" s="59">
        <f ca="1">AVERAGE(OFFSET($AM$3,0,0,'Données projet'!$E$10+1,1))-AVERAGE(OFFSET($H$3,0,0,'Données projet'!$E$10+1,1))</f>
        <v>257.80662231827404</v>
      </c>
      <c r="AO180" s="59">
        <f t="shared" si="144"/>
        <v>184.04558520039876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-2.5420376914553347E-13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300.90952915835157</v>
      </c>
      <c r="BJ180" s="59">
        <f t="shared" si="146"/>
        <v>402.81783992925256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20.233207570758722</v>
      </c>
      <c r="BQ180" s="21">
        <f>EXP(-LN(2)/25)*BQ179+(1-EXP(-LN(2)/25))/(LN(2)/25)*Calculateur!BL180*Calculateur!BN180*VLOOKUP('Données projet'!$B$11,Paramètres!$A$1:$I$89,3,0)*0.475*44/12</f>
        <v>1.977389399050407</v>
      </c>
      <c r="BR180" s="21">
        <f>EXP(-LN(2)/2)*BR179+(1-EXP(-LN(2)/2))/(LN(2)/2)*BL180*BO180*VLOOKUP('Données projet'!$B$11,Paramètres!$A$1:$I$89,3,0)*0.475*44/12</f>
        <v>1.4590633075635769E-17</v>
      </c>
      <c r="BS180" s="22">
        <f t="shared" si="169"/>
        <v>22.210596969809128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-2.8421709430404007E-13</v>
      </c>
      <c r="BZ180" s="13">
        <f>BY180*VLOOKUP('Données projet'!$B$12,Paramètres!$A$1:$I$89,3,0)*VLOOKUP('Données projet'!$B$12,Paramètres!$A$1:$I$89,5,0)</f>
        <v>-1.4040324458619578E-13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246.05217890269194</v>
      </c>
      <c r="CE180" s="59">
        <f t="shared" si="148"/>
        <v>155.54297071424327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43.665677331688151</v>
      </c>
      <c r="CL180" s="21">
        <f>EXP(-LN(2)/25)*CL179+(1-EXP(-LN(2)/25))/(LN(2)/25)*Calculateur!CG180*Calculateur!CI180*VLOOKUP('Données projet'!$B$12,Paramètres!$A$1:$I$89,3,0)*0.475*44/12</f>
        <v>6.0746570532744322</v>
      </c>
      <c r="CM180" s="21">
        <f>EXP(-LN(2)/2)*CM179+(1-EXP(-LN(2)/2))/(LN(2)/2)*CG180*CJ180*VLOOKUP('Données projet'!$B$12,Paramètres!$A$1:$I$89,3,0)*0.475*44/12</f>
        <v>6.6179270674334583E-11</v>
      </c>
      <c r="CN180" s="22">
        <f t="shared" si="172"/>
        <v>49.74033438502876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-3.4106051316484809E-13</v>
      </c>
      <c r="CU180" s="17">
        <f>CT180*VLOOKUP('Données projet'!$B$13,Paramètres!$A$1:$I$89,3,0)*VLOOKUP('Données projet'!$B$13,Paramètres!$A$1:$I$89,5,0)</f>
        <v>-2.0395418687257919E-13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237.036496933921</v>
      </c>
      <c r="CZ180" s="59">
        <f t="shared" si="150"/>
        <v>191.04289413665344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20.833478728771965</v>
      </c>
      <c r="DG180" s="21">
        <f>EXP(-LN(2)/25)*DG179+(1-EXP(-LN(2)/25))/(LN(2)/25)*Calculateur!DB180*Calculateur!DD180*VLOOKUP('Données projet'!$B$13,Paramètres!$A$1:$I$89,3,0)*0.475*44/12</f>
        <v>2.3498349996631416</v>
      </c>
      <c r="DH180" s="21">
        <f>EXP(-LN(2)/2)*DH179+(1-EXP(-LN(2)/2))/(LN(2)/2)*DB180*DE180*VLOOKUP('Données projet'!$B$13,Paramètres!$A$1:$I$89,3,0)*0.475*44/12</f>
        <v>8.9466437487825892E-14</v>
      </c>
      <c r="DI180" s="22">
        <f t="shared" si="175"/>
        <v>23.183313728435195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-3.979039320256561E-13</v>
      </c>
      <c r="DP180" s="17">
        <f>DO180*VLOOKUP('Données projet'!$B$14,Paramètres!$A$1:$I$89,3,0)*VLOOKUP('Données projet'!$B$14,Paramètres!$A$1:$I$89,5,0)</f>
        <v>-2.379465513513424E-13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148.22129593028302</v>
      </c>
      <c r="DU180" s="59">
        <f t="shared" si="152"/>
        <v>102.97015482019975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233.89079999999998</v>
      </c>
      <c r="EL180" s="13">
        <f t="shared" si="179"/>
        <v>57.123140349023068</v>
      </c>
      <c r="EM180" s="20">
        <f t="shared" si="180"/>
        <v>506.84927944121517</v>
      </c>
      <c r="EN180" s="59">
        <f t="shared" si="128"/>
        <v>800.18261277454849</v>
      </c>
      <c r="EO180" s="59">
        <f ca="1">AVERAGE(OFFSET($EN$3,0,0,'Données projet'!$E$15+1,1))-AVERAGE(OFFSET($H$3,0,0,'Données projet'!$E$15+1,1))</f>
        <v>278.53123771916404</v>
      </c>
      <c r="EP180" s="59">
        <f t="shared" si="154"/>
        <v>283.79094702030869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4.9035409394574065</v>
      </c>
      <c r="EW180" s="21">
        <f>EXP(-LN(2)/25)*EW179+(1-EXP(-LN(2)/25))/(LN(2)/25)*Calculateur!ER180*Calculateur!ET180*VLOOKUP('Données projet'!$B$15,Paramètres!$A$1:$I$89,3,0)*0.475*44/12</f>
        <v>0.38318318457189032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5.2867241240292966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>
        <f>VLOOKUP(A180,'Données projet'!$A$217:$I$237,2,0)</f>
        <v>262.96153846153845</v>
      </c>
      <c r="FC180" s="12">
        <f>VLOOKUP(A180,'Données projet'!$A$217:$I$237,9,0)</f>
        <v>4.0982905982905988</v>
      </c>
      <c r="FD180" s="12">
        <f t="array" ref="FD180">INDEX(FC:FC,MIN(IF(ISNUMBER(FC180:FC376),ROW(FC180:FC376),"")))</f>
        <v>4.0982905982905988</v>
      </c>
      <c r="FE180" s="12">
        <f>IF('Données projet'!$A$218&gt;35,FE179+FD180-FM179,IF(A180&lt;'Données projet'!$A$218,$FB$205^A180,IF(A180='Données projet'!$A$218,'Données projet'!$B$218,FE179+FD180-FM179)))</f>
        <v>262.96153846153788</v>
      </c>
      <c r="FF180" s="17">
        <f>FE180*VLOOKUP('Données projet'!$B$16,Paramètres!$A$1:$I$89,3,0)*VLOOKUP('Données projet'!$B$16,Paramètres!$A$1:$I$89,5,0)</f>
        <v>237.92759999999947</v>
      </c>
      <c r="FG180" s="13">
        <f t="shared" si="182"/>
        <v>57.993418719759447</v>
      </c>
      <c r="FH180" s="20">
        <f t="shared" si="183"/>
        <v>515.39577427024676</v>
      </c>
      <c r="FI180" s="59">
        <f t="shared" si="131"/>
        <v>808.72910760358013</v>
      </c>
      <c r="FJ180" s="59">
        <f ca="1">AVERAGE(OFFSET($FI$3,0,0,'Données projet'!$E$16+1,1))-AVERAGE(OFFSET($H$3,0,0,'Données projet'!$E$16+1,1))</f>
        <v>335.99493768537013</v>
      </c>
      <c r="FK180" s="59">
        <f t="shared" si="156"/>
        <v>150.85164849522778</v>
      </c>
      <c r="FL180" s="15">
        <f>IF(ISNA(VLOOKUP(A180,'Données projet'!$A$217:$I$237,3,0)),0,VLOOKUP(A180,'Données projet'!$A$217:$I$237,3,0))</f>
        <v>16</v>
      </c>
      <c r="FM180" s="15">
        <f>IF(ISNA(VLOOKUP(A180,'Données projet'!$A$217:$I$237,4,0)),0,VLOOKUP(A180,'Données projet'!$A$217:$I$237,4,0))</f>
        <v>87</v>
      </c>
      <c r="FN180" s="16">
        <f>IF(ISNA(VLOOKUP(A180,'Données projet'!$A$217:$I$237,5,0)),0%,VLOOKUP(A180,'Données projet'!$A$217:$I$237,5,0)*VLOOKUP('Données projet'!$B$16,Paramètres!$A$1:$I$89,7,0))</f>
        <v>0.38700000000000001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146.53685784253753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146.53685784253753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259.99999999999983</v>
      </c>
      <c r="GA180" s="17">
        <f>FZ180*VLOOKUP('Données projet'!$B$17,Paramètres!$A$1:$I$89,3,0)*VLOOKUP('Données projet'!$B$17,Paramètres!$A$1:$I$89,5,0)</f>
        <v>227.13599999999985</v>
      </c>
      <c r="GB180" s="13">
        <f t="shared" si="185"/>
        <v>55.662966886685133</v>
      </c>
      <c r="GC180" s="20">
        <f t="shared" si="186"/>
        <v>492.5415339943097</v>
      </c>
      <c r="GD180" s="59">
        <f t="shared" si="134"/>
        <v>785.87486732764296</v>
      </c>
      <c r="GE180" s="59">
        <f ca="1">AVERAGE(OFFSET($GD$3,0,0,'Données projet'!$E$17+1,1))-AVERAGE(OFFSET($H$3,0,0,'Données projet'!$E$17+1,1))</f>
        <v>319.57811113658374</v>
      </c>
      <c r="GF180" s="59">
        <f t="shared" si="158"/>
        <v>322.03572137403245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8.2182337769272458</v>
      </c>
      <c r="GM180" s="21">
        <f>EXP(-LN(2)/25)*GM179+(1-EXP(-LN(2)/25))/(LN(2)/25)*Calculateur!GH180*Calculateur!GJ180*VLOOKUP('Données projet'!$B$17,Paramètres!$A$1:$I$89,3,0)*0.475*44/12</f>
        <v>1.5895010527441034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9.8077348296713485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5.4683368944097308E-14</v>
      </c>
      <c r="P181" s="13">
        <f t="shared" si="141"/>
        <v>8.8129432816788268E-13</v>
      </c>
      <c r="Q181" s="20">
        <f t="shared" si="162"/>
        <v>1.6301611558033651E-12</v>
      </c>
      <c r="R181" s="59">
        <f t="shared" si="109"/>
        <v>293.33333333333496</v>
      </c>
      <c r="S181" s="59">
        <f ca="1">AVERAGE(OFFSET($R$3,0,0,'Données projet'!$E$9+1,1))-AVERAGE(OFFSET($H$3,0,0,'Données projet'!$E$9+1,1))</f>
        <v>226.41956082453015</v>
      </c>
      <c r="T181" s="59">
        <f t="shared" si="142"/>
        <v>317.95076157570446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2.9262992029543969E-13</v>
      </c>
      <c r="AK181" s="13">
        <f t="shared" si="164"/>
        <v>3.8796387982050903E-12</v>
      </c>
      <c r="AL181" s="20">
        <f t="shared" si="165"/>
        <v>7.2667013513884219E-12</v>
      </c>
      <c r="AM181" s="59">
        <f t="shared" si="113"/>
        <v>293.33333333334059</v>
      </c>
      <c r="AN181" s="59">
        <f ca="1">AVERAGE(OFFSET($AM$3,0,0,'Données projet'!$E$10+1,1))-AVERAGE(OFFSET($H$3,0,0,'Données projet'!$E$10+1,1))</f>
        <v>257.80662231827404</v>
      </c>
      <c r="AO181" s="59">
        <f t="shared" si="144"/>
        <v>184.04558520039876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-2.5420376914553347E-13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300.90952915835157</v>
      </c>
      <c r="BJ181" s="59">
        <f t="shared" si="146"/>
        <v>402.81783992925256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19.836446711334187</v>
      </c>
      <c r="BQ181" s="21">
        <f>EXP(-LN(2)/25)*BQ180+(1-EXP(-LN(2)/25))/(LN(2)/25)*Calculateur!BL181*Calculateur!BN181*VLOOKUP('Données projet'!$B$11,Paramètres!$A$1:$I$89,3,0)*0.475*44/12</f>
        <v>1.9233175819469845</v>
      </c>
      <c r="BR181" s="21">
        <f>EXP(-LN(2)/2)*BR180+(1-EXP(-LN(2)/2))/(LN(2)/2)*BL181*BO181*VLOOKUP('Données projet'!$B$11,Paramètres!$A$1:$I$89,3,0)*0.475*44/12</f>
        <v>1.0317135589586785E-17</v>
      </c>
      <c r="BS181" s="22">
        <f t="shared" si="169"/>
        <v>21.759764293281172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-2.8421709430404007E-13</v>
      </c>
      <c r="BZ181" s="13">
        <f>BY181*VLOOKUP('Données projet'!$B$12,Paramètres!$A$1:$I$89,3,0)*VLOOKUP('Données projet'!$B$12,Paramètres!$A$1:$I$89,5,0)</f>
        <v>-1.4040324458619578E-13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246.05217890269194</v>
      </c>
      <c r="CE181" s="59">
        <f t="shared" si="148"/>
        <v>155.54297071424327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42.809420032647083</v>
      </c>
      <c r="CL181" s="21">
        <f>EXP(-LN(2)/25)*CL180+(1-EXP(-LN(2)/25))/(LN(2)/25)*Calculateur!CG181*Calculateur!CI181*VLOOKUP('Données projet'!$B$12,Paramètres!$A$1:$I$89,3,0)*0.475*44/12</f>
        <v>5.908545236700312</v>
      </c>
      <c r="CM181" s="21">
        <f>EXP(-LN(2)/2)*CM180+(1-EXP(-LN(2)/2))/(LN(2)/2)*CG181*CJ181*VLOOKUP('Données projet'!$B$12,Paramètres!$A$1:$I$89,3,0)*0.475*44/12</f>
        <v>4.6795811067802006E-11</v>
      </c>
      <c r="CN181" s="22">
        <f t="shared" si="172"/>
        <v>48.717965269394192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-3.4106051316484809E-13</v>
      </c>
      <c r="CU181" s="17">
        <f>CT181*VLOOKUP('Données projet'!$B$13,Paramètres!$A$1:$I$89,3,0)*VLOOKUP('Données projet'!$B$13,Paramètres!$A$1:$I$89,5,0)</f>
        <v>-2.0395418687257919E-13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237.036496933921</v>
      </c>
      <c r="CZ181" s="59">
        <f t="shared" si="150"/>
        <v>191.04289413665344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20.424946918068041</v>
      </c>
      <c r="DG181" s="21">
        <f>EXP(-LN(2)/25)*DG180+(1-EXP(-LN(2)/25))/(LN(2)/25)*Calculateur!DB181*Calculateur!DD181*VLOOKUP('Données projet'!$B$13,Paramètres!$A$1:$I$89,3,0)*0.475*44/12</f>
        <v>2.285578638024901</v>
      </c>
      <c r="DH181" s="21">
        <f>EXP(-LN(2)/2)*DH180+(1-EXP(-LN(2)/2))/(LN(2)/2)*DB181*DE181*VLOOKUP('Données projet'!$B$13,Paramètres!$A$1:$I$89,3,0)*0.475*44/12</f>
        <v>6.3262324636244036E-14</v>
      </c>
      <c r="DI181" s="22">
        <f t="shared" si="175"/>
        <v>22.710525556093007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-3.979039320256561E-13</v>
      </c>
      <c r="DP181" s="17">
        <f>DO181*VLOOKUP('Données projet'!$B$14,Paramètres!$A$1:$I$89,3,0)*VLOOKUP('Données projet'!$B$14,Paramètres!$A$1:$I$89,5,0)</f>
        <v>-2.379465513513424E-13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148.22129593028302</v>
      </c>
      <c r="DU181" s="59">
        <f t="shared" si="152"/>
        <v>102.97015482019975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233.89079999999998</v>
      </c>
      <c r="EL181" s="13">
        <f t="shared" si="179"/>
        <v>57.123140349023068</v>
      </c>
      <c r="EM181" s="20">
        <f t="shared" si="180"/>
        <v>506.84927944121517</v>
      </c>
      <c r="EN181" s="59">
        <f t="shared" si="128"/>
        <v>800.18261277454849</v>
      </c>
      <c r="EO181" s="59">
        <f ca="1">AVERAGE(OFFSET($EN$3,0,0,'Données projet'!$E$15+1,1))-AVERAGE(OFFSET($H$3,0,0,'Données projet'!$E$15+1,1))</f>
        <v>278.53123771916404</v>
      </c>
      <c r="EP181" s="59">
        <f t="shared" si="154"/>
        <v>283.79094702030869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4.8073854924992965</v>
      </c>
      <c r="EW181" s="21">
        <f>EXP(-LN(2)/25)*EW180+(1-EXP(-LN(2)/25))/(LN(2)/25)*Calculateur!ER181*Calculateur!ET181*VLOOKUP('Données projet'!$B$15,Paramètres!$A$1:$I$89,3,0)*0.475*44/12</f>
        <v>0.37270502023904406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5.1800905127383405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2.5149572649572653</v>
      </c>
      <c r="FE181" s="12">
        <f>IF('Données projet'!$A$218&gt;35,FE180+FD181-FM180,IF(A181&lt;'Données projet'!$A$218,$FB$205^A181,IF(A181='Données projet'!$A$218,'Données projet'!$B$218,FE180+FD181-FM180)))</f>
        <v>178.47649572649516</v>
      </c>
      <c r="FF181" s="17">
        <f>FE181*VLOOKUP('Données projet'!$B$16,Paramètres!$A$1:$I$89,3,0)*VLOOKUP('Données projet'!$B$16,Paramètres!$A$1:$I$89,5,0)</f>
        <v>161.48553333333282</v>
      </c>
      <c r="FG181" s="13">
        <f t="shared" si="182"/>
        <v>41.17740116187629</v>
      </c>
      <c r="FH181" s="20">
        <f t="shared" si="183"/>
        <v>352.97127757915587</v>
      </c>
      <c r="FI181" s="59">
        <f t="shared" si="131"/>
        <v>646.30461091248912</v>
      </c>
      <c r="FJ181" s="59">
        <f ca="1">AVERAGE(OFFSET($FI$3,0,0,'Données projet'!$E$16+1,1))-AVERAGE(OFFSET($H$3,0,0,'Données projet'!$E$16+1,1))</f>
        <v>335.99493768537013</v>
      </c>
      <c r="FK181" s="59">
        <f t="shared" si="156"/>
        <v>150.85164849522778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143.66335943890326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143.66335943890326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259.99999999999983</v>
      </c>
      <c r="GA181" s="17">
        <f>FZ181*VLOOKUP('Données projet'!$B$17,Paramètres!$A$1:$I$89,3,0)*VLOOKUP('Données projet'!$B$17,Paramètres!$A$1:$I$89,5,0)</f>
        <v>227.13599999999985</v>
      </c>
      <c r="GB181" s="13">
        <f t="shared" si="185"/>
        <v>55.662966886685133</v>
      </c>
      <c r="GC181" s="20">
        <f t="shared" si="186"/>
        <v>492.5415339943097</v>
      </c>
      <c r="GD181" s="59">
        <f t="shared" si="134"/>
        <v>785.87486732764296</v>
      </c>
      <c r="GE181" s="59">
        <f ca="1">AVERAGE(OFFSET($GD$3,0,0,'Données projet'!$E$17+1,1))-AVERAGE(OFFSET($H$3,0,0,'Données projet'!$E$17+1,1))</f>
        <v>319.57811113658374</v>
      </c>
      <c r="GF181" s="59">
        <f t="shared" si="158"/>
        <v>322.03572137403245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8.0570792251893497</v>
      </c>
      <c r="GM181" s="21">
        <f>EXP(-LN(2)/25)*GM180+(1-EXP(-LN(2)/25))/(LN(2)/25)*Calculateur!GH181*Calculateur!GJ181*VLOOKUP('Données projet'!$B$17,Paramètres!$A$1:$I$89,3,0)*0.475*44/12</f>
        <v>1.5460360628685883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9.6031152880579373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5.4683368944097308E-14</v>
      </c>
      <c r="P182" s="13">
        <f t="shared" si="141"/>
        <v>8.8129432816788268E-13</v>
      </c>
      <c r="Q182" s="20">
        <f t="shared" si="162"/>
        <v>1.6301611558033651E-12</v>
      </c>
      <c r="R182" s="59">
        <f t="shared" si="109"/>
        <v>293.33333333333496</v>
      </c>
      <c r="S182" s="59">
        <f ca="1">AVERAGE(OFFSET($R$3,0,0,'Données projet'!$E$9+1,1))-AVERAGE(OFFSET($H$3,0,0,'Données projet'!$E$9+1,1))</f>
        <v>226.41956082453015</v>
      </c>
      <c r="T182" s="59">
        <f t="shared" si="142"/>
        <v>317.95076157570446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2.9262992029543969E-13</v>
      </c>
      <c r="AK182" s="13">
        <f t="shared" si="164"/>
        <v>3.8796387982050903E-12</v>
      </c>
      <c r="AL182" s="20">
        <f t="shared" si="165"/>
        <v>7.2667013513884219E-12</v>
      </c>
      <c r="AM182" s="59">
        <f t="shared" si="113"/>
        <v>293.33333333334059</v>
      </c>
      <c r="AN182" s="59">
        <f ca="1">AVERAGE(OFFSET($AM$3,0,0,'Données projet'!$E$10+1,1))-AVERAGE(OFFSET($H$3,0,0,'Données projet'!$E$10+1,1))</f>
        <v>257.80662231827404</v>
      </c>
      <c r="AO182" s="59">
        <f t="shared" si="144"/>
        <v>184.04558520039876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-2.5420376914553347E-13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300.90952915835157</v>
      </c>
      <c r="BJ182" s="59">
        <f t="shared" si="146"/>
        <v>402.81783992925256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19.447466090362738</v>
      </c>
      <c r="BQ182" s="21">
        <f>EXP(-LN(2)/25)*BQ181+(1-EXP(-LN(2)/25))/(LN(2)/25)*Calculateur!BL182*Calculateur!BN182*VLOOKUP('Données projet'!$B$11,Paramètres!$A$1:$I$89,3,0)*0.475*44/12</f>
        <v>1.8707243615257685</v>
      </c>
      <c r="BR182" s="21">
        <f>EXP(-LN(2)/2)*BR181+(1-EXP(-LN(2)/2))/(LN(2)/2)*BL182*BO182*VLOOKUP('Données projet'!$B$11,Paramètres!$A$1:$I$89,3,0)*0.475*44/12</f>
        <v>7.2953165378178844E-18</v>
      </c>
      <c r="BS182" s="22">
        <f t="shared" si="169"/>
        <v>21.318190451888505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-2.8421709430404007E-13</v>
      </c>
      <c r="BZ182" s="13">
        <f>BY182*VLOOKUP('Données projet'!$B$12,Paramètres!$A$1:$I$89,3,0)*VLOOKUP('Données projet'!$B$12,Paramètres!$A$1:$I$89,5,0)</f>
        <v>-1.4040324458619578E-13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246.05217890269194</v>
      </c>
      <c r="CE182" s="59">
        <f t="shared" si="148"/>
        <v>155.54297071424327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41.969953416974832</v>
      </c>
      <c r="CL182" s="21">
        <f>EXP(-LN(2)/25)*CL181+(1-EXP(-LN(2)/25))/(LN(2)/25)*Calculateur!CG182*Calculateur!CI182*VLOOKUP('Données projet'!$B$12,Paramètres!$A$1:$I$89,3,0)*0.475*44/12</f>
        <v>5.7469757564858517</v>
      </c>
      <c r="CM182" s="21">
        <f>EXP(-LN(2)/2)*CM181+(1-EXP(-LN(2)/2))/(LN(2)/2)*CG182*CJ182*VLOOKUP('Données projet'!$B$12,Paramètres!$A$1:$I$89,3,0)*0.475*44/12</f>
        <v>3.3089635337167291E-11</v>
      </c>
      <c r="CN182" s="22">
        <f t="shared" si="172"/>
        <v>47.716929173493774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-3.4106051316484809E-13</v>
      </c>
      <c r="CU182" s="17">
        <f>CT182*VLOOKUP('Données projet'!$B$13,Paramètres!$A$1:$I$89,3,0)*VLOOKUP('Données projet'!$B$13,Paramètres!$A$1:$I$89,5,0)</f>
        <v>-2.0395418687257919E-13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237.036496933921</v>
      </c>
      <c r="CZ182" s="59">
        <f t="shared" si="150"/>
        <v>191.04289413665344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20.024426166992225</v>
      </c>
      <c r="DG182" s="21">
        <f>EXP(-LN(2)/25)*DG181+(1-EXP(-LN(2)/25))/(LN(2)/25)*Calculateur!DB182*Calculateur!DD182*VLOOKUP('Données projet'!$B$13,Paramètres!$A$1:$I$89,3,0)*0.475*44/12</f>
        <v>2.2230793699747533</v>
      </c>
      <c r="DH182" s="21">
        <f>EXP(-LN(2)/2)*DH181+(1-EXP(-LN(2)/2))/(LN(2)/2)*DB182*DE182*VLOOKUP('Données projet'!$B$13,Paramètres!$A$1:$I$89,3,0)*0.475*44/12</f>
        <v>4.4733218743912946E-14</v>
      </c>
      <c r="DI182" s="22">
        <f t="shared" si="175"/>
        <v>22.247505536967022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-3.979039320256561E-13</v>
      </c>
      <c r="DP182" s="17">
        <f>DO182*VLOOKUP('Données projet'!$B$14,Paramètres!$A$1:$I$89,3,0)*VLOOKUP('Données projet'!$B$14,Paramètres!$A$1:$I$89,5,0)</f>
        <v>-2.379465513513424E-13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148.22129593028302</v>
      </c>
      <c r="DU182" s="59">
        <f t="shared" si="152"/>
        <v>102.97015482019975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233.89079999999998</v>
      </c>
      <c r="EL182" s="13">
        <f t="shared" si="179"/>
        <v>57.123140349023068</v>
      </c>
      <c r="EM182" s="20">
        <f t="shared" si="180"/>
        <v>506.84927944121517</v>
      </c>
      <c r="EN182" s="59">
        <f t="shared" si="128"/>
        <v>800.18261277454849</v>
      </c>
      <c r="EO182" s="59">
        <f ca="1">AVERAGE(OFFSET($EN$3,0,0,'Données projet'!$E$15+1,1))-AVERAGE(OFFSET($H$3,0,0,'Données projet'!$E$15+1,1))</f>
        <v>278.53123771916404</v>
      </c>
      <c r="EP182" s="59">
        <f t="shared" si="154"/>
        <v>283.79094702030869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4.7131155952070038</v>
      </c>
      <c r="EW182" s="21">
        <f>EXP(-LN(2)/25)*EW181+(1-EXP(-LN(2)/25))/(LN(2)/25)*Calculateur!ER182*Calculateur!ET182*VLOOKUP('Données projet'!$B$15,Paramètres!$A$1:$I$89,3,0)*0.475*44/12</f>
        <v>0.36251338186090221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5.0756289770679057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2.5149572649572653</v>
      </c>
      <c r="FE182" s="12">
        <f>IF('Données projet'!$A$218&gt;35,FE181+FD182-FM181,IF(A182&lt;'Données projet'!$A$218,$FB$205^A182,IF(A182='Données projet'!$A$218,'Données projet'!$B$218,FE181+FD182-FM181)))</f>
        <v>180.99145299145243</v>
      </c>
      <c r="FF182" s="17">
        <f>FE182*VLOOKUP('Données projet'!$B$16,Paramètres!$A$1:$I$89,3,0)*VLOOKUP('Données projet'!$B$16,Paramètres!$A$1:$I$89,5,0)</f>
        <v>163.76106666666615</v>
      </c>
      <c r="FG182" s="13">
        <f t="shared" si="182"/>
        <v>41.689683944410106</v>
      </c>
      <c r="FH182" s="20">
        <f t="shared" si="183"/>
        <v>357.82672398095787</v>
      </c>
      <c r="FI182" s="59">
        <f t="shared" si="131"/>
        <v>651.16005731429118</v>
      </c>
      <c r="FJ182" s="59">
        <f ca="1">AVERAGE(OFFSET($FI$3,0,0,'Données projet'!$E$16+1,1))-AVERAGE(OFFSET($H$3,0,0,'Données projet'!$E$16+1,1))</f>
        <v>335.99493768537013</v>
      </c>
      <c r="FK182" s="59">
        <f t="shared" si="156"/>
        <v>150.85164849522778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140.84620858630328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140.84620858630328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259.99999999999983</v>
      </c>
      <c r="GA182" s="17">
        <f>FZ182*VLOOKUP('Données projet'!$B$17,Paramètres!$A$1:$I$89,3,0)*VLOOKUP('Données projet'!$B$17,Paramètres!$A$1:$I$89,5,0)</f>
        <v>227.13599999999985</v>
      </c>
      <c r="GB182" s="13">
        <f t="shared" si="185"/>
        <v>55.662966886685133</v>
      </c>
      <c r="GC182" s="20">
        <f t="shared" si="186"/>
        <v>492.5415339943097</v>
      </c>
      <c r="GD182" s="59">
        <f t="shared" si="134"/>
        <v>785.87486732764296</v>
      </c>
      <c r="GE182" s="59">
        <f ca="1">AVERAGE(OFFSET($GD$3,0,0,'Données projet'!$E$17+1,1))-AVERAGE(OFFSET($H$3,0,0,'Données projet'!$E$17+1,1))</f>
        <v>319.57811113658374</v>
      </c>
      <c r="GF182" s="59">
        <f t="shared" si="158"/>
        <v>322.03572137403245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7.8990848159164635</v>
      </c>
      <c r="GM182" s="21">
        <f>EXP(-LN(2)/25)*GM181+(1-EXP(-LN(2)/25))/(LN(2)/25)*Calculateur!GH182*Calculateur!GJ182*VLOOKUP('Données projet'!$B$17,Paramètres!$A$1:$I$89,3,0)*0.475*44/12</f>
        <v>1.5037596254269436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9.402844441343408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5.4683368944097308E-14</v>
      </c>
      <c r="P183" s="13">
        <f t="shared" si="141"/>
        <v>8.8129432816788268E-13</v>
      </c>
      <c r="Q183" s="20">
        <f t="shared" si="162"/>
        <v>1.6301611558033651E-12</v>
      </c>
      <c r="R183" s="59">
        <f t="shared" si="109"/>
        <v>293.33333333333496</v>
      </c>
      <c r="S183" s="59">
        <f ca="1">AVERAGE(OFFSET($R$3,0,0,'Données projet'!$E$9+1,1))-AVERAGE(OFFSET($H$3,0,0,'Données projet'!$E$9+1,1))</f>
        <v>226.41956082453015</v>
      </c>
      <c r="T183" s="59">
        <f t="shared" si="142"/>
        <v>317.95076157570446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2.9262992029543969E-13</v>
      </c>
      <c r="AK183" s="13">
        <f t="shared" si="164"/>
        <v>3.8796387982050903E-12</v>
      </c>
      <c r="AL183" s="20">
        <f t="shared" si="165"/>
        <v>7.2667013513884219E-12</v>
      </c>
      <c r="AM183" s="59">
        <f t="shared" si="113"/>
        <v>293.33333333334059</v>
      </c>
      <c r="AN183" s="59">
        <f ca="1">AVERAGE(OFFSET($AM$3,0,0,'Données projet'!$E$10+1,1))-AVERAGE(OFFSET($H$3,0,0,'Données projet'!$E$10+1,1))</f>
        <v>257.80662231827404</v>
      </c>
      <c r="AO183" s="59">
        <f t="shared" si="144"/>
        <v>184.04558520039876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-2.5420376914553347E-13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300.90952915835157</v>
      </c>
      <c r="BJ183" s="59">
        <f t="shared" si="146"/>
        <v>402.81783992925256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19.066113142113785</v>
      </c>
      <c r="BQ183" s="21">
        <f>EXP(-LN(2)/25)*BQ182+(1-EXP(-LN(2)/25))/(LN(2)/25)*Calculateur!BL183*Calculateur!BN183*VLOOKUP('Données projet'!$B$11,Paramètres!$A$1:$I$89,3,0)*0.475*44/12</f>
        <v>1.8195693054827278</v>
      </c>
      <c r="BR183" s="21">
        <f>EXP(-LN(2)/2)*BR182+(1-EXP(-LN(2)/2))/(LN(2)/2)*BL183*BO183*VLOOKUP('Données projet'!$B$11,Paramètres!$A$1:$I$89,3,0)*0.475*44/12</f>
        <v>5.1585677947933923E-18</v>
      </c>
      <c r="BS183" s="22">
        <f t="shared" si="169"/>
        <v>20.885682447596512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-2.8421709430404007E-13</v>
      </c>
      <c r="BZ183" s="13">
        <f>BY183*VLOOKUP('Données projet'!$B$12,Paramètres!$A$1:$I$89,3,0)*VLOOKUP('Données projet'!$B$12,Paramètres!$A$1:$I$89,5,0)</f>
        <v>-1.4040324458619578E-13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246.05217890269194</v>
      </c>
      <c r="CE183" s="59">
        <f t="shared" si="148"/>
        <v>155.54297071424327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41.146948229611837</v>
      </c>
      <c r="CL183" s="21">
        <f>EXP(-LN(2)/25)*CL182+(1-EXP(-LN(2)/25))/(LN(2)/25)*Calculateur!CG183*Calculateur!CI183*VLOOKUP('Données projet'!$B$12,Paramètres!$A$1:$I$89,3,0)*0.475*44/12</f>
        <v>5.5898244022044263</v>
      </c>
      <c r="CM183" s="21">
        <f>EXP(-LN(2)/2)*CM182+(1-EXP(-LN(2)/2))/(LN(2)/2)*CG183*CJ183*VLOOKUP('Données projet'!$B$12,Paramètres!$A$1:$I$89,3,0)*0.475*44/12</f>
        <v>2.3397905533901003E-11</v>
      </c>
      <c r="CN183" s="22">
        <f t="shared" si="172"/>
        <v>46.736772631839663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-3.4106051316484809E-13</v>
      </c>
      <c r="CU183" s="17">
        <f>CT183*VLOOKUP('Données projet'!$B$13,Paramètres!$A$1:$I$89,3,0)*VLOOKUP('Données projet'!$B$13,Paramètres!$A$1:$I$89,5,0)</f>
        <v>-2.0395418687257919E-13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237.036496933921</v>
      </c>
      <c r="CZ183" s="59">
        <f t="shared" si="150"/>
        <v>191.04289413665344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19.631759383551469</v>
      </c>
      <c r="DG183" s="21">
        <f>EXP(-LN(2)/25)*DG182+(1-EXP(-LN(2)/25))/(LN(2)/25)*Calculateur!DB183*Calculateur!DD183*VLOOKUP('Données projet'!$B$13,Paramètres!$A$1:$I$89,3,0)*0.475*44/12</f>
        <v>2.1622891476961303</v>
      </c>
      <c r="DH183" s="21">
        <f>EXP(-LN(2)/2)*DH182+(1-EXP(-LN(2)/2))/(LN(2)/2)*DB183*DE183*VLOOKUP('Données projet'!$B$13,Paramètres!$A$1:$I$89,3,0)*0.475*44/12</f>
        <v>3.1631162318122018E-14</v>
      </c>
      <c r="DI183" s="22">
        <f t="shared" si="175"/>
        <v>21.794048531247629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-3.979039320256561E-13</v>
      </c>
      <c r="DP183" s="17">
        <f>DO183*VLOOKUP('Données projet'!$B$14,Paramètres!$A$1:$I$89,3,0)*VLOOKUP('Données projet'!$B$14,Paramètres!$A$1:$I$89,5,0)</f>
        <v>-2.379465513513424E-13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148.22129593028302</v>
      </c>
      <c r="DU183" s="59">
        <f t="shared" si="152"/>
        <v>102.97015482019975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233.89079999999998</v>
      </c>
      <c r="EL183" s="13">
        <f t="shared" si="179"/>
        <v>57.123140349023068</v>
      </c>
      <c r="EM183" s="20">
        <f t="shared" si="180"/>
        <v>506.84927944121517</v>
      </c>
      <c r="EN183" s="59">
        <f t="shared" si="128"/>
        <v>800.18261277454849</v>
      </c>
      <c r="EO183" s="59">
        <f ca="1">AVERAGE(OFFSET($EN$3,0,0,'Données projet'!$E$15+1,1))-AVERAGE(OFFSET($H$3,0,0,'Données projet'!$E$15+1,1))</f>
        <v>278.53123771916404</v>
      </c>
      <c r="EP183" s="59">
        <f t="shared" si="154"/>
        <v>283.79094702030869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4.6206942731016527</v>
      </c>
      <c r="EW183" s="21">
        <f>EXP(-LN(2)/25)*EW182+(1-EXP(-LN(2)/25))/(LN(2)/25)*Calculateur!ER183*Calculateur!ET183*VLOOKUP('Données projet'!$B$15,Paramètres!$A$1:$I$89,3,0)*0.475*44/12</f>
        <v>0.35260043437016564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4.9732947074718181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>
        <f>VLOOKUP(A183,'Données projet'!$A$217:$I$237,2,0)</f>
        <v>183.50641025641025</v>
      </c>
      <c r="FC183" s="12">
        <f>VLOOKUP(A183,'Données projet'!$A$217:$I$237,9,0)</f>
        <v>2.5149572649572653</v>
      </c>
      <c r="FD183" s="12">
        <f t="array" ref="FD183">INDEX(FC:FC,MIN(IF(ISNUMBER(FC183:FC379),ROW(FC183:FC379),"")))</f>
        <v>2.5149572649572653</v>
      </c>
      <c r="FE183" s="12">
        <f>IF('Données projet'!$A$218&gt;35,FE182+FD183-FM182,IF(A183&lt;'Données projet'!$A$218,$FB$205^A183,IF(A183='Données projet'!$A$218,'Données projet'!$B$218,FE182+FD183-FM182)))</f>
        <v>183.50641025640971</v>
      </c>
      <c r="FF183" s="17">
        <f>FE183*VLOOKUP('Données projet'!$B$16,Paramètres!$A$1:$I$89,3,0)*VLOOKUP('Données projet'!$B$16,Paramètres!$A$1:$I$89,5,0)</f>
        <v>166.03659999999951</v>
      </c>
      <c r="FG183" s="13">
        <f t="shared" si="182"/>
        <v>42.201138786899428</v>
      </c>
      <c r="FH183" s="20">
        <f t="shared" si="183"/>
        <v>362.68072838718234</v>
      </c>
      <c r="FI183" s="59">
        <f t="shared" si="131"/>
        <v>656.01406172051566</v>
      </c>
      <c r="FJ183" s="59">
        <f ca="1">AVERAGE(OFFSET($FI$3,0,0,'Données projet'!$E$16+1,1))-AVERAGE(OFFSET($H$3,0,0,'Données projet'!$E$16+1,1))</f>
        <v>335.99493768537013</v>
      </c>
      <c r="FK183" s="59">
        <f t="shared" si="156"/>
        <v>150.85164849522778</v>
      </c>
      <c r="FL183" s="15">
        <f>IF(ISNA(VLOOKUP(A183,'Données projet'!$A$217:$I$237,3,0)),0,VLOOKUP(A183,'Données projet'!$A$217:$I$237,3,0))</f>
        <v>17</v>
      </c>
      <c r="FM183" s="15">
        <f>IF(ISNA(VLOOKUP(A183,'Données projet'!$A$217:$I$237,4,0)),0,VLOOKUP(A183,'Données projet'!$A$217:$I$237,4,0))</f>
        <v>58.794871794871796</v>
      </c>
      <c r="FN183" s="16">
        <f>IF(ISNA(VLOOKUP(A183,'Données projet'!$A$217:$I$237,5,0)),0%,VLOOKUP(A183,'Données projet'!$A$217:$I$237,5,0)*VLOOKUP('Données projet'!$B$16,Paramètres!$A$1:$I$89,7,0))</f>
        <v>0.38700000000000001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160.8431399447181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160.8431399447181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259.99999999999983</v>
      </c>
      <c r="GA183" s="17">
        <f>FZ183*VLOOKUP('Données projet'!$B$17,Paramètres!$A$1:$I$89,3,0)*VLOOKUP('Données projet'!$B$17,Paramètres!$A$1:$I$89,5,0)</f>
        <v>227.13599999999985</v>
      </c>
      <c r="GB183" s="13">
        <f t="shared" si="185"/>
        <v>55.662966886685133</v>
      </c>
      <c r="GC183" s="20">
        <f t="shared" si="186"/>
        <v>492.5415339943097</v>
      </c>
      <c r="GD183" s="59">
        <f t="shared" si="134"/>
        <v>785.87486732764296</v>
      </c>
      <c r="GE183" s="59">
        <f ca="1">AVERAGE(OFFSET($GD$3,0,0,'Données projet'!$E$17+1,1))-AVERAGE(OFFSET($H$3,0,0,'Données projet'!$E$17+1,1))</f>
        <v>319.57811113658374</v>
      </c>
      <c r="GF183" s="59">
        <f t="shared" si="158"/>
        <v>322.03572137403245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7.7441885806423452</v>
      </c>
      <c r="GM183" s="21">
        <f>EXP(-LN(2)/25)*GM182+(1-EXP(-LN(2)/25))/(LN(2)/25)*Calculateur!GH183*Calculateur!GJ183*VLOOKUP('Données projet'!$B$17,Paramètres!$A$1:$I$89,3,0)*0.475*44/12</f>
        <v>1.462639239390362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9.2068278200327072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5.4683368944097308E-14</v>
      </c>
      <c r="P184" s="13">
        <f t="shared" si="141"/>
        <v>8.8129432816788268E-13</v>
      </c>
      <c r="Q184" s="20">
        <f t="shared" si="162"/>
        <v>1.6301611558033651E-12</v>
      </c>
      <c r="R184" s="59">
        <f t="shared" si="109"/>
        <v>293.33333333333496</v>
      </c>
      <c r="S184" s="59">
        <f ca="1">AVERAGE(OFFSET($R$3,0,0,'Données projet'!$E$9+1,1))-AVERAGE(OFFSET($H$3,0,0,'Données projet'!$E$9+1,1))</f>
        <v>226.41956082453015</v>
      </c>
      <c r="T184" s="59">
        <f t="shared" si="142"/>
        <v>317.95076157570446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2.9262992029543969E-13</v>
      </c>
      <c r="AK184" s="13">
        <f t="shared" si="164"/>
        <v>3.8796387982050903E-12</v>
      </c>
      <c r="AL184" s="20">
        <f t="shared" si="165"/>
        <v>7.2667013513884219E-12</v>
      </c>
      <c r="AM184" s="59">
        <f t="shared" si="113"/>
        <v>293.33333333334059</v>
      </c>
      <c r="AN184" s="59">
        <f ca="1">AVERAGE(OFFSET($AM$3,0,0,'Données projet'!$E$10+1,1))-AVERAGE(OFFSET($H$3,0,0,'Données projet'!$E$10+1,1))</f>
        <v>257.80662231827404</v>
      </c>
      <c r="AO184" s="59">
        <f t="shared" si="144"/>
        <v>184.04558520039876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-2.5420376914553347E-13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300.90952915835157</v>
      </c>
      <c r="BJ184" s="59">
        <f t="shared" si="146"/>
        <v>402.81783992925256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18.692238292577663</v>
      </c>
      <c r="BQ184" s="21">
        <f>EXP(-LN(2)/25)*BQ183+(1-EXP(-LN(2)/25))/(LN(2)/25)*Calculateur!BL184*Calculateur!BN184*VLOOKUP('Données projet'!$B$11,Paramètres!$A$1:$I$89,3,0)*0.475*44/12</f>
        <v>1.7698130871373114</v>
      </c>
      <c r="BR184" s="21">
        <f>EXP(-LN(2)/2)*BR183+(1-EXP(-LN(2)/2))/(LN(2)/2)*BL184*BO184*VLOOKUP('Données projet'!$B$11,Paramètres!$A$1:$I$89,3,0)*0.475*44/12</f>
        <v>3.6476582689089422E-18</v>
      </c>
      <c r="BS184" s="22">
        <f t="shared" si="169"/>
        <v>20.462051379714975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-2.8421709430404007E-13</v>
      </c>
      <c r="BZ184" s="13">
        <f>BY184*VLOOKUP('Données projet'!$B$12,Paramètres!$A$1:$I$89,3,0)*VLOOKUP('Données projet'!$B$12,Paramètres!$A$1:$I$89,5,0)</f>
        <v>-1.4040324458619578E-13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246.05217890269194</v>
      </c>
      <c r="CE184" s="59">
        <f t="shared" si="148"/>
        <v>155.54297071424327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40.340081671989431</v>
      </c>
      <c r="CL184" s="21">
        <f>EXP(-LN(2)/25)*CL183+(1-EXP(-LN(2)/25))/(LN(2)/25)*Calculateur!CG184*Calculateur!CI184*VLOOKUP('Données projet'!$B$12,Paramètres!$A$1:$I$89,3,0)*0.475*44/12</f>
        <v>5.436970359970057</v>
      </c>
      <c r="CM184" s="21">
        <f>EXP(-LN(2)/2)*CM183+(1-EXP(-LN(2)/2))/(LN(2)/2)*CG184*CJ184*VLOOKUP('Données projet'!$B$12,Paramètres!$A$1:$I$89,3,0)*0.475*44/12</f>
        <v>1.6544817668583646E-11</v>
      </c>
      <c r="CN184" s="22">
        <f t="shared" si="172"/>
        <v>45.777052031976027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-3.4106051316484809E-13</v>
      </c>
      <c r="CU184" s="17">
        <f>CT184*VLOOKUP('Données projet'!$B$13,Paramètres!$A$1:$I$89,3,0)*VLOOKUP('Données projet'!$B$13,Paramètres!$A$1:$I$89,5,0)</f>
        <v>-2.0395418687257919E-13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237.036496933921</v>
      </c>
      <c r="CZ184" s="59">
        <f t="shared" si="150"/>
        <v>191.04289413665344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19.246792556230893</v>
      </c>
      <c r="DG184" s="21">
        <f>EXP(-LN(2)/25)*DG183+(1-EXP(-LN(2)/25))/(LN(2)/25)*Calculateur!DB184*Calculateur!DD184*VLOOKUP('Données projet'!$B$13,Paramètres!$A$1:$I$89,3,0)*0.475*44/12</f>
        <v>2.1031612372425355</v>
      </c>
      <c r="DH184" s="21">
        <f>EXP(-LN(2)/2)*DH183+(1-EXP(-LN(2)/2))/(LN(2)/2)*DB184*DE184*VLOOKUP('Données projet'!$B$13,Paramètres!$A$1:$I$89,3,0)*0.475*44/12</f>
        <v>2.2366609371956473E-14</v>
      </c>
      <c r="DI184" s="22">
        <f t="shared" si="175"/>
        <v>21.34995379347345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-3.979039320256561E-13</v>
      </c>
      <c r="DP184" s="17">
        <f>DO184*VLOOKUP('Données projet'!$B$14,Paramètres!$A$1:$I$89,3,0)*VLOOKUP('Données projet'!$B$14,Paramètres!$A$1:$I$89,5,0)</f>
        <v>-2.379465513513424E-13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148.22129593028302</v>
      </c>
      <c r="DU184" s="59">
        <f t="shared" si="152"/>
        <v>102.97015482019975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233.89079999999998</v>
      </c>
      <c r="EL184" s="13">
        <f t="shared" si="179"/>
        <v>57.123140349023068</v>
      </c>
      <c r="EM184" s="20">
        <f t="shared" si="180"/>
        <v>506.84927944121517</v>
      </c>
      <c r="EN184" s="59">
        <f t="shared" si="128"/>
        <v>800.18261277454849</v>
      </c>
      <c r="EO184" s="59">
        <f ca="1">AVERAGE(OFFSET($EN$3,0,0,'Données projet'!$E$15+1,1))-AVERAGE(OFFSET($H$3,0,0,'Données projet'!$E$15+1,1))</f>
        <v>278.53123771916404</v>
      </c>
      <c r="EP184" s="59">
        <f t="shared" si="154"/>
        <v>283.79094702030869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4.5300852767513478</v>
      </c>
      <c r="EW184" s="21">
        <f>EXP(-LN(2)/25)*EW183+(1-EXP(-LN(2)/25))/(LN(2)/25)*Calculateur!ER184*Calculateur!ET184*VLOOKUP('Données projet'!$B$15,Paramètres!$A$1:$I$89,3,0)*0.475*44/12</f>
        <v>0.34295855694986249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4.8730438337012103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1.5384615384615377</v>
      </c>
      <c r="FE184" s="12">
        <f>IF('Données projet'!$A$218&gt;35,FE183+FD184-FM183,IF(A184&lt;'Données projet'!$A$218,$FB$205^A184,IF(A184='Données projet'!$A$218,'Données projet'!$B$218,FE183+FD184-FM183)))</f>
        <v>126.24999999999946</v>
      </c>
      <c r="FF184" s="17">
        <f>FE184*VLOOKUP('Données projet'!$B$16,Paramètres!$A$1:$I$89,3,0)*VLOOKUP('Données projet'!$B$16,Paramètres!$A$1:$I$89,5,0)</f>
        <v>114.23099999999951</v>
      </c>
      <c r="FG184" s="13">
        <f t="shared" si="182"/>
        <v>30.325640932877807</v>
      </c>
      <c r="FH184" s="20">
        <f t="shared" si="183"/>
        <v>251.76948295809464</v>
      </c>
      <c r="FI184" s="59">
        <f t="shared" si="131"/>
        <v>545.10281629142798</v>
      </c>
      <c r="FJ184" s="59">
        <f ca="1">AVERAGE(OFFSET($FI$3,0,0,'Données projet'!$E$16+1,1))-AVERAGE(OFFSET($H$3,0,0,'Données projet'!$E$16+1,1))</f>
        <v>335.99493768537013</v>
      </c>
      <c r="FK184" s="59">
        <f t="shared" si="156"/>
        <v>150.85164849522778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157.68910407503051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157.68910407503051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259.99999999999983</v>
      </c>
      <c r="GA184" s="17">
        <f>FZ184*VLOOKUP('Données projet'!$B$17,Paramètres!$A$1:$I$89,3,0)*VLOOKUP('Données projet'!$B$17,Paramètres!$A$1:$I$89,5,0)</f>
        <v>227.13599999999985</v>
      </c>
      <c r="GB184" s="13">
        <f t="shared" si="185"/>
        <v>55.662966886685133</v>
      </c>
      <c r="GC184" s="20">
        <f t="shared" si="186"/>
        <v>492.5415339943097</v>
      </c>
      <c r="GD184" s="59">
        <f t="shared" si="134"/>
        <v>785.87486732764296</v>
      </c>
      <c r="GE184" s="59">
        <f ca="1">AVERAGE(OFFSET($GD$3,0,0,'Données projet'!$E$17+1,1))-AVERAGE(OFFSET($H$3,0,0,'Données projet'!$E$17+1,1))</f>
        <v>319.57811113658374</v>
      </c>
      <c r="GF184" s="59">
        <f t="shared" si="158"/>
        <v>322.03572137403245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7.5923297660645774</v>
      </c>
      <c r="GM184" s="21">
        <f>EXP(-LN(2)/25)*GM183+(1-EXP(-LN(2)/25))/(LN(2)/25)*Calculateur!GH184*Calculateur!GJ184*VLOOKUP('Données projet'!$B$17,Paramètres!$A$1:$I$89,3,0)*0.475*44/12</f>
        <v>1.4226432924723778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9.0149730585369561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5.4683368944097308E-14</v>
      </c>
      <c r="P185" s="13">
        <f t="shared" si="141"/>
        <v>8.8129432816788268E-13</v>
      </c>
      <c r="Q185" s="20">
        <f t="shared" si="162"/>
        <v>1.6301611558033651E-12</v>
      </c>
      <c r="R185" s="59">
        <f t="shared" si="109"/>
        <v>293.33333333333496</v>
      </c>
      <c r="S185" s="59">
        <f ca="1">AVERAGE(OFFSET($R$3,0,0,'Données projet'!$E$9+1,1))-AVERAGE(OFFSET($H$3,0,0,'Données projet'!$E$9+1,1))</f>
        <v>226.41956082453015</v>
      </c>
      <c r="T185" s="59">
        <f t="shared" si="142"/>
        <v>317.95076157570446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2.9262992029543969E-13</v>
      </c>
      <c r="AK185" s="13">
        <f t="shared" si="164"/>
        <v>3.8796387982050903E-12</v>
      </c>
      <c r="AL185" s="20">
        <f t="shared" si="165"/>
        <v>7.2667013513884219E-12</v>
      </c>
      <c r="AM185" s="59">
        <f t="shared" si="113"/>
        <v>293.33333333334059</v>
      </c>
      <c r="AN185" s="59">
        <f ca="1">AVERAGE(OFFSET($AM$3,0,0,'Données projet'!$E$10+1,1))-AVERAGE(OFFSET($H$3,0,0,'Données projet'!$E$10+1,1))</f>
        <v>257.80662231827404</v>
      </c>
      <c r="AO185" s="59">
        <f t="shared" si="144"/>
        <v>184.04558520039876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-2.5420376914553347E-13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300.90952915835157</v>
      </c>
      <c r="BJ185" s="59">
        <f t="shared" si="146"/>
        <v>402.81783992925256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18.325694900799803</v>
      </c>
      <c r="BQ185" s="21">
        <f>EXP(-LN(2)/25)*BQ184+(1-EXP(-LN(2)/25))/(LN(2)/25)*Calculateur!BL185*Calculateur!BN185*VLOOKUP('Données projet'!$B$11,Paramètres!$A$1:$I$89,3,0)*0.475*44/12</f>
        <v>1.7214174551991164</v>
      </c>
      <c r="BR185" s="21">
        <f>EXP(-LN(2)/2)*BR184+(1-EXP(-LN(2)/2))/(LN(2)/2)*BL185*BO185*VLOOKUP('Données projet'!$B$11,Paramètres!$A$1:$I$89,3,0)*0.475*44/12</f>
        <v>2.5792838973966961E-18</v>
      </c>
      <c r="BS185" s="22">
        <f t="shared" si="169"/>
        <v>20.047112355998919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-2.8421709430404007E-13</v>
      </c>
      <c r="BZ185" s="13">
        <f>BY185*VLOOKUP('Données projet'!$B$12,Paramètres!$A$1:$I$89,3,0)*VLOOKUP('Données projet'!$B$12,Paramètres!$A$1:$I$89,5,0)</f>
        <v>-1.4040324458619578E-13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246.05217890269194</v>
      </c>
      <c r="CE185" s="59">
        <f t="shared" si="148"/>
        <v>155.54297071424327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39.549037275421995</v>
      </c>
      <c r="CL185" s="21">
        <f>EXP(-LN(2)/25)*CL184+(1-EXP(-LN(2)/25))/(LN(2)/25)*Calculateur!CG185*Calculateur!CI185*VLOOKUP('Données projet'!$B$12,Paramètres!$A$1:$I$89,3,0)*0.475*44/12</f>
        <v>5.2882961195588312</v>
      </c>
      <c r="CM185" s="21">
        <f>EXP(-LN(2)/2)*CM184+(1-EXP(-LN(2)/2))/(LN(2)/2)*CG185*CJ185*VLOOKUP('Données projet'!$B$12,Paramètres!$A$1:$I$89,3,0)*0.475*44/12</f>
        <v>1.1698952766950501E-11</v>
      </c>
      <c r="CN185" s="22">
        <f t="shared" si="172"/>
        <v>44.83733339499252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-3.4106051316484809E-13</v>
      </c>
      <c r="CU185" s="17">
        <f>CT185*VLOOKUP('Données projet'!$B$13,Paramètres!$A$1:$I$89,3,0)*VLOOKUP('Données projet'!$B$13,Paramètres!$A$1:$I$89,5,0)</f>
        <v>-2.0395418687257919E-13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237.036496933921</v>
      </c>
      <c r="CZ185" s="59">
        <f t="shared" si="150"/>
        <v>191.04289413665344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18.869374693587496</v>
      </c>
      <c r="DG185" s="21">
        <f>EXP(-LN(2)/25)*DG184+(1-EXP(-LN(2)/25))/(LN(2)/25)*Calculateur!DB185*Calculateur!DD185*VLOOKUP('Données projet'!$B$13,Paramètres!$A$1:$I$89,3,0)*0.475*44/12</f>
        <v>2.0456501826096956</v>
      </c>
      <c r="DH185" s="21">
        <f>EXP(-LN(2)/2)*DH184+(1-EXP(-LN(2)/2))/(LN(2)/2)*DB185*DE185*VLOOKUP('Données projet'!$B$13,Paramètres!$A$1:$I$89,3,0)*0.475*44/12</f>
        <v>1.5815581159061009E-14</v>
      </c>
      <c r="DI185" s="22">
        <f t="shared" si="175"/>
        <v>20.915024876197204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-3.979039320256561E-13</v>
      </c>
      <c r="DP185" s="17">
        <f>DO185*VLOOKUP('Données projet'!$B$14,Paramètres!$A$1:$I$89,3,0)*VLOOKUP('Données projet'!$B$14,Paramètres!$A$1:$I$89,5,0)</f>
        <v>-2.379465513513424E-13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148.22129593028302</v>
      </c>
      <c r="DU185" s="59">
        <f t="shared" si="152"/>
        <v>102.97015482019975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233.89079999999998</v>
      </c>
      <c r="EL185" s="13">
        <f t="shared" si="179"/>
        <v>57.123140349023068</v>
      </c>
      <c r="EM185" s="20">
        <f t="shared" si="180"/>
        <v>506.84927944121517</v>
      </c>
      <c r="EN185" s="59">
        <f t="shared" si="128"/>
        <v>800.18261277454849</v>
      </c>
      <c r="EO185" s="59">
        <f ca="1">AVERAGE(OFFSET($EN$3,0,0,'Données projet'!$E$15+1,1))-AVERAGE(OFFSET($H$3,0,0,'Données projet'!$E$15+1,1))</f>
        <v>278.53123771916404</v>
      </c>
      <c r="EP185" s="59">
        <f t="shared" si="154"/>
        <v>283.79094702030869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4.4412530675534416</v>
      </c>
      <c r="EW185" s="21">
        <f>EXP(-LN(2)/25)*EW184+(1-EXP(-LN(2)/25))/(LN(2)/25)*Calculateur!ER185*Calculateur!ET185*VLOOKUP('Données projet'!$B$15,Paramètres!$A$1:$I$89,3,0)*0.475*44/12</f>
        <v>0.33358033717466185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4.7748334047281036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1.5384615384615377</v>
      </c>
      <c r="FE185" s="12">
        <f>IF('Données projet'!$A$218&gt;35,FE184+FD185-FM184,IF(A185&lt;'Données projet'!$A$218,$FB$205^A185,IF(A185='Données projet'!$A$218,'Données projet'!$B$218,FE184+FD185-FM184)))</f>
        <v>127.78846153846099</v>
      </c>
      <c r="FF185" s="17">
        <f>FE185*VLOOKUP('Données projet'!$B$16,Paramètres!$A$1:$I$89,3,0)*VLOOKUP('Données projet'!$B$16,Paramètres!$A$1:$I$89,5,0)</f>
        <v>115.62299999999951</v>
      </c>
      <c r="FG185" s="13">
        <f t="shared" si="182"/>
        <v>30.651938791248938</v>
      </c>
      <c r="FH185" s="20">
        <f t="shared" si="183"/>
        <v>254.76218506142436</v>
      </c>
      <c r="FI185" s="59">
        <f t="shared" si="131"/>
        <v>548.09551839475762</v>
      </c>
      <c r="FJ185" s="59">
        <f ca="1">AVERAGE(OFFSET($FI$3,0,0,'Données projet'!$E$16+1,1))-AVERAGE(OFFSET($H$3,0,0,'Données projet'!$E$16+1,1))</f>
        <v>335.99493768537013</v>
      </c>
      <c r="FK185" s="59">
        <f t="shared" si="156"/>
        <v>150.85164849522778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154.59691692497557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154.59691692497557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259.99999999999983</v>
      </c>
      <c r="GA185" s="17">
        <f>FZ185*VLOOKUP('Données projet'!$B$17,Paramètres!$A$1:$I$89,3,0)*VLOOKUP('Données projet'!$B$17,Paramètres!$A$1:$I$89,5,0)</f>
        <v>227.13599999999985</v>
      </c>
      <c r="GB185" s="13">
        <f t="shared" si="185"/>
        <v>55.662966886685133</v>
      </c>
      <c r="GC185" s="20">
        <f t="shared" si="186"/>
        <v>492.5415339943097</v>
      </c>
      <c r="GD185" s="59">
        <f t="shared" si="134"/>
        <v>785.87486732764296</v>
      </c>
      <c r="GE185" s="59">
        <f ca="1">AVERAGE(OFFSET($GD$3,0,0,'Données projet'!$E$17+1,1))-AVERAGE(OFFSET($H$3,0,0,'Données projet'!$E$17+1,1))</f>
        <v>319.57811113658374</v>
      </c>
      <c r="GF185" s="59">
        <f t="shared" si="158"/>
        <v>322.03572137403245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7.4434488102159486</v>
      </c>
      <c r="GM185" s="21">
        <f>EXP(-LN(2)/25)*GM184+(1-EXP(-LN(2)/25))/(LN(2)/25)*Calculateur!GH185*Calculateur!GJ185*VLOOKUP('Données projet'!$B$17,Paramètres!$A$1:$I$89,3,0)*0.475*44/12</f>
        <v>1.3837410368261613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8.82718984704211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5.4683368944097308E-14</v>
      </c>
      <c r="P186" s="13">
        <f t="shared" si="141"/>
        <v>8.8129432816788268E-13</v>
      </c>
      <c r="Q186" s="20">
        <f t="shared" si="162"/>
        <v>1.6301611558033651E-12</v>
      </c>
      <c r="R186" s="59">
        <f t="shared" si="109"/>
        <v>293.33333333333496</v>
      </c>
      <c r="S186" s="59">
        <f ca="1">AVERAGE(OFFSET($R$3,0,0,'Données projet'!$E$9+1,1))-AVERAGE(OFFSET($H$3,0,0,'Données projet'!$E$9+1,1))</f>
        <v>226.41956082453015</v>
      </c>
      <c r="T186" s="59">
        <f t="shared" si="142"/>
        <v>317.95076157570446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2.9262992029543969E-13</v>
      </c>
      <c r="AK186" s="13">
        <f t="shared" si="164"/>
        <v>3.8796387982050903E-12</v>
      </c>
      <c r="AL186" s="20">
        <f t="shared" si="165"/>
        <v>7.2667013513884219E-12</v>
      </c>
      <c r="AM186" s="59">
        <f t="shared" si="113"/>
        <v>293.33333333334059</v>
      </c>
      <c r="AN186" s="59">
        <f ca="1">AVERAGE(OFFSET($AM$3,0,0,'Données projet'!$E$10+1,1))-AVERAGE(OFFSET($H$3,0,0,'Données projet'!$E$10+1,1))</f>
        <v>257.80662231827404</v>
      </c>
      <c r="AO186" s="59">
        <f t="shared" si="144"/>
        <v>184.04558520039876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-2.5420376914553347E-13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300.90952915835157</v>
      </c>
      <c r="BJ186" s="59">
        <f t="shared" si="146"/>
        <v>402.81783992925256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17.966339201365315</v>
      </c>
      <c r="BQ186" s="21">
        <f>EXP(-LN(2)/25)*BQ185+(1-EXP(-LN(2)/25))/(LN(2)/25)*Calculateur!BL186*Calculateur!BN186*VLOOKUP('Données projet'!$B$11,Paramètres!$A$1:$I$89,3,0)*0.475*44/12</f>
        <v>1.674345204361287</v>
      </c>
      <c r="BR186" s="21">
        <f>EXP(-LN(2)/2)*BR185+(1-EXP(-LN(2)/2))/(LN(2)/2)*BL186*BO186*VLOOKUP('Données projet'!$B$11,Paramètres!$A$1:$I$89,3,0)*0.475*44/12</f>
        <v>1.8238291344544711E-18</v>
      </c>
      <c r="BS186" s="22">
        <f t="shared" si="169"/>
        <v>19.640684405726603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-2.8421709430404007E-13</v>
      </c>
      <c r="BZ186" s="13">
        <f>BY186*VLOOKUP('Données projet'!$B$12,Paramètres!$A$1:$I$89,3,0)*VLOOKUP('Données projet'!$B$12,Paramètres!$A$1:$I$89,5,0)</f>
        <v>-1.4040324458619578E-13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246.05217890269194</v>
      </c>
      <c r="CE186" s="59">
        <f t="shared" si="148"/>
        <v>155.54297071424327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38.773504776981802</v>
      </c>
      <c r="CL186" s="21">
        <f>EXP(-LN(2)/25)*CL185+(1-EXP(-LN(2)/25))/(LN(2)/25)*Calculateur!CG186*Calculateur!CI186*VLOOKUP('Données projet'!$B$12,Paramètres!$A$1:$I$89,3,0)*0.475*44/12</f>
        <v>5.1436873840700885</v>
      </c>
      <c r="CM186" s="21">
        <f>EXP(-LN(2)/2)*CM185+(1-EXP(-LN(2)/2))/(LN(2)/2)*CG186*CJ186*VLOOKUP('Données projet'!$B$12,Paramètres!$A$1:$I$89,3,0)*0.475*44/12</f>
        <v>8.2724088342918228E-12</v>
      </c>
      <c r="CN186" s="22">
        <f t="shared" si="172"/>
        <v>43.917192161060164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-3.4106051316484809E-13</v>
      </c>
      <c r="CU186" s="17">
        <f>CT186*VLOOKUP('Données projet'!$B$13,Paramètres!$A$1:$I$89,3,0)*VLOOKUP('Données projet'!$B$13,Paramètres!$A$1:$I$89,5,0)</f>
        <v>-2.0395418687257919E-13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237.036496933921</v>
      </c>
      <c r="CZ186" s="59">
        <f t="shared" si="150"/>
        <v>191.04289413665344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18.499357765028371</v>
      </c>
      <c r="DG186" s="21">
        <f>EXP(-LN(2)/25)*DG185+(1-EXP(-LN(2)/25))/(LN(2)/25)*Calculateur!DB186*Calculateur!DD186*VLOOKUP('Données projet'!$B$13,Paramètres!$A$1:$I$89,3,0)*0.475*44/12</f>
        <v>1.9897117707901657</v>
      </c>
      <c r="DH186" s="21">
        <f>EXP(-LN(2)/2)*DH185+(1-EXP(-LN(2)/2))/(LN(2)/2)*DB186*DE186*VLOOKUP('Données projet'!$B$13,Paramètres!$A$1:$I$89,3,0)*0.475*44/12</f>
        <v>1.1183304685978236E-14</v>
      </c>
      <c r="DI186" s="22">
        <f t="shared" si="175"/>
        <v>20.489069535818548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-3.979039320256561E-13</v>
      </c>
      <c r="DP186" s="17">
        <f>DO186*VLOOKUP('Données projet'!$B$14,Paramètres!$A$1:$I$89,3,0)*VLOOKUP('Données projet'!$B$14,Paramètres!$A$1:$I$89,5,0)</f>
        <v>-2.379465513513424E-13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148.22129593028302</v>
      </c>
      <c r="DU186" s="59">
        <f t="shared" si="152"/>
        <v>102.97015482019975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233.89079999999998</v>
      </c>
      <c r="EL186" s="13">
        <f t="shared" si="179"/>
        <v>57.123140349023068</v>
      </c>
      <c r="EM186" s="20">
        <f t="shared" si="180"/>
        <v>506.84927944121517</v>
      </c>
      <c r="EN186" s="59">
        <f t="shared" si="128"/>
        <v>800.18261277454849</v>
      </c>
      <c r="EO186" s="59">
        <f ca="1">AVERAGE(OFFSET($EN$3,0,0,'Données projet'!$E$15+1,1))-AVERAGE(OFFSET($H$3,0,0,'Données projet'!$E$15+1,1))</f>
        <v>278.53123771916404</v>
      </c>
      <c r="EP186" s="59">
        <f t="shared" si="154"/>
        <v>283.79094702030869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4.3541628037956084</v>
      </c>
      <c r="EW186" s="21">
        <f>EXP(-LN(2)/25)*EW185+(1-EXP(-LN(2)/25))/(LN(2)/25)*Calculateur!ER186*Calculateur!ET186*VLOOKUP('Données projet'!$B$15,Paramètres!$A$1:$I$89,3,0)*0.475*44/12</f>
        <v>0.3244585653123932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4.6786213691080016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>
        <f>VLOOKUP(A186,'Données projet'!$A$217:$I$237,2,0)</f>
        <v>129.32692307692307</v>
      </c>
      <c r="FC186" s="12">
        <f>VLOOKUP(A186,'Données projet'!$A$217:$I$237,9,0)</f>
        <v>1.5384615384615377</v>
      </c>
      <c r="FD186" s="12">
        <f t="array" ref="FD186">INDEX(FC:FC,MIN(IF(ISNUMBER(FC186:FC382),ROW(FC186:FC382),"")))</f>
        <v>1.5384615384615377</v>
      </c>
      <c r="FE186" s="12">
        <f>IF('Données projet'!$A$218&gt;35,FE185+FD186-FM185,IF(A186&lt;'Données projet'!$A$218,$FB$205^A186,IF(A186='Données projet'!$A$218,'Données projet'!$B$218,FE185+FD186-FM185)))</f>
        <v>129.32692307692253</v>
      </c>
      <c r="FF186" s="17">
        <f>FE186*VLOOKUP('Données projet'!$B$16,Paramètres!$A$1:$I$89,3,0)*VLOOKUP('Données projet'!$B$16,Paramètres!$A$1:$I$89,5,0)</f>
        <v>117.0149999999995</v>
      </c>
      <c r="FG186" s="13">
        <f t="shared" si="182"/>
        <v>30.977779699248124</v>
      </c>
      <c r="FH186" s="20">
        <f t="shared" si="183"/>
        <v>257.75409130952295</v>
      </c>
      <c r="FI186" s="59">
        <f t="shared" si="131"/>
        <v>551.08742464285626</v>
      </c>
      <c r="FJ186" s="59">
        <f ca="1">AVERAGE(OFFSET($FI$3,0,0,'Données projet'!$E$16+1,1))-AVERAGE(OFFSET($H$3,0,0,'Données projet'!$E$16+1,1))</f>
        <v>335.99493768537013</v>
      </c>
      <c r="FK186" s="59">
        <f t="shared" si="156"/>
        <v>150.85164849522778</v>
      </c>
      <c r="FL186" s="15">
        <f>IF(ISNA(VLOOKUP(A186,'Données projet'!$A$217:$I$237,3,0)),0,VLOOKUP(A186,'Données projet'!$A$217:$I$237,3,0))</f>
        <v>18</v>
      </c>
      <c r="FM186" s="15">
        <f>IF(ISNA(VLOOKUP(A186,'Données projet'!$A$217:$I$237,4,0)),0,VLOOKUP(A186,'Données projet'!$A$217:$I$237,4,0))</f>
        <v>129.32692307692307</v>
      </c>
      <c r="FN186" s="16">
        <f>IF(ISNA(VLOOKUP(A186,'Données projet'!$A$217:$I$237,5,0)),0%,VLOOKUP(A186,'Données projet'!$A$217:$I$237,5,0)*VLOOKUP('Données projet'!$B$16,Paramètres!$A$1:$I$89,7,0))</f>
        <v>0.38700000000000001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201.62637624931091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201.62637624931091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259.99999999999983</v>
      </c>
      <c r="GA186" s="17">
        <f>FZ186*VLOOKUP('Données projet'!$B$17,Paramètres!$A$1:$I$89,3,0)*VLOOKUP('Données projet'!$B$17,Paramètres!$A$1:$I$89,5,0)</f>
        <v>227.13599999999985</v>
      </c>
      <c r="GB186" s="13">
        <f t="shared" si="185"/>
        <v>55.662966886685133</v>
      </c>
      <c r="GC186" s="20">
        <f t="shared" si="186"/>
        <v>492.5415339943097</v>
      </c>
      <c r="GD186" s="59">
        <f t="shared" si="134"/>
        <v>785.87486732764296</v>
      </c>
      <c r="GE186" s="59">
        <f ca="1">AVERAGE(OFFSET($GD$3,0,0,'Données projet'!$E$17+1,1))-AVERAGE(OFFSET($H$3,0,0,'Données projet'!$E$17+1,1))</f>
        <v>319.57811113658374</v>
      </c>
      <c r="GF186" s="59">
        <f t="shared" si="158"/>
        <v>322.03572137403245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7.2974873191030944</v>
      </c>
      <c r="GM186" s="21">
        <f>EXP(-LN(2)/25)*GM185+(1-EXP(-LN(2)/25))/(LN(2)/25)*Calculateur!GH186*Calculateur!GJ186*VLOOKUP('Données projet'!$B$17,Paramètres!$A$1:$I$89,3,0)*0.475*44/12</f>
        <v>1.3459025654063714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8.6433898845094657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5.4683368944097308E-14</v>
      </c>
      <c r="P187" s="13">
        <f t="shared" si="141"/>
        <v>8.8129432816788268E-13</v>
      </c>
      <c r="Q187" s="20">
        <f t="shared" si="162"/>
        <v>1.6301611558033651E-12</v>
      </c>
      <c r="R187" s="59">
        <f t="shared" si="109"/>
        <v>293.33333333333496</v>
      </c>
      <c r="S187" s="59">
        <f ca="1">AVERAGE(OFFSET($R$3,0,0,'Données projet'!$E$9+1,1))-AVERAGE(OFFSET($H$3,0,0,'Données projet'!$E$9+1,1))</f>
        <v>226.41956082453015</v>
      </c>
      <c r="T187" s="59">
        <f t="shared" si="142"/>
        <v>317.95076157570446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2.9262992029543969E-13</v>
      </c>
      <c r="AK187" s="13">
        <f t="shared" si="164"/>
        <v>3.8796387982050903E-12</v>
      </c>
      <c r="AL187" s="20">
        <f t="shared" si="165"/>
        <v>7.2667013513884219E-12</v>
      </c>
      <c r="AM187" s="59">
        <f t="shared" si="113"/>
        <v>293.33333333334059</v>
      </c>
      <c r="AN187" s="59">
        <f ca="1">AVERAGE(OFFSET($AM$3,0,0,'Données projet'!$E$10+1,1))-AVERAGE(OFFSET($H$3,0,0,'Données projet'!$E$10+1,1))</f>
        <v>257.80662231827404</v>
      </c>
      <c r="AO187" s="59">
        <f t="shared" si="144"/>
        <v>184.04558520039876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-2.5420376914553347E-13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300.90952915835157</v>
      </c>
      <c r="BJ187" s="59">
        <f t="shared" si="146"/>
        <v>402.81783992925256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17.614030248011403</v>
      </c>
      <c r="BQ187" s="21">
        <f>EXP(-LN(2)/25)*BQ186+(1-EXP(-LN(2)/25))/(LN(2)/25)*Calculateur!BL187*Calculateur!BN187*VLOOKUP('Données projet'!$B$11,Paramètres!$A$1:$I$89,3,0)*0.475*44/12</f>
        <v>1.6285601466980399</v>
      </c>
      <c r="BR187" s="21">
        <f>EXP(-LN(2)/2)*BR186+(1-EXP(-LN(2)/2))/(LN(2)/2)*BL187*BO187*VLOOKUP('Données projet'!$B$11,Paramètres!$A$1:$I$89,3,0)*0.475*44/12</f>
        <v>1.2896419486983481E-18</v>
      </c>
      <c r="BS187" s="22">
        <f t="shared" si="169"/>
        <v>19.242590394709442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-2.8421709430404007E-13</v>
      </c>
      <c r="BZ187" s="13">
        <f>BY187*VLOOKUP('Données projet'!$B$12,Paramètres!$A$1:$I$89,3,0)*VLOOKUP('Données projet'!$B$12,Paramètres!$A$1:$I$89,5,0)</f>
        <v>-1.4040324458619578E-13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246.05217890269194</v>
      </c>
      <c r="CE187" s="59">
        <f t="shared" si="148"/>
        <v>155.54297071424327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38.01317999780791</v>
      </c>
      <c r="CL187" s="21">
        <f>EXP(-LN(2)/25)*CL186+(1-EXP(-LN(2)/25))/(LN(2)/25)*Calculateur!CG187*Calculateur!CI187*VLOOKUP('Données projet'!$B$12,Paramètres!$A$1:$I$89,3,0)*0.475*44/12</f>
        <v>5.0030329820579285</v>
      </c>
      <c r="CM187" s="21">
        <f>EXP(-LN(2)/2)*CM186+(1-EXP(-LN(2)/2))/(LN(2)/2)*CG187*CJ187*VLOOKUP('Données projet'!$B$12,Paramètres!$A$1:$I$89,3,0)*0.475*44/12</f>
        <v>5.8494763834752507E-12</v>
      </c>
      <c r="CN187" s="22">
        <f t="shared" si="172"/>
        <v>43.016212979871689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-3.4106051316484809E-13</v>
      </c>
      <c r="CU187" s="17">
        <f>CT187*VLOOKUP('Données projet'!$B$13,Paramètres!$A$1:$I$89,3,0)*VLOOKUP('Données projet'!$B$13,Paramètres!$A$1:$I$89,5,0)</f>
        <v>-2.0395418687257919E-13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237.036496933921</v>
      </c>
      <c r="CZ187" s="59">
        <f t="shared" si="150"/>
        <v>191.04289413665344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18.136596642750249</v>
      </c>
      <c r="DG187" s="21">
        <f>EXP(-LN(2)/25)*DG186+(1-EXP(-LN(2)/25))/(LN(2)/25)*Calculateur!DB187*Calculateur!DD187*VLOOKUP('Données projet'!$B$13,Paramètres!$A$1:$I$89,3,0)*0.475*44/12</f>
        <v>1.9353029977835141</v>
      </c>
      <c r="DH187" s="21">
        <f>EXP(-LN(2)/2)*DH186+(1-EXP(-LN(2)/2))/(LN(2)/2)*DB187*DE187*VLOOKUP('Données projet'!$B$13,Paramètres!$A$1:$I$89,3,0)*0.475*44/12</f>
        <v>7.9077905795305045E-15</v>
      </c>
      <c r="DI187" s="22">
        <f t="shared" si="175"/>
        <v>20.071899640533768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-3.979039320256561E-13</v>
      </c>
      <c r="DP187" s="17">
        <f>DO187*VLOOKUP('Données projet'!$B$14,Paramètres!$A$1:$I$89,3,0)*VLOOKUP('Données projet'!$B$14,Paramètres!$A$1:$I$89,5,0)</f>
        <v>-2.379465513513424E-13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148.22129593028302</v>
      </c>
      <c r="DU187" s="59">
        <f t="shared" si="152"/>
        <v>102.97015482019975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233.89079999999998</v>
      </c>
      <c r="EL187" s="13">
        <f t="shared" si="179"/>
        <v>57.123140349023068</v>
      </c>
      <c r="EM187" s="20">
        <f t="shared" si="180"/>
        <v>506.84927944121517</v>
      </c>
      <c r="EN187" s="59">
        <f t="shared" si="128"/>
        <v>800.18261277454849</v>
      </c>
      <c r="EO187" s="59">
        <f ca="1">AVERAGE(OFFSET($EN$3,0,0,'Données projet'!$E$15+1,1))-AVERAGE(OFFSET($H$3,0,0,'Données projet'!$E$15+1,1))</f>
        <v>278.53123771916404</v>
      </c>
      <c r="EP187" s="59">
        <f t="shared" si="154"/>
        <v>283.79094702030869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4.2687803269902505</v>
      </c>
      <c r="EW187" s="21">
        <f>EXP(-LN(2)/25)*EW186+(1-EXP(-LN(2)/25))/(LN(2)/25)*Calculateur!ER187*Calculateur!ET187*VLOOKUP('Données projet'!$B$15,Paramètres!$A$1:$I$89,3,0)*0.475*44/12</f>
        <v>0.31558622878139142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4.5843665557716422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-5.4001247917767614E-13</v>
      </c>
      <c r="FF187" s="17">
        <f>FE187*VLOOKUP('Données projet'!$B$16,Paramètres!$A$1:$I$89,3,0)*VLOOKUP('Données projet'!$B$16,Paramètres!$A$1:$I$89,5,0)</f>
        <v>-4.8860329115996133E-13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335.99493768537013</v>
      </c>
      <c r="FK187" s="59">
        <f t="shared" si="156"/>
        <v>150.85164849522778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197.67260599100817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197.67260599100817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259.99999999999983</v>
      </c>
      <c r="GA187" s="17">
        <f>FZ187*VLOOKUP('Données projet'!$B$17,Paramètres!$A$1:$I$89,3,0)*VLOOKUP('Données projet'!$B$17,Paramètres!$A$1:$I$89,5,0)</f>
        <v>227.13599999999985</v>
      </c>
      <c r="GB187" s="13">
        <f t="shared" si="185"/>
        <v>55.662966886685133</v>
      </c>
      <c r="GC187" s="20">
        <f t="shared" si="186"/>
        <v>492.5415339943097</v>
      </c>
      <c r="GD187" s="59">
        <f t="shared" si="134"/>
        <v>785.87486732764296</v>
      </c>
      <c r="GE187" s="59">
        <f ca="1">AVERAGE(OFFSET($GD$3,0,0,'Données projet'!$E$17+1,1))-AVERAGE(OFFSET($H$3,0,0,'Données projet'!$E$17+1,1))</f>
        <v>319.57811113658374</v>
      </c>
      <c r="GF187" s="59">
        <f t="shared" si="158"/>
        <v>322.03572137403245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7.1543880438032446</v>
      </c>
      <c r="GM187" s="21">
        <f>EXP(-LN(2)/25)*GM186+(1-EXP(-LN(2)/25))/(LN(2)/25)*Calculateur!GH187*Calculateur!GJ187*VLOOKUP('Données projet'!$B$17,Paramètres!$A$1:$I$89,3,0)*0.475*44/12</f>
        <v>1.3090987889773944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8.4634868327806387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5.4683368944097308E-14</v>
      </c>
      <c r="P188" s="13">
        <f t="shared" si="141"/>
        <v>8.8129432816788268E-13</v>
      </c>
      <c r="Q188" s="20">
        <f t="shared" si="162"/>
        <v>1.6301611558033651E-12</v>
      </c>
      <c r="R188" s="59">
        <f t="shared" si="109"/>
        <v>293.33333333333496</v>
      </c>
      <c r="S188" s="59">
        <f ca="1">AVERAGE(OFFSET($R$3,0,0,'Données projet'!$E$9+1,1))-AVERAGE(OFFSET($H$3,0,0,'Données projet'!$E$9+1,1))</f>
        <v>226.41956082453015</v>
      </c>
      <c r="T188" s="59">
        <f t="shared" si="142"/>
        <v>317.95076157570446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2.9262992029543969E-13</v>
      </c>
      <c r="AK188" s="13">
        <f t="shared" si="164"/>
        <v>3.8796387982050903E-12</v>
      </c>
      <c r="AL188" s="20">
        <f t="shared" si="165"/>
        <v>7.2667013513884219E-12</v>
      </c>
      <c r="AM188" s="59">
        <f t="shared" si="113"/>
        <v>293.33333333334059</v>
      </c>
      <c r="AN188" s="59">
        <f ca="1">AVERAGE(OFFSET($AM$3,0,0,'Données projet'!$E$10+1,1))-AVERAGE(OFFSET($H$3,0,0,'Données projet'!$E$10+1,1))</f>
        <v>257.80662231827404</v>
      </c>
      <c r="AO188" s="59">
        <f t="shared" si="144"/>
        <v>184.04558520039876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-2.5420376914553347E-13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300.90952915835157</v>
      </c>
      <c r="BJ188" s="59">
        <f t="shared" si="146"/>
        <v>402.81783992925256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17.26862985834552</v>
      </c>
      <c r="BQ188" s="21">
        <f>EXP(-LN(2)/25)*BQ187+(1-EXP(-LN(2)/25))/(LN(2)/25)*Calculateur!BL188*Calculateur!BN188*VLOOKUP('Données projet'!$B$11,Paramètres!$A$1:$I$89,3,0)*0.475*44/12</f>
        <v>1.584027083844326</v>
      </c>
      <c r="BR188" s="21">
        <f>EXP(-LN(2)/2)*BR187+(1-EXP(-LN(2)/2))/(LN(2)/2)*BL188*BO188*VLOOKUP('Données projet'!$B$11,Paramètres!$A$1:$I$89,3,0)*0.475*44/12</f>
        <v>9.1191456722723555E-19</v>
      </c>
      <c r="BS188" s="22">
        <f t="shared" si="169"/>
        <v>18.852656942189846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-2.8421709430404007E-13</v>
      </c>
      <c r="BZ188" s="13">
        <f>BY188*VLOOKUP('Données projet'!$B$12,Paramètres!$A$1:$I$89,3,0)*VLOOKUP('Données projet'!$B$12,Paramètres!$A$1:$I$89,5,0)</f>
        <v>-1.4040324458619578E-13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246.05217890269194</v>
      </c>
      <c r="CE188" s="59">
        <f t="shared" si="148"/>
        <v>155.54297071424327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37.267764723801292</v>
      </c>
      <c r="CL188" s="21">
        <f>EXP(-LN(2)/25)*CL187+(1-EXP(-LN(2)/25))/(LN(2)/25)*Calculateur!CG188*Calculateur!CI188*VLOOKUP('Données projet'!$B$12,Paramètres!$A$1:$I$89,3,0)*0.475*44/12</f>
        <v>4.8662247820654843</v>
      </c>
      <c r="CM188" s="21">
        <f>EXP(-LN(2)/2)*CM187+(1-EXP(-LN(2)/2))/(LN(2)/2)*CG188*CJ188*VLOOKUP('Données projet'!$B$12,Paramètres!$A$1:$I$89,3,0)*0.475*44/12</f>
        <v>4.1362044171459114E-12</v>
      </c>
      <c r="CN188" s="22">
        <f t="shared" si="172"/>
        <v>42.133989505870915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-3.4106051316484809E-13</v>
      </c>
      <c r="CU188" s="17">
        <f>CT188*VLOOKUP('Données projet'!$B$13,Paramètres!$A$1:$I$89,3,0)*VLOOKUP('Données projet'!$B$13,Paramètres!$A$1:$I$89,5,0)</f>
        <v>-2.0395418687257919E-13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237.036496933921</v>
      </c>
      <c r="CZ188" s="59">
        <f t="shared" si="150"/>
        <v>191.04289413665344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17.780949044817564</v>
      </c>
      <c r="DG188" s="21">
        <f>EXP(-LN(2)/25)*DG187+(1-EXP(-LN(2)/25))/(LN(2)/25)*Calculateur!DB188*Calculateur!DD188*VLOOKUP('Données projet'!$B$13,Paramètres!$A$1:$I$89,3,0)*0.475*44/12</f>
        <v>1.8823820355359624</v>
      </c>
      <c r="DH188" s="21">
        <f>EXP(-LN(2)/2)*DH187+(1-EXP(-LN(2)/2))/(LN(2)/2)*DB188*DE188*VLOOKUP('Données projet'!$B$13,Paramètres!$A$1:$I$89,3,0)*0.475*44/12</f>
        <v>5.5916523429891182E-15</v>
      </c>
      <c r="DI188" s="22">
        <f t="shared" si="175"/>
        <v>19.663331080353533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-3.979039320256561E-13</v>
      </c>
      <c r="DP188" s="17">
        <f>DO188*VLOOKUP('Données projet'!$B$14,Paramètres!$A$1:$I$89,3,0)*VLOOKUP('Données projet'!$B$14,Paramètres!$A$1:$I$89,5,0)</f>
        <v>-2.379465513513424E-13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148.22129593028302</v>
      </c>
      <c r="DU188" s="59">
        <f t="shared" si="152"/>
        <v>102.97015482019975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233.89079999999998</v>
      </c>
      <c r="EL188" s="13">
        <f t="shared" si="179"/>
        <v>57.123140349023068</v>
      </c>
      <c r="EM188" s="20">
        <f t="shared" si="180"/>
        <v>506.84927944121517</v>
      </c>
      <c r="EN188" s="59">
        <f t="shared" si="128"/>
        <v>800.18261277454849</v>
      </c>
      <c r="EO188" s="59">
        <f ca="1">AVERAGE(OFFSET($EN$3,0,0,'Données projet'!$E$15+1,1))-AVERAGE(OFFSET($H$3,0,0,'Données projet'!$E$15+1,1))</f>
        <v>278.53123771916404</v>
      </c>
      <c r="EP188" s="59">
        <f t="shared" si="154"/>
        <v>283.79094702030869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4.1850721484768769</v>
      </c>
      <c r="EW188" s="21">
        <f>EXP(-LN(2)/25)*EW187+(1-EXP(-LN(2)/25))/(LN(2)/25)*Calculateur!ER188*Calculateur!ET188*VLOOKUP('Données projet'!$B$15,Paramètres!$A$1:$I$89,3,0)*0.475*44/12</f>
        <v>0.30695650675940578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4.4920286552362825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-5.4001247917767614E-13</v>
      </c>
      <c r="FF188" s="17">
        <f>FE188*VLOOKUP('Données projet'!$B$16,Paramètres!$A$1:$I$89,3,0)*VLOOKUP('Données projet'!$B$16,Paramètres!$A$1:$I$89,5,0)</f>
        <v>-4.8860329115996133E-13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335.99493768537013</v>
      </c>
      <c r="FK188" s="59">
        <f t="shared" si="156"/>
        <v>150.85164849522778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193.79636675590902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193.79636675590902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259.99999999999983</v>
      </c>
      <c r="GA188" s="17">
        <f>FZ188*VLOOKUP('Données projet'!$B$17,Paramètres!$A$1:$I$89,3,0)*VLOOKUP('Données projet'!$B$17,Paramètres!$A$1:$I$89,5,0)</f>
        <v>227.13599999999985</v>
      </c>
      <c r="GB188" s="13">
        <f t="shared" si="185"/>
        <v>55.662966886685133</v>
      </c>
      <c r="GC188" s="20">
        <f t="shared" si="186"/>
        <v>492.5415339943097</v>
      </c>
      <c r="GD188" s="59">
        <f t="shared" si="134"/>
        <v>785.87486732764296</v>
      </c>
      <c r="GE188" s="59">
        <f ca="1">AVERAGE(OFFSET($GD$3,0,0,'Données projet'!$E$17+1,1))-AVERAGE(OFFSET($H$3,0,0,'Données projet'!$E$17+1,1))</f>
        <v>319.57811113658374</v>
      </c>
      <c r="GF188" s="59">
        <f t="shared" si="158"/>
        <v>322.03572137403245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7.0140948580100853</v>
      </c>
      <c r="GM188" s="21">
        <f>EXP(-LN(2)/25)*GM187+(1-EXP(-LN(2)/25))/(LN(2)/25)*Calculateur!GH188*Calculateur!GJ188*VLOOKUP('Données projet'!$B$17,Paramètres!$A$1:$I$89,3,0)*0.475*44/12</f>
        <v>1.2733014137502943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8.2873962717603789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5.4683368944097308E-14</v>
      </c>
      <c r="P189" s="13">
        <f t="shared" si="141"/>
        <v>8.8129432816788268E-13</v>
      </c>
      <c r="Q189" s="20">
        <f t="shared" si="162"/>
        <v>1.6301611558033651E-12</v>
      </c>
      <c r="R189" s="59">
        <f t="shared" si="109"/>
        <v>293.33333333333496</v>
      </c>
      <c r="S189" s="59">
        <f ca="1">AVERAGE(OFFSET($R$3,0,0,'Données projet'!$E$9+1,1))-AVERAGE(OFFSET($H$3,0,0,'Données projet'!$E$9+1,1))</f>
        <v>226.41956082453015</v>
      </c>
      <c r="T189" s="59">
        <f t="shared" si="142"/>
        <v>317.95076157570446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2.9262992029543969E-13</v>
      </c>
      <c r="AK189" s="13">
        <f t="shared" si="164"/>
        <v>3.8796387982050903E-12</v>
      </c>
      <c r="AL189" s="20">
        <f t="shared" si="165"/>
        <v>7.2667013513884219E-12</v>
      </c>
      <c r="AM189" s="59">
        <f t="shared" si="113"/>
        <v>293.33333333334059</v>
      </c>
      <c r="AN189" s="59">
        <f ca="1">AVERAGE(OFFSET($AM$3,0,0,'Données projet'!$E$10+1,1))-AVERAGE(OFFSET($H$3,0,0,'Données projet'!$E$10+1,1))</f>
        <v>257.80662231827404</v>
      </c>
      <c r="AO189" s="59">
        <f t="shared" si="144"/>
        <v>184.04558520039876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-2.5420376914553347E-13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300.90952915835157</v>
      </c>
      <c r="BJ189" s="59">
        <f t="shared" si="146"/>
        <v>402.81783992925256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16.930002559647548</v>
      </c>
      <c r="BQ189" s="21">
        <f>EXP(-LN(2)/25)*BQ188+(1-EXP(-LN(2)/25))/(LN(2)/25)*Calculateur!BL189*Calculateur!BN189*VLOOKUP('Données projet'!$B$11,Paramètres!$A$1:$I$89,3,0)*0.475*44/12</f>
        <v>1.5407117799362389</v>
      </c>
      <c r="BR189" s="21">
        <f>EXP(-LN(2)/2)*BR188+(1-EXP(-LN(2)/2))/(LN(2)/2)*BL189*BO189*VLOOKUP('Données projet'!$B$11,Paramètres!$A$1:$I$89,3,0)*0.475*44/12</f>
        <v>6.4482097434917403E-19</v>
      </c>
      <c r="BS189" s="22">
        <f t="shared" si="169"/>
        <v>18.470714339583786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-2.8421709430404007E-13</v>
      </c>
      <c r="BZ189" s="13">
        <f>BY189*VLOOKUP('Données projet'!$B$12,Paramètres!$A$1:$I$89,3,0)*VLOOKUP('Données projet'!$B$12,Paramètres!$A$1:$I$89,5,0)</f>
        <v>-1.4040324458619578E-13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246.05217890269194</v>
      </c>
      <c r="CE189" s="59">
        <f t="shared" si="148"/>
        <v>155.54297071424327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36.536966588659524</v>
      </c>
      <c r="CL189" s="21">
        <f>EXP(-LN(2)/25)*CL188+(1-EXP(-LN(2)/25))/(LN(2)/25)*Calculateur!CG189*Calculateur!CI189*VLOOKUP('Données projet'!$B$12,Paramètres!$A$1:$I$89,3,0)*0.475*44/12</f>
        <v>4.7331576094962644</v>
      </c>
      <c r="CM189" s="21">
        <f>EXP(-LN(2)/2)*CM188+(1-EXP(-LN(2)/2))/(LN(2)/2)*CG189*CJ189*VLOOKUP('Données projet'!$B$12,Paramètres!$A$1:$I$89,3,0)*0.475*44/12</f>
        <v>2.9247381917376254E-12</v>
      </c>
      <c r="CN189" s="22">
        <f t="shared" si="172"/>
        <v>41.270124198158719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-3.4106051316484809E-13</v>
      </c>
      <c r="CU189" s="17">
        <f>CT189*VLOOKUP('Données projet'!$B$13,Paramètres!$A$1:$I$89,3,0)*VLOOKUP('Données projet'!$B$13,Paramètres!$A$1:$I$89,5,0)</f>
        <v>-2.0395418687257919E-13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237.036496933921</v>
      </c>
      <c r="CZ189" s="59">
        <f t="shared" si="150"/>
        <v>191.04289413665344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17.432275479356726</v>
      </c>
      <c r="DG189" s="21">
        <f>EXP(-LN(2)/25)*DG188+(1-EXP(-LN(2)/25))/(LN(2)/25)*Calculateur!DB189*Calculateur!DD189*VLOOKUP('Données projet'!$B$13,Paramètres!$A$1:$I$89,3,0)*0.475*44/12</f>
        <v>1.8309081997840626</v>
      </c>
      <c r="DH189" s="21">
        <f>EXP(-LN(2)/2)*DH188+(1-EXP(-LN(2)/2))/(LN(2)/2)*DB189*DE189*VLOOKUP('Données projet'!$B$13,Paramètres!$A$1:$I$89,3,0)*0.475*44/12</f>
        <v>3.9538952897652522E-15</v>
      </c>
      <c r="DI189" s="22">
        <f t="shared" si="175"/>
        <v>19.263183679140791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-3.979039320256561E-13</v>
      </c>
      <c r="DP189" s="17">
        <f>DO189*VLOOKUP('Données projet'!$B$14,Paramètres!$A$1:$I$89,3,0)*VLOOKUP('Données projet'!$B$14,Paramètres!$A$1:$I$89,5,0)</f>
        <v>-2.379465513513424E-13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148.22129593028302</v>
      </c>
      <c r="DU189" s="59">
        <f t="shared" si="152"/>
        <v>102.97015482019975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233.89079999999998</v>
      </c>
      <c r="EL189" s="13">
        <f t="shared" si="179"/>
        <v>57.123140349023068</v>
      </c>
      <c r="EM189" s="20">
        <f t="shared" si="180"/>
        <v>506.84927944121517</v>
      </c>
      <c r="EN189" s="59">
        <f t="shared" si="128"/>
        <v>800.18261277454849</v>
      </c>
      <c r="EO189" s="59">
        <f ca="1">AVERAGE(OFFSET($EN$3,0,0,'Données projet'!$E$15+1,1))-AVERAGE(OFFSET($H$3,0,0,'Données projet'!$E$15+1,1))</f>
        <v>278.53123771916404</v>
      </c>
      <c r="EP189" s="59">
        <f t="shared" si="154"/>
        <v>283.79094702030869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4.1030054362872033</v>
      </c>
      <c r="EW189" s="21">
        <f>EXP(-LN(2)/25)*EW188+(1-EXP(-LN(2)/25))/(LN(2)/25)*Calculateur!ER189*Calculateur!ET189*VLOOKUP('Données projet'!$B$15,Paramètres!$A$1:$I$89,3,0)*0.475*44/12</f>
        <v>0.29856276493992867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4.401568201227132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-5.4001247917767614E-13</v>
      </c>
      <c r="FF189" s="17">
        <f>FE189*VLOOKUP('Données projet'!$B$16,Paramètres!$A$1:$I$89,3,0)*VLOOKUP('Données projet'!$B$16,Paramètres!$A$1:$I$89,5,0)</f>
        <v>-4.8860329115996133E-13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335.99493768537013</v>
      </c>
      <c r="FK189" s="59">
        <f t="shared" si="156"/>
        <v>150.85164849522778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189.99613820793769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189.99613820793769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259.99999999999983</v>
      </c>
      <c r="GA189" s="17">
        <f>FZ189*VLOOKUP('Données projet'!$B$17,Paramètres!$A$1:$I$89,3,0)*VLOOKUP('Données projet'!$B$17,Paramètres!$A$1:$I$89,5,0)</f>
        <v>227.13599999999985</v>
      </c>
      <c r="GB189" s="13">
        <f t="shared" si="185"/>
        <v>55.662966886685133</v>
      </c>
      <c r="GC189" s="20">
        <f t="shared" si="186"/>
        <v>492.5415339943097</v>
      </c>
      <c r="GD189" s="59">
        <f t="shared" si="134"/>
        <v>785.87486732764296</v>
      </c>
      <c r="GE189" s="59">
        <f ca="1">AVERAGE(OFFSET($GD$3,0,0,'Données projet'!$E$17+1,1))-AVERAGE(OFFSET($H$3,0,0,'Données projet'!$E$17+1,1))</f>
        <v>319.57811113658374</v>
      </c>
      <c r="GF189" s="59">
        <f t="shared" si="158"/>
        <v>322.03572137403245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6.8765527360199359</v>
      </c>
      <c r="GM189" s="21">
        <f>EXP(-LN(2)/25)*GM188+(1-EXP(-LN(2)/25))/(LN(2)/25)*Calculateur!GH189*Calculateur!GJ189*VLOOKUP('Données projet'!$B$17,Paramètres!$A$1:$I$89,3,0)*0.475*44/12</f>
        <v>1.2384829196312812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8.1150356556512175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5.4683368944097308E-14</v>
      </c>
      <c r="P190" s="13">
        <f t="shared" si="141"/>
        <v>8.8129432816788268E-13</v>
      </c>
      <c r="Q190" s="20">
        <f t="shared" si="162"/>
        <v>1.6301611558033651E-12</v>
      </c>
      <c r="R190" s="59">
        <f t="shared" si="109"/>
        <v>293.33333333333496</v>
      </c>
      <c r="S190" s="59">
        <f ca="1">AVERAGE(OFFSET($R$3,0,0,'Données projet'!$E$9+1,1))-AVERAGE(OFFSET($H$3,0,0,'Données projet'!$E$9+1,1))</f>
        <v>226.41956082453015</v>
      </c>
      <c r="T190" s="59">
        <f t="shared" si="142"/>
        <v>317.95076157570446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2.9262992029543969E-13</v>
      </c>
      <c r="AK190" s="13">
        <f t="shared" si="164"/>
        <v>3.8796387982050903E-12</v>
      </c>
      <c r="AL190" s="20">
        <f t="shared" si="165"/>
        <v>7.2667013513884219E-12</v>
      </c>
      <c r="AM190" s="59">
        <f t="shared" si="113"/>
        <v>293.33333333334059</v>
      </c>
      <c r="AN190" s="59">
        <f ca="1">AVERAGE(OFFSET($AM$3,0,0,'Données projet'!$E$10+1,1))-AVERAGE(OFFSET($H$3,0,0,'Données projet'!$E$10+1,1))</f>
        <v>257.80662231827404</v>
      </c>
      <c r="AO190" s="59">
        <f t="shared" si="144"/>
        <v>184.04558520039876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-2.5420376914553347E-13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300.90952915835157</v>
      </c>
      <c r="BJ190" s="59">
        <f t="shared" si="146"/>
        <v>402.81783992925256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16.598015535734785</v>
      </c>
      <c r="BQ190" s="21">
        <f>EXP(-LN(2)/25)*BQ189+(1-EXP(-LN(2)/25))/(LN(2)/25)*Calculateur!BL190*Calculateur!BN190*VLOOKUP('Données projet'!$B$11,Paramètres!$A$1:$I$89,3,0)*0.475*44/12</f>
        <v>1.4985809352913713</v>
      </c>
      <c r="BR190" s="21">
        <f>EXP(-LN(2)/2)*BR189+(1-EXP(-LN(2)/2))/(LN(2)/2)*BL190*BO190*VLOOKUP('Données projet'!$B$11,Paramètres!$A$1:$I$89,3,0)*0.475*44/12</f>
        <v>4.5595728361361777E-19</v>
      </c>
      <c r="BS190" s="22">
        <f t="shared" si="169"/>
        <v>18.096596471026157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-2.8421709430404007E-13</v>
      </c>
      <c r="BZ190" s="13">
        <f>BY190*VLOOKUP('Données projet'!$B$12,Paramètres!$A$1:$I$89,3,0)*VLOOKUP('Données projet'!$B$12,Paramètres!$A$1:$I$89,5,0)</f>
        <v>-1.4040324458619578E-13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246.05217890269194</v>
      </c>
      <c r="CE190" s="59">
        <f t="shared" si="148"/>
        <v>155.54297071424327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35.820498959205032</v>
      </c>
      <c r="CL190" s="21">
        <f>EXP(-LN(2)/25)*CL189+(1-EXP(-LN(2)/25))/(LN(2)/25)*Calculateur!CG190*Calculateur!CI190*VLOOKUP('Données projet'!$B$12,Paramètres!$A$1:$I$89,3,0)*0.475*44/12</f>
        <v>4.6037291657586481</v>
      </c>
      <c r="CM190" s="21">
        <f>EXP(-LN(2)/2)*CM189+(1-EXP(-LN(2)/2))/(LN(2)/2)*CG190*CJ190*VLOOKUP('Données projet'!$B$12,Paramètres!$A$1:$I$89,3,0)*0.475*44/12</f>
        <v>2.0681022085729557E-12</v>
      </c>
      <c r="CN190" s="22">
        <f t="shared" si="172"/>
        <v>40.424228124965751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-3.4106051316484809E-13</v>
      </c>
      <c r="CU190" s="17">
        <f>CT190*VLOOKUP('Données projet'!$B$13,Paramètres!$A$1:$I$89,3,0)*VLOOKUP('Données projet'!$B$13,Paramètres!$A$1:$I$89,5,0)</f>
        <v>-2.0395418687257919E-13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237.036496933921</v>
      </c>
      <c r="CZ190" s="59">
        <f t="shared" si="150"/>
        <v>191.04289413665344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17.090439189844698</v>
      </c>
      <c r="DG190" s="21">
        <f>EXP(-LN(2)/25)*DG189+(1-EXP(-LN(2)/25))/(LN(2)/25)*Calculateur!DB190*Calculateur!DD190*VLOOKUP('Données projet'!$B$13,Paramètres!$A$1:$I$89,3,0)*0.475*44/12</f>
        <v>1.7808419187776898</v>
      </c>
      <c r="DH190" s="21">
        <f>EXP(-LN(2)/2)*DH189+(1-EXP(-LN(2)/2))/(LN(2)/2)*DB190*DE190*VLOOKUP('Données projet'!$B$13,Paramètres!$A$1:$I$89,3,0)*0.475*44/12</f>
        <v>2.7958261714945591E-15</v>
      </c>
      <c r="DI190" s="22">
        <f t="shared" si="175"/>
        <v>18.871281108622391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-3.979039320256561E-13</v>
      </c>
      <c r="DP190" s="17">
        <f>DO190*VLOOKUP('Données projet'!$B$14,Paramètres!$A$1:$I$89,3,0)*VLOOKUP('Données projet'!$B$14,Paramètres!$A$1:$I$89,5,0)</f>
        <v>-2.379465513513424E-13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148.22129593028302</v>
      </c>
      <c r="DU190" s="59">
        <f t="shared" si="152"/>
        <v>102.97015482019975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233.89079999999998</v>
      </c>
      <c r="EL190" s="13">
        <f t="shared" si="179"/>
        <v>57.123140349023068</v>
      </c>
      <c r="EM190" s="20">
        <f t="shared" si="180"/>
        <v>506.84927944121517</v>
      </c>
      <c r="EN190" s="59">
        <f t="shared" si="128"/>
        <v>800.18261277454849</v>
      </c>
      <c r="EO190" s="59">
        <f ca="1">AVERAGE(OFFSET($EN$3,0,0,'Données projet'!$E$15+1,1))-AVERAGE(OFFSET($H$3,0,0,'Données projet'!$E$15+1,1))</f>
        <v>278.53123771916404</v>
      </c>
      <c r="EP190" s="59">
        <f t="shared" si="154"/>
        <v>283.79094702030869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4.0225480022678175</v>
      </c>
      <c r="EW190" s="21">
        <f>EXP(-LN(2)/25)*EW189+(1-EXP(-LN(2)/25))/(LN(2)/25)*Calculateur!ER190*Calculateur!ET190*VLOOKUP('Données projet'!$B$15,Paramètres!$A$1:$I$89,3,0)*0.475*44/12</f>
        <v>0.29039855043191287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4.3129465526997306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-5.4001247917767614E-13</v>
      </c>
      <c r="FF190" s="17">
        <f>FE190*VLOOKUP('Données projet'!$B$16,Paramètres!$A$1:$I$89,3,0)*VLOOKUP('Données projet'!$B$16,Paramètres!$A$1:$I$89,5,0)</f>
        <v>-4.8860329115996133E-13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335.99493768537013</v>
      </c>
      <c r="FK190" s="59">
        <f t="shared" si="156"/>
        <v>150.85164849522778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186.27042982388153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186.27042982388153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259.99999999999983</v>
      </c>
      <c r="GA190" s="17">
        <f>FZ190*VLOOKUP('Données projet'!$B$17,Paramètres!$A$1:$I$89,3,0)*VLOOKUP('Données projet'!$B$17,Paramètres!$A$1:$I$89,5,0)</f>
        <v>227.13599999999985</v>
      </c>
      <c r="GB190" s="13">
        <f t="shared" si="185"/>
        <v>55.662966886685133</v>
      </c>
      <c r="GC190" s="20">
        <f t="shared" si="186"/>
        <v>492.5415339943097</v>
      </c>
      <c r="GD190" s="59">
        <f t="shared" si="134"/>
        <v>785.87486732764296</v>
      </c>
      <c r="GE190" s="59">
        <f ca="1">AVERAGE(OFFSET($GD$3,0,0,'Données projet'!$E$17+1,1))-AVERAGE(OFFSET($H$3,0,0,'Données projet'!$E$17+1,1))</f>
        <v>319.57811113658374</v>
      </c>
      <c r="GF190" s="59">
        <f t="shared" si="158"/>
        <v>322.03572137403245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6.741707731149603</v>
      </c>
      <c r="GM190" s="21">
        <f>EXP(-LN(2)/25)*GM189+(1-EXP(-LN(2)/25))/(LN(2)/25)*Calculateur!GH190*Calculateur!GJ190*VLOOKUP('Données projet'!$B$17,Paramètres!$A$1:$I$89,3,0)*0.475*44/12</f>
        <v>1.2046165390649777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7.9463242702145802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5.4683368944097308E-14</v>
      </c>
      <c r="P191" s="13">
        <f t="shared" si="141"/>
        <v>8.8129432816788268E-13</v>
      </c>
      <c r="Q191" s="20">
        <f t="shared" si="162"/>
        <v>1.6301611558033651E-12</v>
      </c>
      <c r="R191" s="59">
        <f t="shared" si="109"/>
        <v>293.33333333333496</v>
      </c>
      <c r="S191" s="59">
        <f ca="1">AVERAGE(OFFSET($R$3,0,0,'Données projet'!$E$9+1,1))-AVERAGE(OFFSET($H$3,0,0,'Données projet'!$E$9+1,1))</f>
        <v>226.41956082453015</v>
      </c>
      <c r="T191" s="59">
        <f t="shared" si="142"/>
        <v>317.95076157570446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2.9262992029543969E-13</v>
      </c>
      <c r="AK191" s="13">
        <f t="shared" si="164"/>
        <v>3.8796387982050903E-12</v>
      </c>
      <c r="AL191" s="20">
        <f t="shared" si="165"/>
        <v>7.2667013513884219E-12</v>
      </c>
      <c r="AM191" s="59">
        <f t="shared" si="113"/>
        <v>293.33333333334059</v>
      </c>
      <c r="AN191" s="59">
        <f ca="1">AVERAGE(OFFSET($AM$3,0,0,'Données projet'!$E$10+1,1))-AVERAGE(OFFSET($H$3,0,0,'Données projet'!$E$10+1,1))</f>
        <v>257.80662231827404</v>
      </c>
      <c r="AO191" s="59">
        <f t="shared" si="144"/>
        <v>184.04558520039876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-2.5420376914553347E-13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300.90952915835157</v>
      </c>
      <c r="BJ191" s="59">
        <f t="shared" si="146"/>
        <v>402.81783992925256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16.272538574868861</v>
      </c>
      <c r="BQ191" s="21">
        <f>EXP(-LN(2)/25)*BQ190+(1-EXP(-LN(2)/25))/(LN(2)/25)*Calculateur!BL191*Calculateur!BN191*VLOOKUP('Données projet'!$B$11,Paramètres!$A$1:$I$89,3,0)*0.475*44/12</f>
        <v>1.4576021608088823</v>
      </c>
      <c r="BR191" s="21">
        <f>EXP(-LN(2)/2)*BR190+(1-EXP(-LN(2)/2))/(LN(2)/2)*BL191*BO191*VLOOKUP('Données projet'!$B$11,Paramètres!$A$1:$I$89,3,0)*0.475*44/12</f>
        <v>3.2241048717458702E-19</v>
      </c>
      <c r="BS191" s="22">
        <f t="shared" si="169"/>
        <v>17.730140735677743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-2.8421709430404007E-13</v>
      </c>
      <c r="BZ191" s="13">
        <f>BY191*VLOOKUP('Données projet'!$B$12,Paramètres!$A$1:$I$89,3,0)*VLOOKUP('Données projet'!$B$12,Paramètres!$A$1:$I$89,5,0)</f>
        <v>-1.4040324458619578E-13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246.05217890269194</v>
      </c>
      <c r="CE191" s="59">
        <f t="shared" si="148"/>
        <v>155.54297071424327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35.118080822962042</v>
      </c>
      <c r="CL191" s="21">
        <f>EXP(-LN(2)/25)*CL190+(1-EXP(-LN(2)/25))/(LN(2)/25)*Calculateur!CG191*Calculateur!CI191*VLOOKUP('Données projet'!$B$12,Paramètres!$A$1:$I$89,3,0)*0.475*44/12</f>
        <v>4.4778399496213828</v>
      </c>
      <c r="CM191" s="21">
        <f>EXP(-LN(2)/2)*CM190+(1-EXP(-LN(2)/2))/(LN(2)/2)*CG191*CJ191*VLOOKUP('Données projet'!$B$12,Paramètres!$A$1:$I$89,3,0)*0.475*44/12</f>
        <v>1.4623690958688127E-12</v>
      </c>
      <c r="CN191" s="22">
        <f t="shared" si="172"/>
        <v>39.59592077258489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-3.4106051316484809E-13</v>
      </c>
      <c r="CU191" s="17">
        <f>CT191*VLOOKUP('Données projet'!$B$13,Paramètres!$A$1:$I$89,3,0)*VLOOKUP('Données projet'!$B$13,Paramètres!$A$1:$I$89,5,0)</f>
        <v>-2.0395418687257919E-13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237.036496933921</v>
      </c>
      <c r="CZ191" s="59">
        <f t="shared" si="150"/>
        <v>191.04289413665344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16.755306101470453</v>
      </c>
      <c r="DG191" s="21">
        <f>EXP(-LN(2)/25)*DG190+(1-EXP(-LN(2)/25))/(LN(2)/25)*Calculateur!DB191*Calculateur!DD191*VLOOKUP('Données projet'!$B$13,Paramètres!$A$1:$I$89,3,0)*0.475*44/12</f>
        <v>1.7321447028583075</v>
      </c>
      <c r="DH191" s="21">
        <f>EXP(-LN(2)/2)*DH190+(1-EXP(-LN(2)/2))/(LN(2)/2)*DB191*DE191*VLOOKUP('Données projet'!$B$13,Paramètres!$A$1:$I$89,3,0)*0.475*44/12</f>
        <v>1.9769476448826261E-15</v>
      </c>
      <c r="DI191" s="22">
        <f t="shared" si="175"/>
        <v>18.487450804328763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-3.979039320256561E-13</v>
      </c>
      <c r="DP191" s="17">
        <f>DO191*VLOOKUP('Données projet'!$B$14,Paramètres!$A$1:$I$89,3,0)*VLOOKUP('Données projet'!$B$14,Paramètres!$A$1:$I$89,5,0)</f>
        <v>-2.379465513513424E-13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148.22129593028302</v>
      </c>
      <c r="DU191" s="59">
        <f t="shared" si="152"/>
        <v>102.97015482019975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233.89079999999998</v>
      </c>
      <c r="EL191" s="13">
        <f t="shared" si="179"/>
        <v>57.123140349023068</v>
      </c>
      <c r="EM191" s="20">
        <f t="shared" si="180"/>
        <v>506.84927944121517</v>
      </c>
      <c r="EN191" s="59">
        <f t="shared" si="128"/>
        <v>800.18261277454849</v>
      </c>
      <c r="EO191" s="59">
        <f ca="1">AVERAGE(OFFSET($EN$3,0,0,'Données projet'!$E$15+1,1))-AVERAGE(OFFSET($H$3,0,0,'Données projet'!$E$15+1,1))</f>
        <v>278.53123771916404</v>
      </c>
      <c r="EP191" s="59">
        <f t="shared" si="154"/>
        <v>283.79094702030869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3.943668289455363</v>
      </c>
      <c r="EW191" s="21">
        <f>EXP(-LN(2)/25)*EW190+(1-EXP(-LN(2)/25))/(LN(2)/25)*Calculateur!ER191*Calculateur!ET191*VLOOKUP('Données projet'!$B$15,Paramètres!$A$1:$I$89,3,0)*0.475*44/12</f>
        <v>0.28245758679895616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4.2261258762543195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-5.4001247917767614E-13</v>
      </c>
      <c r="FF191" s="17">
        <f>FE191*VLOOKUP('Données projet'!$B$16,Paramètres!$A$1:$I$89,3,0)*VLOOKUP('Données projet'!$B$16,Paramètres!$A$1:$I$89,5,0)</f>
        <v>-4.8860329115996133E-13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335.99493768537013</v>
      </c>
      <c r="FK191" s="59">
        <f t="shared" si="156"/>
        <v>150.85164849522778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182.61778030877898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182.61778030877898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259.99999999999983</v>
      </c>
      <c r="GA191" s="17">
        <f>FZ191*VLOOKUP('Données projet'!$B$17,Paramètres!$A$1:$I$89,3,0)*VLOOKUP('Données projet'!$B$17,Paramètres!$A$1:$I$89,5,0)</f>
        <v>227.13599999999985</v>
      </c>
      <c r="GB191" s="13">
        <f t="shared" si="185"/>
        <v>55.662966886685133</v>
      </c>
      <c r="GC191" s="20">
        <f t="shared" si="186"/>
        <v>492.5415339943097</v>
      </c>
      <c r="GD191" s="59">
        <f t="shared" si="134"/>
        <v>785.87486732764296</v>
      </c>
      <c r="GE191" s="59">
        <f ca="1">AVERAGE(OFFSET($GD$3,0,0,'Données projet'!$E$17+1,1))-AVERAGE(OFFSET($H$3,0,0,'Données projet'!$E$17+1,1))</f>
        <v>319.57811113658374</v>
      </c>
      <c r="GF191" s="59">
        <f t="shared" si="158"/>
        <v>322.03572137403245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6.6095069545774452</v>
      </c>
      <c r="GM191" s="21">
        <f>EXP(-LN(2)/25)*GM190+(1-EXP(-LN(2)/25))/(LN(2)/25)*Calculateur!GH191*Calculateur!GJ191*VLOOKUP('Données projet'!$B$17,Paramètres!$A$1:$I$89,3,0)*0.475*44/12</f>
        <v>1.1716762364562152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7.7811831910336604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5.4683368944097308E-14</v>
      </c>
      <c r="P192" s="13">
        <f t="shared" si="141"/>
        <v>8.8129432816788268E-13</v>
      </c>
      <c r="Q192" s="20">
        <f t="shared" si="162"/>
        <v>1.6301611558033651E-12</v>
      </c>
      <c r="R192" s="59">
        <f t="shared" si="109"/>
        <v>293.33333333333496</v>
      </c>
      <c r="S192" s="59">
        <f ca="1">AVERAGE(OFFSET($R$3,0,0,'Données projet'!$E$9+1,1))-AVERAGE(OFFSET($H$3,0,0,'Données projet'!$E$9+1,1))</f>
        <v>226.41956082453015</v>
      </c>
      <c r="T192" s="59">
        <f t="shared" si="142"/>
        <v>317.95076157570446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2.9262992029543969E-13</v>
      </c>
      <c r="AK192" s="13">
        <f t="shared" si="164"/>
        <v>3.8796387982050903E-12</v>
      </c>
      <c r="AL192" s="20">
        <f t="shared" si="165"/>
        <v>7.2667013513884219E-12</v>
      </c>
      <c r="AM192" s="59">
        <f t="shared" si="113"/>
        <v>293.33333333334059</v>
      </c>
      <c r="AN192" s="59">
        <f ca="1">AVERAGE(OFFSET($AM$3,0,0,'Données projet'!$E$10+1,1))-AVERAGE(OFFSET($H$3,0,0,'Données projet'!$E$10+1,1))</f>
        <v>257.80662231827404</v>
      </c>
      <c r="AO192" s="59">
        <f t="shared" si="144"/>
        <v>184.04558520039876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-2.5420376914553347E-13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300.90952915835157</v>
      </c>
      <c r="BJ192" s="59">
        <f t="shared" si="146"/>
        <v>402.81783992925256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15.953444018684173</v>
      </c>
      <c r="BQ192" s="21">
        <f>EXP(-LN(2)/25)*BQ191+(1-EXP(-LN(2)/25))/(LN(2)/25)*Calculateur!BL192*Calculateur!BN192*VLOOKUP('Données projet'!$B$11,Paramètres!$A$1:$I$89,3,0)*0.475*44/12</f>
        <v>1.4177439530695972</v>
      </c>
      <c r="BR192" s="21">
        <f>EXP(-LN(2)/2)*BR191+(1-EXP(-LN(2)/2))/(LN(2)/2)*BL192*BO192*VLOOKUP('Données projet'!$B$11,Paramètres!$A$1:$I$89,3,0)*0.475*44/12</f>
        <v>2.2797864180680889E-19</v>
      </c>
      <c r="BS192" s="22">
        <f t="shared" si="169"/>
        <v>17.37118797175377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-2.8421709430404007E-13</v>
      </c>
      <c r="BZ192" s="13">
        <f>BY192*VLOOKUP('Données projet'!$B$12,Paramètres!$A$1:$I$89,3,0)*VLOOKUP('Données projet'!$B$12,Paramètres!$A$1:$I$89,5,0)</f>
        <v>-1.4040324458619578E-13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246.05217890269194</v>
      </c>
      <c r="CE192" s="59">
        <f t="shared" si="148"/>
        <v>155.54297071424327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34.429436677938021</v>
      </c>
      <c r="CL192" s="21">
        <f>EXP(-LN(2)/25)*CL191+(1-EXP(-LN(2)/25))/(LN(2)/25)*Calculateur!CG192*Calculateur!CI192*VLOOKUP('Données projet'!$B$12,Paramètres!$A$1:$I$89,3,0)*0.475*44/12</f>
        <v>4.3553931807196173</v>
      </c>
      <c r="CM192" s="21">
        <f>EXP(-LN(2)/2)*CM191+(1-EXP(-LN(2)/2))/(LN(2)/2)*CG192*CJ192*VLOOKUP('Données projet'!$B$12,Paramètres!$A$1:$I$89,3,0)*0.475*44/12</f>
        <v>1.0340511042864779E-12</v>
      </c>
      <c r="CN192" s="22">
        <f t="shared" si="172"/>
        <v>38.784829858658675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-3.4106051316484809E-13</v>
      </c>
      <c r="CU192" s="17">
        <f>CT192*VLOOKUP('Données projet'!$B$13,Paramètres!$A$1:$I$89,3,0)*VLOOKUP('Données projet'!$B$13,Paramètres!$A$1:$I$89,5,0)</f>
        <v>-2.0395418687257919E-13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237.036496933921</v>
      </c>
      <c r="CZ192" s="59">
        <f t="shared" si="150"/>
        <v>191.04289413665344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16.426744768548225</v>
      </c>
      <c r="DG192" s="21">
        <f>EXP(-LN(2)/25)*DG191+(1-EXP(-LN(2)/25))/(LN(2)/25)*Calculateur!DB192*Calculateur!DD192*VLOOKUP('Données projet'!$B$13,Paramètres!$A$1:$I$89,3,0)*0.475*44/12</f>
        <v>1.684779114869116</v>
      </c>
      <c r="DH192" s="21">
        <f>EXP(-LN(2)/2)*DH191+(1-EXP(-LN(2)/2))/(LN(2)/2)*DB192*DE192*VLOOKUP('Données projet'!$B$13,Paramètres!$A$1:$I$89,3,0)*0.475*44/12</f>
        <v>1.3979130857472796E-15</v>
      </c>
      <c r="DI192" s="22">
        <f t="shared" si="175"/>
        <v>18.111523883417341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-3.979039320256561E-13</v>
      </c>
      <c r="DP192" s="17">
        <f>DO192*VLOOKUP('Données projet'!$B$14,Paramètres!$A$1:$I$89,3,0)*VLOOKUP('Données projet'!$B$14,Paramètres!$A$1:$I$89,5,0)</f>
        <v>-2.379465513513424E-13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148.22129593028302</v>
      </c>
      <c r="DU192" s="59">
        <f t="shared" si="152"/>
        <v>102.97015482019975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233.89079999999998</v>
      </c>
      <c r="EL192" s="13">
        <f t="shared" si="179"/>
        <v>57.123140349023068</v>
      </c>
      <c r="EM192" s="20">
        <f t="shared" si="180"/>
        <v>506.84927944121517</v>
      </c>
      <c r="EN192" s="59">
        <f t="shared" si="128"/>
        <v>800.18261277454849</v>
      </c>
      <c r="EO192" s="59">
        <f ca="1">AVERAGE(OFFSET($EN$3,0,0,'Données projet'!$E$15+1,1))-AVERAGE(OFFSET($H$3,0,0,'Données projet'!$E$15+1,1))</f>
        <v>278.53123771916404</v>
      </c>
      <c r="EP192" s="59">
        <f t="shared" si="154"/>
        <v>283.79094702030869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3.8663353596992862</v>
      </c>
      <c r="EW192" s="21">
        <f>EXP(-LN(2)/25)*EW191+(1-EXP(-LN(2)/25))/(LN(2)/25)*Calculateur!ER192*Calculateur!ET192*VLOOKUP('Données projet'!$B$15,Paramètres!$A$1:$I$89,3,0)*0.475*44/12</f>
        <v>0.27473376923413978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4.1410691289334256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-5.4001247917767614E-13</v>
      </c>
      <c r="FF192" s="17">
        <f>FE192*VLOOKUP('Données projet'!$B$16,Paramètres!$A$1:$I$89,3,0)*VLOOKUP('Données projet'!$B$16,Paramètres!$A$1:$I$89,5,0)</f>
        <v>-4.8860329115996133E-13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335.99493768537013</v>
      </c>
      <c r="FK192" s="59">
        <f t="shared" si="156"/>
        <v>150.85164849522778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179.03675702277138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179.03675702277138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259.99999999999983</v>
      </c>
      <c r="GA192" s="17">
        <f>FZ192*VLOOKUP('Données projet'!$B$17,Paramètres!$A$1:$I$89,3,0)*VLOOKUP('Données projet'!$B$17,Paramètres!$A$1:$I$89,5,0)</f>
        <v>227.13599999999985</v>
      </c>
      <c r="GB192" s="13">
        <f t="shared" si="185"/>
        <v>55.662966886685133</v>
      </c>
      <c r="GC192" s="20">
        <f t="shared" si="186"/>
        <v>492.5415339943097</v>
      </c>
      <c r="GD192" s="59">
        <f t="shared" si="134"/>
        <v>785.87486732764296</v>
      </c>
      <c r="GE192" s="59">
        <f ca="1">AVERAGE(OFFSET($GD$3,0,0,'Données projet'!$E$17+1,1))-AVERAGE(OFFSET($H$3,0,0,'Données projet'!$E$17+1,1))</f>
        <v>319.57811113658374</v>
      </c>
      <c r="GF192" s="59">
        <f t="shared" si="158"/>
        <v>322.03572137403245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6.4798985545993562</v>
      </c>
      <c r="GM192" s="21">
        <f>EXP(-LN(2)/25)*GM191+(1-EXP(-LN(2)/25))/(LN(2)/25)*Calculateur!GH192*Calculateur!GJ192*VLOOKUP('Données projet'!$B$17,Paramètres!$A$1:$I$89,3,0)*0.475*44/12</f>
        <v>1.1396366881545446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7.6195352427539005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5.4683368944097308E-14</v>
      </c>
      <c r="P193" s="13">
        <f t="shared" si="141"/>
        <v>8.8129432816788268E-13</v>
      </c>
      <c r="Q193" s="20">
        <f t="shared" si="162"/>
        <v>1.6301611558033651E-12</v>
      </c>
      <c r="R193" s="59">
        <f t="shared" si="109"/>
        <v>293.33333333333496</v>
      </c>
      <c r="S193" s="59">
        <f ca="1">AVERAGE(OFFSET($R$3,0,0,'Données projet'!$E$9+1,1))-AVERAGE(OFFSET($H$3,0,0,'Données projet'!$E$9+1,1))</f>
        <v>226.41956082453015</v>
      </c>
      <c r="T193" s="59">
        <f t="shared" si="142"/>
        <v>317.95076157570446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2.9262992029543969E-13</v>
      </c>
      <c r="AK193" s="13">
        <f t="shared" si="164"/>
        <v>3.8796387982050903E-12</v>
      </c>
      <c r="AL193" s="20">
        <f t="shared" si="165"/>
        <v>7.2667013513884219E-12</v>
      </c>
      <c r="AM193" s="59">
        <f t="shared" si="113"/>
        <v>293.33333333334059</v>
      </c>
      <c r="AN193" s="59">
        <f ca="1">AVERAGE(OFFSET($AM$3,0,0,'Données projet'!$E$10+1,1))-AVERAGE(OFFSET($H$3,0,0,'Données projet'!$E$10+1,1))</f>
        <v>257.80662231827404</v>
      </c>
      <c r="AO193" s="59">
        <f t="shared" si="144"/>
        <v>184.04558520039876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-2.5420376914553347E-13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300.90952915835157</v>
      </c>
      <c r="BJ193" s="59">
        <f t="shared" si="146"/>
        <v>402.81783992925256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15.640606712117807</v>
      </c>
      <c r="BQ193" s="21">
        <f>EXP(-LN(2)/25)*BQ192+(1-EXP(-LN(2)/25))/(LN(2)/25)*Calculateur!BL193*Calculateur!BN193*VLOOKUP('Données projet'!$B$11,Paramètres!$A$1:$I$89,3,0)*0.475*44/12</f>
        <v>1.3789756701169948</v>
      </c>
      <c r="BR193" s="21">
        <f>EXP(-LN(2)/2)*BR192+(1-EXP(-LN(2)/2))/(LN(2)/2)*BL193*BO193*VLOOKUP('Données projet'!$B$11,Paramètres!$A$1:$I$89,3,0)*0.475*44/12</f>
        <v>1.6120524358729351E-19</v>
      </c>
      <c r="BS193" s="22">
        <f t="shared" si="169"/>
        <v>17.019582382234802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-2.8421709430404007E-13</v>
      </c>
      <c r="BZ193" s="13">
        <f>BY193*VLOOKUP('Données projet'!$B$12,Paramètres!$A$1:$I$89,3,0)*VLOOKUP('Données projet'!$B$12,Paramètres!$A$1:$I$89,5,0)</f>
        <v>-1.4040324458619578E-13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246.05217890269194</v>
      </c>
      <c r="CE193" s="59">
        <f t="shared" si="148"/>
        <v>155.54297071424327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33.754296424566462</v>
      </c>
      <c r="CL193" s="21">
        <f>EXP(-LN(2)/25)*CL192+(1-EXP(-LN(2)/25))/(LN(2)/25)*Calculateur!CG193*Calculateur!CI193*VLOOKUP('Données projet'!$B$12,Paramètres!$A$1:$I$89,3,0)*0.475*44/12</f>
        <v>4.2362947251526668</v>
      </c>
      <c r="CM193" s="21">
        <f>EXP(-LN(2)/2)*CM192+(1-EXP(-LN(2)/2))/(LN(2)/2)*CG193*CJ193*VLOOKUP('Données projet'!$B$12,Paramètres!$A$1:$I$89,3,0)*0.475*44/12</f>
        <v>7.3118454793440634E-13</v>
      </c>
      <c r="CN193" s="22">
        <f t="shared" si="172"/>
        <v>37.990591149719862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-3.4106051316484809E-13</v>
      </c>
      <c r="CU193" s="17">
        <f>CT193*VLOOKUP('Données projet'!$B$13,Paramètres!$A$1:$I$89,3,0)*VLOOKUP('Données projet'!$B$13,Paramètres!$A$1:$I$89,5,0)</f>
        <v>-2.0395418687257919E-13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237.036496933921</v>
      </c>
      <c r="CZ193" s="59">
        <f t="shared" si="150"/>
        <v>191.04289413665344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16.104626322961977</v>
      </c>
      <c r="DG193" s="21">
        <f>EXP(-LN(2)/25)*DG192+(1-EXP(-LN(2)/25))/(LN(2)/25)*Calculateur!DB193*Calculateur!DD193*VLOOKUP('Données projet'!$B$13,Paramètres!$A$1:$I$89,3,0)*0.475*44/12</f>
        <v>1.6387087413743371</v>
      </c>
      <c r="DH193" s="21">
        <f>EXP(-LN(2)/2)*DH192+(1-EXP(-LN(2)/2))/(LN(2)/2)*DB193*DE193*VLOOKUP('Données projet'!$B$13,Paramètres!$A$1:$I$89,3,0)*0.475*44/12</f>
        <v>9.8847382244131306E-16</v>
      </c>
      <c r="DI193" s="22">
        <f t="shared" si="175"/>
        <v>17.743335064336314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-3.979039320256561E-13</v>
      </c>
      <c r="DP193" s="17">
        <f>DO193*VLOOKUP('Données projet'!$B$14,Paramètres!$A$1:$I$89,3,0)*VLOOKUP('Données projet'!$B$14,Paramètres!$A$1:$I$89,5,0)</f>
        <v>-2.379465513513424E-13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148.22129593028302</v>
      </c>
      <c r="DU193" s="59">
        <f t="shared" si="152"/>
        <v>102.97015482019975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233.89079999999998</v>
      </c>
      <c r="EL193" s="13">
        <f t="shared" si="179"/>
        <v>57.123140349023068</v>
      </c>
      <c r="EM193" s="20">
        <f t="shared" si="180"/>
        <v>506.84927944121517</v>
      </c>
      <c r="EN193" s="59">
        <f t="shared" si="128"/>
        <v>800.18261277454849</v>
      </c>
      <c r="EO193" s="59">
        <f ca="1">AVERAGE(OFFSET($EN$3,0,0,'Données projet'!$E$15+1,1))-AVERAGE(OFFSET($H$3,0,0,'Données projet'!$E$15+1,1))</f>
        <v>278.53123771916404</v>
      </c>
      <c r="EP193" s="59">
        <f t="shared" si="154"/>
        <v>283.79094702030869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3.7905188815272965</v>
      </c>
      <c r="EW193" s="21">
        <f>EXP(-LN(2)/25)*EW192+(1-EXP(-LN(2)/25))/(LN(2)/25)*Calculateur!ER193*Calculateur!ET193*VLOOKUP('Données projet'!$B$15,Paramètres!$A$1:$I$89,3,0)*0.475*44/12</f>
        <v>0.26722115986681122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4.0577400413941076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-5.4001247917767614E-13</v>
      </c>
      <c r="FF193" s="17">
        <f>FE193*VLOOKUP('Données projet'!$B$16,Paramètres!$A$1:$I$89,3,0)*VLOOKUP('Données projet'!$B$16,Paramètres!$A$1:$I$89,5,0)</f>
        <v>-4.8860329115996133E-13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335.99493768537013</v>
      </c>
      <c r="FK193" s="59">
        <f t="shared" si="156"/>
        <v>150.85164849522778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175.52595541919385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175.52595541919385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259.99999999999983</v>
      </c>
      <c r="GA193" s="17">
        <f>FZ193*VLOOKUP('Données projet'!$B$17,Paramètres!$A$1:$I$89,3,0)*VLOOKUP('Données projet'!$B$17,Paramètres!$A$1:$I$89,5,0)</f>
        <v>227.13599999999985</v>
      </c>
      <c r="GB193" s="13">
        <f t="shared" si="185"/>
        <v>55.662966886685133</v>
      </c>
      <c r="GC193" s="20">
        <f t="shared" si="186"/>
        <v>492.5415339943097</v>
      </c>
      <c r="GD193" s="59">
        <f t="shared" si="134"/>
        <v>785.87486732764296</v>
      </c>
      <c r="GE193" s="59">
        <f ca="1">AVERAGE(OFFSET($GD$3,0,0,'Données projet'!$E$17+1,1))-AVERAGE(OFFSET($H$3,0,0,'Données projet'!$E$17+1,1))</f>
        <v>319.57811113658374</v>
      </c>
      <c r="GF193" s="59">
        <f t="shared" si="158"/>
        <v>322.03572137403245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6.3528316962915188</v>
      </c>
      <c r="GM193" s="21">
        <f>EXP(-LN(2)/25)*GM192+(1-EXP(-LN(2)/25))/(LN(2)/25)*Calculateur!GH193*Calculateur!GJ193*VLOOKUP('Données projet'!$B$17,Paramètres!$A$1:$I$89,3,0)*0.475*44/12</f>
        <v>1.1084732629860699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7.4613049592775891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5.4683368944097308E-14</v>
      </c>
      <c r="P194" s="13">
        <f t="shared" si="141"/>
        <v>8.8129432816788268E-13</v>
      </c>
      <c r="Q194" s="20">
        <f t="shared" si="162"/>
        <v>1.6301611558033651E-12</v>
      </c>
      <c r="R194" s="59">
        <f t="shared" si="109"/>
        <v>293.33333333333496</v>
      </c>
      <c r="S194" s="59">
        <f ca="1">AVERAGE(OFFSET($R$3,0,0,'Données projet'!$E$9+1,1))-AVERAGE(OFFSET($H$3,0,0,'Données projet'!$E$9+1,1))</f>
        <v>226.41956082453015</v>
      </c>
      <c r="T194" s="59">
        <f t="shared" si="142"/>
        <v>317.95076157570446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2.9262992029543969E-13</v>
      </c>
      <c r="AK194" s="13">
        <f t="shared" si="164"/>
        <v>3.8796387982050903E-12</v>
      </c>
      <c r="AL194" s="20">
        <f t="shared" si="165"/>
        <v>7.2667013513884219E-12</v>
      </c>
      <c r="AM194" s="59">
        <f t="shared" si="113"/>
        <v>293.33333333334059</v>
      </c>
      <c r="AN194" s="59">
        <f ca="1">AVERAGE(OFFSET($AM$3,0,0,'Données projet'!$E$10+1,1))-AVERAGE(OFFSET($H$3,0,0,'Données projet'!$E$10+1,1))</f>
        <v>257.80662231827404</v>
      </c>
      <c r="AO194" s="59">
        <f t="shared" si="144"/>
        <v>184.04558520039876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-2.5420376914553347E-13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300.90952915835157</v>
      </c>
      <c r="BJ194" s="59">
        <f t="shared" si="146"/>
        <v>402.81783992925256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15.333903954321292</v>
      </c>
      <c r="BQ194" s="21">
        <f>EXP(-LN(2)/25)*BQ193+(1-EXP(-LN(2)/25))/(LN(2)/25)*Calculateur!BL194*Calculateur!BN194*VLOOKUP('Données projet'!$B$11,Paramètres!$A$1:$I$89,3,0)*0.475*44/12</f>
        <v>1.3412675079004668</v>
      </c>
      <c r="BR194" s="21">
        <f>EXP(-LN(2)/2)*BR193+(1-EXP(-LN(2)/2))/(LN(2)/2)*BL194*BO194*VLOOKUP('Données projet'!$B$11,Paramètres!$A$1:$I$89,3,0)*0.475*44/12</f>
        <v>1.1398932090340444E-19</v>
      </c>
      <c r="BS194" s="22">
        <f t="shared" si="169"/>
        <v>16.675171462221758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-2.8421709430404007E-13</v>
      </c>
      <c r="BZ194" s="13">
        <f>BY194*VLOOKUP('Données projet'!$B$12,Paramètres!$A$1:$I$89,3,0)*VLOOKUP('Données projet'!$B$12,Paramètres!$A$1:$I$89,5,0)</f>
        <v>-1.4040324458619578E-13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246.05217890269194</v>
      </c>
      <c r="CE194" s="59">
        <f t="shared" si="148"/>
        <v>155.54297071424327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33.09239525976863</v>
      </c>
      <c r="CL194" s="21">
        <f>EXP(-LN(2)/25)*CL193+(1-EXP(-LN(2)/25))/(LN(2)/25)*Calculateur!CG194*Calculateur!CI194*VLOOKUP('Données projet'!$B$12,Paramètres!$A$1:$I$89,3,0)*0.475*44/12</f>
        <v>4.1204530231163101</v>
      </c>
      <c r="CM194" s="21">
        <f>EXP(-LN(2)/2)*CM193+(1-EXP(-LN(2)/2))/(LN(2)/2)*CG194*CJ194*VLOOKUP('Données projet'!$B$12,Paramètres!$A$1:$I$89,3,0)*0.475*44/12</f>
        <v>5.1702555214323893E-13</v>
      </c>
      <c r="CN194" s="22">
        <f t="shared" si="172"/>
        <v>37.21284828288546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-3.4106051316484809E-13</v>
      </c>
      <c r="CU194" s="17">
        <f>CT194*VLOOKUP('Données projet'!$B$13,Paramètres!$A$1:$I$89,3,0)*VLOOKUP('Données projet'!$B$13,Paramètres!$A$1:$I$89,5,0)</f>
        <v>-2.0395418687257919E-13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237.036496933921</v>
      </c>
      <c r="CZ194" s="59">
        <f t="shared" si="150"/>
        <v>191.04289413665344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15.788824423620824</v>
      </c>
      <c r="DG194" s="21">
        <f>EXP(-LN(2)/25)*DG193+(1-EXP(-LN(2)/25))/(LN(2)/25)*Calculateur!DB194*Calculateur!DD194*VLOOKUP('Données projet'!$B$13,Paramètres!$A$1:$I$89,3,0)*0.475*44/12</f>
        <v>1.5938981646655084</v>
      </c>
      <c r="DH194" s="21">
        <f>EXP(-LN(2)/2)*DH193+(1-EXP(-LN(2)/2))/(LN(2)/2)*DB194*DE194*VLOOKUP('Données projet'!$B$13,Paramètres!$A$1:$I$89,3,0)*0.475*44/12</f>
        <v>6.9895654287363978E-16</v>
      </c>
      <c r="DI194" s="22">
        <f t="shared" si="175"/>
        <v>17.382722588286331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-3.979039320256561E-13</v>
      </c>
      <c r="DP194" s="17">
        <f>DO194*VLOOKUP('Données projet'!$B$14,Paramètres!$A$1:$I$89,3,0)*VLOOKUP('Données projet'!$B$14,Paramètres!$A$1:$I$89,5,0)</f>
        <v>-2.379465513513424E-13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148.22129593028302</v>
      </c>
      <c r="DU194" s="59">
        <f t="shared" si="152"/>
        <v>102.97015482019975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233.89079999999998</v>
      </c>
      <c r="EL194" s="13">
        <f t="shared" si="179"/>
        <v>57.123140349023068</v>
      </c>
      <c r="EM194" s="20">
        <f t="shared" si="180"/>
        <v>506.84927944121517</v>
      </c>
      <c r="EN194" s="59">
        <f t="shared" si="128"/>
        <v>800.18261277454849</v>
      </c>
      <c r="EO194" s="59">
        <f ca="1">AVERAGE(OFFSET($EN$3,0,0,'Données projet'!$E$15+1,1))-AVERAGE(OFFSET($H$3,0,0,'Données projet'!$E$15+1,1))</f>
        <v>278.53123771916404</v>
      </c>
      <c r="EP194" s="59">
        <f t="shared" si="154"/>
        <v>283.79094702030869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3.7161891182487743</v>
      </c>
      <c r="EW194" s="21">
        <f>EXP(-LN(2)/25)*EW193+(1-EXP(-LN(2)/25))/(LN(2)/25)*Calculateur!ER194*Calculateur!ET194*VLOOKUP('Données projet'!$B$15,Paramètres!$A$1:$I$89,3,0)*0.475*44/12</f>
        <v>0.2599139831977032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3.9761031014464776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-5.4001247917767614E-13</v>
      </c>
      <c r="FF194" s="17">
        <f>FE194*VLOOKUP('Données projet'!$B$16,Paramètres!$A$1:$I$89,3,0)*VLOOKUP('Données projet'!$B$16,Paramètres!$A$1:$I$89,5,0)</f>
        <v>-4.8860329115996133E-13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335.99493768537013</v>
      </c>
      <c r="FK194" s="59">
        <f t="shared" si="156"/>
        <v>150.85164849522778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172.08399849368493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172.08399849368493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259.99999999999983</v>
      </c>
      <c r="GA194" s="17">
        <f>FZ194*VLOOKUP('Données projet'!$B$17,Paramètres!$A$1:$I$89,3,0)*VLOOKUP('Données projet'!$B$17,Paramètres!$A$1:$I$89,5,0)</f>
        <v>227.13599999999985</v>
      </c>
      <c r="GB194" s="13">
        <f t="shared" si="185"/>
        <v>55.662966886685133</v>
      </c>
      <c r="GC194" s="20">
        <f t="shared" si="186"/>
        <v>492.5415339943097</v>
      </c>
      <c r="GD194" s="59">
        <f t="shared" si="134"/>
        <v>785.87486732764296</v>
      </c>
      <c r="GE194" s="59">
        <f ca="1">AVERAGE(OFFSET($GD$3,0,0,'Données projet'!$E$17+1,1))-AVERAGE(OFFSET($H$3,0,0,'Données projet'!$E$17+1,1))</f>
        <v>319.57811113658374</v>
      </c>
      <c r="GF194" s="59">
        <f t="shared" si="158"/>
        <v>322.03572137403245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6.2282565415719677</v>
      </c>
      <c r="GM194" s="21">
        <f>EXP(-LN(2)/25)*GM193+(1-EXP(-LN(2)/25))/(LN(2)/25)*Calculateur!GH194*Calculateur!GJ194*VLOOKUP('Données projet'!$B$17,Paramètres!$A$1:$I$89,3,0)*0.475*44/12</f>
        <v>1.0781620033176402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7.306418544889608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5.4683368944097308E-14</v>
      </c>
      <c r="P195" s="13">
        <f t="shared" si="141"/>
        <v>8.8129432816788268E-13</v>
      </c>
      <c r="Q195" s="20">
        <f t="shared" si="162"/>
        <v>1.6301611558033651E-12</v>
      </c>
      <c r="R195" s="59">
        <f t="shared" ref="R195:R203" si="191">Q195+(I195+J195)*44/12</f>
        <v>293.33333333333496</v>
      </c>
      <c r="S195" s="59">
        <f ca="1">AVERAGE(OFFSET($R$3,0,0,'Données projet'!$E$9+1,1))-AVERAGE(OFFSET($H$3,0,0,'Données projet'!$E$9+1,1))</f>
        <v>226.41956082453015</v>
      </c>
      <c r="T195" s="59">
        <f t="shared" si="142"/>
        <v>317.95076157570446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2.9262992029543969E-13</v>
      </c>
      <c r="AK195" s="13">
        <f t="shared" si="164"/>
        <v>3.8796387982050903E-12</v>
      </c>
      <c r="AL195" s="20">
        <f t="shared" si="165"/>
        <v>7.2667013513884219E-12</v>
      </c>
      <c r="AM195" s="59">
        <f t="shared" si="113"/>
        <v>293.33333333334059</v>
      </c>
      <c r="AN195" s="59">
        <f ca="1">AVERAGE(OFFSET($AM$3,0,0,'Données projet'!$E$10+1,1))-AVERAGE(OFFSET($H$3,0,0,'Données projet'!$E$10+1,1))</f>
        <v>257.80662231827404</v>
      </c>
      <c r="AO195" s="59">
        <f t="shared" si="144"/>
        <v>184.04558520039876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-2.5420376914553347E-13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300.90952915835157</v>
      </c>
      <c r="BJ195" s="59">
        <f t="shared" si="146"/>
        <v>402.81783992925256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15.033215450534955</v>
      </c>
      <c r="BQ195" s="21">
        <f>EXP(-LN(2)/25)*BQ194+(1-EXP(-LN(2)/25))/(LN(2)/25)*Calculateur!BL195*Calculateur!BN195*VLOOKUP('Données projet'!$B$11,Paramètres!$A$1:$I$89,3,0)*0.475*44/12</f>
        <v>1.3045904773627357</v>
      </c>
      <c r="BR195" s="21">
        <f>EXP(-LN(2)/2)*BR194+(1-EXP(-LN(2)/2))/(LN(2)/2)*BL195*BO195*VLOOKUP('Données projet'!$B$11,Paramètres!$A$1:$I$89,3,0)*0.475*44/12</f>
        <v>8.0602621793646754E-20</v>
      </c>
      <c r="BS195" s="22">
        <f t="shared" si="169"/>
        <v>16.337805927897691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-1.4040324458619578E-13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246.05217890269194</v>
      </c>
      <c r="CE195" s="59">
        <f t="shared" si="148"/>
        <v>155.54297071424327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32.443473573092632</v>
      </c>
      <c r="CL195" s="21">
        <f>EXP(-LN(2)/25)*CL194+(1-EXP(-LN(2)/25))/(LN(2)/25)*Calculateur!CG195*Calculateur!CI195*VLOOKUP('Données projet'!$B$12,Paramètres!$A$1:$I$89,3,0)*0.475*44/12</f>
        <v>4.0077790185139879</v>
      </c>
      <c r="CM195" s="21">
        <f>EXP(-LN(2)/2)*CM194+(1-EXP(-LN(2)/2))/(LN(2)/2)*CG195*CJ195*VLOOKUP('Données projet'!$B$12,Paramètres!$A$1:$I$89,3,0)*0.475*44/12</f>
        <v>3.6559227396720317E-13</v>
      </c>
      <c r="CN195" s="22">
        <f t="shared" si="172"/>
        <v>36.451252591606981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-3.4106051316484809E-13</v>
      </c>
      <c r="CU195" s="17">
        <f>CT195*VLOOKUP('Données projet'!$B$13,Paramètres!$A$1:$I$89,3,0)*VLOOKUP('Données projet'!$B$13,Paramètres!$A$1:$I$89,5,0)</f>
        <v>-2.0395418687257919E-13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237.036496933921</v>
      </c>
      <c r="CZ195" s="59">
        <f t="shared" si="150"/>
        <v>191.04289413665344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15.479215206905611</v>
      </c>
      <c r="DG195" s="21">
        <f>EXP(-LN(2)/25)*DG194+(1-EXP(-LN(2)/25))/(LN(2)/25)*Calculateur!DB195*Calculateur!DD195*VLOOKUP('Données projet'!$B$13,Paramètres!$A$1:$I$89,3,0)*0.475*44/12</f>
        <v>1.5503129355332685</v>
      </c>
      <c r="DH195" s="21">
        <f>EXP(-LN(2)/2)*DH194+(1-EXP(-LN(2)/2))/(LN(2)/2)*DB195*DE195*VLOOKUP('Données projet'!$B$13,Paramètres!$A$1:$I$89,3,0)*0.475*44/12</f>
        <v>4.9423691122065653E-16</v>
      </c>
      <c r="DI195" s="22">
        <f t="shared" si="175"/>
        <v>17.029528142438878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-3.979039320256561E-13</v>
      </c>
      <c r="DP195" s="17">
        <f>DO195*VLOOKUP('Données projet'!$B$14,Paramètres!$A$1:$I$89,3,0)*VLOOKUP('Données projet'!$B$14,Paramètres!$A$1:$I$89,5,0)</f>
        <v>-2.379465513513424E-13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148.22129593028302</v>
      </c>
      <c r="DU195" s="59">
        <f t="shared" si="152"/>
        <v>102.97015482019975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233.89079999999998</v>
      </c>
      <c r="EL195" s="13">
        <f t="shared" si="179"/>
        <v>57.123140349023068</v>
      </c>
      <c r="EM195" s="20">
        <f t="shared" si="180"/>
        <v>506.84927944121517</v>
      </c>
      <c r="EN195" s="59">
        <f t="shared" si="128"/>
        <v>800.18261277454849</v>
      </c>
      <c r="EO195" s="59">
        <f ca="1">AVERAGE(OFFSET($EN$3,0,0,'Données projet'!$E$15+1,1))-AVERAGE(OFFSET($H$3,0,0,'Données projet'!$E$15+1,1))</f>
        <v>278.53123771916404</v>
      </c>
      <c r="EP195" s="59">
        <f t="shared" si="154"/>
        <v>283.79094702030869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3.6433169162914649</v>
      </c>
      <c r="EW195" s="21">
        <f>EXP(-LN(2)/25)*EW194+(1-EXP(-LN(2)/25))/(LN(2)/25)*Calculateur!ER195*Calculateur!ET195*VLOOKUP('Données projet'!$B$15,Paramètres!$A$1:$I$89,3,0)*0.475*44/12</f>
        <v>0.25280662165887968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3.8961235379503445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-5.4001247917767614E-13</v>
      </c>
      <c r="FF195" s="17">
        <f>FE195*VLOOKUP('Données projet'!$B$16,Paramètres!$A$1:$I$89,3,0)*VLOOKUP('Données projet'!$B$16,Paramètres!$A$1:$I$89,5,0)</f>
        <v>-4.8860329115996133E-13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335.99493768537013</v>
      </c>
      <c r="FK195" s="59">
        <f t="shared" si="156"/>
        <v>150.85164849522778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168.70953624409881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168.70953624409881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259.99999999999983</v>
      </c>
      <c r="GA195" s="17">
        <f>FZ195*VLOOKUP('Données projet'!$B$17,Paramètres!$A$1:$I$89,3,0)*VLOOKUP('Données projet'!$B$17,Paramètres!$A$1:$I$89,5,0)</f>
        <v>227.13599999999985</v>
      </c>
      <c r="GB195" s="13">
        <f t="shared" si="185"/>
        <v>55.662966886685133</v>
      </c>
      <c r="GC195" s="20">
        <f t="shared" si="186"/>
        <v>492.5415339943097</v>
      </c>
      <c r="GD195" s="59">
        <f t="shared" si="134"/>
        <v>785.87486732764296</v>
      </c>
      <c r="GE195" s="59">
        <f ca="1">AVERAGE(OFFSET($GD$3,0,0,'Données projet'!$E$17+1,1))-AVERAGE(OFFSET($H$3,0,0,'Données projet'!$E$17+1,1))</f>
        <v>319.57811113658374</v>
      </c>
      <c r="GF195" s="59">
        <f t="shared" si="158"/>
        <v>322.03572137403245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6.1061242296531253</v>
      </c>
      <c r="GM195" s="21">
        <f>EXP(-LN(2)/25)*GM194+(1-EXP(-LN(2)/25))/(LN(2)/25)*Calculateur!GH195*Calculateur!GJ195*VLOOKUP('Données projet'!$B$17,Paramètres!$A$1:$I$89,3,0)*0.475*44/12</f>
        <v>1.0486796066388437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7.1548038362919693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5.4683368944097308E-14</v>
      </c>
      <c r="P196" s="13">
        <f t="shared" si="141"/>
        <v>8.8129432816788268E-13</v>
      </c>
      <c r="Q196" s="20">
        <f t="shared" si="162"/>
        <v>1.6301611558033651E-12</v>
      </c>
      <c r="R196" s="59">
        <f t="shared" si="191"/>
        <v>293.33333333333496</v>
      </c>
      <c r="S196" s="59">
        <f ca="1">AVERAGE(OFFSET($R$3,0,0,'Données projet'!$E$9+1,1))-AVERAGE(OFFSET($H$3,0,0,'Données projet'!$E$9+1,1))</f>
        <v>226.41956082453015</v>
      </c>
      <c r="T196" s="59">
        <f t="shared" si="142"/>
        <v>317.95076157570446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2.9262992029543969E-13</v>
      </c>
      <c r="AK196" s="13">
        <f t="shared" si="164"/>
        <v>3.8796387982050903E-12</v>
      </c>
      <c r="AL196" s="20">
        <f t="shared" si="165"/>
        <v>7.2667013513884219E-12</v>
      </c>
      <c r="AM196" s="59">
        <f t="shared" ref="AM196:AM203" si="193">AL196+(AD196+AE196)*44/12</f>
        <v>293.33333333334059</v>
      </c>
      <c r="AN196" s="59">
        <f ca="1">AVERAGE(OFFSET($AM$3,0,0,'Données projet'!$E$10+1,1))-AVERAGE(OFFSET($H$3,0,0,'Données projet'!$E$10+1,1))</f>
        <v>257.80662231827404</v>
      </c>
      <c r="AO196" s="59">
        <f t="shared" si="144"/>
        <v>184.04558520039876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-2.5420376914553347E-13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300.90952915835157</v>
      </c>
      <c r="BJ196" s="59">
        <f t="shared" si="146"/>
        <v>402.81783992925256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14.738423264905991</v>
      </c>
      <c r="BQ196" s="21">
        <f>EXP(-LN(2)/25)*BQ195+(1-EXP(-LN(2)/25))/(LN(2)/25)*Calculateur!BL196*Calculateur!BN196*VLOOKUP('Données projet'!$B$11,Paramètres!$A$1:$I$89,3,0)*0.475*44/12</f>
        <v>1.2689163821538201</v>
      </c>
      <c r="BR196" s="21">
        <f>EXP(-LN(2)/2)*BR195+(1-EXP(-LN(2)/2))/(LN(2)/2)*BL196*BO196*VLOOKUP('Données projet'!$B$11,Paramètres!$A$1:$I$89,3,0)*0.475*44/12</f>
        <v>5.6994660451702222E-20</v>
      </c>
      <c r="BS196" s="22">
        <f t="shared" si="169"/>
        <v>16.007339647059812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-1.4040324458619578E-13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246.05217890269194</v>
      </c>
      <c r="CE196" s="59">
        <f t="shared" si="148"/>
        <v>155.54297071424327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31.807276844889206</v>
      </c>
      <c r="CL196" s="21">
        <f>EXP(-LN(2)/25)*CL195+(1-EXP(-LN(2)/25))/(LN(2)/25)*Calculateur!CG196*Calculateur!CI196*VLOOKUP('Données projet'!$B$12,Paramètres!$A$1:$I$89,3,0)*0.475*44/12</f>
        <v>3.8981860904927843</v>
      </c>
      <c r="CM196" s="21">
        <f>EXP(-LN(2)/2)*CM195+(1-EXP(-LN(2)/2))/(LN(2)/2)*CG196*CJ196*VLOOKUP('Données projet'!$B$12,Paramètres!$A$1:$I$89,3,0)*0.475*44/12</f>
        <v>2.5851277607161946E-13</v>
      </c>
      <c r="CN196" s="22">
        <f t="shared" si="172"/>
        <v>35.705462935382243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-3.4106051316484809E-13</v>
      </c>
      <c r="CU196" s="17">
        <f>CT196*VLOOKUP('Données projet'!$B$13,Paramètres!$A$1:$I$89,3,0)*VLOOKUP('Données projet'!$B$13,Paramètres!$A$1:$I$89,5,0)</f>
        <v>-2.0395418687257919E-13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237.036496933921</v>
      </c>
      <c r="CZ196" s="59">
        <f t="shared" si="150"/>
        <v>191.04289413665344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15.175677238087209</v>
      </c>
      <c r="DG196" s="21">
        <f>EXP(-LN(2)/25)*DG195+(1-EXP(-LN(2)/25))/(LN(2)/25)*Calculateur!DB196*Calculateur!DD196*VLOOKUP('Données projet'!$B$13,Paramètres!$A$1:$I$89,3,0)*0.475*44/12</f>
        <v>1.5079195467836972</v>
      </c>
      <c r="DH196" s="21">
        <f>EXP(-LN(2)/2)*DH195+(1-EXP(-LN(2)/2))/(LN(2)/2)*DB196*DE196*VLOOKUP('Données projet'!$B$13,Paramètres!$A$1:$I$89,3,0)*0.475*44/12</f>
        <v>3.4947827143681989E-16</v>
      </c>
      <c r="DI196" s="22">
        <f t="shared" si="175"/>
        <v>16.683596784870907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-3.979039320256561E-13</v>
      </c>
      <c r="DP196" s="17">
        <f>DO196*VLOOKUP('Données projet'!$B$14,Paramètres!$A$1:$I$89,3,0)*VLOOKUP('Données projet'!$B$14,Paramètres!$A$1:$I$89,5,0)</f>
        <v>-2.379465513513424E-13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148.22129593028302</v>
      </c>
      <c r="DU196" s="59">
        <f t="shared" si="152"/>
        <v>102.97015482019975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233.89079999999998</v>
      </c>
      <c r="EL196" s="13">
        <f t="shared" si="179"/>
        <v>57.123140349023068</v>
      </c>
      <c r="EM196" s="20">
        <f t="shared" si="180"/>
        <v>506.84927944121517</v>
      </c>
      <c r="EN196" s="59">
        <f t="shared" ref="EN196:EN203" si="198">EM196+(EE196+EF196)*44/12</f>
        <v>800.18261277454849</v>
      </c>
      <c r="EO196" s="59">
        <f ca="1">AVERAGE(OFFSET($EN$3,0,0,'Données projet'!$E$15+1,1))-AVERAGE(OFFSET($H$3,0,0,'Données projet'!$E$15+1,1))</f>
        <v>278.53123771916404</v>
      </c>
      <c r="EP196" s="59">
        <f t="shared" si="154"/>
        <v>283.79094702030869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3.571873693766884</v>
      </c>
      <c r="EW196" s="21">
        <f>EXP(-LN(2)/25)*EW195+(1-EXP(-LN(2)/25))/(LN(2)/25)*Calculateur!ER196*Calculateur!ET196*VLOOKUP('Données projet'!$B$15,Paramètres!$A$1:$I$89,3,0)*0.475*44/12</f>
        <v>0.24589361129509518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3.8177673050619791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-5.4001247917767614E-13</v>
      </c>
      <c r="FF196" s="17">
        <f>FE196*VLOOKUP('Données projet'!$B$16,Paramètres!$A$1:$I$89,3,0)*VLOOKUP('Données projet'!$B$16,Paramètres!$A$1:$I$89,5,0)</f>
        <v>-4.8860329115996133E-13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335.99493768537013</v>
      </c>
      <c r="FK196" s="59">
        <f t="shared" si="156"/>
        <v>150.85164849522778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165.40124514100836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165.40124514100836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259.99999999999983</v>
      </c>
      <c r="GA196" s="17">
        <f>FZ196*VLOOKUP('Données projet'!$B$17,Paramètres!$A$1:$I$89,3,0)*VLOOKUP('Données projet'!$B$17,Paramètres!$A$1:$I$89,5,0)</f>
        <v>227.13599999999985</v>
      </c>
      <c r="GB196" s="13">
        <f t="shared" si="185"/>
        <v>55.662966886685133</v>
      </c>
      <c r="GC196" s="20">
        <f t="shared" si="186"/>
        <v>492.5415339943097</v>
      </c>
      <c r="GD196" s="59">
        <f t="shared" ref="GD196:GD203" si="200">GC196+(FU196+FV196)*44/12</f>
        <v>785.87486732764296</v>
      </c>
      <c r="GE196" s="59">
        <f ca="1">AVERAGE(OFFSET($GD$3,0,0,'Données projet'!$E$17+1,1))-AVERAGE(OFFSET($H$3,0,0,'Données projet'!$E$17+1,1))</f>
        <v>319.57811113658374</v>
      </c>
      <c r="GF196" s="59">
        <f t="shared" si="158"/>
        <v>322.03572137403245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5.9863868578776565</v>
      </c>
      <c r="GM196" s="21">
        <f>EXP(-LN(2)/25)*GM195+(1-EXP(-LN(2)/25))/(LN(2)/25)*Calculateur!GH196*Calculateur!GJ196*VLOOKUP('Données projet'!$B$17,Paramètres!$A$1:$I$89,3,0)*0.475*44/12</f>
        <v>1.0200034076476407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7.0063902655252974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5.4683368944097308E-14</v>
      </c>
      <c r="P197" s="13">
        <f t="shared" ref="P197:P203" si="203">EXP(-1.0587+0.8836*LN(O197)+0.284)</f>
        <v>8.8129432816788268E-13</v>
      </c>
      <c r="Q197" s="20">
        <f t="shared" si="162"/>
        <v>1.6301611558033651E-12</v>
      </c>
      <c r="R197" s="59">
        <f t="shared" si="191"/>
        <v>293.33333333333496</v>
      </c>
      <c r="S197" s="59">
        <f ca="1">AVERAGE(OFFSET($R$3,0,0,'Données projet'!$E$9+1,1))-AVERAGE(OFFSET($H$3,0,0,'Données projet'!$E$9+1,1))</f>
        <v>226.41956082453015</v>
      </c>
      <c r="T197" s="59">
        <f t="shared" ref="T197:T203" si="204">$T$3</f>
        <v>317.95076157570446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2.9262992029543969E-13</v>
      </c>
      <c r="AK197" s="13">
        <f t="shared" si="164"/>
        <v>3.8796387982050903E-12</v>
      </c>
      <c r="AL197" s="20">
        <f t="shared" si="165"/>
        <v>7.2667013513884219E-12</v>
      </c>
      <c r="AM197" s="59">
        <f t="shared" si="193"/>
        <v>293.33333333334059</v>
      </c>
      <c r="AN197" s="59">
        <f ca="1">AVERAGE(OFFSET($AM$3,0,0,'Données projet'!$E$10+1,1))-AVERAGE(OFFSET($H$3,0,0,'Données projet'!$E$10+1,1))</f>
        <v>257.80662231827404</v>
      </c>
      <c r="AO197" s="59">
        <f t="shared" ref="AO197:AO203" si="205">$AO$3</f>
        <v>184.04558520039876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-2.5420376914553347E-13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300.90952915835157</v>
      </c>
      <c r="BJ197" s="59">
        <f t="shared" ref="BJ197:BJ203" si="206">$BJ$3</f>
        <v>402.81783992925256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14.449411774231733</v>
      </c>
      <c r="BQ197" s="21">
        <f>EXP(-LN(2)/25)*BQ196+(1-EXP(-LN(2)/25))/(LN(2)/25)*Calculateur!BL197*Calculateur!BN197*VLOOKUP('Données projet'!$B$11,Paramètres!$A$1:$I$89,3,0)*0.475*44/12</f>
        <v>1.2342177969544115</v>
      </c>
      <c r="BR197" s="21">
        <f>EXP(-LN(2)/2)*BR196+(1-EXP(-LN(2)/2))/(LN(2)/2)*BL197*BO197*VLOOKUP('Données projet'!$B$11,Paramètres!$A$1:$I$89,3,0)*0.475*44/12</f>
        <v>4.0301310896823377E-20</v>
      </c>
      <c r="BS197" s="22">
        <f t="shared" si="169"/>
        <v>15.683629571186144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-1.4040324458619578E-13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246.05217890269194</v>
      </c>
      <c r="CE197" s="59">
        <f t="shared" ref="CE197:CE203" si="207">$CE$3</f>
        <v>155.54297071424327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31.183555546484161</v>
      </c>
      <c r="CL197" s="21">
        <f>EXP(-LN(2)/25)*CL196+(1-EXP(-LN(2)/25))/(LN(2)/25)*Calculateur!CG197*Calculateur!CI197*VLOOKUP('Données projet'!$B$12,Paramètres!$A$1:$I$89,3,0)*0.475*44/12</f>
        <v>3.7915899868515619</v>
      </c>
      <c r="CM197" s="21">
        <f>EXP(-LN(2)/2)*CM196+(1-EXP(-LN(2)/2))/(LN(2)/2)*CG197*CJ197*VLOOKUP('Données projet'!$B$12,Paramètres!$A$1:$I$89,3,0)*0.475*44/12</f>
        <v>1.8279613698360158E-13</v>
      </c>
      <c r="CN197" s="22">
        <f t="shared" si="172"/>
        <v>34.975145533335905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-3.4106051316484809E-13</v>
      </c>
      <c r="CU197" s="17">
        <f>CT197*VLOOKUP('Données projet'!$B$13,Paramètres!$A$1:$I$89,3,0)*VLOOKUP('Données projet'!$B$13,Paramètres!$A$1:$I$89,5,0)</f>
        <v>-2.0395418687257919E-13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237.036496933921</v>
      </c>
      <c r="CZ197" s="59">
        <f t="shared" ref="CZ197:CZ203" si="208">$CZ$3</f>
        <v>191.04289413665344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14.878091463697455</v>
      </c>
      <c r="DG197" s="21">
        <f>EXP(-LN(2)/25)*DG196+(1-EXP(-LN(2)/25))/(LN(2)/25)*Calculateur!DB197*Calculateur!DD197*VLOOKUP('Données projet'!$B$13,Paramètres!$A$1:$I$89,3,0)*0.475*44/12</f>
        <v>1.4666854074788545</v>
      </c>
      <c r="DH197" s="21">
        <f>EXP(-LN(2)/2)*DH196+(1-EXP(-LN(2)/2))/(LN(2)/2)*DB197*DE197*VLOOKUP('Données projet'!$B$13,Paramètres!$A$1:$I$89,3,0)*0.475*44/12</f>
        <v>2.4711845561032826E-16</v>
      </c>
      <c r="DI197" s="22">
        <f t="shared" si="175"/>
        <v>16.344776871176311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-3.979039320256561E-13</v>
      </c>
      <c r="DP197" s="17">
        <f>DO197*VLOOKUP('Données projet'!$B$14,Paramètres!$A$1:$I$89,3,0)*VLOOKUP('Données projet'!$B$14,Paramètres!$A$1:$I$89,5,0)</f>
        <v>-2.379465513513424E-13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148.22129593028302</v>
      </c>
      <c r="DU197" s="59">
        <f t="shared" ref="DU197:DU203" si="209">$DU$3</f>
        <v>102.97015482019975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233.89079999999998</v>
      </c>
      <c r="EL197" s="13">
        <f t="shared" si="179"/>
        <v>57.123140349023068</v>
      </c>
      <c r="EM197" s="20">
        <f t="shared" si="180"/>
        <v>506.84927944121517</v>
      </c>
      <c r="EN197" s="59">
        <f t="shared" si="198"/>
        <v>800.18261277454849</v>
      </c>
      <c r="EO197" s="59">
        <f ca="1">AVERAGE(OFFSET($EN$3,0,0,'Données projet'!$E$15+1,1))-AVERAGE(OFFSET($H$3,0,0,'Données projet'!$E$15+1,1))</f>
        <v>278.53123771916404</v>
      </c>
      <c r="EP197" s="59">
        <f t="shared" ref="EP197:EP203" si="210">$EP$3</f>
        <v>283.79094702030869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3.5018314292599468</v>
      </c>
      <c r="EW197" s="21">
        <f>EXP(-LN(2)/25)*EW196+(1-EXP(-LN(2)/25))/(LN(2)/25)*Calculateur!ER197*Calculateur!ET197*VLOOKUP('Données projet'!$B$15,Paramètres!$A$1:$I$89,3,0)*0.475*44/12</f>
        <v>0.23916963756324777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3.7410010668231948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-5.4001247917767614E-13</v>
      </c>
      <c r="FF197" s="17">
        <f>FE197*VLOOKUP('Données projet'!$B$16,Paramètres!$A$1:$I$89,3,0)*VLOOKUP('Données projet'!$B$16,Paramètres!$A$1:$I$89,5,0)</f>
        <v>-4.8860329115996133E-13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335.99493768537013</v>
      </c>
      <c r="FK197" s="59">
        <f t="shared" ref="FK197:FK203" si="211">$FK$3</f>
        <v>150.85164849522778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162.15782760859116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162.15782760859116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259.99999999999983</v>
      </c>
      <c r="GA197" s="17">
        <f>FZ197*VLOOKUP('Données projet'!$B$17,Paramètres!$A$1:$I$89,3,0)*VLOOKUP('Données projet'!$B$17,Paramètres!$A$1:$I$89,5,0)</f>
        <v>227.13599999999985</v>
      </c>
      <c r="GB197" s="13">
        <f t="shared" si="185"/>
        <v>55.662966886685133</v>
      </c>
      <c r="GC197" s="20">
        <f t="shared" si="186"/>
        <v>492.5415339943097</v>
      </c>
      <c r="GD197" s="59">
        <f t="shared" si="200"/>
        <v>785.87486732764296</v>
      </c>
      <c r="GE197" s="59">
        <f ca="1">AVERAGE(OFFSET($GD$3,0,0,'Données projet'!$E$17+1,1))-AVERAGE(OFFSET($H$3,0,0,'Données projet'!$E$17+1,1))</f>
        <v>319.57811113658374</v>
      </c>
      <c r="GF197" s="59">
        <f t="shared" ref="GF197:GF203" si="212">$GF$3</f>
        <v>322.03572137403245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5.8689974629301194</v>
      </c>
      <c r="GM197" s="21">
        <f>EXP(-LN(2)/25)*GM196+(1-EXP(-LN(2)/25))/(LN(2)/25)*Calculateur!GH197*Calculateur!GJ197*VLOOKUP('Données projet'!$B$17,Paramètres!$A$1:$I$89,3,0)*0.475*44/12</f>
        <v>0.99211136082586804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6.8611088237559876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5.4683368944097308E-14</v>
      </c>
      <c r="P198" s="13">
        <f t="shared" si="203"/>
        <v>8.8129432816788268E-13</v>
      </c>
      <c r="Q198" s="20">
        <f t="shared" si="162"/>
        <v>1.6301611558033651E-12</v>
      </c>
      <c r="R198" s="59">
        <f t="shared" si="191"/>
        <v>293.33333333333496</v>
      </c>
      <c r="S198" s="59">
        <f ca="1">AVERAGE(OFFSET($R$3,0,0,'Données projet'!$E$9+1,1))-AVERAGE(OFFSET($H$3,0,0,'Données projet'!$E$9+1,1))</f>
        <v>226.41956082453015</v>
      </c>
      <c r="T198" s="59">
        <f t="shared" si="204"/>
        <v>317.95076157570446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2.9262992029543969E-13</v>
      </c>
      <c r="AK198" s="13">
        <f t="shared" si="164"/>
        <v>3.8796387982050903E-12</v>
      </c>
      <c r="AL198" s="20">
        <f t="shared" si="165"/>
        <v>7.2667013513884219E-12</v>
      </c>
      <c r="AM198" s="59">
        <f t="shared" si="193"/>
        <v>293.33333333334059</v>
      </c>
      <c r="AN198" s="59">
        <f ca="1">AVERAGE(OFFSET($AM$3,0,0,'Données projet'!$E$10+1,1))-AVERAGE(OFFSET($H$3,0,0,'Données projet'!$E$10+1,1))</f>
        <v>257.80662231827404</v>
      </c>
      <c r="AO198" s="59">
        <f t="shared" si="205"/>
        <v>184.04558520039876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-2.5420376914553347E-13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300.90952915835157</v>
      </c>
      <c r="BJ198" s="59">
        <f t="shared" si="206"/>
        <v>402.81783992925256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14.166067622609992</v>
      </c>
      <c r="BQ198" s="21">
        <f>EXP(-LN(2)/25)*BQ197+(1-EXP(-LN(2)/25))/(LN(2)/25)*Calculateur!BL198*Calculateur!BN198*VLOOKUP('Données projet'!$B$11,Paramètres!$A$1:$I$89,3,0)*0.475*44/12</f>
        <v>1.2004680463919999</v>
      </c>
      <c r="BR198" s="21">
        <f>EXP(-LN(2)/2)*BR197+(1-EXP(-LN(2)/2))/(LN(2)/2)*BL198*BO198*VLOOKUP('Données projet'!$B$11,Paramètres!$A$1:$I$89,3,0)*0.475*44/12</f>
        <v>2.8497330225851111E-20</v>
      </c>
      <c r="BS198" s="22">
        <f t="shared" si="169"/>
        <v>15.366535669001992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-1.4040324458619578E-13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246.05217890269194</v>
      </c>
      <c r="CE198" s="59">
        <f t="shared" si="207"/>
        <v>155.54297071424327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30.572065042308413</v>
      </c>
      <c r="CL198" s="21">
        <f>EXP(-LN(2)/25)*CL197+(1-EXP(-LN(2)/25))/(LN(2)/25)*Calculateur!CG198*Calculateur!CI198*VLOOKUP('Données projet'!$B$12,Paramètres!$A$1:$I$89,3,0)*0.475*44/12</f>
        <v>3.6879087592700541</v>
      </c>
      <c r="CM198" s="21">
        <f>EXP(-LN(2)/2)*CM197+(1-EXP(-LN(2)/2))/(LN(2)/2)*CG198*CJ198*VLOOKUP('Données projet'!$B$12,Paramètres!$A$1:$I$89,3,0)*0.475*44/12</f>
        <v>1.2925638803580973E-13</v>
      </c>
      <c r="CN198" s="22">
        <f t="shared" si="172"/>
        <v>34.259973801578596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-3.4106051316484809E-13</v>
      </c>
      <c r="CU198" s="17">
        <f>CT198*VLOOKUP('Données projet'!$B$13,Paramètres!$A$1:$I$89,3,0)*VLOOKUP('Données projet'!$B$13,Paramètres!$A$1:$I$89,5,0)</f>
        <v>-2.0395418687257919E-13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237.036496933921</v>
      </c>
      <c r="CZ198" s="59">
        <f t="shared" si="208"/>
        <v>191.04289413665344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14.586341164834085</v>
      </c>
      <c r="DG198" s="21">
        <f>EXP(-LN(2)/25)*DG197+(1-EXP(-LN(2)/25))/(LN(2)/25)*Calculateur!DB198*Calculateur!DD198*VLOOKUP('Données projet'!$B$13,Paramètres!$A$1:$I$89,3,0)*0.475*44/12</f>
        <v>1.4265788178817118</v>
      </c>
      <c r="DH198" s="21">
        <f>EXP(-LN(2)/2)*DH197+(1-EXP(-LN(2)/2))/(LN(2)/2)*DB198*DE198*VLOOKUP('Données projet'!$B$13,Paramètres!$A$1:$I$89,3,0)*0.475*44/12</f>
        <v>1.7473913571840995E-16</v>
      </c>
      <c r="DI198" s="22">
        <f t="shared" si="175"/>
        <v>16.012919982715797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-3.979039320256561E-13</v>
      </c>
      <c r="DP198" s="17">
        <f>DO198*VLOOKUP('Données projet'!$B$14,Paramètres!$A$1:$I$89,3,0)*VLOOKUP('Données projet'!$B$14,Paramètres!$A$1:$I$89,5,0)</f>
        <v>-2.379465513513424E-13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148.22129593028302</v>
      </c>
      <c r="DU198" s="59">
        <f t="shared" si="209"/>
        <v>102.97015482019975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233.89079999999998</v>
      </c>
      <c r="EL198" s="13">
        <f t="shared" si="179"/>
        <v>57.123140349023068</v>
      </c>
      <c r="EM198" s="20">
        <f t="shared" si="180"/>
        <v>506.84927944121517</v>
      </c>
      <c r="EN198" s="59">
        <f t="shared" si="198"/>
        <v>800.18261277454849</v>
      </c>
      <c r="EO198" s="59">
        <f ca="1">AVERAGE(OFFSET($EN$3,0,0,'Données projet'!$E$15+1,1))-AVERAGE(OFFSET($H$3,0,0,'Données projet'!$E$15+1,1))</f>
        <v>278.53123771916404</v>
      </c>
      <c r="EP198" s="59">
        <f t="shared" si="210"/>
        <v>283.79094702030869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3.4331626508384279</v>
      </c>
      <c r="EW198" s="21">
        <f>EXP(-LN(2)/25)*EW197+(1-EXP(-LN(2)/25))/(LN(2)/25)*Calculateur!ER198*Calculateur!ET198*VLOOKUP('Données projet'!$B$15,Paramètres!$A$1:$I$89,3,0)*0.475*44/12</f>
        <v>0.23262953124669616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3.665792182085124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-5.4001247917767614E-13</v>
      </c>
      <c r="FF198" s="17">
        <f>FE198*VLOOKUP('Données projet'!$B$16,Paramètres!$A$1:$I$89,3,0)*VLOOKUP('Données projet'!$B$16,Paramètres!$A$1:$I$89,5,0)</f>
        <v>-4.8860329115996133E-13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335.99493768537013</v>
      </c>
      <c r="FK198" s="59">
        <f t="shared" si="211"/>
        <v>150.85164849522778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158.97801151569533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158.97801151569533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259.99999999999983</v>
      </c>
      <c r="GA198" s="17">
        <f>FZ198*VLOOKUP('Données projet'!$B$17,Paramètres!$A$1:$I$89,3,0)*VLOOKUP('Données projet'!$B$17,Paramètres!$A$1:$I$89,5,0)</f>
        <v>227.13599999999985</v>
      </c>
      <c r="GB198" s="13">
        <f t="shared" si="185"/>
        <v>55.662966886685133</v>
      </c>
      <c r="GC198" s="20">
        <f t="shared" si="186"/>
        <v>492.5415339943097</v>
      </c>
      <c r="GD198" s="59">
        <f t="shared" si="200"/>
        <v>785.87486732764296</v>
      </c>
      <c r="GE198" s="59">
        <f ca="1">AVERAGE(OFFSET($GD$3,0,0,'Données projet'!$E$17+1,1))-AVERAGE(OFFSET($H$3,0,0,'Données projet'!$E$17+1,1))</f>
        <v>319.57811113658374</v>
      </c>
      <c r="GF198" s="59">
        <f t="shared" si="212"/>
        <v>322.03572137403245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5.7539100024170429</v>
      </c>
      <c r="GM198" s="21">
        <f>EXP(-LN(2)/25)*GM197+(1-EXP(-LN(2)/25))/(LN(2)/25)*Calculateur!GH198*Calculateur!GJ198*VLOOKUP('Données projet'!$B$17,Paramètres!$A$1:$I$89,3,0)*0.475*44/12</f>
        <v>0.96498202349121576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6.718892025908259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5.4683368944097308E-14</v>
      </c>
      <c r="P199" s="13">
        <f t="shared" si="203"/>
        <v>8.8129432816788268E-13</v>
      </c>
      <c r="Q199" s="20">
        <f t="shared" si="162"/>
        <v>1.6301611558033651E-12</v>
      </c>
      <c r="R199" s="59">
        <f t="shared" si="191"/>
        <v>293.33333333333496</v>
      </c>
      <c r="S199" s="59">
        <f ca="1">AVERAGE(OFFSET($R$3,0,0,'Données projet'!$E$9+1,1))-AVERAGE(OFFSET($H$3,0,0,'Données projet'!$E$9+1,1))</f>
        <v>226.41956082453015</v>
      </c>
      <c r="T199" s="59">
        <f t="shared" si="204"/>
        <v>317.95076157570446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2.9262992029543969E-13</v>
      </c>
      <c r="AK199" s="13">
        <f t="shared" si="164"/>
        <v>3.8796387982050903E-12</v>
      </c>
      <c r="AL199" s="20">
        <f t="shared" si="165"/>
        <v>7.2667013513884219E-12</v>
      </c>
      <c r="AM199" s="59">
        <f t="shared" si="193"/>
        <v>293.33333333334059</v>
      </c>
      <c r="AN199" s="59">
        <f ca="1">AVERAGE(OFFSET($AM$3,0,0,'Données projet'!$E$10+1,1))-AVERAGE(OFFSET($H$3,0,0,'Données projet'!$E$10+1,1))</f>
        <v>257.80662231827404</v>
      </c>
      <c r="AO199" s="59">
        <f t="shared" si="205"/>
        <v>184.04558520039876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-2.5420376914553347E-13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300.90952915835157</v>
      </c>
      <c r="BJ199" s="59">
        <f t="shared" si="206"/>
        <v>402.81783992925256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13.888279676978687</v>
      </c>
      <c r="BQ199" s="21">
        <f>EXP(-LN(2)/25)*BQ198+(1-EXP(-LN(2)/25))/(LN(2)/25)*Calculateur!BL199*Calculateur!BN199*VLOOKUP('Données projet'!$B$11,Paramètres!$A$1:$I$89,3,0)*0.475*44/12</f>
        <v>1.1676411845335397</v>
      </c>
      <c r="BR199" s="21">
        <f>EXP(-LN(2)/2)*BR198+(1-EXP(-LN(2)/2))/(LN(2)/2)*BL199*BO199*VLOOKUP('Données projet'!$B$11,Paramètres!$A$1:$I$89,3,0)*0.475*44/12</f>
        <v>2.0150655448411689E-20</v>
      </c>
      <c r="BS199" s="22">
        <f t="shared" si="169"/>
        <v>15.055920861512227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-1.4040324458619578E-13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246.05217890269194</v>
      </c>
      <c r="CE199" s="59">
        <f t="shared" si="207"/>
        <v>155.54297071424327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29.972565493947172</v>
      </c>
      <c r="CL199" s="21">
        <f>EXP(-LN(2)/25)*CL198+(1-EXP(-LN(2)/25))/(LN(2)/25)*Calculateur!CG199*Calculateur!CI199*VLOOKUP('Données projet'!$B$12,Paramètres!$A$1:$I$89,3,0)*0.475*44/12</f>
        <v>3.5870627003091218</v>
      </c>
      <c r="CM199" s="21">
        <f>EXP(-LN(2)/2)*CM198+(1-EXP(-LN(2)/2))/(LN(2)/2)*CG199*CJ199*VLOOKUP('Données projet'!$B$12,Paramètres!$A$1:$I$89,3,0)*0.475*44/12</f>
        <v>9.1398068491800792E-14</v>
      </c>
      <c r="CN199" s="22">
        <f t="shared" si="172"/>
        <v>33.559628194256383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-3.4106051316484809E-13</v>
      </c>
      <c r="CU199" s="17">
        <f>CT199*VLOOKUP('Données projet'!$B$13,Paramètres!$A$1:$I$89,3,0)*VLOOKUP('Données projet'!$B$13,Paramètres!$A$1:$I$89,5,0)</f>
        <v>-2.0395418687257919E-13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237.036496933921</v>
      </c>
      <c r="CZ199" s="59">
        <f t="shared" si="208"/>
        <v>191.04289413665344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14.300311911381314</v>
      </c>
      <c r="DG199" s="21">
        <f>EXP(-LN(2)/25)*DG198+(1-EXP(-LN(2)/25))/(LN(2)/25)*Calculateur!DB199*Calculateur!DD199*VLOOKUP('Données projet'!$B$13,Paramètres!$A$1:$I$89,3,0)*0.475*44/12</f>
        <v>1.3875689450862168</v>
      </c>
      <c r="DH199" s="21">
        <f>EXP(-LN(2)/2)*DH198+(1-EXP(-LN(2)/2))/(LN(2)/2)*DB199*DE199*VLOOKUP('Données projet'!$B$13,Paramètres!$A$1:$I$89,3,0)*0.475*44/12</f>
        <v>1.2355922780516413E-16</v>
      </c>
      <c r="DI199" s="22">
        <f t="shared" si="175"/>
        <v>15.687880856467531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-3.979039320256561E-13</v>
      </c>
      <c r="DP199" s="17">
        <f>DO199*VLOOKUP('Données projet'!$B$14,Paramètres!$A$1:$I$89,3,0)*VLOOKUP('Données projet'!$B$14,Paramètres!$A$1:$I$89,5,0)</f>
        <v>-2.379465513513424E-13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148.22129593028302</v>
      </c>
      <c r="DU199" s="59">
        <f t="shared" si="209"/>
        <v>102.97015482019975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233.89079999999998</v>
      </c>
      <c r="EL199" s="13">
        <f t="shared" si="179"/>
        <v>57.123140349023068</v>
      </c>
      <c r="EM199" s="20">
        <f t="shared" si="180"/>
        <v>506.84927944121517</v>
      </c>
      <c r="EN199" s="59">
        <f t="shared" si="198"/>
        <v>800.18261277454849</v>
      </c>
      <c r="EO199" s="59">
        <f ca="1">AVERAGE(OFFSET($EN$3,0,0,'Données projet'!$E$15+1,1))-AVERAGE(OFFSET($H$3,0,0,'Données projet'!$E$15+1,1))</f>
        <v>278.53123771916404</v>
      </c>
      <c r="EP199" s="59">
        <f t="shared" si="210"/>
        <v>283.79094702030869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3.3658404252779359</v>
      </c>
      <c r="EW199" s="21">
        <f>EXP(-LN(2)/25)*EW198+(1-EXP(-LN(2)/25))/(LN(2)/25)*Calculateur!ER199*Calculateur!ET199*VLOOKUP('Données projet'!$B$15,Paramètres!$A$1:$I$89,3,0)*0.475*44/12</f>
        <v>0.22626826448129989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3.592108689759236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-5.4001247917767614E-13</v>
      </c>
      <c r="FF199" s="17">
        <f>FE199*VLOOKUP('Données projet'!$B$16,Paramètres!$A$1:$I$89,3,0)*VLOOKUP('Données projet'!$B$16,Paramètres!$A$1:$I$89,5,0)</f>
        <v>-4.8860329115996133E-13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335.99493768537013</v>
      </c>
      <c r="FK199" s="59">
        <f t="shared" si="211"/>
        <v>150.85164849522778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155.86054967688486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155.86054967688486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259.99999999999983</v>
      </c>
      <c r="GA199" s="17">
        <f>FZ199*VLOOKUP('Données projet'!$B$17,Paramètres!$A$1:$I$89,3,0)*VLOOKUP('Données projet'!$B$17,Paramètres!$A$1:$I$89,5,0)</f>
        <v>227.13599999999985</v>
      </c>
      <c r="GB199" s="13">
        <f t="shared" si="185"/>
        <v>55.662966886685133</v>
      </c>
      <c r="GC199" s="20">
        <f t="shared" si="186"/>
        <v>492.5415339943097</v>
      </c>
      <c r="GD199" s="59">
        <f t="shared" si="200"/>
        <v>785.87486732764296</v>
      </c>
      <c r="GE199" s="59">
        <f ca="1">AVERAGE(OFFSET($GD$3,0,0,'Données projet'!$E$17+1,1))-AVERAGE(OFFSET($H$3,0,0,'Données projet'!$E$17+1,1))</f>
        <v>319.57811113658374</v>
      </c>
      <c r="GF199" s="59">
        <f t="shared" si="212"/>
        <v>322.03572137403245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5.6410793368082084</v>
      </c>
      <c r="GM199" s="21">
        <f>EXP(-LN(2)/25)*GM198+(1-EXP(-LN(2)/25))/(LN(2)/25)*Calculateur!GH199*Calculateur!GJ199*VLOOKUP('Données projet'!$B$17,Paramètres!$A$1:$I$89,3,0)*0.475*44/12</f>
        <v>0.93859453931264936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6.5796738761208573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5.4683368944097308E-14</v>
      </c>
      <c r="P200" s="13">
        <f t="shared" si="203"/>
        <v>8.8129432816788268E-13</v>
      </c>
      <c r="Q200" s="20">
        <f t="shared" si="162"/>
        <v>1.6301611558033651E-12</v>
      </c>
      <c r="R200" s="59">
        <f t="shared" si="191"/>
        <v>293.33333333333496</v>
      </c>
      <c r="S200" s="59">
        <f ca="1">AVERAGE(OFFSET($R$3,0,0,'Données projet'!$E$9+1,1))-AVERAGE(OFFSET($H$3,0,0,'Données projet'!$E$9+1,1))</f>
        <v>226.41956082453015</v>
      </c>
      <c r="T200" s="59">
        <f t="shared" si="204"/>
        <v>317.95076157570446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2.9262992029543969E-13</v>
      </c>
      <c r="AK200" s="13">
        <f t="shared" si="164"/>
        <v>3.8796387982050903E-12</v>
      </c>
      <c r="AL200" s="20">
        <f t="shared" si="165"/>
        <v>7.2667013513884219E-12</v>
      </c>
      <c r="AM200" s="59">
        <f t="shared" si="193"/>
        <v>293.33333333334059</v>
      </c>
      <c r="AN200" s="59">
        <f ca="1">AVERAGE(OFFSET($AM$3,0,0,'Données projet'!$E$10+1,1))-AVERAGE(OFFSET($H$3,0,0,'Données projet'!$E$10+1,1))</f>
        <v>257.80662231827404</v>
      </c>
      <c r="AO200" s="59">
        <f t="shared" si="205"/>
        <v>184.04558520039876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-2.5420376914553347E-13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300.90952915835157</v>
      </c>
      <c r="BJ200" s="59">
        <f t="shared" si="206"/>
        <v>402.81783992925256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13.615938983527295</v>
      </c>
      <c r="BQ200" s="21">
        <f>EXP(-LN(2)/25)*BQ199+(1-EXP(-LN(2)/25))/(LN(2)/25)*Calculateur!BL200*Calculateur!BN200*VLOOKUP('Données projet'!$B$11,Paramètres!$A$1:$I$89,3,0)*0.475*44/12</f>
        <v>1.1357119749388889</v>
      </c>
      <c r="BR200" s="21">
        <f>EXP(-LN(2)/2)*BR199+(1-EXP(-LN(2)/2))/(LN(2)/2)*BL200*BO200*VLOOKUP('Données projet'!$B$11,Paramètres!$A$1:$I$89,3,0)*0.475*44/12</f>
        <v>1.4248665112925555E-20</v>
      </c>
      <c r="BS200" s="22">
        <f t="shared" si="169"/>
        <v>14.751650958466184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-1.4040324458619578E-13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246.05217890269194</v>
      </c>
      <c r="CE200" s="59">
        <f t="shared" si="207"/>
        <v>155.54297071424327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29.384821766070676</v>
      </c>
      <c r="CL200" s="21">
        <f>EXP(-LN(2)/25)*CL199+(1-EXP(-LN(2)/25))/(LN(2)/25)*Calculateur!CG200*Calculateur!CI200*VLOOKUP('Données projet'!$B$12,Paramètres!$A$1:$I$89,3,0)*0.475*44/12</f>
        <v>3.4889742821337397</v>
      </c>
      <c r="CM200" s="21">
        <f>EXP(-LN(2)/2)*CM199+(1-EXP(-LN(2)/2))/(LN(2)/2)*CG200*CJ200*VLOOKUP('Données projet'!$B$12,Paramètres!$A$1:$I$89,3,0)*0.475*44/12</f>
        <v>6.4628194017904866E-14</v>
      </c>
      <c r="CN200" s="22">
        <f t="shared" si="172"/>
        <v>32.873796048204483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-3.4106051316484809E-13</v>
      </c>
      <c r="CU200" s="17">
        <f>CT200*VLOOKUP('Données projet'!$B$13,Paramètres!$A$1:$I$89,3,0)*VLOOKUP('Données projet'!$B$13,Paramètres!$A$1:$I$89,5,0)</f>
        <v>-2.0395418687257919E-13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237.036496933921</v>
      </c>
      <c r="CZ200" s="59">
        <f t="shared" si="208"/>
        <v>191.04289413665344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14.019891517128134</v>
      </c>
      <c r="DG200" s="21">
        <f>EXP(-LN(2)/25)*DG199+(1-EXP(-LN(2)/25))/(LN(2)/25)*Calculateur!DB200*Calculateur!DD200*VLOOKUP('Données projet'!$B$13,Paramètres!$A$1:$I$89,3,0)*0.475*44/12</f>
        <v>1.3496257993137546</v>
      </c>
      <c r="DH200" s="21">
        <f>EXP(-LN(2)/2)*DH199+(1-EXP(-LN(2)/2))/(LN(2)/2)*DB200*DE200*VLOOKUP('Données projet'!$B$13,Paramètres!$A$1:$I$89,3,0)*0.475*44/12</f>
        <v>8.7369567859204973E-17</v>
      </c>
      <c r="DI200" s="22">
        <f t="shared" si="175"/>
        <v>15.369517316441888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-3.979039320256561E-13</v>
      </c>
      <c r="DP200" s="17">
        <f>DO200*VLOOKUP('Données projet'!$B$14,Paramètres!$A$1:$I$89,3,0)*VLOOKUP('Données projet'!$B$14,Paramètres!$A$1:$I$89,5,0)</f>
        <v>-2.379465513513424E-13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148.22129593028302</v>
      </c>
      <c r="DU200" s="59">
        <f t="shared" si="209"/>
        <v>102.97015482019975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233.89079999999998</v>
      </c>
      <c r="EL200" s="13">
        <f t="shared" si="179"/>
        <v>57.123140349023068</v>
      </c>
      <c r="EM200" s="20">
        <f t="shared" si="180"/>
        <v>506.84927944121517</v>
      </c>
      <c r="EN200" s="59">
        <f t="shared" si="198"/>
        <v>800.18261277454849</v>
      </c>
      <c r="EO200" s="59">
        <f ca="1">AVERAGE(OFFSET($EN$3,0,0,'Données projet'!$E$15+1,1))-AVERAGE(OFFSET($H$3,0,0,'Données projet'!$E$15+1,1))</f>
        <v>278.53123771916404</v>
      </c>
      <c r="EP200" s="59">
        <f t="shared" si="210"/>
        <v>283.79094702030869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3.2998383474981821</v>
      </c>
      <c r="EW200" s="21">
        <f>EXP(-LN(2)/25)*EW199+(1-EXP(-LN(2)/25))/(LN(2)/25)*Calculateur!ER200*Calculateur!ET200*VLOOKUP('Données projet'!$B$15,Paramètres!$A$1:$I$89,3,0)*0.475*44/12</f>
        <v>0.22008094689012786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3.51991929438831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-5.4001247917767614E-13</v>
      </c>
      <c r="FF200" s="17">
        <f>FE200*VLOOKUP('Données projet'!$B$16,Paramètres!$A$1:$I$89,3,0)*VLOOKUP('Données projet'!$B$16,Paramètres!$A$1:$I$89,5,0)</f>
        <v>-4.8860329115996133E-13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335.99493768537013</v>
      </c>
      <c r="FK200" s="59">
        <f t="shared" si="211"/>
        <v>150.85164849522778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152.80421936326951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152.80421936326951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259.99999999999983</v>
      </c>
      <c r="GA200" s="17">
        <f>FZ200*VLOOKUP('Données projet'!$B$17,Paramètres!$A$1:$I$89,3,0)*VLOOKUP('Données projet'!$B$17,Paramètres!$A$1:$I$89,5,0)</f>
        <v>227.13599999999985</v>
      </c>
      <c r="GB200" s="13">
        <f t="shared" si="185"/>
        <v>55.662966886685133</v>
      </c>
      <c r="GC200" s="20">
        <f t="shared" si="186"/>
        <v>492.5415339943097</v>
      </c>
      <c r="GD200" s="59">
        <f t="shared" si="200"/>
        <v>785.87486732764296</v>
      </c>
      <c r="GE200" s="59">
        <f ca="1">AVERAGE(OFFSET($GD$3,0,0,'Données projet'!$E$17+1,1))-AVERAGE(OFFSET($H$3,0,0,'Données projet'!$E$17+1,1))</f>
        <v>319.57811113658374</v>
      </c>
      <c r="GF200" s="59">
        <f t="shared" si="212"/>
        <v>322.03572137403245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5.5304612117320522</v>
      </c>
      <c r="GM200" s="21">
        <f>EXP(-LN(2)/25)*GM199+(1-EXP(-LN(2)/25))/(LN(2)/25)*Calculateur!GH200*Calculateur!GJ200*VLOOKUP('Données projet'!$B$17,Paramètres!$A$1:$I$89,3,0)*0.475*44/12</f>
        <v>0.91292862227660332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6.4433898340086557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5.4683368944097308E-14</v>
      </c>
      <c r="P201" s="13">
        <f t="shared" si="203"/>
        <v>8.8129432816788268E-13</v>
      </c>
      <c r="Q201" s="20">
        <f t="shared" si="162"/>
        <v>1.6301611558033651E-12</v>
      </c>
      <c r="R201" s="59">
        <f t="shared" si="191"/>
        <v>293.33333333333496</v>
      </c>
      <c r="S201" s="59">
        <f ca="1">AVERAGE(OFFSET($R$3,0,0,'Données projet'!$E$9+1,1))-AVERAGE(OFFSET($H$3,0,0,'Données projet'!$E$9+1,1))</f>
        <v>226.41956082453015</v>
      </c>
      <c r="T201" s="59">
        <f t="shared" si="204"/>
        <v>317.95076157570446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2.9262992029543969E-13</v>
      </c>
      <c r="AK201" s="13">
        <f t="shared" si="164"/>
        <v>3.8796387982050903E-12</v>
      </c>
      <c r="AL201" s="20">
        <f t="shared" si="165"/>
        <v>7.2667013513884219E-12</v>
      </c>
      <c r="AM201" s="59">
        <f t="shared" si="193"/>
        <v>293.33333333334059</v>
      </c>
      <c r="AN201" s="59">
        <f ca="1">AVERAGE(OFFSET($AM$3,0,0,'Données projet'!$E$10+1,1))-AVERAGE(OFFSET($H$3,0,0,'Données projet'!$E$10+1,1))</f>
        <v>257.80662231827404</v>
      </c>
      <c r="AO201" s="59">
        <f t="shared" si="205"/>
        <v>184.04558520039876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-2.5420376914553347E-13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300.90952915835157</v>
      </c>
      <c r="BJ201" s="59">
        <f t="shared" si="206"/>
        <v>402.81783992925256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13.348938724963064</v>
      </c>
      <c r="BQ201" s="21">
        <f>EXP(-LN(2)/25)*BQ200+(1-EXP(-LN(2)/25))/(LN(2)/25)*Calculateur!BL201*Calculateur!BN201*VLOOKUP('Données projet'!$B$11,Paramètres!$A$1:$I$89,3,0)*0.475*44/12</f>
        <v>1.1046558712596879</v>
      </c>
      <c r="BR201" s="21">
        <f>EXP(-LN(2)/2)*BR200+(1-EXP(-LN(2)/2))/(LN(2)/2)*BL201*BO201*VLOOKUP('Données projet'!$B$11,Paramètres!$A$1:$I$89,3,0)*0.475*44/12</f>
        <v>1.0075327724205844E-20</v>
      </c>
      <c r="BS201" s="22">
        <f t="shared" si="169"/>
        <v>14.453594596222752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-1.4040324458619578E-13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246.05217890269194</v>
      </c>
      <c r="CE201" s="59">
        <f t="shared" si="207"/>
        <v>155.54297071424327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28.808603334209561</v>
      </c>
      <c r="CL201" s="21">
        <f>EXP(-LN(2)/25)*CL200+(1-EXP(-LN(2)/25))/(LN(2)/25)*Calculateur!CG201*Calculateur!CI201*VLOOKUP('Données projet'!$B$12,Paramètres!$A$1:$I$89,3,0)*0.475*44/12</f>
        <v>3.3935680969116091</v>
      </c>
      <c r="CM201" s="21">
        <f>EXP(-LN(2)/2)*CM200+(1-EXP(-LN(2)/2))/(LN(2)/2)*CG201*CJ201*VLOOKUP('Données projet'!$B$12,Paramètres!$A$1:$I$89,3,0)*0.475*44/12</f>
        <v>4.5699034245900396E-14</v>
      </c>
      <c r="CN201" s="22">
        <f t="shared" si="172"/>
        <v>32.202171431121215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-3.4106051316484809E-13</v>
      </c>
      <c r="CU201" s="17">
        <f>CT201*VLOOKUP('Données projet'!$B$13,Paramètres!$A$1:$I$89,3,0)*VLOOKUP('Données projet'!$B$13,Paramètres!$A$1:$I$89,5,0)</f>
        <v>-2.0395418687257919E-13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237.036496933921</v>
      </c>
      <c r="CZ201" s="59">
        <f t="shared" si="208"/>
        <v>191.04289413665344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13.744969995766706</v>
      </c>
      <c r="DG201" s="21">
        <f>EXP(-LN(2)/25)*DG200+(1-EXP(-LN(2)/25))/(LN(2)/25)*Calculateur!DB201*Calculateur!DD201*VLOOKUP('Données projet'!$B$13,Paramètres!$A$1:$I$89,3,0)*0.475*44/12</f>
        <v>1.3127202108577838</v>
      </c>
      <c r="DH201" s="21">
        <f>EXP(-LN(2)/2)*DH200+(1-EXP(-LN(2)/2))/(LN(2)/2)*DB201*DE201*VLOOKUP('Données projet'!$B$13,Paramètres!$A$1:$I$89,3,0)*0.475*44/12</f>
        <v>6.1779613902582066E-17</v>
      </c>
      <c r="DI201" s="22">
        <f t="shared" si="175"/>
        <v>15.057690206624489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-3.979039320256561E-13</v>
      </c>
      <c r="DP201" s="17">
        <f>DO201*VLOOKUP('Données projet'!$B$14,Paramètres!$A$1:$I$89,3,0)*VLOOKUP('Données projet'!$B$14,Paramètres!$A$1:$I$89,5,0)</f>
        <v>-2.379465513513424E-13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148.22129593028302</v>
      </c>
      <c r="DU201" s="59">
        <f t="shared" si="209"/>
        <v>102.97015482019975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233.89079999999998</v>
      </c>
      <c r="EL201" s="13">
        <f t="shared" si="179"/>
        <v>57.123140349023068</v>
      </c>
      <c r="EM201" s="20">
        <f t="shared" si="180"/>
        <v>506.84927944121517</v>
      </c>
      <c r="EN201" s="59">
        <f t="shared" si="198"/>
        <v>800.18261277454849</v>
      </c>
      <c r="EO201" s="59">
        <f ca="1">AVERAGE(OFFSET($EN$3,0,0,'Données projet'!$E$15+1,1))-AVERAGE(OFFSET($H$3,0,0,'Données projet'!$E$15+1,1))</f>
        <v>278.53123771916404</v>
      </c>
      <c r="EP201" s="59">
        <f t="shared" si="210"/>
        <v>283.79094702030869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3.2351305302063968</v>
      </c>
      <c r="EW201" s="21">
        <f>EXP(-LN(2)/25)*EW200+(1-EXP(-LN(2)/25))/(LN(2)/25)*Calculateur!ER201*Calculateur!ET201*VLOOKUP('Données projet'!$B$15,Paramètres!$A$1:$I$89,3,0)*0.475*44/12</f>
        <v>0.21406282182386333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3.4491933520302602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-5.4001247917767614E-13</v>
      </c>
      <c r="FF201" s="17">
        <f>FE201*VLOOKUP('Données projet'!$B$16,Paramètres!$A$1:$I$89,3,0)*VLOOKUP('Données projet'!$B$16,Paramètres!$A$1:$I$89,5,0)</f>
        <v>-4.8860329115996133E-13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335.99493768537013</v>
      </c>
      <c r="FK201" s="59">
        <f t="shared" si="211"/>
        <v>150.85164849522778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149.80782182292674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149.80782182292674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259.99999999999983</v>
      </c>
      <c r="GA201" s="17">
        <f>FZ201*VLOOKUP('Données projet'!$B$17,Paramètres!$A$1:$I$89,3,0)*VLOOKUP('Données projet'!$B$17,Paramètres!$A$1:$I$89,5,0)</f>
        <v>227.13599999999985</v>
      </c>
      <c r="GB201" s="13">
        <f t="shared" si="185"/>
        <v>55.662966886685133</v>
      </c>
      <c r="GC201" s="20">
        <f t="shared" si="186"/>
        <v>492.5415339943097</v>
      </c>
      <c r="GD201" s="59">
        <f t="shared" si="200"/>
        <v>785.87486732764296</v>
      </c>
      <c r="GE201" s="59">
        <f ca="1">AVERAGE(OFFSET($GD$3,0,0,'Données projet'!$E$17+1,1))-AVERAGE(OFFSET($H$3,0,0,'Données projet'!$E$17+1,1))</f>
        <v>319.57811113658374</v>
      </c>
      <c r="GF201" s="59">
        <f t="shared" si="212"/>
        <v>322.03572137403245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5.4220122406182449</v>
      </c>
      <c r="GM201" s="21">
        <f>EXP(-LN(2)/25)*GM200+(1-EXP(-LN(2)/25))/(LN(2)/25)*Calculateur!GH201*Calculateur!GJ201*VLOOKUP('Données projet'!$B$17,Paramètres!$A$1:$I$89,3,0)*0.475*44/12</f>
        <v>0.88796454109161993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6.3099767817098646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5.4683368944097308E-14</v>
      </c>
      <c r="P202" s="13">
        <f t="shared" si="203"/>
        <v>8.8129432816788268E-13</v>
      </c>
      <c r="Q202" s="20">
        <f t="shared" si="162"/>
        <v>1.6301611558033651E-12</v>
      </c>
      <c r="R202" s="59">
        <f t="shared" si="191"/>
        <v>293.33333333333496</v>
      </c>
      <c r="S202" s="59">
        <f ca="1">AVERAGE(OFFSET($R$3,0,0,'Données projet'!$E$9+1,1))-AVERAGE(OFFSET($H$3,0,0,'Données projet'!$E$9+1,1))</f>
        <v>226.41956082453015</v>
      </c>
      <c r="T202" s="59">
        <f t="shared" si="204"/>
        <v>317.95076157570446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2.9262992029543969E-13</v>
      </c>
      <c r="AK202" s="13">
        <f t="shared" si="164"/>
        <v>3.8796387982050903E-12</v>
      </c>
      <c r="AL202" s="20">
        <f t="shared" si="165"/>
        <v>7.2667013513884219E-12</v>
      </c>
      <c r="AM202" s="59">
        <f t="shared" si="193"/>
        <v>293.33333333334059</v>
      </c>
      <c r="AN202" s="59">
        <f ca="1">AVERAGE(OFFSET($AM$3,0,0,'Données projet'!$E$10+1,1))-AVERAGE(OFFSET($H$3,0,0,'Données projet'!$E$10+1,1))</f>
        <v>257.80662231827404</v>
      </c>
      <c r="AO202" s="59">
        <f t="shared" si="205"/>
        <v>184.04558520039876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-2.5420376914553347E-13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300.90952915835157</v>
      </c>
      <c r="BJ202" s="59">
        <f t="shared" si="206"/>
        <v>402.81783992925256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13.0871741786152</v>
      </c>
      <c r="BQ202" s="21">
        <f>EXP(-LN(2)/25)*BQ201+(1-EXP(-LN(2)/25))/(LN(2)/25)*Calculateur!BL202*Calculateur!BN202*VLOOKUP('Données projet'!$B$11,Paramètres!$A$1:$I$89,3,0)*0.475*44/12</f>
        <v>1.0744489983687642</v>
      </c>
      <c r="BR202" s="21">
        <f>EXP(-LN(2)/2)*BR201+(1-EXP(-LN(2)/2))/(LN(2)/2)*BL202*BO202*VLOOKUP('Données projet'!$B$11,Paramètres!$A$1:$I$89,3,0)*0.475*44/12</f>
        <v>7.1243325564627777E-21</v>
      </c>
      <c r="BS202" s="22">
        <f t="shared" si="169"/>
        <v>14.161623176983964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-1.4040324458619578E-13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246.05217890269194</v>
      </c>
      <c r="CE202" s="59">
        <f t="shared" si="207"/>
        <v>155.54297071424327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28.243684194338702</v>
      </c>
      <c r="CL202" s="21">
        <f>EXP(-LN(2)/25)*CL201+(1-EXP(-LN(2)/25))/(LN(2)/25)*Calculateur!CG202*Calculateur!CI202*VLOOKUP('Données projet'!$B$12,Paramètres!$A$1:$I$89,3,0)*0.475*44/12</f>
        <v>3.3007707988415711</v>
      </c>
      <c r="CM202" s="21">
        <f>EXP(-LN(2)/2)*CM201+(1-EXP(-LN(2)/2))/(LN(2)/2)*CG202*CJ202*VLOOKUP('Données projet'!$B$12,Paramètres!$A$1:$I$89,3,0)*0.475*44/12</f>
        <v>3.2314097008952433E-14</v>
      </c>
      <c r="CN202" s="22">
        <f t="shared" si="172"/>
        <v>31.544454993180306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-3.4106051316484809E-13</v>
      </c>
      <c r="CU202" s="17">
        <f>CT202*VLOOKUP('Données projet'!$B$13,Paramètres!$A$1:$I$89,3,0)*VLOOKUP('Données projet'!$B$13,Paramètres!$A$1:$I$89,5,0)</f>
        <v>-2.0395418687257919E-13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237.036496933921</v>
      </c>
      <c r="CZ202" s="59">
        <f t="shared" si="208"/>
        <v>191.04289413665344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13.475439517753607</v>
      </c>
      <c r="DG202" s="21">
        <f>EXP(-LN(2)/25)*DG201+(1-EXP(-LN(2)/25))/(LN(2)/25)*Calculateur!DB202*Calculateur!DD202*VLOOKUP('Données projet'!$B$13,Paramètres!$A$1:$I$89,3,0)*0.475*44/12</f>
        <v>1.276823807658922</v>
      </c>
      <c r="DH202" s="21">
        <f>EXP(-LN(2)/2)*DH201+(1-EXP(-LN(2)/2))/(LN(2)/2)*DB202*DE202*VLOOKUP('Données projet'!$B$13,Paramètres!$A$1:$I$89,3,0)*0.475*44/12</f>
        <v>4.3684783929602486E-17</v>
      </c>
      <c r="DI202" s="22">
        <f t="shared" si="175"/>
        <v>14.752263325412528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-3.979039320256561E-13</v>
      </c>
      <c r="DP202" s="17">
        <f>DO202*VLOOKUP('Données projet'!$B$14,Paramètres!$A$1:$I$89,3,0)*VLOOKUP('Données projet'!$B$14,Paramètres!$A$1:$I$89,5,0)</f>
        <v>-2.379465513513424E-13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148.22129593028302</v>
      </c>
      <c r="DU202" s="59">
        <f t="shared" si="209"/>
        <v>102.97015482019975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233.89079999999998</v>
      </c>
      <c r="EL202" s="13">
        <f t="shared" si="179"/>
        <v>57.123140349023068</v>
      </c>
      <c r="EM202" s="20">
        <f t="shared" si="180"/>
        <v>506.84927944121517</v>
      </c>
      <c r="EN202" s="59">
        <f t="shared" si="198"/>
        <v>800.18261277454849</v>
      </c>
      <c r="EO202" s="59">
        <f ca="1">AVERAGE(OFFSET($EN$3,0,0,'Données projet'!$E$15+1,1))-AVERAGE(OFFSET($H$3,0,0,'Données projet'!$E$15+1,1))</f>
        <v>278.53123771916404</v>
      </c>
      <c r="EP202" s="59">
        <f t="shared" si="210"/>
        <v>283.79094702030869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3.1716915937438319</v>
      </c>
      <c r="EW202" s="21">
        <f>EXP(-LN(2)/25)*EW201+(1-EXP(-LN(2)/25))/(LN(2)/25)*Calculateur!ER202*Calculateur!ET202*VLOOKUP('Données projet'!$B$15,Paramètres!$A$1:$I$89,3,0)*0.475*44/12</f>
        <v>0.20820926270401524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3.379900856447847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-5.4001247917767614E-13</v>
      </c>
      <c r="FF202" s="17">
        <f>FE202*VLOOKUP('Données projet'!$B$16,Paramètres!$A$1:$I$89,3,0)*VLOOKUP('Données projet'!$B$16,Paramètres!$A$1:$I$89,5,0)</f>
        <v>-4.8860329115996133E-13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335.99493768537013</v>
      </c>
      <c r="FK202" s="59">
        <f t="shared" si="211"/>
        <v>150.85164849522778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146.87018181072804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146.87018181072804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259.99999999999983</v>
      </c>
      <c r="GA202" s="17">
        <f>FZ202*VLOOKUP('Données projet'!$B$17,Paramètres!$A$1:$I$89,3,0)*VLOOKUP('Données projet'!$B$17,Paramètres!$A$1:$I$89,5,0)</f>
        <v>227.13599999999985</v>
      </c>
      <c r="GB202" s="13">
        <f t="shared" si="185"/>
        <v>55.662966886685133</v>
      </c>
      <c r="GC202" s="20">
        <f t="shared" si="186"/>
        <v>492.5415339943097</v>
      </c>
      <c r="GD202" s="59">
        <f t="shared" si="200"/>
        <v>785.87486732764296</v>
      </c>
      <c r="GE202" s="59">
        <f ca="1">AVERAGE(OFFSET($GD$3,0,0,'Données projet'!$E$17+1,1))-AVERAGE(OFFSET($H$3,0,0,'Données projet'!$E$17+1,1))</f>
        <v>319.57811113658374</v>
      </c>
      <c r="GF202" s="59">
        <f t="shared" si="212"/>
        <v>322.03572137403245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5.3156898876806391</v>
      </c>
      <c r="GM202" s="21">
        <f>EXP(-LN(2)/25)*GM201+(1-EXP(-LN(2)/25))/(LN(2)/25)*Calculateur!GH202*Calculateur!GJ202*VLOOKUP('Données projet'!$B$17,Paramètres!$A$1:$I$89,3,0)*0.475*44/12</f>
        <v>0.86368310401944381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6.1793729917000828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5.4683368944097308E-14</v>
      </c>
      <c r="P203" s="13">
        <f t="shared" si="203"/>
        <v>8.8129432816788268E-13</v>
      </c>
      <c r="Q203" s="20">
        <f t="shared" si="162"/>
        <v>1.6301611558033651E-12</v>
      </c>
      <c r="R203" s="59">
        <f t="shared" si="191"/>
        <v>293.33333333333496</v>
      </c>
      <c r="S203" s="59">
        <f ca="1">AVERAGE(OFFSET($R$3,0,0,'Données projet'!$E$9+1,1))-AVERAGE(OFFSET($H$3,0,0,'Données projet'!$E$9+1,1))</f>
        <v>226.41956082453015</v>
      </c>
      <c r="T203" s="59">
        <f t="shared" si="204"/>
        <v>317.95076157570446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2.9262992029543969E-13</v>
      </c>
      <c r="AK203" s="13">
        <f t="shared" si="164"/>
        <v>3.8796387982050903E-12</v>
      </c>
      <c r="AL203" s="20">
        <f t="shared" si="165"/>
        <v>7.2667013513884219E-12</v>
      </c>
      <c r="AM203" s="59">
        <f t="shared" si="193"/>
        <v>293.33333333334059</v>
      </c>
      <c r="AN203" s="59">
        <f ca="1">AVERAGE(OFFSET($AM$3,0,0,'Données projet'!$E$10+1,1))-AVERAGE(OFFSET($H$3,0,0,'Données projet'!$E$10+1,1))</f>
        <v>257.80662231827404</v>
      </c>
      <c r="AO203" s="59">
        <f t="shared" si="205"/>
        <v>184.04558520039876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-2.5420376914553347E-13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300.90952915835157</v>
      </c>
      <c r="BJ203" s="59">
        <f t="shared" si="206"/>
        <v>402.81783992925256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12.83054267536061</v>
      </c>
      <c r="BQ203" s="21">
        <f>EXP(-LN(2)/25)*BQ202+(1-EXP(-LN(2)/25))/(LN(2)/25)*Calculateur!BL203*Calculateur!BN203*VLOOKUP('Données projet'!$B$11,Paramètres!$A$1:$I$89,3,0)*0.475*44/12</f>
        <v>1.0450681340055532</v>
      </c>
      <c r="BR203" s="21">
        <f>EXP(-LN(2)/2)*BR202+(1-EXP(-LN(2)/2))/(LN(2)/2)*BL203*BO203*VLOOKUP('Données projet'!$B$11,Paramètres!$A$1:$I$89,3,0)*0.475*44/12</f>
        <v>5.0376638621029221E-21</v>
      </c>
      <c r="BS203" s="22">
        <f t="shared" si="169"/>
        <v>13.875610809366163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-1.4040324458619578E-13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246.05217890269194</v>
      </c>
      <c r="CE203" s="59">
        <f t="shared" si="207"/>
        <v>155.54297071424327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27.689842774234059</v>
      </c>
      <c r="CL203" s="21">
        <f>EXP(-LN(2)/25)*CL202+(1-EXP(-LN(2)/25))/(LN(2)/25)*Calculateur!CG203*Calculateur!CI203*VLOOKUP('Données projet'!$B$12,Paramètres!$A$1:$I$89,3,0)*0.475*44/12</f>
        <v>3.2105110477672558</v>
      </c>
      <c r="CM203" s="21">
        <f>EXP(-LN(2)/2)*CM202+(1-EXP(-LN(2)/2))/(LN(2)/2)*CG203*CJ203*VLOOKUP('Données projet'!$B$12,Paramètres!$A$1:$I$89,3,0)*0.475*44/12</f>
        <v>2.2849517122950198E-14</v>
      </c>
      <c r="CN203" s="22">
        <f t="shared" si="172"/>
        <v>30.900353822001335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-3.4106051316484809E-13</v>
      </c>
      <c r="CU203" s="17">
        <f>CT203*VLOOKUP('Données projet'!$B$13,Paramètres!$A$1:$I$89,3,0)*VLOOKUP('Données projet'!$B$13,Paramètres!$A$1:$I$89,5,0)</f>
        <v>-2.0395418687257919E-13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237.036496933921</v>
      </c>
      <c r="CZ203" s="59">
        <f t="shared" si="208"/>
        <v>191.04289413665344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13.211194368016985</v>
      </c>
      <c r="DG203" s="21">
        <f>EXP(-LN(2)/25)*DG202+(1-EXP(-LN(2)/25))/(LN(2)/25)*Calculateur!DB203*Calculateur!DD203*VLOOKUP('Données projet'!$B$13,Paramètres!$A$1:$I$89,3,0)*0.475*44/12</f>
        <v>1.241908993493243</v>
      </c>
      <c r="DH203" s="21">
        <f>EXP(-LN(2)/2)*DH202+(1-EXP(-LN(2)/2))/(LN(2)/2)*DB203*DE203*VLOOKUP('Données projet'!$B$13,Paramètres!$A$1:$I$89,3,0)*0.475*44/12</f>
        <v>3.0889806951291033E-17</v>
      </c>
      <c r="DI203" s="22">
        <f t="shared" si="175"/>
        <v>14.453103361510228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-3.979039320256561E-13</v>
      </c>
      <c r="DP203" s="17">
        <f>DO203*VLOOKUP('Données projet'!$B$14,Paramètres!$A$1:$I$89,3,0)*VLOOKUP('Données projet'!$B$14,Paramètres!$A$1:$I$89,5,0)</f>
        <v>-2.379465513513424E-13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148.22129593028302</v>
      </c>
      <c r="DU203" s="59">
        <f t="shared" si="209"/>
        <v>102.97015482019975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233.89079999999998</v>
      </c>
      <c r="EL203" s="13">
        <f t="shared" si="179"/>
        <v>57.123140349023068</v>
      </c>
      <c r="EM203" s="20">
        <f t="shared" si="180"/>
        <v>506.84927944121517</v>
      </c>
      <c r="EN203" s="59">
        <f t="shared" si="198"/>
        <v>800.18261277454849</v>
      </c>
      <c r="EO203" s="59">
        <f ca="1">AVERAGE(OFFSET($EN$3,0,0,'Données projet'!$E$15+1,1))-AVERAGE(OFFSET($H$3,0,0,'Données projet'!$E$15+1,1))</f>
        <v>278.53123771916404</v>
      </c>
      <c r="EP203" s="59">
        <f t="shared" si="210"/>
        <v>283.79094702030869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3.1094966561313675</v>
      </c>
      <c r="EW203" s="21">
        <f>EXP(-LN(2)/25)*EW202+(1-EXP(-LN(2)/25))/(LN(2)/25)*Calculateur!ER203*Calculateur!ET203*VLOOKUP('Données projet'!$B$15,Paramètres!$A$1:$I$89,3,0)*0.475*44/12</f>
        <v>0.20251576946612468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3.3120124255974921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-5.4001247917767614E-13</v>
      </c>
      <c r="FF203" s="17">
        <f>FE203*VLOOKUP('Données projet'!$B$16,Paramètres!$A$1:$I$89,3,0)*VLOOKUP('Données projet'!$B$16,Paramètres!$A$1:$I$89,5,0)</f>
        <v>-4.8860329115996133E-13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335.99493768537013</v>
      </c>
      <c r="FK203" s="59">
        <f t="shared" si="211"/>
        <v>150.85164849522778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143.99014712738509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143.99014712738509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259.99999999999983</v>
      </c>
      <c r="GA203" s="17">
        <f>FZ203*VLOOKUP('Données projet'!$B$17,Paramètres!$A$1:$I$89,3,0)*VLOOKUP('Données projet'!$B$17,Paramètres!$A$1:$I$89,5,0)</f>
        <v>227.13599999999985</v>
      </c>
      <c r="GB203" s="13">
        <f t="shared" si="185"/>
        <v>55.662966886685133</v>
      </c>
      <c r="GC203" s="20">
        <f t="shared" si="186"/>
        <v>492.5415339943097</v>
      </c>
      <c r="GD203" s="59">
        <f t="shared" si="200"/>
        <v>785.87486732764296</v>
      </c>
      <c r="GE203" s="59">
        <f ca="1">AVERAGE(OFFSET($GD$3,0,0,'Données projet'!$E$17+1,1))-AVERAGE(OFFSET($H$3,0,0,'Données projet'!$E$17+1,1))</f>
        <v>319.57811113658374</v>
      </c>
      <c r="GF203" s="59">
        <f t="shared" si="212"/>
        <v>322.03572137403245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5.2114524512339075</v>
      </c>
      <c r="GM203" s="21">
        <f>EXP(-LN(2)/25)*GM202+(1-EXP(-LN(2)/25))/(LN(2)/25)*Calculateur!GH203*Calculateur!GJ203*VLOOKUP('Données projet'!$B$17,Paramètres!$A$1:$I$89,3,0)*0.475*44/12</f>
        <v>0.84006564412091167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6.0515180953548189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121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121</v>
      </c>
      <c r="BA204" s="81" t="s">
        <v>121</v>
      </c>
      <c r="BV204" s="81" t="s">
        <v>121</v>
      </c>
      <c r="CQ204" s="81" t="s">
        <v>121</v>
      </c>
      <c r="DL204" s="81" t="s">
        <v>121</v>
      </c>
      <c r="EG204" s="81" t="s">
        <v>121</v>
      </c>
      <c r="FB204" s="81" t="s">
        <v>121</v>
      </c>
      <c r="FW204" s="81" t="s">
        <v>121</v>
      </c>
      <c r="GR204" s="81" t="s">
        <v>121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1.2484549330316834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1.1648439739921734</v>
      </c>
      <c r="BA205" s="82">
        <f>EXP(LN('Données projet'!B88)/'Données projet'!A88)</f>
        <v>1.335603426080427</v>
      </c>
      <c r="BV205" s="82">
        <f>EXP(LN('Données projet'!B114)/'Données projet'!A114)</f>
        <v>1.1797243348594753</v>
      </c>
      <c r="CQ205" s="82">
        <f>EXP(LN('Données projet'!B140)/'Données projet'!A140)</f>
        <v>1.2476305424068326</v>
      </c>
      <c r="DL205" s="82">
        <f>EXP(LN('Données projet'!B166)/'Données projet'!A166)</f>
        <v>1.1559775426931937</v>
      </c>
      <c r="EG205" s="82">
        <f>EXP(LN('Données projet'!B192)/'Données projet'!A192)</f>
        <v>1.2709816152101407</v>
      </c>
      <c r="FB205" s="82">
        <f>EXP(LN('Données projet'!B218)/'Données projet'!A218)</f>
        <v>1.1549646791274306</v>
      </c>
      <c r="FW205" s="82">
        <f>EXP(LN('Données projet'!B244)/'Données projet'!A244)</f>
        <v>1.4269435884576509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122</v>
      </c>
      <c r="B1" s="112" t="s">
        <v>123</v>
      </c>
      <c r="C1" s="113" t="s">
        <v>124</v>
      </c>
      <c r="D1" s="112" t="s">
        <v>125</v>
      </c>
      <c r="E1" s="113" t="s">
        <v>126</v>
      </c>
      <c r="F1" s="113" t="s">
        <v>125</v>
      </c>
      <c r="G1" s="113" t="s">
        <v>127</v>
      </c>
      <c r="H1" s="113" t="s">
        <v>125</v>
      </c>
      <c r="I1" s="114" t="s">
        <v>128</v>
      </c>
      <c r="J1" s="78"/>
      <c r="K1" s="78"/>
      <c r="L1" s="78"/>
      <c r="M1" s="78"/>
      <c r="N1" s="78"/>
    </row>
    <row r="2" spans="1:16" x14ac:dyDescent="0.25">
      <c r="A2" s="115" t="s">
        <v>129</v>
      </c>
      <c r="B2" s="116" t="s">
        <v>130</v>
      </c>
      <c r="C2" s="117">
        <v>0.62</v>
      </c>
      <c r="D2" s="117" t="s">
        <v>131</v>
      </c>
      <c r="E2" s="117">
        <v>1.56</v>
      </c>
      <c r="F2" s="117" t="s">
        <v>132</v>
      </c>
      <c r="G2" s="118">
        <v>0.43</v>
      </c>
      <c r="H2" s="119" t="s">
        <v>133</v>
      </c>
      <c r="I2" s="120">
        <v>0.25</v>
      </c>
      <c r="J2" s="78"/>
      <c r="K2" s="78"/>
      <c r="L2" s="78"/>
      <c r="M2" s="78"/>
      <c r="N2" s="78"/>
      <c r="O2" s="283" t="s">
        <v>134</v>
      </c>
      <c r="P2" s="121">
        <v>0</v>
      </c>
    </row>
    <row r="3" spans="1:16" ht="15.75" thickBot="1" x14ac:dyDescent="0.3">
      <c r="A3" s="122" t="s">
        <v>135</v>
      </c>
      <c r="B3" s="123" t="s">
        <v>136</v>
      </c>
      <c r="C3" s="124">
        <v>0.64</v>
      </c>
      <c r="D3" s="124" t="s">
        <v>131</v>
      </c>
      <c r="E3" s="124">
        <v>1.56</v>
      </c>
      <c r="F3" s="125" t="s">
        <v>132</v>
      </c>
      <c r="G3" s="126">
        <v>0.43</v>
      </c>
      <c r="H3" s="124" t="s">
        <v>133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.75" thickBot="1" x14ac:dyDescent="0.3">
      <c r="A4" s="122" t="s">
        <v>137</v>
      </c>
      <c r="B4" s="123" t="s">
        <v>138</v>
      </c>
      <c r="C4" s="124">
        <v>0.42</v>
      </c>
      <c r="D4" s="124" t="s">
        <v>131</v>
      </c>
      <c r="E4" s="124">
        <v>1.56</v>
      </c>
      <c r="F4" s="125" t="s">
        <v>132</v>
      </c>
      <c r="G4" s="126">
        <v>0.43</v>
      </c>
      <c r="H4" s="124" t="s">
        <v>133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139</v>
      </c>
      <c r="B5" s="123" t="s">
        <v>140</v>
      </c>
      <c r="C5" s="124">
        <v>0.42</v>
      </c>
      <c r="D5" s="124" t="s">
        <v>131</v>
      </c>
      <c r="E5" s="124">
        <v>1.56</v>
      </c>
      <c r="F5" s="125" t="s">
        <v>132</v>
      </c>
      <c r="G5" s="126">
        <v>0.43</v>
      </c>
      <c r="H5" s="124" t="s">
        <v>133</v>
      </c>
      <c r="I5" s="127">
        <v>0.25</v>
      </c>
      <c r="J5" s="78"/>
      <c r="K5" s="78"/>
      <c r="L5" s="78"/>
      <c r="M5" s="78"/>
      <c r="N5" s="78"/>
      <c r="O5" s="283" t="s">
        <v>141</v>
      </c>
      <c r="P5" s="121">
        <v>0</v>
      </c>
    </row>
    <row r="6" spans="1:16" x14ac:dyDescent="0.25">
      <c r="A6" s="122" t="s">
        <v>142</v>
      </c>
      <c r="B6" s="123" t="s">
        <v>143</v>
      </c>
      <c r="C6" s="124">
        <v>0.42</v>
      </c>
      <c r="D6" s="124" t="s">
        <v>131</v>
      </c>
      <c r="E6" s="124">
        <v>1.56</v>
      </c>
      <c r="F6" s="125" t="s">
        <v>132</v>
      </c>
      <c r="G6" s="126">
        <v>0.43</v>
      </c>
      <c r="H6" s="124" t="s">
        <v>133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25">
      <c r="A7" s="122" t="s">
        <v>144</v>
      </c>
      <c r="B7" s="123" t="s">
        <v>145</v>
      </c>
      <c r="C7" s="124">
        <v>0.52</v>
      </c>
      <c r="D7" s="124" t="s">
        <v>131</v>
      </c>
      <c r="E7" s="124">
        <v>1.56</v>
      </c>
      <c r="F7" s="125" t="s">
        <v>132</v>
      </c>
      <c r="G7" s="126">
        <v>0.43</v>
      </c>
      <c r="H7" s="124" t="s">
        <v>133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.75" thickBot="1" x14ac:dyDescent="0.3">
      <c r="A8" s="122" t="s">
        <v>146</v>
      </c>
      <c r="B8" s="123" t="s">
        <v>147</v>
      </c>
      <c r="C8" s="124">
        <v>0.36</v>
      </c>
      <c r="D8" s="124" t="s">
        <v>131</v>
      </c>
      <c r="E8" s="124">
        <v>1.3</v>
      </c>
      <c r="F8" s="125" t="s">
        <v>132</v>
      </c>
      <c r="G8" s="126">
        <v>0.55000000000000004</v>
      </c>
      <c r="H8" s="124" t="s">
        <v>148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.75" thickBot="1" x14ac:dyDescent="0.3">
      <c r="A9" s="122" t="s">
        <v>149</v>
      </c>
      <c r="B9" s="123" t="s">
        <v>150</v>
      </c>
      <c r="C9" s="124">
        <v>0.61</v>
      </c>
      <c r="D9" s="124" t="s">
        <v>131</v>
      </c>
      <c r="E9" s="124">
        <v>1.56</v>
      </c>
      <c r="F9" s="125" t="s">
        <v>132</v>
      </c>
      <c r="G9" s="126">
        <v>0.43</v>
      </c>
      <c r="H9" s="124" t="s">
        <v>133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151</v>
      </c>
      <c r="B10" s="123" t="s">
        <v>152</v>
      </c>
      <c r="C10" s="124">
        <v>0.66</v>
      </c>
      <c r="D10" s="124" t="s">
        <v>131</v>
      </c>
      <c r="E10" s="124">
        <v>1.56</v>
      </c>
      <c r="F10" s="125" t="s">
        <v>132</v>
      </c>
      <c r="G10" s="126">
        <v>0.43</v>
      </c>
      <c r="H10" s="124" t="s">
        <v>133</v>
      </c>
      <c r="I10" s="127">
        <v>0.25</v>
      </c>
      <c r="J10" s="78"/>
      <c r="K10" s="78"/>
      <c r="L10" s="78"/>
      <c r="M10" s="78"/>
      <c r="N10" s="78"/>
      <c r="O10" s="283" t="s">
        <v>153</v>
      </c>
      <c r="P10" s="121">
        <v>0</v>
      </c>
    </row>
    <row r="11" spans="1:16" ht="15.75" thickBot="1" x14ac:dyDescent="0.3">
      <c r="A11" s="122" t="s">
        <v>29</v>
      </c>
      <c r="B11" s="123" t="s">
        <v>154</v>
      </c>
      <c r="C11" s="124">
        <v>0.47</v>
      </c>
      <c r="D11" s="124" t="s">
        <v>131</v>
      </c>
      <c r="E11" s="124">
        <v>1.56</v>
      </c>
      <c r="F11" s="125" t="s">
        <v>132</v>
      </c>
      <c r="G11" s="126">
        <v>0.43</v>
      </c>
      <c r="H11" s="124" t="s">
        <v>133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25">
      <c r="A12" s="122" t="s">
        <v>155</v>
      </c>
      <c r="B12" s="123" t="s">
        <v>156</v>
      </c>
      <c r="C12" s="124">
        <v>0.67</v>
      </c>
      <c r="D12" s="124" t="s">
        <v>131</v>
      </c>
      <c r="E12" s="124">
        <v>1.56</v>
      </c>
      <c r="F12" s="125" t="s">
        <v>132</v>
      </c>
      <c r="G12" s="126">
        <v>0.43</v>
      </c>
      <c r="H12" s="124" t="s">
        <v>157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158</v>
      </c>
      <c r="B13" s="123" t="s">
        <v>159</v>
      </c>
      <c r="C13" s="124">
        <v>0.7</v>
      </c>
      <c r="D13" s="124" t="s">
        <v>131</v>
      </c>
      <c r="E13" s="124">
        <v>1.56</v>
      </c>
      <c r="F13" s="125" t="s">
        <v>132</v>
      </c>
      <c r="G13" s="126">
        <v>0.43</v>
      </c>
      <c r="H13" s="124" t="s">
        <v>157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160</v>
      </c>
      <c r="B14" s="123" t="s">
        <v>161</v>
      </c>
      <c r="C14" s="124">
        <v>0.54</v>
      </c>
      <c r="D14" s="124" t="s">
        <v>131</v>
      </c>
      <c r="E14" s="124">
        <v>1.56</v>
      </c>
      <c r="F14" s="125" t="s">
        <v>132</v>
      </c>
      <c r="G14" s="126">
        <v>0.43</v>
      </c>
      <c r="H14" s="124" t="s">
        <v>157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162</v>
      </c>
      <c r="B15" s="123" t="s">
        <v>163</v>
      </c>
      <c r="C15" s="124">
        <v>0.65</v>
      </c>
      <c r="D15" s="124" t="s">
        <v>131</v>
      </c>
      <c r="E15" s="124">
        <v>1.56</v>
      </c>
      <c r="F15" s="125" t="s">
        <v>132</v>
      </c>
      <c r="G15" s="126">
        <v>0.43</v>
      </c>
      <c r="H15" s="124" t="s">
        <v>157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33</v>
      </c>
      <c r="B16" s="123" t="s">
        <v>164</v>
      </c>
      <c r="C16" s="124">
        <v>0.56000000000000005</v>
      </c>
      <c r="D16" s="124" t="s">
        <v>131</v>
      </c>
      <c r="E16" s="124">
        <v>1.56</v>
      </c>
      <c r="F16" s="125" t="s">
        <v>132</v>
      </c>
      <c r="G16" s="126">
        <v>0.43</v>
      </c>
      <c r="H16" s="124" t="s">
        <v>157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31</v>
      </c>
      <c r="B17" s="123" t="s">
        <v>165</v>
      </c>
      <c r="C17" s="124">
        <v>0.57999999999999996</v>
      </c>
      <c r="D17" s="124" t="s">
        <v>131</v>
      </c>
      <c r="E17" s="124">
        <v>1.56</v>
      </c>
      <c r="F17" s="125" t="s">
        <v>132</v>
      </c>
      <c r="G17" s="126">
        <v>0.43</v>
      </c>
      <c r="H17" s="124" t="s">
        <v>157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166</v>
      </c>
      <c r="B18" s="123" t="s">
        <v>167</v>
      </c>
      <c r="C18" s="124">
        <v>0.64</v>
      </c>
      <c r="D18" s="124" t="s">
        <v>131</v>
      </c>
      <c r="E18" s="124">
        <v>1.56</v>
      </c>
      <c r="F18" s="125" t="s">
        <v>132</v>
      </c>
      <c r="G18" s="126">
        <v>0.43</v>
      </c>
      <c r="H18" s="124" t="s">
        <v>157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168</v>
      </c>
      <c r="B19" s="123" t="s">
        <v>169</v>
      </c>
      <c r="C19" s="124">
        <v>0.73</v>
      </c>
      <c r="D19" s="124" t="s">
        <v>131</v>
      </c>
      <c r="E19" s="124">
        <v>1.56</v>
      </c>
      <c r="F19" s="125" t="s">
        <v>132</v>
      </c>
      <c r="G19" s="126">
        <v>0.43</v>
      </c>
      <c r="H19" s="124" t="s">
        <v>157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170</v>
      </c>
      <c r="B20" s="123" t="s">
        <v>171</v>
      </c>
      <c r="C20" s="124">
        <v>0.69</v>
      </c>
      <c r="D20" s="124" t="s">
        <v>172</v>
      </c>
      <c r="E20" s="124">
        <v>1.56</v>
      </c>
      <c r="F20" s="125" t="s">
        <v>132</v>
      </c>
      <c r="G20" s="126">
        <v>0.43</v>
      </c>
      <c r="H20" s="124" t="s">
        <v>173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174</v>
      </c>
      <c r="B21" s="123" t="s">
        <v>175</v>
      </c>
      <c r="C21" s="124">
        <v>0.36</v>
      </c>
      <c r="D21" s="124" t="s">
        <v>131</v>
      </c>
      <c r="E21" s="124">
        <v>1.3</v>
      </c>
      <c r="F21" s="125" t="s">
        <v>132</v>
      </c>
      <c r="G21" s="126">
        <v>0.55000000000000004</v>
      </c>
      <c r="H21" s="124" t="s">
        <v>148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176</v>
      </c>
      <c r="B22" s="123" t="s">
        <v>177</v>
      </c>
      <c r="C22" s="124">
        <v>0.4</v>
      </c>
      <c r="D22" s="124" t="s">
        <v>131</v>
      </c>
      <c r="E22" s="124">
        <v>1.3</v>
      </c>
      <c r="F22" s="125" t="s">
        <v>132</v>
      </c>
      <c r="G22" s="126">
        <v>0.55000000000000004</v>
      </c>
      <c r="H22" s="124" t="s">
        <v>148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21</v>
      </c>
      <c r="B23" s="123" t="s">
        <v>178</v>
      </c>
      <c r="C23" s="124">
        <v>0.43</v>
      </c>
      <c r="D23" s="124" t="s">
        <v>131</v>
      </c>
      <c r="E23" s="124">
        <v>1.3</v>
      </c>
      <c r="F23" s="125" t="s">
        <v>132</v>
      </c>
      <c r="G23" s="126">
        <v>0.55000000000000004</v>
      </c>
      <c r="H23" s="124" t="s">
        <v>148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16</v>
      </c>
      <c r="B24" s="123" t="s">
        <v>179</v>
      </c>
      <c r="C24" s="124">
        <v>0.37</v>
      </c>
      <c r="D24" s="124" t="s">
        <v>131</v>
      </c>
      <c r="E24" s="124">
        <v>1.3</v>
      </c>
      <c r="F24" s="125" t="s">
        <v>132</v>
      </c>
      <c r="G24" s="126">
        <v>0.55000000000000004</v>
      </c>
      <c r="H24" s="124" t="s">
        <v>157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180</v>
      </c>
      <c r="B25" s="123" t="s">
        <v>181</v>
      </c>
      <c r="C25" s="124">
        <v>0.36</v>
      </c>
      <c r="D25" s="124" t="s">
        <v>131</v>
      </c>
      <c r="E25" s="124">
        <v>1.3</v>
      </c>
      <c r="F25" s="125" t="s">
        <v>132</v>
      </c>
      <c r="G25" s="126">
        <v>0.55000000000000004</v>
      </c>
      <c r="H25" s="124" t="s">
        <v>157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182</v>
      </c>
      <c r="B26" s="123" t="s">
        <v>183</v>
      </c>
      <c r="C26" s="124">
        <v>0.56000000000000005</v>
      </c>
      <c r="D26" s="124" t="s">
        <v>131</v>
      </c>
      <c r="E26" s="124">
        <v>1.56</v>
      </c>
      <c r="F26" s="125" t="s">
        <v>132</v>
      </c>
      <c r="G26" s="126">
        <v>0.53</v>
      </c>
      <c r="H26" s="124" t="s">
        <v>184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185</v>
      </c>
      <c r="B27" s="123" t="s">
        <v>186</v>
      </c>
      <c r="C27" s="124">
        <v>0.51</v>
      </c>
      <c r="D27" s="124" t="s">
        <v>131</v>
      </c>
      <c r="E27" s="124">
        <v>1.56</v>
      </c>
      <c r="F27" s="125" t="s">
        <v>132</v>
      </c>
      <c r="G27" s="126">
        <v>0.53</v>
      </c>
      <c r="H27" s="124" t="s">
        <v>184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187</v>
      </c>
      <c r="B28" s="123" t="s">
        <v>188</v>
      </c>
      <c r="C28" s="124">
        <v>0.51</v>
      </c>
      <c r="D28" s="124" t="s">
        <v>131</v>
      </c>
      <c r="E28" s="124">
        <v>1.56</v>
      </c>
      <c r="F28" s="125" t="s">
        <v>132</v>
      </c>
      <c r="G28" s="126">
        <v>0.53</v>
      </c>
      <c r="H28" s="124" t="s">
        <v>184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189</v>
      </c>
      <c r="B29" s="123" t="s">
        <v>189</v>
      </c>
      <c r="C29" s="124">
        <v>0.56000000000000005</v>
      </c>
      <c r="D29" s="124" t="s">
        <v>131</v>
      </c>
      <c r="E29" s="124">
        <v>1.56</v>
      </c>
      <c r="F29" s="125" t="s">
        <v>132</v>
      </c>
      <c r="G29" s="126">
        <v>0.53</v>
      </c>
      <c r="H29" s="124" t="s">
        <v>184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19</v>
      </c>
      <c r="B30" s="123" t="s">
        <v>190</v>
      </c>
      <c r="C30" s="124">
        <v>0.55000000000000004</v>
      </c>
      <c r="D30" s="124" t="s">
        <v>131</v>
      </c>
      <c r="E30" s="124">
        <v>1.56</v>
      </c>
      <c r="F30" s="125" t="s">
        <v>132</v>
      </c>
      <c r="G30" s="126">
        <v>0.53</v>
      </c>
      <c r="H30" s="124" t="s">
        <v>157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191</v>
      </c>
      <c r="B31" s="123" t="s">
        <v>192</v>
      </c>
      <c r="C31" s="124">
        <v>0.56000000000000005</v>
      </c>
      <c r="D31" s="124" t="s">
        <v>131</v>
      </c>
      <c r="E31" s="124">
        <v>1.56</v>
      </c>
      <c r="F31" s="125" t="s">
        <v>132</v>
      </c>
      <c r="G31" s="126">
        <v>0.43</v>
      </c>
      <c r="H31" s="124" t="s">
        <v>133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193</v>
      </c>
      <c r="B32" s="123" t="s">
        <v>194</v>
      </c>
      <c r="C32" s="124">
        <v>0.48</v>
      </c>
      <c r="D32" s="124" t="s">
        <v>131</v>
      </c>
      <c r="E32" s="124">
        <v>1.3</v>
      </c>
      <c r="F32" s="125" t="s">
        <v>132</v>
      </c>
      <c r="G32" s="126">
        <v>0.6</v>
      </c>
      <c r="H32" s="124" t="s">
        <v>195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196</v>
      </c>
      <c r="B33" s="123" t="s">
        <v>197</v>
      </c>
      <c r="C33" s="124">
        <v>0.42</v>
      </c>
      <c r="D33" s="124" t="s">
        <v>131</v>
      </c>
      <c r="E33" s="124">
        <v>1.3</v>
      </c>
      <c r="F33" s="125" t="s">
        <v>132</v>
      </c>
      <c r="G33" s="126">
        <v>0.6</v>
      </c>
      <c r="H33" s="124" t="s">
        <v>195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198</v>
      </c>
      <c r="B34" s="123" t="s">
        <v>199</v>
      </c>
      <c r="C34" s="124">
        <v>0.42</v>
      </c>
      <c r="D34" s="124" t="s">
        <v>200</v>
      </c>
      <c r="E34" s="124">
        <v>1.3</v>
      </c>
      <c r="F34" s="125" t="s">
        <v>132</v>
      </c>
      <c r="G34" s="126">
        <v>0.6</v>
      </c>
      <c r="H34" s="123" t="s">
        <v>201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202</v>
      </c>
      <c r="B35" s="123" t="s">
        <v>203</v>
      </c>
      <c r="C35" s="124">
        <v>0.5</v>
      </c>
      <c r="D35" s="124" t="s">
        <v>131</v>
      </c>
      <c r="E35" s="124">
        <v>1.56</v>
      </c>
      <c r="F35" s="125" t="s">
        <v>132</v>
      </c>
      <c r="G35" s="126">
        <v>0.43</v>
      </c>
      <c r="H35" s="124" t="s">
        <v>133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204</v>
      </c>
      <c r="B36" s="123" t="s">
        <v>205</v>
      </c>
      <c r="C36" s="124">
        <v>0.55000000000000004</v>
      </c>
      <c r="D36" s="124" t="s">
        <v>131</v>
      </c>
      <c r="E36" s="124">
        <v>1.56</v>
      </c>
      <c r="F36" s="125" t="s">
        <v>132</v>
      </c>
      <c r="G36" s="126">
        <v>0.53</v>
      </c>
      <c r="H36" s="124" t="s">
        <v>184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206</v>
      </c>
      <c r="B37" s="123" t="s">
        <v>207</v>
      </c>
      <c r="C37" s="124">
        <v>0.52</v>
      </c>
      <c r="D37" s="124" t="s">
        <v>131</v>
      </c>
      <c r="E37" s="124">
        <v>1.56</v>
      </c>
      <c r="F37" s="125" t="s">
        <v>132</v>
      </c>
      <c r="G37" s="126">
        <v>0.53</v>
      </c>
      <c r="H37" s="124" t="s">
        <v>184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208</v>
      </c>
      <c r="B38" s="123" t="s">
        <v>209</v>
      </c>
      <c r="C38" s="124">
        <v>0.52</v>
      </c>
      <c r="D38" s="124" t="s">
        <v>131</v>
      </c>
      <c r="E38" s="124">
        <v>1.56</v>
      </c>
      <c r="F38" s="125" t="s">
        <v>132</v>
      </c>
      <c r="G38" s="126">
        <v>0.43</v>
      </c>
      <c r="H38" s="124" t="s">
        <v>133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210</v>
      </c>
      <c r="B39" s="123" t="s">
        <v>211</v>
      </c>
      <c r="C39" s="124">
        <v>0.313</v>
      </c>
      <c r="D39" s="124" t="s">
        <v>212</v>
      </c>
      <c r="E39" s="124">
        <v>1.56</v>
      </c>
      <c r="F39" s="125" t="s">
        <v>132</v>
      </c>
      <c r="G39" s="126">
        <v>0.6</v>
      </c>
      <c r="H39" s="124" t="s">
        <v>213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214</v>
      </c>
      <c r="B40" s="123" t="s">
        <v>211</v>
      </c>
      <c r="C40" s="124">
        <v>0.35199999999999998</v>
      </c>
      <c r="D40" s="124" t="s">
        <v>212</v>
      </c>
      <c r="E40" s="124">
        <v>1.56</v>
      </c>
      <c r="F40" s="125" t="s">
        <v>132</v>
      </c>
      <c r="G40" s="126">
        <v>0.6</v>
      </c>
      <c r="H40" s="124" t="s">
        <v>213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215</v>
      </c>
      <c r="B41" s="123" t="s">
        <v>211</v>
      </c>
      <c r="C41" s="124">
        <v>0.32200000000000001</v>
      </c>
      <c r="D41" s="124" t="s">
        <v>212</v>
      </c>
      <c r="E41" s="124">
        <v>1.56</v>
      </c>
      <c r="F41" s="125" t="s">
        <v>132</v>
      </c>
      <c r="G41" s="126">
        <v>0.6</v>
      </c>
      <c r="H41" s="124" t="s">
        <v>213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216</v>
      </c>
      <c r="B42" s="123" t="s">
        <v>211</v>
      </c>
      <c r="C42" s="124">
        <v>0.311</v>
      </c>
      <c r="D42" s="124" t="s">
        <v>212</v>
      </c>
      <c r="E42" s="124">
        <v>1.56</v>
      </c>
      <c r="F42" s="125" t="s">
        <v>132</v>
      </c>
      <c r="G42" s="126">
        <v>0.6</v>
      </c>
      <c r="H42" s="124" t="s">
        <v>213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217</v>
      </c>
      <c r="B43" s="123" t="s">
        <v>211</v>
      </c>
      <c r="C43" s="124">
        <v>0.33900000000000002</v>
      </c>
      <c r="D43" s="124" t="s">
        <v>212</v>
      </c>
      <c r="E43" s="124">
        <v>1.56</v>
      </c>
      <c r="F43" s="125" t="s">
        <v>132</v>
      </c>
      <c r="G43" s="126">
        <v>0.6</v>
      </c>
      <c r="H43" s="124" t="s">
        <v>213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218</v>
      </c>
      <c r="B44" s="123" t="s">
        <v>211</v>
      </c>
      <c r="C44" s="124">
        <v>0.33600000000000002</v>
      </c>
      <c r="D44" s="124" t="s">
        <v>212</v>
      </c>
      <c r="E44" s="124">
        <v>1.56</v>
      </c>
      <c r="F44" s="125" t="s">
        <v>132</v>
      </c>
      <c r="G44" s="126">
        <v>0.6</v>
      </c>
      <c r="H44" s="124" t="s">
        <v>213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219</v>
      </c>
      <c r="B45" s="123" t="s">
        <v>211</v>
      </c>
      <c r="C45" s="124">
        <v>0.32900000000000001</v>
      </c>
      <c r="D45" s="124" t="s">
        <v>212</v>
      </c>
      <c r="E45" s="124">
        <v>1.56</v>
      </c>
      <c r="F45" s="125" t="s">
        <v>132</v>
      </c>
      <c r="G45" s="126">
        <v>0.6</v>
      </c>
      <c r="H45" s="124" t="s">
        <v>213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220</v>
      </c>
      <c r="B46" s="123" t="s">
        <v>211</v>
      </c>
      <c r="C46" s="124">
        <v>0.34300000000000003</v>
      </c>
      <c r="D46" s="124" t="s">
        <v>212</v>
      </c>
      <c r="E46" s="124">
        <v>1.56</v>
      </c>
      <c r="F46" s="125" t="s">
        <v>132</v>
      </c>
      <c r="G46" s="126">
        <v>0.6</v>
      </c>
      <c r="H46" s="124" t="s">
        <v>213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221</v>
      </c>
      <c r="B47" s="123" t="s">
        <v>211</v>
      </c>
      <c r="C47" s="124">
        <v>0.32500000000000001</v>
      </c>
      <c r="D47" s="124" t="s">
        <v>212</v>
      </c>
      <c r="E47" s="124">
        <v>1.56</v>
      </c>
      <c r="F47" s="125" t="s">
        <v>132</v>
      </c>
      <c r="G47" s="126">
        <v>0.6</v>
      </c>
      <c r="H47" s="124" t="s">
        <v>213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222</v>
      </c>
      <c r="B48" s="123" t="s">
        <v>211</v>
      </c>
      <c r="C48" s="124">
        <v>0.32</v>
      </c>
      <c r="D48" s="124" t="s">
        <v>212</v>
      </c>
      <c r="E48" s="124">
        <v>1.56</v>
      </c>
      <c r="F48" s="125" t="s">
        <v>132</v>
      </c>
      <c r="G48" s="126">
        <v>0.6</v>
      </c>
      <c r="H48" s="124" t="s">
        <v>213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223</v>
      </c>
      <c r="B49" s="123" t="s">
        <v>211</v>
      </c>
      <c r="C49" s="124">
        <v>0.28199999999999997</v>
      </c>
      <c r="D49" s="124" t="s">
        <v>212</v>
      </c>
      <c r="E49" s="124">
        <v>1.56</v>
      </c>
      <c r="F49" s="125" t="s">
        <v>132</v>
      </c>
      <c r="G49" s="126">
        <v>0.6</v>
      </c>
      <c r="H49" s="124" t="s">
        <v>213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224</v>
      </c>
      <c r="B50" s="123" t="s">
        <v>211</v>
      </c>
      <c r="C50" s="124">
        <v>0.32800000000000001</v>
      </c>
      <c r="D50" s="124" t="s">
        <v>212</v>
      </c>
      <c r="E50" s="124">
        <v>1.56</v>
      </c>
      <c r="F50" s="125" t="s">
        <v>132</v>
      </c>
      <c r="G50" s="126">
        <v>0.6</v>
      </c>
      <c r="H50" s="124" t="s">
        <v>213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225</v>
      </c>
      <c r="B51" s="123" t="s">
        <v>211</v>
      </c>
      <c r="C51" s="124">
        <v>0.32600000000000001</v>
      </c>
      <c r="D51" s="124" t="s">
        <v>212</v>
      </c>
      <c r="E51" s="124">
        <v>1.56</v>
      </c>
      <c r="F51" s="125" t="s">
        <v>132</v>
      </c>
      <c r="G51" s="126">
        <v>0.6</v>
      </c>
      <c r="H51" s="124" t="s">
        <v>213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226</v>
      </c>
      <c r="B52" s="123" t="s">
        <v>211</v>
      </c>
      <c r="C52" s="124">
        <v>0.35899999999999999</v>
      </c>
      <c r="D52" s="124" t="s">
        <v>212</v>
      </c>
      <c r="E52" s="124">
        <v>1.56</v>
      </c>
      <c r="F52" s="125" t="s">
        <v>132</v>
      </c>
      <c r="G52" s="126">
        <v>0.6</v>
      </c>
      <c r="H52" s="124" t="s">
        <v>213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227</v>
      </c>
      <c r="B53" s="123" t="s">
        <v>211</v>
      </c>
      <c r="C53" s="124">
        <v>0.34599999999999997</v>
      </c>
      <c r="D53" s="124" t="s">
        <v>212</v>
      </c>
      <c r="E53" s="124">
        <v>1.56</v>
      </c>
      <c r="F53" s="125" t="s">
        <v>132</v>
      </c>
      <c r="G53" s="126">
        <v>0.6</v>
      </c>
      <c r="H53" s="124" t="s">
        <v>213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228</v>
      </c>
      <c r="B54" s="123" t="s">
        <v>211</v>
      </c>
      <c r="C54" s="124">
        <v>0.32600000000000001</v>
      </c>
      <c r="D54" s="124" t="s">
        <v>212</v>
      </c>
      <c r="E54" s="124">
        <v>1.56</v>
      </c>
      <c r="F54" s="125" t="s">
        <v>132</v>
      </c>
      <c r="G54" s="126">
        <v>0.6</v>
      </c>
      <c r="H54" s="124" t="s">
        <v>213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229</v>
      </c>
      <c r="B55" s="123" t="s">
        <v>211</v>
      </c>
      <c r="C55" s="124">
        <v>0.30499999999999999</v>
      </c>
      <c r="D55" s="124" t="s">
        <v>212</v>
      </c>
      <c r="E55" s="124">
        <v>1.56</v>
      </c>
      <c r="F55" s="125" t="s">
        <v>132</v>
      </c>
      <c r="G55" s="126">
        <v>0.6</v>
      </c>
      <c r="H55" s="124" t="s">
        <v>213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230</v>
      </c>
      <c r="B56" s="123" t="s">
        <v>211</v>
      </c>
      <c r="C56" s="124">
        <v>0.32300000000000001</v>
      </c>
      <c r="D56" s="124" t="s">
        <v>212</v>
      </c>
      <c r="E56" s="124">
        <v>1.56</v>
      </c>
      <c r="F56" s="125" t="s">
        <v>132</v>
      </c>
      <c r="G56" s="126">
        <v>0.6</v>
      </c>
      <c r="H56" s="124" t="s">
        <v>213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231</v>
      </c>
      <c r="B57" s="123" t="s">
        <v>211</v>
      </c>
      <c r="C57" s="124">
        <v>0.36699999999999999</v>
      </c>
      <c r="D57" s="124" t="s">
        <v>212</v>
      </c>
      <c r="E57" s="124">
        <v>1.56</v>
      </c>
      <c r="F57" s="125" t="s">
        <v>132</v>
      </c>
      <c r="G57" s="126">
        <v>0.6</v>
      </c>
      <c r="H57" s="124" t="s">
        <v>213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232</v>
      </c>
      <c r="B58" s="123" t="s">
        <v>211</v>
      </c>
      <c r="C58" s="124">
        <v>0.36</v>
      </c>
      <c r="D58" s="124" t="s">
        <v>212</v>
      </c>
      <c r="E58" s="124">
        <v>1.56</v>
      </c>
      <c r="F58" s="125" t="s">
        <v>132</v>
      </c>
      <c r="G58" s="126">
        <v>0.6</v>
      </c>
      <c r="H58" s="124" t="s">
        <v>213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233</v>
      </c>
      <c r="B59" s="123" t="s">
        <v>211</v>
      </c>
      <c r="C59" s="124">
        <v>0.36799999999999999</v>
      </c>
      <c r="D59" s="124" t="s">
        <v>212</v>
      </c>
      <c r="E59" s="124">
        <v>1.56</v>
      </c>
      <c r="F59" s="125" t="s">
        <v>132</v>
      </c>
      <c r="G59" s="126">
        <v>0.6</v>
      </c>
      <c r="H59" s="124" t="s">
        <v>213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234</v>
      </c>
      <c r="B60" s="123" t="s">
        <v>211</v>
      </c>
      <c r="C60" s="124">
        <v>0.30599999999999999</v>
      </c>
      <c r="D60" s="124" t="s">
        <v>212</v>
      </c>
      <c r="E60" s="124">
        <v>1.56</v>
      </c>
      <c r="F60" s="125" t="s">
        <v>132</v>
      </c>
      <c r="G60" s="126">
        <v>0.6</v>
      </c>
      <c r="H60" s="124" t="s">
        <v>213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235</v>
      </c>
      <c r="B61" s="123" t="s">
        <v>211</v>
      </c>
      <c r="C61" s="124">
        <v>0.313</v>
      </c>
      <c r="D61" s="124" t="s">
        <v>212</v>
      </c>
      <c r="E61" s="124">
        <v>1.56</v>
      </c>
      <c r="F61" s="125" t="s">
        <v>132</v>
      </c>
      <c r="G61" s="126">
        <v>0.6</v>
      </c>
      <c r="H61" s="124" t="s">
        <v>213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236</v>
      </c>
      <c r="B62" s="123" t="s">
        <v>237</v>
      </c>
      <c r="C62" s="124">
        <v>0.37</v>
      </c>
      <c r="D62" s="124" t="s">
        <v>131</v>
      </c>
      <c r="E62" s="124">
        <v>1.56</v>
      </c>
      <c r="F62" s="125" t="s">
        <v>132</v>
      </c>
      <c r="G62" s="126">
        <v>0.6</v>
      </c>
      <c r="H62" s="124" t="s">
        <v>213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238</v>
      </c>
      <c r="B63" s="123" t="s">
        <v>239</v>
      </c>
      <c r="C63" s="124">
        <v>0.45</v>
      </c>
      <c r="D63" s="124" t="s">
        <v>131</v>
      </c>
      <c r="E63" s="124">
        <v>1.3</v>
      </c>
      <c r="F63" s="125" t="s">
        <v>132</v>
      </c>
      <c r="G63" s="126">
        <v>0.45</v>
      </c>
      <c r="H63" s="124" t="s">
        <v>240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241</v>
      </c>
      <c r="B64" s="123" t="s">
        <v>242</v>
      </c>
      <c r="C64" s="124">
        <v>0.39</v>
      </c>
      <c r="D64" s="124" t="s">
        <v>131</v>
      </c>
      <c r="E64" s="124">
        <v>1.3</v>
      </c>
      <c r="F64" s="125" t="s">
        <v>132</v>
      </c>
      <c r="G64" s="126">
        <v>0.45</v>
      </c>
      <c r="H64" s="124" t="s">
        <v>240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243</v>
      </c>
      <c r="B65" s="123" t="s">
        <v>244</v>
      </c>
      <c r="C65" s="124">
        <v>0.44</v>
      </c>
      <c r="D65" s="124" t="s">
        <v>131</v>
      </c>
      <c r="E65" s="124">
        <v>1.3</v>
      </c>
      <c r="F65" s="125" t="s">
        <v>132</v>
      </c>
      <c r="G65" s="126">
        <v>0.45</v>
      </c>
      <c r="H65" s="124" t="s">
        <v>240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25</v>
      </c>
      <c r="B66" s="123" t="s">
        <v>245</v>
      </c>
      <c r="C66" s="124">
        <v>0.46</v>
      </c>
      <c r="D66" s="124" t="s">
        <v>131</v>
      </c>
      <c r="E66" s="124">
        <v>1.3</v>
      </c>
      <c r="F66" s="125" t="s">
        <v>132</v>
      </c>
      <c r="G66" s="126">
        <v>0.45</v>
      </c>
      <c r="H66" s="124" t="s">
        <v>240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246</v>
      </c>
      <c r="B67" s="123" t="s">
        <v>247</v>
      </c>
      <c r="C67" s="124">
        <v>0.46</v>
      </c>
      <c r="D67" s="124" t="s">
        <v>131</v>
      </c>
      <c r="E67" s="124">
        <v>1.3</v>
      </c>
      <c r="F67" s="125" t="s">
        <v>132</v>
      </c>
      <c r="G67" s="126">
        <v>0.45</v>
      </c>
      <c r="H67" s="124" t="s">
        <v>157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248</v>
      </c>
      <c r="B68" s="123" t="s">
        <v>249</v>
      </c>
      <c r="C68" s="124">
        <v>0.44</v>
      </c>
      <c r="D68" s="124" t="s">
        <v>131</v>
      </c>
      <c r="E68" s="124">
        <v>1.3</v>
      </c>
      <c r="F68" s="125" t="s">
        <v>132</v>
      </c>
      <c r="G68" s="126">
        <v>0.45</v>
      </c>
      <c r="H68" s="124" t="s">
        <v>240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27</v>
      </c>
      <c r="B69" s="123" t="s">
        <v>250</v>
      </c>
      <c r="C69" s="124">
        <v>0.46</v>
      </c>
      <c r="D69" s="124" t="s">
        <v>131</v>
      </c>
      <c r="E69" s="124">
        <v>1.3</v>
      </c>
      <c r="F69" s="125" t="s">
        <v>132</v>
      </c>
      <c r="G69" s="126">
        <v>0.45</v>
      </c>
      <c r="H69" s="124" t="s">
        <v>240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251</v>
      </c>
      <c r="B70" s="123" t="s">
        <v>252</v>
      </c>
      <c r="C70" s="124">
        <v>0.48</v>
      </c>
      <c r="D70" s="124" t="s">
        <v>131</v>
      </c>
      <c r="E70" s="124">
        <v>2.4</v>
      </c>
      <c r="F70" s="124" t="s">
        <v>253</v>
      </c>
      <c r="G70" s="126">
        <v>0.45</v>
      </c>
      <c r="H70" s="124" t="s">
        <v>240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254</v>
      </c>
      <c r="B71" s="123" t="s">
        <v>255</v>
      </c>
      <c r="C71" s="124">
        <v>0.46</v>
      </c>
      <c r="D71" s="124" t="s">
        <v>256</v>
      </c>
      <c r="E71" s="124">
        <v>1.3</v>
      </c>
      <c r="F71" s="125" t="s">
        <v>132</v>
      </c>
      <c r="G71" s="126">
        <v>0.45</v>
      </c>
      <c r="H71" s="124" t="s">
        <v>240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257</v>
      </c>
      <c r="B72" s="123" t="s">
        <v>258</v>
      </c>
      <c r="C72" s="124">
        <v>0.44</v>
      </c>
      <c r="D72" s="124" t="s">
        <v>131</v>
      </c>
      <c r="E72" s="124">
        <v>1.3</v>
      </c>
      <c r="F72" s="125" t="s">
        <v>132</v>
      </c>
      <c r="G72" s="126">
        <v>0.45</v>
      </c>
      <c r="H72" s="124" t="s">
        <v>240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259</v>
      </c>
      <c r="B73" s="123" t="s">
        <v>260</v>
      </c>
      <c r="C73" s="124">
        <v>0.46</v>
      </c>
      <c r="D73" s="124" t="s">
        <v>261</v>
      </c>
      <c r="E73" s="124">
        <v>1.3</v>
      </c>
      <c r="F73" s="125" t="s">
        <v>132</v>
      </c>
      <c r="G73" s="126">
        <v>0.45</v>
      </c>
      <c r="H73" s="124" t="s">
        <v>240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262</v>
      </c>
      <c r="B74" s="123" t="s">
        <v>263</v>
      </c>
      <c r="C74" s="124">
        <v>0.34</v>
      </c>
      <c r="D74" s="124" t="s">
        <v>131</v>
      </c>
      <c r="E74" s="124">
        <v>1.3</v>
      </c>
      <c r="F74" s="125" t="s">
        <v>132</v>
      </c>
      <c r="G74" s="126">
        <v>0.45</v>
      </c>
      <c r="H74" s="124" t="s">
        <v>240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264</v>
      </c>
      <c r="B75" s="123" t="s">
        <v>265</v>
      </c>
      <c r="C75" s="124">
        <v>0.5</v>
      </c>
      <c r="D75" s="124" t="s">
        <v>131</v>
      </c>
      <c r="E75" s="124">
        <v>1.56</v>
      </c>
      <c r="F75" s="125" t="s">
        <v>132</v>
      </c>
      <c r="G75" s="126">
        <v>0.53</v>
      </c>
      <c r="H75" s="124" t="s">
        <v>184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266</v>
      </c>
      <c r="B76" s="123" t="s">
        <v>267</v>
      </c>
      <c r="C76" s="124">
        <v>0.57999999999999996</v>
      </c>
      <c r="D76" s="124" t="s">
        <v>131</v>
      </c>
      <c r="E76" s="124">
        <v>1.56</v>
      </c>
      <c r="F76" s="125" t="s">
        <v>132</v>
      </c>
      <c r="G76" s="126">
        <v>0.3</v>
      </c>
      <c r="H76" s="124" t="s">
        <v>268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269</v>
      </c>
      <c r="B77" s="123" t="s">
        <v>270</v>
      </c>
      <c r="C77" s="124">
        <v>0.37</v>
      </c>
      <c r="D77" s="124" t="s">
        <v>131</v>
      </c>
      <c r="E77" s="124">
        <v>1.3</v>
      </c>
      <c r="F77" s="125" t="s">
        <v>132</v>
      </c>
      <c r="G77" s="126">
        <v>0.55000000000000004</v>
      </c>
      <c r="H77" s="124" t="s">
        <v>157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271</v>
      </c>
      <c r="B78" s="123" t="s">
        <v>272</v>
      </c>
      <c r="C78" s="124">
        <v>0.37</v>
      </c>
      <c r="D78" s="124" t="s">
        <v>131</v>
      </c>
      <c r="E78" s="124">
        <v>1.3</v>
      </c>
      <c r="F78" s="125" t="s">
        <v>132</v>
      </c>
      <c r="G78" s="126">
        <v>0.55000000000000004</v>
      </c>
      <c r="H78" s="124" t="s">
        <v>157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23</v>
      </c>
      <c r="B79" s="123" t="s">
        <v>273</v>
      </c>
      <c r="C79" s="124">
        <v>0.38</v>
      </c>
      <c r="D79" s="124" t="s">
        <v>131</v>
      </c>
      <c r="E79" s="124">
        <v>1.3</v>
      </c>
      <c r="F79" s="125" t="s">
        <v>132</v>
      </c>
      <c r="G79" s="126">
        <v>0.55000000000000004</v>
      </c>
      <c r="H79" s="124" t="s">
        <v>148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274</v>
      </c>
      <c r="B80" s="123" t="s">
        <v>275</v>
      </c>
      <c r="C80" s="124">
        <v>0.36</v>
      </c>
      <c r="D80" s="124" t="s">
        <v>131</v>
      </c>
      <c r="E80" s="124">
        <v>1.3</v>
      </c>
      <c r="F80" s="125" t="s">
        <v>132</v>
      </c>
      <c r="G80" s="126">
        <v>0.55000000000000004</v>
      </c>
      <c r="H80" s="124" t="s">
        <v>148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276</v>
      </c>
      <c r="B81" s="123" t="s">
        <v>277</v>
      </c>
      <c r="C81" s="124">
        <v>0.37</v>
      </c>
      <c r="D81" s="124" t="s">
        <v>131</v>
      </c>
      <c r="E81" s="124">
        <v>1.56</v>
      </c>
      <c r="F81" s="125" t="s">
        <v>132</v>
      </c>
      <c r="G81" s="126">
        <v>0.43</v>
      </c>
      <c r="H81" s="124" t="s">
        <v>133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278</v>
      </c>
      <c r="B82" s="123" t="s">
        <v>279</v>
      </c>
      <c r="C82" s="124">
        <v>0.35</v>
      </c>
      <c r="D82" s="124" t="s">
        <v>280</v>
      </c>
      <c r="E82" s="124">
        <v>1.3</v>
      </c>
      <c r="F82" s="125" t="s">
        <v>132</v>
      </c>
      <c r="G82" s="126">
        <v>0.55000000000000004</v>
      </c>
      <c r="H82" s="124" t="s">
        <v>148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281</v>
      </c>
      <c r="B83" s="123" t="s">
        <v>282</v>
      </c>
      <c r="C83" s="124">
        <v>0.34</v>
      </c>
      <c r="D83" s="124" t="s">
        <v>131</v>
      </c>
      <c r="E83" s="124">
        <v>1.3</v>
      </c>
      <c r="F83" s="125" t="s">
        <v>132</v>
      </c>
      <c r="G83" s="126">
        <v>0.55000000000000004</v>
      </c>
      <c r="H83" s="124" t="s">
        <v>148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283</v>
      </c>
      <c r="B84" s="123" t="s">
        <v>284</v>
      </c>
      <c r="C84" s="124">
        <v>0.31</v>
      </c>
      <c r="D84" s="124" t="s">
        <v>131</v>
      </c>
      <c r="E84" s="124">
        <v>1.3</v>
      </c>
      <c r="F84" s="125" t="s">
        <v>132</v>
      </c>
      <c r="G84" s="126">
        <v>0.55000000000000004</v>
      </c>
      <c r="H84" s="124" t="s">
        <v>148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285</v>
      </c>
      <c r="B85" s="123" t="s">
        <v>286</v>
      </c>
      <c r="C85" s="124">
        <v>0.43</v>
      </c>
      <c r="D85" s="124" t="s">
        <v>131</v>
      </c>
      <c r="E85" s="124">
        <v>1.56</v>
      </c>
      <c r="F85" s="125" t="s">
        <v>132</v>
      </c>
      <c r="G85" s="126">
        <v>0.53</v>
      </c>
      <c r="H85" s="124" t="s">
        <v>184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287</v>
      </c>
      <c r="B86" s="123" t="s">
        <v>288</v>
      </c>
      <c r="C86" s="124">
        <v>0.38</v>
      </c>
      <c r="D86" s="124" t="s">
        <v>131</v>
      </c>
      <c r="E86" s="124">
        <v>1.56</v>
      </c>
      <c r="F86" s="125" t="s">
        <v>132</v>
      </c>
      <c r="G86" s="126">
        <v>0.6</v>
      </c>
      <c r="H86" s="124" t="s">
        <v>289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290</v>
      </c>
      <c r="B87" s="252" t="s">
        <v>291</v>
      </c>
      <c r="C87" s="253">
        <v>0.41</v>
      </c>
      <c r="D87" s="253" t="s">
        <v>292</v>
      </c>
      <c r="E87" s="253">
        <v>1.56</v>
      </c>
      <c r="F87" s="254" t="s">
        <v>132</v>
      </c>
      <c r="G87" s="255">
        <v>0.43</v>
      </c>
      <c r="H87" s="253" t="s">
        <v>133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91</v>
      </c>
      <c r="B88" s="130"/>
      <c r="C88" s="124">
        <v>0.42</v>
      </c>
      <c r="D88" s="124" t="s">
        <v>131</v>
      </c>
      <c r="E88" s="124">
        <v>1.3</v>
      </c>
      <c r="F88" s="125" t="s">
        <v>132</v>
      </c>
      <c r="G88" s="131"/>
      <c r="H88" s="130"/>
      <c r="I88" s="132"/>
    </row>
    <row r="89" spans="1:14" ht="15.75" thickBot="1" x14ac:dyDescent="0.3">
      <c r="A89" s="133" t="s">
        <v>293</v>
      </c>
      <c r="B89" s="134"/>
      <c r="C89" s="135">
        <v>0.56999999999999995</v>
      </c>
      <c r="D89" s="136" t="s">
        <v>131</v>
      </c>
      <c r="E89" s="135">
        <v>1.56</v>
      </c>
      <c r="F89" s="135" t="s">
        <v>132</v>
      </c>
      <c r="G89" s="134"/>
      <c r="H89" s="134"/>
      <c r="I89" s="137"/>
    </row>
    <row r="93" spans="1:14" x14ac:dyDescent="0.25">
      <c r="A93" s="122" t="s">
        <v>92</v>
      </c>
    </row>
    <row r="94" spans="1:14" x14ac:dyDescent="0.25">
      <c r="A94" s="122" t="s">
        <v>93</v>
      </c>
    </row>
    <row r="95" spans="1:14" x14ac:dyDescent="0.25">
      <c r="A95" s="122" t="s">
        <v>94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K22" sqref="K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4" t="s">
        <v>294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295</v>
      </c>
      <c r="B5" s="139" t="s">
        <v>296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297</v>
      </c>
      <c r="F5" s="140" t="s">
        <v>298</v>
      </c>
      <c r="G5" s="140" t="s">
        <v>299</v>
      </c>
      <c r="H5" s="141" t="s">
        <v>300</v>
      </c>
      <c r="I5" s="142" t="s">
        <v>301</v>
      </c>
      <c r="J5" s="143" t="s">
        <v>302</v>
      </c>
      <c r="K5" s="144" t="s">
        <v>303</v>
      </c>
      <c r="L5" s="84" t="s">
        <v>304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Epicéa commun</v>
      </c>
      <c r="B6" s="146">
        <f>'Données projet'!D9</f>
        <v>0.37746000000000002</v>
      </c>
      <c r="C6" s="147">
        <f ca="1">IF(OR('Données projet'!B9="",'Données projet'!C9="",'Données projet'!C9=0%),0,Calculateur!S3)</f>
        <v>226.41956082453015</v>
      </c>
      <c r="D6" s="147">
        <f>IF(OR('Données projet'!B9="",'Données projet'!C9="",'Données projet'!C9=0%),0,Calculateur!T3)</f>
        <v>317.95076157570446</v>
      </c>
      <c r="E6" s="147">
        <f ca="1">MIN(C6,D6)</f>
        <v>226.41956082453015</v>
      </c>
      <c r="F6" s="147">
        <f ca="1">E6*B6</f>
        <v>85.464327428827161</v>
      </c>
      <c r="G6" s="147">
        <f ca="1">F6*(100%-'Données projet'!$C$24)*(100%-'Données projet'!$C$25)*(100%-'Données projet'!$C$26)*(100%-'Données projet'!$C$27)</f>
        <v>69.22610521735001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25.518531725739052</v>
      </c>
      <c r="K6" s="151">
        <f>J6*(100%-'Données projet'!$C$24)*(100%-'Données projet'!$C$25)*(100%-'Données projet'!$C$26)*(100%-'Données projet'!$C$27)</f>
        <v>20.670010697848635</v>
      </c>
      <c r="L6" s="152">
        <f ca="1">G6+I6+K6</f>
        <v>89.896115915198649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Hêtre</v>
      </c>
      <c r="B7" s="154">
        <f>'Données projet'!D10</f>
        <v>0.37746000000000002</v>
      </c>
      <c r="C7" s="147">
        <f ca="1">IF(OR('Données projet'!B10="",'Données projet'!C10="",'Données projet'!C10=0%),0,Calculateur!AN3)</f>
        <v>257.80662231827404</v>
      </c>
      <c r="D7" s="147">
        <f>IF(OR('Données projet'!B10="",'Données projet'!C10="",'Données projet'!C10=0%),0,Calculateur!AO3)</f>
        <v>184.04558520039876</v>
      </c>
      <c r="E7" s="147">
        <f t="shared" ref="E7:E15" ca="1" si="0">MIN(C7,D7)</f>
        <v>184.04558520039876</v>
      </c>
      <c r="F7" s="147">
        <f t="shared" ref="F7:F15" ca="1" si="1">E7*B7</f>
        <v>69.469846589742517</v>
      </c>
      <c r="G7" s="147">
        <f ca="1">F7*(100%-'Données projet'!$C$24)*(100%-'Données projet'!$C$25)*(100%-'Données projet'!$C$26)*(100%-'Données projet'!$C$27)</f>
        <v>56.270575737691438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56.270575737691438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Douglas</v>
      </c>
      <c r="B8" s="154">
        <f>'Données projet'!D11</f>
        <v>1.32111</v>
      </c>
      <c r="C8" s="147">
        <f ca="1">IF(OR('Données projet'!B11="",'Données projet'!C11="",'Données projet'!C11=0%),0,Calculateur!BI3)</f>
        <v>300.90952915835157</v>
      </c>
      <c r="D8" s="147">
        <f>IF(OR('Données projet'!B11="",'Données projet'!C11="",'Données projet'!C11=0%),0,Calculateur!BJ3)</f>
        <v>402.81783992925256</v>
      </c>
      <c r="E8" s="147">
        <f t="shared" ca="1" si="0"/>
        <v>300.90952915835157</v>
      </c>
      <c r="F8" s="147">
        <f t="shared" ca="1" si="1"/>
        <v>397.53458806638986</v>
      </c>
      <c r="G8" s="147">
        <f ca="1">F8*(100%-'Données projet'!$C$24)*(100%-'Données projet'!$C$25)*(100%-'Données projet'!$C$26)*(100%-'Données projet'!$C$27)</f>
        <v>322.0030163337758</v>
      </c>
      <c r="H8" s="155">
        <f>IF(OR('Données projet'!B11="",'Données projet'!C11="",'Données projet'!C11=0%),0,AVERAGE(Calculateur!$BS$3:$BS$33)*B8)</f>
        <v>16.135017984625001</v>
      </c>
      <c r="I8" s="149">
        <f>H8*(100%-'Données projet'!$C$24)*(100%-'Données projet'!$C$25)*(100%-'Données projet'!$C$26)*(100%-'Données projet'!$C$27)</f>
        <v>13.069364567546252</v>
      </c>
      <c r="J8" s="150">
        <f>IF(OR('Données projet'!B11="",'Données projet'!C11="",'Données projet'!C11=0%),0,SUM(Calculateur!$BL$3:$BL$33)*VLOOKUP('Données projet'!$B$11,Paramètres!$A$1:$I$89,9,0)*B8)</f>
        <v>100.89926812771036</v>
      </c>
      <c r="K8" s="151">
        <f>J8*(100%-'Données projet'!$C$24)*(100%-'Données projet'!$C$25)*(100%-'Données projet'!$C$26)*(100%-'Données projet'!$C$27)</f>
        <v>81.728407183445384</v>
      </c>
      <c r="L8" s="152">
        <f t="shared" ca="1" si="2"/>
        <v>416.80078808476742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Sapin pectiné</v>
      </c>
      <c r="B9" s="154">
        <f>'Données projet'!D12</f>
        <v>0.37746000000000002</v>
      </c>
      <c r="C9" s="147">
        <f ca="1">IF(OR('Données projet'!B12="",'Données projet'!C12="",'Données projet'!C12=0%),0,Calculateur!CD3)</f>
        <v>246.05217890269194</v>
      </c>
      <c r="D9" s="147">
        <f>IF(OR('Données projet'!B12="",'Données projet'!C12="",'Données projet'!C12=0%),0,Calculateur!CE3)</f>
        <v>155.54297071424327</v>
      </c>
      <c r="E9" s="147">
        <f t="shared" ca="1" si="0"/>
        <v>155.54297071424327</v>
      </c>
      <c r="F9" s="147">
        <f t="shared" ca="1" si="1"/>
        <v>58.711249725798268</v>
      </c>
      <c r="G9" s="147">
        <f ca="1">F9*(100%-'Données projet'!$C$24)*(100%-'Données projet'!$C$25)*(100%-'Données projet'!$C$26)*(100%-'Données projet'!$C$27)</f>
        <v>47.556112277896595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47.556112277896595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laricio</v>
      </c>
      <c r="B10" s="154">
        <f>'Données projet'!D13</f>
        <v>1.6985700000000001</v>
      </c>
      <c r="C10" s="147">
        <f ca="1">IF(OR('Données projet'!B13="",'Données projet'!C13="",'Données projet'!C13=0%),0,Calculateur!CY3)</f>
        <v>237.036496933921</v>
      </c>
      <c r="D10" s="147">
        <f>IF(OR('Données projet'!B13="",'Données projet'!C13="",'Données projet'!C13=0%),0,Calculateur!CZ3)</f>
        <v>191.04289413665344</v>
      </c>
      <c r="E10" s="147">
        <f t="shared" ca="1" si="0"/>
        <v>191.04289413665344</v>
      </c>
      <c r="F10" s="147">
        <f t="shared" ca="1" si="1"/>
        <v>324.49972869369549</v>
      </c>
      <c r="G10" s="147">
        <f ca="1">F10*(100%-'Données projet'!$C$24)*(100%-'Données projet'!$C$25)*(100%-'Données projet'!$C$26)*(100%-'Données projet'!$C$27)</f>
        <v>262.84478024189332</v>
      </c>
      <c r="H10" s="155">
        <f>IF(OR('Données projet'!B13="",'Données projet'!C13="",'Données projet'!C13=0%),0,AVERAGE(Calculateur!$DI$3:$DI$33)*B10)</f>
        <v>10.167988154230548</v>
      </c>
      <c r="I10" s="149">
        <f>H10*(100%-'Données projet'!$C$24)*(100%-'Données projet'!$C$25)*(100%-'Données projet'!$C$26)*(100%-'Données projet'!$C$27)</f>
        <v>8.2360704049267444</v>
      </c>
      <c r="J10" s="150">
        <f>IF(OR('Données projet'!B13="",'Données projet'!C13="",'Données projet'!C13=0%),0,SUM(Calculateur!$DB$3:$DB$33)*VLOOKUP('Données projet'!$B$13,Paramètres!$A$1:$I$89,9,0)*B10)</f>
        <v>63.83003939869527</v>
      </c>
      <c r="K10" s="151">
        <f>J10*(100%-'Données projet'!$C$24)*(100%-'Données projet'!$C$25)*(100%-'Données projet'!$C$26)*(100%-'Données projet'!$C$27)</f>
        <v>51.702331912943173</v>
      </c>
      <c r="L10" s="152">
        <f t="shared" ca="1" si="2"/>
        <v>322.78318255976325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noir d'Autriche</v>
      </c>
      <c r="B11" s="154">
        <f>'Données projet'!D14</f>
        <v>0.69201000000000001</v>
      </c>
      <c r="C11" s="147">
        <f ca="1">IF(OR('Données projet'!B14="",'Données projet'!C14="",'Données projet'!C14=0%),0,Calculateur!DT3)</f>
        <v>148.22129593028302</v>
      </c>
      <c r="D11" s="147">
        <f>IF(OR('Données projet'!B14="",'Données projet'!C14="",'Données projet'!C14=0%),0,Calculateur!DU3)</f>
        <v>102.97015482019975</v>
      </c>
      <c r="E11" s="147">
        <f t="shared" ca="1" si="0"/>
        <v>102.97015482019975</v>
      </c>
      <c r="F11" s="147">
        <f t="shared" ca="1" si="1"/>
        <v>71.256376837126439</v>
      </c>
      <c r="G11" s="147">
        <f ca="1">F11*(100%-'Données projet'!$C$24)*(100%-'Données projet'!$C$25)*(100%-'Données projet'!$C$26)*(100%-'Données projet'!$C$27)</f>
        <v>57.717665238072421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57.717665238072421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Châtaignier</v>
      </c>
      <c r="B12" s="154">
        <f>'Données projet'!D15</f>
        <v>0.94364999999999999</v>
      </c>
      <c r="C12" s="147">
        <f ca="1">IF(OR('Données projet'!B15="",'Données projet'!C15="",'Données projet'!C15=0%),0,Calculateur!EO3)</f>
        <v>278.53123771916404</v>
      </c>
      <c r="D12" s="147">
        <f>IF(OR('Données projet'!B15="",'Données projet'!C15="",'Données projet'!C15=0%),0,Calculateur!EP3)</f>
        <v>283.79094702030869</v>
      </c>
      <c r="E12" s="147">
        <f t="shared" ca="1" si="0"/>
        <v>278.53123771916404</v>
      </c>
      <c r="F12" s="147">
        <f t="shared" ca="1" si="1"/>
        <v>262.83600247368912</v>
      </c>
      <c r="G12" s="147">
        <f ca="1">F12*(100%-'Données projet'!$C$24)*(100%-'Données projet'!$C$25)*(100%-'Données projet'!$C$26)*(100%-'Données projet'!$C$27)</f>
        <v>212.89716200368821</v>
      </c>
      <c r="H12" s="155">
        <f>IF(OR('Données projet'!B15="",'Données projet'!C15="",'Données projet'!C15=0%),0,AVERAGE(Calculateur!$EY$3:$EY$33)*B12)</f>
        <v>0.88038258027750083</v>
      </c>
      <c r="I12" s="149">
        <f>H12*(100%-'Données projet'!$C$24)*(100%-'Données projet'!$C$25)*(100%-'Données projet'!$C$26)*(100%-'Données projet'!$C$27)</f>
        <v>0.71310989002477565</v>
      </c>
      <c r="J12" s="150">
        <f>IF(OR('Données projet'!B15="",'Données projet'!C15="",'Données projet'!C15=0%),0,SUM(Calculateur!$ER$3:$ER$33)*VLOOKUP('Données projet'!$B$15,Paramètres!$A$1:$I$89,9,0)*B12)</f>
        <v>32.320012499999997</v>
      </c>
      <c r="K12" s="151">
        <f>J12*(100%-'Données projet'!$C$24)*(100%-'Données projet'!$C$25)*(100%-'Données projet'!$C$26)*(100%-'Données projet'!$C$27)</f>
        <v>26.179210124999997</v>
      </c>
      <c r="L12" s="152">
        <f t="shared" ca="1" si="2"/>
        <v>239.78948201871299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Chêne sessile</v>
      </c>
      <c r="B13" s="154">
        <f>'Données projet'!D16</f>
        <v>0.25164000000000003</v>
      </c>
      <c r="C13" s="147">
        <f ca="1">IF(OR('Données projet'!B16="",'Données projet'!C16="",'Données projet'!C16=0%),0,Calculateur!FJ3)</f>
        <v>335.99493768537013</v>
      </c>
      <c r="D13" s="147">
        <f>IF(OR('Données projet'!B16="",'Données projet'!C16="",'Données projet'!C16=0%),0,Calculateur!FK3)</f>
        <v>150.85164849522778</v>
      </c>
      <c r="E13" s="147">
        <f t="shared" ca="1" si="0"/>
        <v>150.85164849522778</v>
      </c>
      <c r="F13" s="147">
        <f t="shared" ca="1" si="1"/>
        <v>37.960308827339119</v>
      </c>
      <c r="G13" s="147">
        <f ca="1">F13*(100%-'Données projet'!$C$24)*(100%-'Données projet'!$C$25)*(100%-'Données projet'!$C$26)*(100%-'Données projet'!$C$27)</f>
        <v>30.747850150144689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30.747850150144689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Chêne rouge d'Amérique</v>
      </c>
      <c r="B14" s="154">
        <f>'Données projet'!D17</f>
        <v>0.25164000000000003</v>
      </c>
      <c r="C14" s="147">
        <f ca="1">IF(OR('Données projet'!B17="",'Données projet'!C17="",'Données projet'!C17=0%),0,Calculateur!GE3)</f>
        <v>319.57811113658374</v>
      </c>
      <c r="D14" s="147">
        <f>IF(OR('Données projet'!B17="",'Données projet'!C17="",'Données projet'!C17=0%),0,Calculateur!GF3)</f>
        <v>322.03572137403245</v>
      </c>
      <c r="E14" s="147">
        <f t="shared" ca="1" si="0"/>
        <v>319.57811113658374</v>
      </c>
      <c r="F14" s="147">
        <f t="shared" ca="1" si="1"/>
        <v>80.418635886409945</v>
      </c>
      <c r="G14" s="147">
        <f ca="1">F14*(100%-'Données projet'!$C$24)*(100%-'Données projet'!$C$25)*(100%-'Données projet'!$C$26)*(100%-'Données projet'!$C$27)</f>
        <v>65.139095067992059</v>
      </c>
      <c r="H14" s="155">
        <f>IF(OR('Données projet'!B17="",'Données projet'!C17="",'Données projet'!C17=0%),0,AVERAGE(Calculateur!$GO$3:$GO$33)*B14)</f>
        <v>5.3722077436686208E-2</v>
      </c>
      <c r="I14" s="149">
        <f>H14*(100%-'Données projet'!$C$24)*(100%-'Données projet'!$C$25)*(100%-'Données projet'!$C$26)*(100%-'Données projet'!$C$27)</f>
        <v>4.3514882723715835E-2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65.182609950715772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1388.151064529018</v>
      </c>
      <c r="G16" s="166">
        <f t="shared" ca="1" si="3"/>
        <v>1124.4023622685045</v>
      </c>
      <c r="H16" s="167">
        <f t="shared" si="3"/>
        <v>27.237110796569738</v>
      </c>
      <c r="I16" s="167">
        <f t="shared" si="3"/>
        <v>22.062059745221486</v>
      </c>
      <c r="J16" s="168">
        <f t="shared" si="3"/>
        <v>222.56785175214466</v>
      </c>
      <c r="K16" s="168">
        <f t="shared" si="3"/>
        <v>180.2799599192372</v>
      </c>
      <c r="L16" s="169">
        <f t="shared" ca="1" si="3"/>
        <v>1326.7443819329631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6" t="s">
        <v>305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Epicéa commun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Sapin pectiné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laricio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noir d'Autriche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Châtaignier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Chêne sessile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Chêne rouge d'Amérique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N21" sqref="N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4" t="s">
        <v>306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0" t="s">
        <v>307</v>
      </c>
      <c r="I4" s="260"/>
      <c r="K4" s="302" t="s">
        <v>308</v>
      </c>
      <c r="L4" s="303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77</v>
      </c>
      <c r="O7" s="247"/>
      <c r="P7" s="248"/>
      <c r="Q7" s="249"/>
      <c r="R7" s="294" t="s">
        <v>309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310</v>
      </c>
      <c r="C9" s="23"/>
      <c r="D9" s="23"/>
      <c r="E9" s="23"/>
      <c r="F9" s="230"/>
      <c r="G9" s="93" t="s">
        <v>311</v>
      </c>
      <c r="J9" s="200"/>
      <c r="K9" s="208"/>
      <c r="O9" s="23"/>
      <c r="P9" s="23"/>
      <c r="Q9" s="234"/>
      <c r="R9" s="23"/>
      <c r="S9" s="4"/>
      <c r="T9" s="36" t="s">
        <v>312</v>
      </c>
      <c r="U9" s="176" t="s">
        <v>313</v>
      </c>
      <c r="V9" s="36" t="s">
        <v>314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315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Epicéa commun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-3274.3106214189461</v>
      </c>
      <c r="U10" s="178">
        <f>'Données projet'!D9</f>
        <v>0.37746000000000002</v>
      </c>
      <c r="V10" s="177">
        <f>U10*T10</f>
        <v>-1235.9212871607954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317</v>
      </c>
      <c r="B11" s="23"/>
      <c r="C11" s="23"/>
      <c r="D11" s="23"/>
      <c r="E11" s="23"/>
      <c r="F11" s="230"/>
      <c r="G11" s="93" t="s">
        <v>318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Hêtre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-5146.5432429291832</v>
      </c>
      <c r="U11" s="178">
        <f>'Données projet'!D10</f>
        <v>0.37746000000000002</v>
      </c>
      <c r="V11" s="177">
        <f t="shared" ref="V11" si="0">U11*T11</f>
        <v>-1942.6142124760495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-2896.1711581711538</v>
      </c>
      <c r="U12" s="178">
        <f>'Données projet'!D11</f>
        <v>1.32111</v>
      </c>
      <c r="V12" s="177">
        <f t="shared" ref="V12:V19" si="1">U12*T12</f>
        <v>-3826.1606787714932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319</v>
      </c>
      <c r="M13" s="23"/>
      <c r="N13" s="23"/>
      <c r="O13" s="23"/>
      <c r="P13" s="23"/>
      <c r="Q13" s="234"/>
      <c r="R13" s="23"/>
      <c r="S13" s="36" t="str">
        <f>B107</f>
        <v>Sapin pectiné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443.27351261032982</v>
      </c>
      <c r="U13" s="178">
        <f>'Données projet'!D12</f>
        <v>0.37746000000000002</v>
      </c>
      <c r="V13" s="177">
        <f t="shared" si="1"/>
        <v>167.31802006989511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Epicéa commun</v>
      </c>
      <c r="C14" s="4"/>
      <c r="D14" s="4"/>
      <c r="E14" s="4"/>
      <c r="F14" s="230"/>
      <c r="G14" s="23"/>
      <c r="H14" s="36" t="s">
        <v>96</v>
      </c>
      <c r="I14" s="36" t="s">
        <v>320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laricio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-5478.2515013288021</v>
      </c>
      <c r="U14" s="178">
        <f>'Données projet'!D13</f>
        <v>1.6985700000000001</v>
      </c>
      <c r="V14" s="177">
        <f t="shared" si="1"/>
        <v>-9305.1936526120644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5" t="s">
        <v>321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noir d'Autriche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-6417.4804007171097</v>
      </c>
      <c r="U15" s="178">
        <f>'Données projet'!D14</f>
        <v>0.69201000000000001</v>
      </c>
      <c r="V15" s="177">
        <f t="shared" si="1"/>
        <v>-4440.9606121002471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53</v>
      </c>
      <c r="B16" s="48" t="s">
        <v>322</v>
      </c>
      <c r="C16" s="48" t="s">
        <v>323</v>
      </c>
      <c r="D16" s="36" t="s">
        <v>324</v>
      </c>
      <c r="E16" s="36" t="s">
        <v>325</v>
      </c>
      <c r="F16" s="230"/>
      <c r="G16" s="305"/>
      <c r="H16" s="190"/>
      <c r="I16" s="191"/>
      <c r="J16" s="202"/>
      <c r="K16" s="208"/>
      <c r="L16" s="302" t="s">
        <v>326</v>
      </c>
      <c r="M16" s="303"/>
      <c r="N16" s="2">
        <v>50</v>
      </c>
      <c r="O16" s="23"/>
      <c r="P16" s="23"/>
      <c r="Q16" s="234"/>
      <c r="R16" s="23"/>
      <c r="S16" s="36" t="str">
        <f>B200</f>
        <v>Châtaignier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-4785.399949663185</v>
      </c>
      <c r="U16" s="178">
        <f>'Données projet'!D15</f>
        <v>0.94364999999999999</v>
      </c>
      <c r="V16" s="177">
        <f t="shared" si="1"/>
        <v>-4515.7426624996642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211</v>
      </c>
      <c r="C17" s="198" t="s">
        <v>211</v>
      </c>
      <c r="D17" s="197" t="s">
        <v>211</v>
      </c>
      <c r="E17" s="193">
        <v>627</v>
      </c>
      <c r="F17" s="230"/>
      <c r="G17" s="305"/>
      <c r="J17" s="202"/>
      <c r="K17" s="208"/>
      <c r="L17" s="262" t="s">
        <v>327</v>
      </c>
      <c r="M17" s="264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>Chêne sessile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-4961.1746343234545</v>
      </c>
      <c r="U17" s="178">
        <f>'Données projet'!D16</f>
        <v>0.25164000000000003</v>
      </c>
      <c r="V17" s="177">
        <f t="shared" si="1"/>
        <v>-1248.4299849811543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211</v>
      </c>
      <c r="C18" s="198" t="s">
        <v>211</v>
      </c>
      <c r="D18" s="197" t="s">
        <v>211</v>
      </c>
      <c r="E18" s="193">
        <v>1147</v>
      </c>
      <c r="F18" s="230"/>
      <c r="G18" s="305"/>
      <c r="J18" s="202"/>
      <c r="K18" s="208"/>
      <c r="L18" s="262" t="s">
        <v>323</v>
      </c>
      <c r="M18" s="264"/>
      <c r="N18" s="192">
        <v>100</v>
      </c>
      <c r="O18" s="23"/>
      <c r="P18" s="23"/>
      <c r="Q18" s="234"/>
      <c r="R18" s="23"/>
      <c r="S18" s="36" t="str">
        <f>B262</f>
        <v>Chêne rouge d'Amérique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-1489.4491721601792</v>
      </c>
      <c r="U18" s="178">
        <f>'Données projet'!D17</f>
        <v>0.25164000000000003</v>
      </c>
      <c r="V18" s="177">
        <f t="shared" si="1"/>
        <v>-374.80498968238754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211</v>
      </c>
      <c r="C19" s="198" t="s">
        <v>211</v>
      </c>
      <c r="D19" s="197" t="s">
        <v>211</v>
      </c>
      <c r="E19" s="193">
        <v>1147</v>
      </c>
      <c r="F19" s="230"/>
      <c r="G19" s="305"/>
      <c r="H19" s="212" t="s">
        <v>96</v>
      </c>
      <c r="I19" s="212" t="s">
        <v>328</v>
      </c>
      <c r="J19" s="93"/>
      <c r="K19" s="173"/>
      <c r="L19" s="302" t="s">
        <v>329</v>
      </c>
      <c r="M19" s="303"/>
      <c r="N19" s="179">
        <f>N17*N18</f>
        <v>4999.9999999999964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211</v>
      </c>
      <c r="C20" s="198" t="s">
        <v>211</v>
      </c>
      <c r="D20" s="197" t="s">
        <v>211</v>
      </c>
      <c r="E20" s="193">
        <v>1147</v>
      </c>
      <c r="F20" s="230"/>
      <c r="G20" s="305"/>
      <c r="H20" s="190">
        <v>1</v>
      </c>
      <c r="I20" s="191">
        <v>6474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211</v>
      </c>
      <c r="C21" s="198" t="s">
        <v>211</v>
      </c>
      <c r="D21" s="197" t="s">
        <v>211</v>
      </c>
      <c r="E21" s="193">
        <v>1147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211</v>
      </c>
      <c r="C22" s="198" t="s">
        <v>211</v>
      </c>
      <c r="D22" s="197" t="s">
        <v>211</v>
      </c>
      <c r="E22" s="193">
        <v>1147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67.207692309999999</v>
      </c>
      <c r="C23" s="193">
        <v>10</v>
      </c>
      <c r="D23" s="182">
        <f>B23*C23</f>
        <v>672.07692309999993</v>
      </c>
      <c r="E23" s="193">
        <v>150</v>
      </c>
      <c r="F23" s="230"/>
      <c r="H23" s="190"/>
      <c r="I23" s="191"/>
      <c r="K23" s="208"/>
      <c r="L23" s="304" t="s">
        <v>330</v>
      </c>
      <c r="M23" s="304"/>
      <c r="N23" s="304"/>
      <c r="O23" s="23"/>
      <c r="P23" s="23"/>
      <c r="Q23" s="234"/>
      <c r="R23" s="23"/>
      <c r="S23" s="36" t="s">
        <v>331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-65696.60958174507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90.015384620000006</v>
      </c>
      <c r="C24" s="193">
        <v>10</v>
      </c>
      <c r="D24" s="182">
        <f t="shared" ref="D24:D42" si="2">B24*C24</f>
        <v>900.15384620000009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332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3482.3720396695862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36</v>
      </c>
      <c r="B25" s="181">
        <f>'Données projet'!D38</f>
        <v>85.407692310000002</v>
      </c>
      <c r="C25" s="193">
        <v>10</v>
      </c>
      <c r="D25" s="182">
        <f t="shared" si="2"/>
        <v>854.07692310000004</v>
      </c>
      <c r="E25" s="193">
        <v>150</v>
      </c>
      <c r="F25" s="233"/>
      <c r="H25" s="190"/>
      <c r="I25" s="191"/>
      <c r="K25" s="208"/>
      <c r="L25" s="130" t="s">
        <v>333</v>
      </c>
      <c r="M25" s="130"/>
      <c r="N25" s="130"/>
      <c r="O25" s="130"/>
      <c r="P25" s="192"/>
      <c r="Q25" s="234"/>
      <c r="R25" s="23"/>
      <c r="S25" s="186" t="s">
        <v>334</v>
      </c>
      <c r="T25" s="301">
        <f ca="1">T23-T24</f>
        <v>-69178.981621414656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42</v>
      </c>
      <c r="B26" s="181">
        <f>'Données projet'!D39</f>
        <v>78.223076919999997</v>
      </c>
      <c r="C26" s="193">
        <v>18</v>
      </c>
      <c r="D26" s="182">
        <f t="shared" si="2"/>
        <v>1408.01538456</v>
      </c>
      <c r="E26" s="193">
        <v>150</v>
      </c>
      <c r="F26" s="233"/>
      <c r="G26" s="229"/>
      <c r="H26" s="190"/>
      <c r="I26" s="191"/>
      <c r="K26" s="208"/>
      <c r="L26" s="288" t="s">
        <v>335</v>
      </c>
      <c r="M26" s="289"/>
      <c r="N26" s="289"/>
      <c r="O26" s="289"/>
      <c r="P26" s="290"/>
      <c r="Q26" s="234"/>
      <c r="R26" s="23"/>
      <c r="S26" s="186" t="s">
        <v>336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48</v>
      </c>
      <c r="B27" s="181">
        <f>'Données projet'!D40</f>
        <v>85.953846150000004</v>
      </c>
      <c r="C27" s="193">
        <v>25</v>
      </c>
      <c r="D27" s="182">
        <f t="shared" si="2"/>
        <v>2148.8461537500002</v>
      </c>
      <c r="E27" s="193">
        <v>150</v>
      </c>
      <c r="F27" s="233"/>
      <c r="G27" s="229"/>
      <c r="H27" s="190"/>
      <c r="I27" s="191"/>
      <c r="K27" s="208"/>
      <c r="L27" s="291"/>
      <c r="M27" s="292"/>
      <c r="N27" s="292"/>
      <c r="O27" s="292"/>
      <c r="P27" s="293"/>
      <c r="Q27" s="234"/>
      <c r="R27" s="23"/>
      <c r="S27" s="297" t="s">
        <v>337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55</v>
      </c>
      <c r="B28" s="181">
        <f>'Données projet'!D41</f>
        <v>83.638461539999994</v>
      </c>
      <c r="C28" s="193">
        <v>30</v>
      </c>
      <c r="D28" s="182">
        <f t="shared" si="2"/>
        <v>2509.1538461999999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62</v>
      </c>
      <c r="B29" s="181">
        <f>'Données projet'!D42</f>
        <v>471.08461540000002</v>
      </c>
      <c r="C29" s="193">
        <v>40</v>
      </c>
      <c r="D29" s="182">
        <f t="shared" si="2"/>
        <v>18843.384615999999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338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96</v>
      </c>
      <c r="P32" s="85" t="s">
        <v>324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18</v>
      </c>
      <c r="B45" s="174" t="str">
        <f>IF('Données projet'!$B$10="","",'Données projet'!$B$10)</f>
        <v>Hêtre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53</v>
      </c>
      <c r="B47" s="48" t="s">
        <v>322</v>
      </c>
      <c r="C47" s="48" t="s">
        <v>323</v>
      </c>
      <c r="D47" s="36" t="s">
        <v>324</v>
      </c>
      <c r="E47" s="36" t="s">
        <v>325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211</v>
      </c>
      <c r="C48" s="198" t="s">
        <v>211</v>
      </c>
      <c r="D48" s="197" t="s">
        <v>211</v>
      </c>
      <c r="E48" s="193">
        <v>628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211</v>
      </c>
      <c r="C49" s="198" t="s">
        <v>211</v>
      </c>
      <c r="D49" s="197" t="s">
        <v>211</v>
      </c>
      <c r="E49" s="193">
        <v>1147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211</v>
      </c>
      <c r="C50" s="198" t="s">
        <v>211</v>
      </c>
      <c r="D50" s="197" t="s">
        <v>211</v>
      </c>
      <c r="E50" s="193">
        <v>1147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211</v>
      </c>
      <c r="C51" s="198" t="s">
        <v>211</v>
      </c>
      <c r="D51" s="197" t="s">
        <v>211</v>
      </c>
      <c r="E51" s="193">
        <v>1147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211</v>
      </c>
      <c r="C52" s="198" t="s">
        <v>211</v>
      </c>
      <c r="D52" s="197" t="s">
        <v>211</v>
      </c>
      <c r="E52" s="193">
        <v>1147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211</v>
      </c>
      <c r="C53" s="198" t="s">
        <v>211</v>
      </c>
      <c r="D53" s="197" t="s">
        <v>211</v>
      </c>
      <c r="E53" s="193">
        <v>1147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42</v>
      </c>
      <c r="B55" s="181">
        <f>'Données projet'!D63</f>
        <v>69.141025639999995</v>
      </c>
      <c r="C55" s="191">
        <v>10</v>
      </c>
      <c r="D55" s="179">
        <f t="shared" ref="D55:D73" si="4">B55*C55</f>
        <v>691.41025639999998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48</v>
      </c>
      <c r="B56" s="181">
        <f>'Données projet'!D64</f>
        <v>44.737179490000003</v>
      </c>
      <c r="C56" s="191">
        <v>10</v>
      </c>
      <c r="D56" s="179">
        <f t="shared" si="4"/>
        <v>447.37179490000005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54</v>
      </c>
      <c r="B57" s="181">
        <f>'Données projet'!D65</f>
        <v>47.025641030000003</v>
      </c>
      <c r="C57" s="191">
        <v>15</v>
      </c>
      <c r="D57" s="179">
        <f t="shared" si="4"/>
        <v>705.38461545000007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63</v>
      </c>
      <c r="B58" s="181">
        <f>'Données projet'!D66</f>
        <v>64.628205129999998</v>
      </c>
      <c r="C58" s="191">
        <v>15</v>
      </c>
      <c r="D58" s="179">
        <f t="shared" si="4"/>
        <v>969.42307695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72</v>
      </c>
      <c r="B59" s="181">
        <f>'Données projet'!D67</f>
        <v>62.551282049999998</v>
      </c>
      <c r="C59" s="191">
        <v>50</v>
      </c>
      <c r="D59" s="179">
        <f t="shared" si="4"/>
        <v>3127.5641025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81</v>
      </c>
      <c r="B60" s="181">
        <f>'Données projet'!D68</f>
        <v>57.38461538</v>
      </c>
      <c r="C60" s="191">
        <v>50</v>
      </c>
      <c r="D60" s="179">
        <f t="shared" si="4"/>
        <v>2869.2307689999998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52.782051279999997</v>
      </c>
      <c r="C61" s="191">
        <v>50</v>
      </c>
      <c r="D61" s="179">
        <f t="shared" si="4"/>
        <v>2639.1025639999998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99</v>
      </c>
      <c r="B62" s="181">
        <f>'Données projet'!D70</f>
        <v>53.75</v>
      </c>
      <c r="C62" s="191">
        <v>50</v>
      </c>
      <c r="D62" s="179">
        <f t="shared" si="4"/>
        <v>2687.5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111</v>
      </c>
      <c r="B63" s="181">
        <f>'Données projet'!D71</f>
        <v>108.1474359</v>
      </c>
      <c r="C63" s="191">
        <v>50</v>
      </c>
      <c r="D63" s="179">
        <f t="shared" si="4"/>
        <v>5407.371795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116</v>
      </c>
      <c r="B64" s="181">
        <f>'Données projet'!D72</f>
        <v>72.698717950000002</v>
      </c>
      <c r="C64" s="191">
        <v>50</v>
      </c>
      <c r="D64" s="179">
        <f t="shared" si="4"/>
        <v>3634.9358975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121</v>
      </c>
      <c r="B65" s="181">
        <f>'Données projet'!D73</f>
        <v>66.179487179999995</v>
      </c>
      <c r="C65" s="191">
        <v>50</v>
      </c>
      <c r="D65" s="179">
        <f t="shared" si="4"/>
        <v>3308.9743589999998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125</v>
      </c>
      <c r="B66" s="181">
        <f>'Données projet'!D74</f>
        <v>100.6217949</v>
      </c>
      <c r="C66" s="191">
        <v>50</v>
      </c>
      <c r="D66" s="179">
        <f t="shared" si="4"/>
        <v>5031.0897450000002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20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53</v>
      </c>
      <c r="B78" s="48" t="s">
        <v>322</v>
      </c>
      <c r="C78" s="48" t="s">
        <v>323</v>
      </c>
      <c r="D78" s="36" t="s">
        <v>324</v>
      </c>
      <c r="E78" s="36" t="s">
        <v>325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211</v>
      </c>
      <c r="C79" s="198" t="s">
        <v>211</v>
      </c>
      <c r="D79" s="197" t="s">
        <v>211</v>
      </c>
      <c r="E79" s="193">
        <v>1485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211</v>
      </c>
      <c r="C80" s="198" t="s">
        <v>211</v>
      </c>
      <c r="D80" s="197" t="s">
        <v>211</v>
      </c>
      <c r="E80" s="193">
        <v>1147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211</v>
      </c>
      <c r="C81" s="198" t="s">
        <v>211</v>
      </c>
      <c r="D81" s="197" t="s">
        <v>211</v>
      </c>
      <c r="E81" s="193">
        <v>1147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211</v>
      </c>
      <c r="C82" s="198" t="s">
        <v>211</v>
      </c>
      <c r="D82" s="197" t="s">
        <v>211</v>
      </c>
      <c r="E82" s="193">
        <v>1147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211</v>
      </c>
      <c r="C83" s="198" t="s">
        <v>211</v>
      </c>
      <c r="D83" s="197" t="s">
        <v>211</v>
      </c>
      <c r="E83" s="193">
        <v>1147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211</v>
      </c>
      <c r="C84" s="198" t="s">
        <v>211</v>
      </c>
      <c r="D84" s="197" t="s">
        <v>211</v>
      </c>
      <c r="E84" s="193">
        <v>1147</v>
      </c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18</v>
      </c>
      <c r="B85" s="181">
        <f>'Données projet'!D88</f>
        <v>69.284615380000005</v>
      </c>
      <c r="C85" s="191">
        <v>10</v>
      </c>
      <c r="D85" s="179">
        <f>B85*C85</f>
        <v>692.84615380000002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24</v>
      </c>
      <c r="B86" s="181">
        <f>'Données projet'!D89</f>
        <v>42.661538460000003</v>
      </c>
      <c r="C86" s="191">
        <v>10</v>
      </c>
      <c r="D86" s="179">
        <f t="shared" ref="D86:D104" si="6">B86*C86</f>
        <v>426.61538460000003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65.669230769999999</v>
      </c>
      <c r="C87" s="191">
        <v>18</v>
      </c>
      <c r="D87" s="179">
        <f t="shared" si="6"/>
        <v>1182.04615386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36</v>
      </c>
      <c r="B88" s="181">
        <f>'Données projet'!D91</f>
        <v>69.3</v>
      </c>
      <c r="C88" s="191">
        <v>25</v>
      </c>
      <c r="D88" s="179">
        <f t="shared" si="6"/>
        <v>1732.5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42</v>
      </c>
      <c r="B89" s="181">
        <f>'Données projet'!D92</f>
        <v>73.392307689999996</v>
      </c>
      <c r="C89" s="191">
        <v>25</v>
      </c>
      <c r="D89" s="179">
        <f t="shared" si="6"/>
        <v>1834.8076922499999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48</v>
      </c>
      <c r="B90" s="181">
        <f>'Données projet'!D93</f>
        <v>81.330769230000001</v>
      </c>
      <c r="C90" s="191">
        <v>35</v>
      </c>
      <c r="D90" s="179">
        <f t="shared" si="6"/>
        <v>2846.57692305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54</v>
      </c>
      <c r="B91" s="181">
        <f>'Données projet'!D94</f>
        <v>566.79999999999995</v>
      </c>
      <c r="C91" s="191">
        <v>40</v>
      </c>
      <c r="D91" s="179">
        <f t="shared" si="6"/>
        <v>22672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22</v>
      </c>
      <c r="B107" s="174" t="str">
        <f>IF('Données projet'!B12="","",'Données projet'!B12)</f>
        <v>Sapin pectiné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53</v>
      </c>
      <c r="B109" s="48" t="s">
        <v>322</v>
      </c>
      <c r="C109" s="48" t="s">
        <v>323</v>
      </c>
      <c r="D109" s="36" t="s">
        <v>324</v>
      </c>
      <c r="E109" s="36" t="s">
        <v>325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211</v>
      </c>
      <c r="C110" s="198" t="s">
        <v>211</v>
      </c>
      <c r="D110" s="197" t="s">
        <v>211</v>
      </c>
      <c r="E110" s="193">
        <v>627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211</v>
      </c>
      <c r="C111" s="198" t="s">
        <v>211</v>
      </c>
      <c r="D111" s="197" t="s">
        <v>211</v>
      </c>
      <c r="E111" s="193">
        <v>1147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211</v>
      </c>
      <c r="C112" s="198" t="s">
        <v>211</v>
      </c>
      <c r="D112" s="197" t="s">
        <v>211</v>
      </c>
      <c r="E112" s="193">
        <v>1147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211</v>
      </c>
      <c r="C113" s="198" t="s">
        <v>211</v>
      </c>
      <c r="D113" s="197" t="s">
        <v>211</v>
      </c>
      <c r="E113" s="193">
        <v>1147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211</v>
      </c>
      <c r="C114" s="198" t="s">
        <v>211</v>
      </c>
      <c r="D114" s="197" t="s">
        <v>211</v>
      </c>
      <c r="E114" s="193">
        <v>1147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211</v>
      </c>
      <c r="C115" s="198" t="s">
        <v>211</v>
      </c>
      <c r="D115" s="197" t="s">
        <v>211</v>
      </c>
      <c r="E115" s="193">
        <v>1147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45</v>
      </c>
      <c r="B117" s="181">
        <f>'Données projet'!D115</f>
        <v>146.2769231</v>
      </c>
      <c r="C117" s="191">
        <v>10</v>
      </c>
      <c r="D117" s="179">
        <f t="shared" ref="D117:D135" si="8">B117*C117</f>
        <v>1462.769231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52</v>
      </c>
      <c r="B118" s="181">
        <f>'Données projet'!D116</f>
        <v>75.523076919999994</v>
      </c>
      <c r="C118" s="191">
        <v>18</v>
      </c>
      <c r="D118" s="179">
        <f t="shared" si="8"/>
        <v>1359.4153845599999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59</v>
      </c>
      <c r="B119" s="181">
        <f>'Données projet'!D117</f>
        <v>93.915384619999998</v>
      </c>
      <c r="C119" s="191">
        <v>25</v>
      </c>
      <c r="D119" s="179">
        <f t="shared" si="8"/>
        <v>2347.8846155000001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67</v>
      </c>
      <c r="B120" s="181">
        <f>'Données projet'!D118</f>
        <v>92.107692310000004</v>
      </c>
      <c r="C120" s="191">
        <v>25</v>
      </c>
      <c r="D120" s="179">
        <f t="shared" si="8"/>
        <v>2302.6923077500001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75</v>
      </c>
      <c r="B121" s="181">
        <f>'Données projet'!D119</f>
        <v>86.946153850000002</v>
      </c>
      <c r="C121" s="191">
        <v>35</v>
      </c>
      <c r="D121" s="179">
        <f t="shared" si="8"/>
        <v>3043.11538475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83</v>
      </c>
      <c r="B122" s="181">
        <f>'Données projet'!D120</f>
        <v>91.153846150000007</v>
      </c>
      <c r="C122" s="191">
        <v>35</v>
      </c>
      <c r="D122" s="179">
        <f t="shared" si="8"/>
        <v>3190.38461525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91</v>
      </c>
      <c r="B123" s="181">
        <f>'Données projet'!D121</f>
        <v>87.88461538</v>
      </c>
      <c r="C123" s="191">
        <v>35</v>
      </c>
      <c r="D123" s="179">
        <f t="shared" si="8"/>
        <v>3075.9615383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99</v>
      </c>
      <c r="B124" s="181">
        <f>'Données projet'!D122</f>
        <v>494.49230770000003</v>
      </c>
      <c r="C124" s="191">
        <v>40</v>
      </c>
      <c r="D124" s="179">
        <f t="shared" si="8"/>
        <v>19779.692308000002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24</v>
      </c>
      <c r="B138" s="174" t="str">
        <f>IF('Données projet'!B13="","",'Données projet'!B13)</f>
        <v>Pin laricio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53</v>
      </c>
      <c r="B140" s="48" t="s">
        <v>322</v>
      </c>
      <c r="C140" s="48" t="s">
        <v>323</v>
      </c>
      <c r="D140" s="36" t="s">
        <v>324</v>
      </c>
      <c r="E140" s="36" t="s">
        <v>325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211</v>
      </c>
      <c r="C141" s="198" t="s">
        <v>211</v>
      </c>
      <c r="D141" s="197" t="s">
        <v>211</v>
      </c>
      <c r="E141" s="193">
        <v>2617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211</v>
      </c>
      <c r="C142" s="198" t="s">
        <v>211</v>
      </c>
      <c r="D142" s="197" t="s">
        <v>211</v>
      </c>
      <c r="E142" s="193">
        <v>1147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211</v>
      </c>
      <c r="C143" s="198" t="s">
        <v>211</v>
      </c>
      <c r="D143" s="197" t="s">
        <v>211</v>
      </c>
      <c r="E143" s="193">
        <v>1147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211</v>
      </c>
      <c r="C144" s="198" t="s">
        <v>211</v>
      </c>
      <c r="D144" s="197" t="s">
        <v>211</v>
      </c>
      <c r="E144" s="193">
        <v>1147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211</v>
      </c>
      <c r="C145" s="198" t="s">
        <v>211</v>
      </c>
      <c r="D145" s="197" t="s">
        <v>211</v>
      </c>
      <c r="E145" s="193">
        <v>1147</v>
      </c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211</v>
      </c>
      <c r="C146" s="198" t="s">
        <v>211</v>
      </c>
      <c r="D146" s="197" t="s">
        <v>211</v>
      </c>
      <c r="E146" s="193">
        <v>1147</v>
      </c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22</v>
      </c>
      <c r="B147" s="175">
        <f>'Données projet'!D140</f>
        <v>52.746153849999999</v>
      </c>
      <c r="C147" s="191">
        <v>10</v>
      </c>
      <c r="D147" s="182">
        <f>B147*C147</f>
        <v>527.46153849999996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27</v>
      </c>
      <c r="B148" s="175">
        <f>'Données projet'!D141</f>
        <v>34.646153849999997</v>
      </c>
      <c r="C148" s="191">
        <v>10</v>
      </c>
      <c r="D148" s="182">
        <f t="shared" ref="D148:D166" si="10">B148*C148</f>
        <v>346.46153849999996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0</v>
      </c>
      <c r="C149" s="191">
        <v>10</v>
      </c>
      <c r="D149" s="182">
        <f t="shared" si="10"/>
        <v>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33</v>
      </c>
      <c r="B150" s="175">
        <f>'Données projet'!D143</f>
        <v>43.007692310000003</v>
      </c>
      <c r="C150" s="191">
        <v>15</v>
      </c>
      <c r="D150" s="182">
        <f t="shared" si="10"/>
        <v>645.11538465000001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41</v>
      </c>
      <c r="B151" s="175">
        <f>'Données projet'!D144</f>
        <v>58.484615380000001</v>
      </c>
      <c r="C151" s="191">
        <v>25</v>
      </c>
      <c r="D151" s="182">
        <f t="shared" si="10"/>
        <v>1462.1153845000001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50</v>
      </c>
      <c r="B152" s="175">
        <f>'Données projet'!D145</f>
        <v>55.292307690000001</v>
      </c>
      <c r="C152" s="191">
        <v>25</v>
      </c>
      <c r="D152" s="182">
        <f t="shared" si="10"/>
        <v>1382.3076922499999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60</v>
      </c>
      <c r="B153" s="175">
        <f>'Données projet'!D146</f>
        <v>54.261538459999997</v>
      </c>
      <c r="C153" s="191">
        <v>25</v>
      </c>
      <c r="D153" s="182">
        <f t="shared" si="10"/>
        <v>1356.5384614999998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70</v>
      </c>
      <c r="B154" s="175">
        <f>'Données projet'!D147</f>
        <v>52.669230769999999</v>
      </c>
      <c r="C154" s="191">
        <v>25</v>
      </c>
      <c r="D154" s="182">
        <f t="shared" si="10"/>
        <v>1316.7307692499999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80</v>
      </c>
      <c r="B155" s="175">
        <f>'Données projet'!D148</f>
        <v>402.90769230000001</v>
      </c>
      <c r="C155" s="191">
        <v>30</v>
      </c>
      <c r="D155" s="182">
        <f t="shared" si="10"/>
        <v>12087.230769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26</v>
      </c>
      <c r="B169" s="174" t="str">
        <f>IF('Données projet'!B14="","",'Données projet'!B14)</f>
        <v>Pin noir d'Autriche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53</v>
      </c>
      <c r="B171" s="48" t="s">
        <v>322</v>
      </c>
      <c r="C171" s="48" t="s">
        <v>323</v>
      </c>
      <c r="D171" s="36" t="s">
        <v>324</v>
      </c>
      <c r="E171" s="36" t="s">
        <v>325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211</v>
      </c>
      <c r="C172" s="198" t="s">
        <v>211</v>
      </c>
      <c r="D172" s="197" t="s">
        <v>211</v>
      </c>
      <c r="E172" s="193">
        <v>1696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211</v>
      </c>
      <c r="C173" s="198" t="s">
        <v>211</v>
      </c>
      <c r="D173" s="197" t="s">
        <v>211</v>
      </c>
      <c r="E173" s="193">
        <v>1147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211</v>
      </c>
      <c r="C174" s="198" t="s">
        <v>211</v>
      </c>
      <c r="D174" s="197" t="s">
        <v>211</v>
      </c>
      <c r="E174" s="193">
        <v>1147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211</v>
      </c>
      <c r="C175" s="198" t="s">
        <v>211</v>
      </c>
      <c r="D175" s="197" t="s">
        <v>211</v>
      </c>
      <c r="E175" s="193">
        <v>1147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211</v>
      </c>
      <c r="C176" s="198" t="s">
        <v>211</v>
      </c>
      <c r="D176" s="197" t="s">
        <v>211</v>
      </c>
      <c r="E176" s="193">
        <v>1147</v>
      </c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211</v>
      </c>
      <c r="C177" s="198" t="s">
        <v>211</v>
      </c>
      <c r="D177" s="197" t="s">
        <v>211</v>
      </c>
      <c r="E177" s="193">
        <v>1147</v>
      </c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45</v>
      </c>
      <c r="B179" s="181">
        <f>'Données projet'!D167</f>
        <v>69.169230769999999</v>
      </c>
      <c r="C179" s="193">
        <v>10</v>
      </c>
      <c r="D179" s="179">
        <f t="shared" ref="D179:D197" si="11">B179*C179</f>
        <v>691.69230770000001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60</v>
      </c>
      <c r="B180" s="181">
        <f>'Données projet'!D168</f>
        <v>63.34615385</v>
      </c>
      <c r="C180" s="193">
        <v>18</v>
      </c>
      <c r="D180" s="179">
        <f t="shared" si="11"/>
        <v>1140.2307693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75</v>
      </c>
      <c r="B181" s="181">
        <f>'Données projet'!D169</f>
        <v>65.015384620000006</v>
      </c>
      <c r="C181" s="193">
        <v>25</v>
      </c>
      <c r="D181" s="179">
        <f t="shared" si="11"/>
        <v>1625.3846155000001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90</v>
      </c>
      <c r="B182" s="181">
        <f>'Données projet'!D170</f>
        <v>56.623076920000003</v>
      </c>
      <c r="C182" s="193">
        <v>25</v>
      </c>
      <c r="D182" s="179">
        <f t="shared" si="11"/>
        <v>1415.5769230000001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100</v>
      </c>
      <c r="B183" s="181">
        <f>'Données projet'!D171</f>
        <v>79.523076919999994</v>
      </c>
      <c r="C183" s="193">
        <v>35</v>
      </c>
      <c r="D183" s="179">
        <f t="shared" si="11"/>
        <v>2783.3076922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110</v>
      </c>
      <c r="B184" s="181">
        <f>'Données projet'!D172</f>
        <v>213.46923079999999</v>
      </c>
      <c r="C184" s="193">
        <v>35</v>
      </c>
      <c r="D184" s="179">
        <f t="shared" si="11"/>
        <v>7471.4230779999998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28</v>
      </c>
      <c r="B200" s="174" t="str">
        <f>IF('Données projet'!$B$15="","",'Données projet'!$B$15)</f>
        <v>Châtaignier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53</v>
      </c>
      <c r="B202" s="48" t="s">
        <v>322</v>
      </c>
      <c r="C202" s="48" t="s">
        <v>323</v>
      </c>
      <c r="D202" s="36" t="s">
        <v>324</v>
      </c>
      <c r="E202" s="36" t="s">
        <v>325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211</v>
      </c>
      <c r="C203" s="198" t="s">
        <v>211</v>
      </c>
      <c r="D203" s="197" t="s">
        <v>211</v>
      </c>
      <c r="E203" s="193">
        <v>1174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211</v>
      </c>
      <c r="C204" s="198" t="s">
        <v>211</v>
      </c>
      <c r="D204" s="197" t="s">
        <v>211</v>
      </c>
      <c r="E204" s="193">
        <v>1147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211</v>
      </c>
      <c r="C205" s="198" t="s">
        <v>211</v>
      </c>
      <c r="D205" s="197" t="s">
        <v>211</v>
      </c>
      <c r="E205" s="193">
        <v>1147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211</v>
      </c>
      <c r="C206" s="198" t="s">
        <v>211</v>
      </c>
      <c r="D206" s="197" t="s">
        <v>211</v>
      </c>
      <c r="E206" s="193">
        <v>1147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211</v>
      </c>
      <c r="C207" s="198" t="s">
        <v>211</v>
      </c>
      <c r="D207" s="197" t="s">
        <v>211</v>
      </c>
      <c r="E207" s="193">
        <v>1147</v>
      </c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211</v>
      </c>
      <c r="C208" s="198" t="s">
        <v>211</v>
      </c>
      <c r="D208" s="197" t="s">
        <v>211</v>
      </c>
      <c r="E208" s="193">
        <v>1147</v>
      </c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15</v>
      </c>
      <c r="B210" s="181">
        <f>'Données projet'!D193</f>
        <v>32</v>
      </c>
      <c r="C210" s="193">
        <v>10</v>
      </c>
      <c r="D210" s="179">
        <f t="shared" ref="D210:D228" si="12">B210*C210</f>
        <v>320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20</v>
      </c>
      <c r="B211" s="181">
        <f>'Données projet'!D194</f>
        <v>35</v>
      </c>
      <c r="C211" s="193">
        <v>10</v>
      </c>
      <c r="D211" s="179">
        <f t="shared" si="12"/>
        <v>350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25</v>
      </c>
      <c r="B212" s="181">
        <f>'Données projet'!D195</f>
        <v>35</v>
      </c>
      <c r="C212" s="193">
        <v>15</v>
      </c>
      <c r="D212" s="179">
        <f t="shared" si="12"/>
        <v>525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30</v>
      </c>
      <c r="B213" s="181">
        <f>'Données projet'!D196</f>
        <v>35</v>
      </c>
      <c r="C213" s="193">
        <v>15</v>
      </c>
      <c r="D213" s="179">
        <f t="shared" si="12"/>
        <v>525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35</v>
      </c>
      <c r="B214" s="181">
        <f>'Données projet'!D197</f>
        <v>35</v>
      </c>
      <c r="C214" s="193">
        <v>50</v>
      </c>
      <c r="D214" s="179">
        <f t="shared" si="12"/>
        <v>1750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40</v>
      </c>
      <c r="B215" s="181">
        <f>'Données projet'!D198</f>
        <v>35</v>
      </c>
      <c r="C215" s="193">
        <v>50</v>
      </c>
      <c r="D215" s="179">
        <f t="shared" si="12"/>
        <v>1750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45</v>
      </c>
      <c r="B216" s="181">
        <f>'Données projet'!D199</f>
        <v>24</v>
      </c>
      <c r="C216" s="193">
        <v>50</v>
      </c>
      <c r="D216" s="179">
        <f t="shared" si="12"/>
        <v>1200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50</v>
      </c>
      <c r="B217" s="181">
        <f>'Données projet'!D200</f>
        <v>19</v>
      </c>
      <c r="C217" s="193">
        <v>50</v>
      </c>
      <c r="D217" s="179">
        <f t="shared" si="12"/>
        <v>950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55</v>
      </c>
      <c r="B218" s="181">
        <f>'Données projet'!D201</f>
        <v>16</v>
      </c>
      <c r="C218" s="193">
        <v>50</v>
      </c>
      <c r="D218" s="179">
        <f t="shared" si="12"/>
        <v>800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60</v>
      </c>
      <c r="B219" s="181">
        <f>'Données projet'!D202</f>
        <v>14</v>
      </c>
      <c r="C219" s="193">
        <v>50</v>
      </c>
      <c r="D219" s="179">
        <f t="shared" si="12"/>
        <v>700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65</v>
      </c>
      <c r="B220" s="181">
        <f>'Données projet'!D203</f>
        <v>13</v>
      </c>
      <c r="C220" s="193">
        <v>50</v>
      </c>
      <c r="D220" s="179">
        <f t="shared" si="12"/>
        <v>650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70</v>
      </c>
      <c r="B221" s="181">
        <f>'Données projet'!D204</f>
        <v>13</v>
      </c>
      <c r="C221" s="193">
        <v>50</v>
      </c>
      <c r="D221" s="179">
        <f t="shared" si="12"/>
        <v>650</v>
      </c>
      <c r="E221" s="193">
        <v>150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75</v>
      </c>
      <c r="B222" s="181">
        <f>'Données projet'!D205</f>
        <v>12</v>
      </c>
      <c r="C222" s="193">
        <v>50</v>
      </c>
      <c r="D222" s="179">
        <f t="shared" si="12"/>
        <v>600</v>
      </c>
      <c r="E222" s="193">
        <v>150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80</v>
      </c>
      <c r="B223" s="181">
        <f>'Données projet'!D206</f>
        <v>11</v>
      </c>
      <c r="C223" s="193">
        <v>50</v>
      </c>
      <c r="D223" s="179">
        <f t="shared" si="12"/>
        <v>550</v>
      </c>
      <c r="E223" s="193">
        <v>150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30</v>
      </c>
      <c r="B231" s="174" t="str">
        <f>IF('Données projet'!$B$16="","",'Données projet'!$B$16)</f>
        <v>Chêne sessile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53</v>
      </c>
      <c r="B233" s="48" t="s">
        <v>322</v>
      </c>
      <c r="C233" s="48" t="s">
        <v>323</v>
      </c>
      <c r="D233" s="36" t="s">
        <v>324</v>
      </c>
      <c r="E233" s="36" t="s">
        <v>325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211</v>
      </c>
      <c r="C234" s="198" t="s">
        <v>211</v>
      </c>
      <c r="D234" s="197" t="s">
        <v>211</v>
      </c>
      <c r="E234" s="193">
        <v>531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211</v>
      </c>
      <c r="C235" s="198" t="s">
        <v>211</v>
      </c>
      <c r="D235" s="197" t="s">
        <v>211</v>
      </c>
      <c r="E235" s="193">
        <v>1147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211</v>
      </c>
      <c r="C236" s="198" t="s">
        <v>211</v>
      </c>
      <c r="D236" s="197" t="s">
        <v>211</v>
      </c>
      <c r="E236" s="193">
        <v>1147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211</v>
      </c>
      <c r="C237" s="198" t="s">
        <v>211</v>
      </c>
      <c r="D237" s="197" t="s">
        <v>211</v>
      </c>
      <c r="E237" s="193">
        <v>1147</v>
      </c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211</v>
      </c>
      <c r="C238" s="198" t="s">
        <v>211</v>
      </c>
      <c r="D238" s="197" t="s">
        <v>211</v>
      </c>
      <c r="E238" s="193">
        <v>1147</v>
      </c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211</v>
      </c>
      <c r="C239" s="198" t="s">
        <v>211</v>
      </c>
      <c r="D239" s="197" t="s">
        <v>211</v>
      </c>
      <c r="E239" s="193">
        <v>1147</v>
      </c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30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42</v>
      </c>
      <c r="B241" s="181">
        <f>'Données projet'!D219</f>
        <v>38.685897435897438</v>
      </c>
      <c r="C241" s="193">
        <v>10</v>
      </c>
      <c r="D241" s="179">
        <f t="shared" ref="D241:D259" si="13">B241*C241</f>
        <v>386.85897435897436</v>
      </c>
      <c r="E241" s="193">
        <v>150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50</v>
      </c>
      <c r="B242" s="181">
        <f>'Données projet'!D220</f>
        <v>29.416666666666664</v>
      </c>
      <c r="C242" s="193">
        <v>10</v>
      </c>
      <c r="D242" s="179">
        <f t="shared" si="13"/>
        <v>294.16666666666663</v>
      </c>
      <c r="E242" s="193">
        <v>150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58</v>
      </c>
      <c r="B243" s="181">
        <f>'Données projet'!D221</f>
        <v>35.88461538461538</v>
      </c>
      <c r="C243" s="193">
        <v>50</v>
      </c>
      <c r="D243" s="179">
        <f t="shared" si="13"/>
        <v>1794.2307692307691</v>
      </c>
      <c r="E243" s="193">
        <v>150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66</v>
      </c>
      <c r="B244" s="181">
        <f>'Données projet'!D222</f>
        <v>39.166666666666664</v>
      </c>
      <c r="C244" s="193">
        <v>50</v>
      </c>
      <c r="D244" s="179">
        <f t="shared" si="13"/>
        <v>1958.3333333333333</v>
      </c>
      <c r="E244" s="193">
        <v>150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74</v>
      </c>
      <c r="B245" s="181">
        <f>'Données projet'!D223</f>
        <v>36.865384615384613</v>
      </c>
      <c r="C245" s="193">
        <v>50</v>
      </c>
      <c r="D245" s="179">
        <f t="shared" si="13"/>
        <v>1843.2692307692307</v>
      </c>
      <c r="E245" s="193">
        <v>150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84</v>
      </c>
      <c r="B246" s="181">
        <f>'Données projet'!D224</f>
        <v>47.256410256410255</v>
      </c>
      <c r="C246" s="193">
        <v>100</v>
      </c>
      <c r="D246" s="179">
        <f t="shared" si="13"/>
        <v>4725.6410256410254</v>
      </c>
      <c r="E246" s="193">
        <v>150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94</v>
      </c>
      <c r="B247" s="181">
        <f>'Données projet'!D225</f>
        <v>47.243589743589745</v>
      </c>
      <c r="C247" s="193">
        <v>100</v>
      </c>
      <c r="D247" s="179">
        <f t="shared" si="13"/>
        <v>4724.3589743589746</v>
      </c>
      <c r="E247" s="193">
        <v>150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104</v>
      </c>
      <c r="B248" s="181">
        <f>'Données projet'!D226</f>
        <v>45.987179487179482</v>
      </c>
      <c r="C248" s="193">
        <v>150</v>
      </c>
      <c r="D248" s="179">
        <f t="shared" si="13"/>
        <v>6898.076923076922</v>
      </c>
      <c r="E248" s="193">
        <v>150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114</v>
      </c>
      <c r="B249" s="181">
        <f>'Données projet'!D227</f>
        <v>42.78846153846154</v>
      </c>
      <c r="C249" s="193">
        <v>150</v>
      </c>
      <c r="D249" s="179">
        <f t="shared" si="13"/>
        <v>6418.2692307692314</v>
      </c>
      <c r="E249" s="193">
        <v>150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124</v>
      </c>
      <c r="B250" s="181">
        <f>'Données projet'!D228</f>
        <v>39.820512820512818</v>
      </c>
      <c r="C250" s="193">
        <v>150</v>
      </c>
      <c r="D250" s="179">
        <f t="shared" si="13"/>
        <v>5973.0769230769229</v>
      </c>
      <c r="E250" s="193">
        <v>150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134</v>
      </c>
      <c r="B251" s="181">
        <f>'Données projet'!D229</f>
        <v>41.666666666666664</v>
      </c>
      <c r="C251" s="193">
        <v>200</v>
      </c>
      <c r="D251" s="179">
        <f t="shared" si="13"/>
        <v>8333.3333333333321</v>
      </c>
      <c r="E251" s="193">
        <v>150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144</v>
      </c>
      <c r="B252" s="181">
        <f>'Données projet'!D230</f>
        <v>42.224358974358978</v>
      </c>
      <c r="C252" s="193">
        <v>200</v>
      </c>
      <c r="D252" s="179">
        <f t="shared" si="13"/>
        <v>8444.8717948717949</v>
      </c>
      <c r="E252" s="193">
        <v>150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154</v>
      </c>
      <c r="B253" s="181">
        <f>'Données projet'!D231</f>
        <v>41.557692307692307</v>
      </c>
      <c r="C253" s="193">
        <v>200</v>
      </c>
      <c r="D253" s="179">
        <f t="shared" si="13"/>
        <v>8311.538461538461</v>
      </c>
      <c r="E253" s="193">
        <v>150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164</v>
      </c>
      <c r="B254" s="181">
        <f>'Données projet'!D232</f>
        <v>44.814102564102562</v>
      </c>
      <c r="C254" s="193">
        <v>200</v>
      </c>
      <c r="D254" s="179">
        <f t="shared" si="13"/>
        <v>8962.8205128205118</v>
      </c>
      <c r="E254" s="193">
        <v>150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174</v>
      </c>
      <c r="B255" s="181">
        <f>'Données projet'!D233</f>
        <v>162.38461538461539</v>
      </c>
      <c r="C255" s="193">
        <v>200</v>
      </c>
      <c r="D255" s="179">
        <f t="shared" si="13"/>
        <v>32476.923076923078</v>
      </c>
      <c r="E255" s="193">
        <v>150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177</v>
      </c>
      <c r="B256" s="181">
        <f>'Données projet'!D234</f>
        <v>87</v>
      </c>
      <c r="C256" s="193">
        <v>200</v>
      </c>
      <c r="D256" s="179">
        <f t="shared" si="13"/>
        <v>17400</v>
      </c>
      <c r="E256" s="193">
        <v>150</v>
      </c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180</v>
      </c>
      <c r="B257" s="181">
        <f>'Données projet'!D235</f>
        <v>58.794871794871796</v>
      </c>
      <c r="C257" s="193">
        <v>200</v>
      </c>
      <c r="D257" s="179">
        <f t="shared" si="13"/>
        <v>11758.974358974359</v>
      </c>
      <c r="E257" s="193">
        <v>150</v>
      </c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183</v>
      </c>
      <c r="B258" s="181">
        <f>'Données projet'!D236</f>
        <v>129.32692307692307</v>
      </c>
      <c r="C258" s="193">
        <v>200</v>
      </c>
      <c r="D258" s="179">
        <f t="shared" si="13"/>
        <v>25865.384615384613</v>
      </c>
      <c r="E258" s="193">
        <v>150</v>
      </c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v>200</v>
      </c>
      <c r="D259" s="179">
        <f t="shared" si="13"/>
        <v>0</v>
      </c>
      <c r="E259" s="193">
        <v>150</v>
      </c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32</v>
      </c>
      <c r="B262" s="174" t="str">
        <f>IF('Données projet'!$B$17="","",'Données projet'!$B$17)</f>
        <v>Chêne rouge d'Amérique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53</v>
      </c>
      <c r="B264" s="48" t="s">
        <v>322</v>
      </c>
      <c r="C264" s="48" t="s">
        <v>323</v>
      </c>
      <c r="D264" s="36" t="s">
        <v>324</v>
      </c>
      <c r="E264" s="36" t="s">
        <v>325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211</v>
      </c>
      <c r="C265" s="198" t="s">
        <v>211</v>
      </c>
      <c r="D265" s="197" t="s">
        <v>211</v>
      </c>
      <c r="E265" s="193">
        <v>531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211</v>
      </c>
      <c r="C266" s="198" t="s">
        <v>211</v>
      </c>
      <c r="D266" s="197" t="s">
        <v>211</v>
      </c>
      <c r="E266" s="193">
        <v>1147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211</v>
      </c>
      <c r="C267" s="198" t="s">
        <v>211</v>
      </c>
      <c r="D267" s="197" t="s">
        <v>211</v>
      </c>
      <c r="E267" s="193">
        <v>1147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211</v>
      </c>
      <c r="C268" s="198" t="s">
        <v>211</v>
      </c>
      <c r="D268" s="197" t="s">
        <v>211</v>
      </c>
      <c r="E268" s="193">
        <v>1147</v>
      </c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211</v>
      </c>
      <c r="C269" s="198" t="s">
        <v>211</v>
      </c>
      <c r="D269" s="197" t="s">
        <v>211</v>
      </c>
      <c r="E269" s="193">
        <v>1147</v>
      </c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211</v>
      </c>
      <c r="C270" s="198" t="s">
        <v>211</v>
      </c>
      <c r="D270" s="197" t="s">
        <v>211</v>
      </c>
      <c r="E270" s="193">
        <v>1147</v>
      </c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10</v>
      </c>
      <c r="B271" s="181">
        <f>'Données projet'!D244</f>
        <v>0</v>
      </c>
      <c r="C271" s="258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15</v>
      </c>
      <c r="B272" s="181" t="str">
        <f>'Données projet'!D245</f>
        <v>30</v>
      </c>
      <c r="C272" s="258">
        <v>10</v>
      </c>
      <c r="D272" s="179">
        <f t="shared" ref="D272:D290" si="14">B272*C272</f>
        <v>300</v>
      </c>
      <c r="E272" s="193">
        <v>150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20</v>
      </c>
      <c r="B273" s="181" t="str">
        <f>'Données projet'!D246</f>
        <v>29</v>
      </c>
      <c r="C273" s="258">
        <v>10</v>
      </c>
      <c r="D273" s="179">
        <f t="shared" si="14"/>
        <v>290</v>
      </c>
      <c r="E273" s="193">
        <v>150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25</v>
      </c>
      <c r="B274" s="181" t="str">
        <f>'Données projet'!D247</f>
        <v>31</v>
      </c>
      <c r="C274" s="258">
        <v>50</v>
      </c>
      <c r="D274" s="179">
        <f t="shared" si="14"/>
        <v>1550</v>
      </c>
      <c r="E274" s="193">
        <v>150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30</v>
      </c>
      <c r="B275" s="181" t="str">
        <f>'Données projet'!D248</f>
        <v>32</v>
      </c>
      <c r="C275" s="258">
        <v>50</v>
      </c>
      <c r="D275" s="179">
        <f t="shared" si="14"/>
        <v>1600</v>
      </c>
      <c r="E275" s="193">
        <v>150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35</v>
      </c>
      <c r="B276" s="181" t="str">
        <f>'Données projet'!D249</f>
        <v>32</v>
      </c>
      <c r="C276" s="258">
        <v>50</v>
      </c>
      <c r="D276" s="179">
        <f t="shared" si="14"/>
        <v>1600</v>
      </c>
      <c r="E276" s="193">
        <v>150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40</v>
      </c>
      <c r="B277" s="181" t="str">
        <f>'Données projet'!D250</f>
        <v>31</v>
      </c>
      <c r="C277" s="258">
        <v>100</v>
      </c>
      <c r="D277" s="179">
        <f t="shared" si="14"/>
        <v>3100</v>
      </c>
      <c r="E277" s="193">
        <v>150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45</v>
      </c>
      <c r="B278" s="181" t="str">
        <f>'Données projet'!D251</f>
        <v>30</v>
      </c>
      <c r="C278" s="258">
        <v>100</v>
      </c>
      <c r="D278" s="179">
        <f t="shared" si="14"/>
        <v>3000</v>
      </c>
      <c r="E278" s="193">
        <v>150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50</v>
      </c>
      <c r="B279" s="181" t="str">
        <f>'Données projet'!D252</f>
        <v>28</v>
      </c>
      <c r="C279" s="258">
        <v>150</v>
      </c>
      <c r="D279" s="179">
        <f t="shared" si="14"/>
        <v>4200</v>
      </c>
      <c r="E279" s="193">
        <v>150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55</v>
      </c>
      <c r="B280" s="181" t="str">
        <f>'Données projet'!D253</f>
        <v>26</v>
      </c>
      <c r="C280" s="193">
        <v>150</v>
      </c>
      <c r="D280" s="179">
        <f t="shared" si="14"/>
        <v>3900</v>
      </c>
      <c r="E280" s="193">
        <v>150</v>
      </c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60</v>
      </c>
      <c r="B281" s="181" t="str">
        <f>'Données projet'!D254</f>
        <v>24</v>
      </c>
      <c r="C281" s="193">
        <v>150</v>
      </c>
      <c r="D281" s="179">
        <f t="shared" si="14"/>
        <v>3600</v>
      </c>
      <c r="E281" s="193">
        <v>150</v>
      </c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65</v>
      </c>
      <c r="B282" s="181" t="str">
        <f>'Données projet'!D255</f>
        <v>22</v>
      </c>
      <c r="C282" s="193">
        <v>200</v>
      </c>
      <c r="D282" s="179">
        <f t="shared" si="14"/>
        <v>4400</v>
      </c>
      <c r="E282" s="193">
        <v>150</v>
      </c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70</v>
      </c>
      <c r="B283" s="181" t="str">
        <f>'Données projet'!D256</f>
        <v>21</v>
      </c>
      <c r="C283" s="193">
        <v>200</v>
      </c>
      <c r="D283" s="179">
        <f t="shared" si="14"/>
        <v>4200</v>
      </c>
      <c r="E283" s="193">
        <v>150</v>
      </c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75</v>
      </c>
      <c r="B284" s="181" t="str">
        <f>'Données projet'!D257</f>
        <v>19</v>
      </c>
      <c r="C284" s="193">
        <v>200</v>
      </c>
      <c r="D284" s="179">
        <f t="shared" si="14"/>
        <v>3800</v>
      </c>
      <c r="E284" s="193">
        <v>150</v>
      </c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80</v>
      </c>
      <c r="B285" s="181" t="str">
        <f>'Données projet'!D258</f>
        <v>17</v>
      </c>
      <c r="C285" s="193">
        <v>200</v>
      </c>
      <c r="D285" s="179">
        <f t="shared" si="14"/>
        <v>3400</v>
      </c>
      <c r="E285" s="193">
        <v>150</v>
      </c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85</v>
      </c>
      <c r="B286" s="181" t="str">
        <f>'Données projet'!D259</f>
        <v>16</v>
      </c>
      <c r="C286" s="193">
        <v>200</v>
      </c>
      <c r="D286" s="179">
        <f t="shared" si="14"/>
        <v>3200</v>
      </c>
      <c r="E286" s="193">
        <v>150</v>
      </c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90</v>
      </c>
      <c r="B287" s="181" t="str">
        <f>'Données projet'!D260</f>
        <v>14</v>
      </c>
      <c r="C287" s="193">
        <v>200</v>
      </c>
      <c r="D287" s="179">
        <f t="shared" si="14"/>
        <v>2800</v>
      </c>
      <c r="E287" s="193">
        <v>150</v>
      </c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95</v>
      </c>
      <c r="B288" s="181" t="str">
        <f>'Données projet'!D261</f>
        <v>13</v>
      </c>
      <c r="C288" s="193">
        <v>200</v>
      </c>
      <c r="D288" s="179">
        <f t="shared" si="14"/>
        <v>2600</v>
      </c>
      <c r="E288" s="193">
        <v>150</v>
      </c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100</v>
      </c>
      <c r="B289" s="181" t="str">
        <f>'Données projet'!D262</f>
        <v>13</v>
      </c>
      <c r="C289" s="193">
        <v>200</v>
      </c>
      <c r="D289" s="179">
        <f t="shared" si="14"/>
        <v>2600</v>
      </c>
      <c r="E289" s="193">
        <v>150</v>
      </c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34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53</v>
      </c>
      <c r="B295" s="48" t="s">
        <v>322</v>
      </c>
      <c r="C295" s="48" t="s">
        <v>323</v>
      </c>
      <c r="D295" s="36" t="s">
        <v>324</v>
      </c>
      <c r="E295" s="36" t="s">
        <v>325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211</v>
      </c>
      <c r="C296" s="198" t="s">
        <v>211</v>
      </c>
      <c r="D296" s="197" t="s">
        <v>211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211</v>
      </c>
      <c r="C297" s="198" t="s">
        <v>211</v>
      </c>
      <c r="D297" s="197" t="s">
        <v>211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211</v>
      </c>
      <c r="C298" s="198" t="s">
        <v>211</v>
      </c>
      <c r="D298" s="197" t="s">
        <v>211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211</v>
      </c>
      <c r="C299" s="198" t="s">
        <v>211</v>
      </c>
      <c r="D299" s="197" t="s">
        <v>211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211</v>
      </c>
      <c r="C300" s="198" t="s">
        <v>211</v>
      </c>
      <c r="D300" s="197" t="s">
        <v>211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211</v>
      </c>
      <c r="C301" s="198" t="s">
        <v>211</v>
      </c>
      <c r="D301" s="197" t="s">
        <v>211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0936C2-891B-4C85-A084-1AA85A08A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0E6FBC-076A-4A9E-9609-A521F8C4030B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2024-07-02T08:28:08Z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