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Geoffroy.Rombaut\Desktop\Silab\CNPF C+for n° 114 Pierrefitte (Silab n° 2)\Montage du projet\"/>
    </mc:Choice>
  </mc:AlternateContent>
  <bookViews>
    <workbookView xWindow="0" yWindow="0" windowWidth="11748" windowHeight="5316" tabRatio="866" activeTab="5"/>
  </bookViews>
  <sheets>
    <sheet name="Accueil" sheetId="5" r:id="rId1"/>
    <sheet name="Données projet" sheetId="1" r:id="rId2"/>
    <sheet name="Calculateur" sheetId="2" state="hidden" r:id="rId3"/>
    <sheet name="Paramètres" sheetId="3" state="hidden" r:id="rId4"/>
    <sheet name="Scénario référence" sheetId="7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0" i="1" l="1"/>
  <c r="B271" i="1"/>
  <c r="D271" i="1"/>
  <c r="B272" i="1"/>
  <c r="B273" i="1"/>
  <c r="D273" i="1"/>
  <c r="B274" i="1"/>
  <c r="B275" i="1"/>
  <c r="D275" i="1"/>
  <c r="B276" i="1"/>
  <c r="B277" i="1"/>
  <c r="B278" i="1"/>
  <c r="B283" i="1"/>
  <c r="D283" i="1"/>
  <c r="D246" i="1" l="1"/>
  <c r="B146" i="1" l="1"/>
  <c r="D146" i="1" s="1"/>
  <c r="B145" i="1"/>
  <c r="D145" i="1" s="1"/>
  <c r="B144" i="1"/>
  <c r="D144" i="1" s="1"/>
  <c r="D143" i="1"/>
  <c r="B143" i="1"/>
  <c r="D142" i="1"/>
  <c r="B142" i="1"/>
  <c r="D141" i="1"/>
  <c r="B141" i="1"/>
  <c r="B140" i="1"/>
  <c r="B179" i="1" l="1"/>
  <c r="D178" i="1"/>
  <c r="B178" i="1"/>
  <c r="B177" i="1"/>
  <c r="D176" i="1"/>
  <c r="B176" i="1"/>
  <c r="B175" i="1"/>
  <c r="D174" i="1"/>
  <c r="B174" i="1"/>
  <c r="B173" i="1"/>
  <c r="D172" i="1"/>
  <c r="B172" i="1"/>
  <c r="B171" i="1"/>
  <c r="D170" i="1"/>
  <c r="B170" i="1"/>
  <c r="B169" i="1"/>
  <c r="D168" i="1"/>
  <c r="B168" i="1"/>
  <c r="B167" i="1"/>
  <c r="B166" i="1"/>
  <c r="B101" i="1"/>
  <c r="D100" i="1"/>
  <c r="B100" i="1"/>
  <c r="B99" i="1"/>
  <c r="D98" i="1"/>
  <c r="B98" i="1"/>
  <c r="B97" i="1"/>
  <c r="D96" i="1"/>
  <c r="B96" i="1"/>
  <c r="B95" i="1"/>
  <c r="D94" i="1"/>
  <c r="B94" i="1"/>
  <c r="B93" i="1"/>
  <c r="D92" i="1"/>
  <c r="B92" i="1"/>
  <c r="B91" i="1"/>
  <c r="D90" i="1"/>
  <c r="B90" i="1"/>
  <c r="B89" i="1"/>
  <c r="B88" i="1"/>
  <c r="D252" i="1" l="1"/>
  <c r="B246" i="1"/>
  <c r="B245" i="1"/>
  <c r="D231" i="1" l="1"/>
  <c r="B231" i="1"/>
  <c r="B230" i="1"/>
  <c r="D229" i="1"/>
  <c r="B229" i="1"/>
  <c r="B228" i="1"/>
  <c r="D227" i="1"/>
  <c r="B227" i="1"/>
  <c r="B226" i="1"/>
  <c r="D225" i="1"/>
  <c r="B225" i="1"/>
  <c r="B224" i="1"/>
  <c r="D223" i="1"/>
  <c r="B223" i="1"/>
  <c r="B222" i="1"/>
  <c r="D221" i="1"/>
  <c r="B221" i="1"/>
  <c r="B220" i="1"/>
  <c r="D219" i="1"/>
  <c r="B219" i="1"/>
  <c r="B218" i="1"/>
  <c r="D127" i="1"/>
  <c r="B127" i="1"/>
  <c r="B126" i="1"/>
  <c r="D125" i="1"/>
  <c r="B125" i="1"/>
  <c r="B124" i="1"/>
  <c r="B123" i="1"/>
  <c r="B122" i="1"/>
  <c r="D121" i="1"/>
  <c r="D123" i="1" s="1"/>
  <c r="B121" i="1"/>
  <c r="B120" i="1"/>
  <c r="D119" i="1"/>
  <c r="B119" i="1"/>
  <c r="B118" i="1"/>
  <c r="D117" i="1"/>
  <c r="B117" i="1"/>
  <c r="B116" i="1"/>
  <c r="D115" i="1"/>
  <c r="B115" i="1"/>
  <c r="B114" i="1"/>
  <c r="D75" i="1"/>
  <c r="B75" i="1"/>
  <c r="B74" i="1"/>
  <c r="D73" i="1"/>
  <c r="B73" i="1"/>
  <c r="B72" i="1"/>
  <c r="B71" i="1"/>
  <c r="B70" i="1"/>
  <c r="D69" i="1"/>
  <c r="D71" i="1" s="1"/>
  <c r="B69" i="1"/>
  <c r="B68" i="1"/>
  <c r="D67" i="1"/>
  <c r="B67" i="1"/>
  <c r="B66" i="1"/>
  <c r="D65" i="1"/>
  <c r="B65" i="1"/>
  <c r="B64" i="1"/>
  <c r="D63" i="1"/>
  <c r="B63" i="1"/>
  <c r="B62" i="1"/>
  <c r="D49" i="1"/>
  <c r="B49" i="1"/>
  <c r="B48" i="1"/>
  <c r="D47" i="1"/>
  <c r="B47" i="1"/>
  <c r="B46" i="1"/>
  <c r="D45" i="1"/>
  <c r="B45" i="1"/>
  <c r="B44" i="1"/>
  <c r="D43" i="1"/>
  <c r="B43" i="1"/>
  <c r="B42" i="1"/>
  <c r="D41" i="1"/>
  <c r="B41" i="1"/>
  <c r="B40" i="1"/>
  <c r="D39" i="1"/>
  <c r="B39" i="1"/>
  <c r="B38" i="1"/>
  <c r="D37" i="1"/>
  <c r="B37" i="1"/>
  <c r="B36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BQ4" i="2" s="1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EA4" i="2"/>
  <c r="FR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A5" i="2"/>
  <c r="FR5" i="2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X7" i="2"/>
  <c r="EW7" i="2"/>
  <c r="EV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HH10" i="2"/>
  <c r="HG10" i="2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HH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HH14" i="2"/>
  <c r="HG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V18" i="2"/>
  <c r="EW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HG20" i="2"/>
  <c r="HH20" i="2"/>
  <c r="EV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HH21" i="2"/>
  <c r="HI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W22" i="2"/>
  <c r="HG22" i="2"/>
  <c r="HH22" i="2"/>
  <c r="EC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G24" i="2" l="1"/>
  <c r="HH24" i="2"/>
  <c r="FR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FS28" i="2" s="1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HI28" i="2"/>
  <c r="HG28" i="2"/>
  <c r="EV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B33" i="2" l="1"/>
  <c r="HG33" i="2"/>
  <c r="HH33" i="2"/>
  <c r="EW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HH35" i="2"/>
  <c r="FQ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W38" i="2" l="1"/>
  <c r="EA38" i="2"/>
  <c r="HI38" i="2"/>
  <c r="HG38" i="2"/>
  <c r="HH38" i="2"/>
  <c r="FS38" i="2"/>
  <c r="EX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V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HI43" i="2"/>
  <c r="EX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HG44" i="2"/>
  <c r="HH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G45" i="2" l="1"/>
  <c r="HI45" i="2"/>
  <c r="EX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HG46" i="2"/>
  <c r="HI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HI48" i="2"/>
  <c r="HH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EC50" i="2" l="1"/>
  <c r="FS50" i="2"/>
  <c r="HG50" i="2"/>
  <c r="HI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HH57" i="2"/>
  <c r="HG57" i="2"/>
  <c r="HI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EA59" i="2"/>
  <c r="HH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G60" i="2" l="1"/>
  <c r="HH60" i="2"/>
  <c r="HI60" i="2"/>
  <c r="EW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HH64" i="2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HG70" i="2"/>
  <c r="HI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HG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H75" i="2"/>
  <c r="HG75" i="2"/>
  <c r="EA75" i="2"/>
  <c r="EB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B77" i="2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HI78" i="2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HH85" i="2"/>
  <c r="HI85" i="2"/>
  <c r="EW85" i="2"/>
  <c r="EV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EX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HI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HI98" i="2"/>
  <c r="EX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V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EA105" i="2"/>
  <c r="HH105" i="2"/>
  <c r="FS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W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HI112" i="2"/>
  <c r="EB112" i="2"/>
  <c r="EC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EB113" i="2"/>
  <c r="FS113" i="2"/>
  <c r="HI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HH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EX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HG116" i="2"/>
  <c r="EV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I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FQ118" i="2" s="1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S118" i="2"/>
  <c r="EX118" i="2"/>
  <c r="HH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HH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HI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HH122" i="2"/>
  <c r="FS122" i="2"/>
  <c r="EW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HG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FS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V128" i="2" l="1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HI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FS130" i="2" l="1"/>
  <c r="EX130" i="2"/>
  <c r="HG130" i="2"/>
  <c r="HH130" i="2"/>
  <c r="HI130" i="2"/>
  <c r="EW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W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EV134" i="2"/>
  <c r="HG134" i="2"/>
  <c r="HI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A139" i="2"/>
  <c r="HH139" i="2"/>
  <c r="FS139" i="2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EC140" i="2"/>
  <c r="FR140" i="2"/>
  <c r="EX140" i="2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G141" i="2"/>
  <c r="HH141" i="2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HH144" i="2"/>
  <c r="HG144" i="2"/>
  <c r="FR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FR145" i="2"/>
  <c r="HG145" i="2"/>
  <c r="HH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FR146" i="2" s="1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FS150" i="2"/>
  <c r="HH150" i="2"/>
  <c r="HI150" i="2"/>
  <c r="HG150" i="2"/>
  <c r="EV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B154" i="2" l="1"/>
  <c r="HH154" i="2"/>
  <c r="HG154" i="2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EY154" i="2" l="1"/>
  <c r="EX155" i="2"/>
  <c r="DI154" i="2"/>
  <c r="HJ154" i="2"/>
  <c r="HH155" i="2"/>
  <c r="HG155" i="2"/>
  <c r="EW155" i="2"/>
  <c r="EA155" i="2"/>
  <c r="AC154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AX152" i="2"/>
  <c r="EY155" i="2" l="1"/>
  <c r="ED155" i="2"/>
  <c r="EX156" i="2"/>
  <c r="HH156" i="2"/>
  <c r="HG156" i="2"/>
  <c r="HI156" i="2"/>
  <c r="FS156" i="2"/>
  <c r="EB156" i="2"/>
  <c r="D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B157" i="2"/>
  <c r="HH157" i="2"/>
  <c r="HG157" i="2"/>
  <c r="EC157" i="2"/>
  <c r="EA157" i="2"/>
  <c r="ED157" i="2" s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C158" i="2" l="1"/>
  <c r="HH158" i="2"/>
  <c r="HG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HI159" i="2"/>
  <c r="EA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EC160" i="2"/>
  <c r="FS160" i="2"/>
  <c r="EY159" i="2"/>
  <c r="HH160" i="2"/>
  <c r="HI160" i="2"/>
  <c r="H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EX161" i="2" l="1"/>
  <c r="HH161" i="2"/>
  <c r="HG161" i="2"/>
  <c r="EA161" i="2"/>
  <c r="EB161" i="2"/>
  <c r="AW161" i="2"/>
  <c r="EC161" i="2"/>
  <c r="ED161" i="2" s="1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B162" i="2" l="1"/>
  <c r="EY161" i="2"/>
  <c r="HH162" i="2"/>
  <c r="HG162" i="2"/>
  <c r="EW162" i="2"/>
  <c r="EC162" i="2"/>
  <c r="DI161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B163" i="2" l="1"/>
  <c r="ED162" i="2"/>
  <c r="EY162" i="2"/>
  <c r="HH163" i="2"/>
  <c r="HI163" i="2"/>
  <c r="HG163" i="2"/>
  <c r="EV163" i="2"/>
  <c r="EA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DH164" i="2" l="1"/>
  <c r="EA164" i="2"/>
  <c r="ED163" i="2"/>
  <c r="EY163" i="2"/>
  <c r="EV164" i="2"/>
  <c r="HH164" i="2"/>
  <c r="HG164" i="2"/>
  <c r="FR164" i="2"/>
  <c r="FS164" i="2"/>
  <c r="EX164" i="2"/>
  <c r="DI163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EA165" i="2"/>
  <c r="EX165" i="2"/>
  <c r="HH165" i="2"/>
  <c r="HG165" i="2"/>
  <c r="EC165" i="2"/>
  <c r="ED165" i="2" s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C166" i="2" l="1"/>
  <c r="FS166" i="2"/>
  <c r="CN165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HJ166" i="2"/>
  <c r="FR167" i="2"/>
  <c r="HI167" i="2"/>
  <c r="HH167" i="2"/>
  <c r="EX167" i="2"/>
  <c r="EA167" i="2"/>
  <c r="EB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I167" i="2" l="1"/>
  <c r="DG168" i="2"/>
  <c r="EB168" i="2"/>
  <c r="HI168" i="2"/>
  <c r="HH168" i="2"/>
  <c r="EV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B169" i="2"/>
  <c r="HH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D171" i="2" s="1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A172" i="2"/>
  <c r="HI172" i="2"/>
  <c r="HG172" i="2"/>
  <c r="EV172" i="2"/>
  <c r="EW172" i="2"/>
  <c r="EC172" i="2"/>
  <c r="ED172" i="2" s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EY173" i="2"/>
  <c r="HH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D174" i="2" l="1"/>
  <c r="EA175" i="2"/>
  <c r="EB175" i="2"/>
  <c r="FS175" i="2"/>
  <c r="EW175" i="2"/>
  <c r="HI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HH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EC177" i="2"/>
  <c r="FQ177" i="2"/>
  <c r="FS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D177" i="2" l="1"/>
  <c r="FQ178" i="2"/>
  <c r="EW178" i="2"/>
  <c r="HG178" i="2"/>
  <c r="HH178" i="2"/>
  <c r="EA178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DF179" i="2" l="1"/>
  <c r="EB179" i="2"/>
  <c r="EA179" i="2"/>
  <c r="ED178" i="2"/>
  <c r="HI179" i="2"/>
  <c r="HH179" i="2"/>
  <c r="HG179" i="2"/>
  <c r="EV179" i="2"/>
  <c r="FS179" i="2"/>
  <c r="EX179" i="2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HG180" i="2"/>
  <c r="HI180" i="2"/>
  <c r="EX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FS181" i="2"/>
  <c r="HG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ED182" i="2" s="1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A183" i="2" l="1"/>
  <c r="EB183" i="2"/>
  <c r="EY182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Y184" i="2" l="1"/>
  <c r="ED184" i="2"/>
  <c r="HG185" i="2"/>
  <c r="HI185" i="2"/>
  <c r="HH185" i="2"/>
  <c r="EV185" i="2"/>
  <c r="EW185" i="2"/>
  <c r="EA185" i="2"/>
  <c r="EB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B186" i="2" l="1"/>
  <c r="ED185" i="2"/>
  <c r="EA186" i="2"/>
  <c r="EW186" i="2"/>
  <c r="HG186" i="2"/>
  <c r="HH186" i="2"/>
  <c r="FS186" i="2"/>
  <c r="FR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B187" i="2"/>
  <c r="HG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HI188" i="2"/>
  <c r="HH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HH189" i="2"/>
  <c r="EV189" i="2"/>
  <c r="EB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B190" i="2" l="1"/>
  <c r="ED189" i="2"/>
  <c r="EV190" i="2"/>
  <c r="EY189" i="2"/>
  <c r="HH190" i="2"/>
  <c r="HJ189" i="2"/>
  <c r="HG190" i="2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HH191" i="2"/>
  <c r="HG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W192" i="2" l="1"/>
  <c r="EC192" i="2"/>
  <c r="EY191" i="2"/>
  <c r="HH192" i="2"/>
  <c r="HG192" i="2"/>
  <c r="HI192" i="2"/>
  <c r="EV192" i="2"/>
  <c r="EB192" i="2"/>
  <c r="EA192" i="2"/>
  <c r="ED192" i="2" s="1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A193" i="2" l="1"/>
  <c r="EB193" i="2"/>
  <c r="EY192" i="2"/>
  <c r="HI193" i="2"/>
  <c r="FQ193" i="2"/>
  <c r="EX193" i="2"/>
  <c r="DI192" i="2"/>
  <c r="FS193" i="2"/>
  <c r="EC193" i="2"/>
  <c r="ED193" i="2" s="1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B194" i="2" l="1"/>
  <c r="EA194" i="2"/>
  <c r="HG194" i="2"/>
  <c r="HI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DH195" i="2" l="1"/>
  <c r="EB195" i="2"/>
  <c r="HG195" i="2"/>
  <c r="HI195" i="2"/>
  <c r="EX195" i="2"/>
  <c r="EY194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HH196" i="2"/>
  <c r="HG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FS197" i="2" l="1"/>
  <c r="EW197" i="2"/>
  <c r="EY196" i="2"/>
  <c r="HH197" i="2"/>
  <c r="HG197" i="2"/>
  <c r="EA197" i="2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W198" i="2" l="1"/>
  <c r="ED197" i="2"/>
  <c r="HI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 l="1"/>
  <c r="EV199" i="2"/>
  <c r="EB199" i="2"/>
  <c r="FS199" i="2"/>
  <c r="HH199" i="2"/>
  <c r="HG199" i="2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J199" i="2"/>
  <c r="EX200" i="2"/>
  <c r="HI200" i="2"/>
  <c r="FS200" i="2"/>
  <c r="EC200" i="2"/>
  <c r="HH200" i="2"/>
  <c r="GN200" i="2"/>
  <c r="HG200" i="2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 l="1"/>
  <c r="HJ200" i="2"/>
  <c r="DI200" i="2"/>
  <c r="HH201" i="2"/>
  <c r="HG201" i="2"/>
  <c r="FS201" i="2"/>
  <c r="ED200" i="2"/>
  <c r="EA201" i="2"/>
  <c r="EB201" i="2"/>
  <c r="ED201" i="2" s="1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 l="1"/>
  <c r="EX202" i="2"/>
  <c r="HG202" i="2"/>
  <c r="HH202" i="2"/>
  <c r="HI202" i="2"/>
  <c r="EW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92" i="2" a="1"/>
  <c r="FY92" i="2" s="1"/>
  <c r="FY126" i="2" a="1"/>
  <c r="FY126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1" i="2" a="1"/>
  <c r="GT181" i="2" s="1"/>
  <c r="GT68" i="2" a="1"/>
  <c r="GT68" i="2" s="1"/>
  <c r="GT33" i="2" a="1"/>
  <c r="GT33" i="2" s="1"/>
  <c r="GT102" i="2" a="1"/>
  <c r="GT102" i="2" s="1"/>
  <c r="GT11" i="2" a="1"/>
  <c r="GT11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139" i="2" a="1"/>
  <c r="EI139" i="2" s="1"/>
  <c r="EI35" i="2" a="1"/>
  <c r="EI35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AX200" i="2"/>
  <c r="EI87" i="2" l="1" a="1"/>
  <c r="EI87" i="2" s="1"/>
  <c r="EI57" i="2" a="1"/>
  <c r="EI57" i="2" s="1"/>
  <c r="EY202" i="2"/>
  <c r="EI170" i="2" a="1"/>
  <c r="EI170" i="2" s="1"/>
  <c r="EI38" i="2" a="1"/>
  <c r="EI38" i="2" s="1"/>
  <c r="EI67" i="2" a="1"/>
  <c r="EI67" i="2" s="1"/>
  <c r="EI16" i="2" a="1"/>
  <c r="EI16" i="2" s="1"/>
  <c r="EI109" i="2" a="1"/>
  <c r="EI109" i="2" s="1"/>
  <c r="EI113" i="2" a="1"/>
  <c r="EI113" i="2" s="1"/>
  <c r="EI128" i="2" a="1"/>
  <c r="EI128" i="2" s="1"/>
  <c r="EI37" i="2" a="1"/>
  <c r="EI37" i="2" s="1"/>
  <c r="EI165" i="2" a="1"/>
  <c r="EI165" i="2" s="1"/>
  <c r="EI20" i="2" a="1"/>
  <c r="EI20" i="2" s="1"/>
  <c r="EI34" i="2" a="1"/>
  <c r="EI34" i="2" s="1"/>
  <c r="EI195" i="2" a="1"/>
  <c r="EI195" i="2" s="1"/>
  <c r="EI71" i="2" a="1"/>
  <c r="EI71" i="2" s="1"/>
  <c r="EI36" i="2" a="1"/>
  <c r="EI36" i="2" s="1"/>
  <c r="EI142" i="2" a="1"/>
  <c r="EI142" i="2" s="1"/>
  <c r="EI145" i="2" a="1"/>
  <c r="EI145" i="2" s="1"/>
  <c r="EI29" i="2" a="1"/>
  <c r="EI29" i="2" s="1"/>
  <c r="EI106" i="2" a="1"/>
  <c r="EI106" i="2" s="1"/>
  <c r="EI162" i="2" a="1"/>
  <c r="EI162" i="2" s="1"/>
  <c r="EI178" i="2" a="1"/>
  <c r="EI178" i="2" s="1"/>
  <c r="EI198" i="2" a="1"/>
  <c r="EI198" i="2" s="1"/>
  <c r="EI150" i="2" a="1"/>
  <c r="EI150" i="2" s="1"/>
  <c r="EI153" i="2" a="1"/>
  <c r="EI153" i="2" s="1"/>
  <c r="EI166" i="2" a="1"/>
  <c r="EI166" i="2" s="1"/>
  <c r="GT147" i="2" a="1"/>
  <c r="GT147" i="2" s="1"/>
  <c r="GT152" i="2" a="1"/>
  <c r="GT152" i="2" s="1"/>
  <c r="GT122" i="2" a="1"/>
  <c r="GT122" i="2" s="1"/>
  <c r="GT184" i="2" a="1"/>
  <c r="GT184" i="2" s="1"/>
  <c r="GT133" i="2" a="1"/>
  <c r="GT133" i="2" s="1"/>
  <c r="GT121" i="2" a="1"/>
  <c r="GT121" i="2" s="1"/>
  <c r="GT51" i="2" a="1"/>
  <c r="GT51" i="2" s="1"/>
  <c r="HG203" i="2"/>
  <c r="FY55" i="2" a="1"/>
  <c r="FY55" i="2" s="1"/>
  <c r="FY188" i="2" a="1"/>
  <c r="FY188" i="2" s="1"/>
  <c r="FY28" i="2" a="1"/>
  <c r="FY28" i="2" s="1"/>
  <c r="FY164" i="2" a="1"/>
  <c r="FY164" i="2" s="1"/>
  <c r="FY99" i="2" a="1"/>
  <c r="FY99" i="2" s="1"/>
  <c r="FY116" i="2" a="1"/>
  <c r="FY116" i="2" s="1"/>
  <c r="FY111" i="2" a="1"/>
  <c r="FY111" i="2" s="1"/>
  <c r="FY73" i="2" a="1"/>
  <c r="FY73" i="2" s="1"/>
  <c r="FY143" i="2" a="1"/>
  <c r="FY143" i="2" s="1"/>
  <c r="FY78" i="2" a="1"/>
  <c r="FY78" i="2" s="1"/>
  <c r="FY174" i="2" a="1"/>
  <c r="FY174" i="2" s="1"/>
  <c r="FY173" i="2" a="1"/>
  <c r="FY173" i="2" s="1"/>
  <c r="FY159" i="2" a="1"/>
  <c r="FY159" i="2" s="1"/>
  <c r="FY191" i="2" a="1"/>
  <c r="FY191" i="2" s="1"/>
  <c r="FY110" i="2" a="1"/>
  <c r="FY110" i="2" s="1"/>
  <c r="FY18" i="2" a="1"/>
  <c r="FY18" i="2" s="1"/>
  <c r="FY152" i="2" a="1"/>
  <c r="FY152" i="2" s="1"/>
  <c r="FY186" i="2" a="1"/>
  <c r="FY186" i="2" s="1"/>
  <c r="FY69" i="2" a="1"/>
  <c r="FY69" i="2" s="1"/>
  <c r="FY66" i="2" a="1"/>
  <c r="FY66" i="2" s="1"/>
  <c r="FY133" i="2" a="1"/>
  <c r="FY133" i="2" s="1"/>
  <c r="FY140" i="2" a="1"/>
  <c r="FY140" i="2" s="1"/>
  <c r="FY47" i="2" a="1"/>
  <c r="FY47" i="2" s="1"/>
  <c r="FY153" i="2" a="1"/>
  <c r="FY153" i="2" s="1"/>
  <c r="FY102" i="2" a="1"/>
  <c r="FY102" i="2" s="1"/>
  <c r="FY146" i="2" a="1"/>
  <c r="FY146" i="2" s="1"/>
  <c r="FY32" i="2" a="1"/>
  <c r="FY32" i="2" s="1"/>
  <c r="FY120" i="2" a="1"/>
  <c r="FY120" i="2" s="1"/>
  <c r="FY71" i="2" a="1"/>
  <c r="FY71" i="2" s="1"/>
  <c r="FY165" i="2" a="1"/>
  <c r="FY165" i="2" s="1"/>
  <c r="FY57" i="2" a="1"/>
  <c r="FY57" i="2" s="1"/>
  <c r="FY50" i="2" a="1"/>
  <c r="FY50" i="2" s="1"/>
  <c r="FY29" i="2" a="1"/>
  <c r="FY29" i="2" s="1"/>
  <c r="FY35" i="2" a="1"/>
  <c r="FY35" i="2" s="1"/>
  <c r="FY54" i="2" a="1"/>
  <c r="FY54" i="2" s="1"/>
  <c r="FY109" i="2" a="1"/>
  <c r="FY109" i="2" s="1"/>
  <c r="FY79" i="2" a="1"/>
  <c r="FY79" i="2" s="1"/>
  <c r="FY22" i="2" a="1"/>
  <c r="FY22" i="2" s="1"/>
  <c r="FY90" i="2" a="1"/>
  <c r="FY90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EY203" i="2" l="1"/>
  <c r="ED203" i="2"/>
  <c r="CN203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GE11" i="2" l="1"/>
  <c r="GE136" i="2"/>
  <c r="GE62" i="2"/>
  <c r="GE115" i="2"/>
  <c r="GE161" i="2"/>
  <c r="GE25" i="2"/>
  <c r="GE60" i="2"/>
  <c r="GE77" i="2"/>
  <c r="GE41" i="2"/>
  <c r="GE71" i="2"/>
  <c r="GE178" i="2"/>
  <c r="GE100" i="2"/>
  <c r="GE63" i="2"/>
  <c r="GE38" i="2"/>
  <c r="GE134" i="2"/>
  <c r="GE140" i="2"/>
  <c r="GE177" i="2"/>
  <c r="GE18" i="2"/>
  <c r="GE142" i="2"/>
  <c r="GE112" i="2"/>
  <c r="GE175" i="2"/>
  <c r="GE131" i="2"/>
  <c r="GE200" i="2"/>
  <c r="GE87" i="2"/>
  <c r="GE93" i="2"/>
  <c r="GE82" i="2"/>
  <c r="GE103" i="2"/>
  <c r="GE98" i="2"/>
  <c r="GE61" i="2"/>
  <c r="GE143" i="2"/>
  <c r="GE69" i="2"/>
  <c r="GE26" i="2"/>
  <c r="GE43" i="2"/>
  <c r="GE16" i="2"/>
  <c r="GE92" i="2"/>
  <c r="GE186" i="2"/>
  <c r="GE50" i="2"/>
  <c r="GE168" i="2"/>
  <c r="GE129" i="2"/>
  <c r="GE65" i="2"/>
  <c r="GE169" i="2"/>
  <c r="GE126" i="2"/>
  <c r="GE155" i="2"/>
  <c r="GE159" i="2"/>
  <c r="GE86" i="2"/>
  <c r="GE101" i="2"/>
  <c r="GE96" i="2"/>
  <c r="GE147" i="2"/>
  <c r="GE132" i="2"/>
  <c r="GE125" i="2"/>
  <c r="GE51" i="2"/>
  <c r="GE194" i="2"/>
  <c r="GE179" i="2"/>
  <c r="GE90" i="2"/>
  <c r="GE31" i="2"/>
  <c r="GE173" i="2"/>
  <c r="GE192" i="2"/>
  <c r="GE167" i="2"/>
  <c r="GE59" i="2"/>
  <c r="GE42" i="2"/>
  <c r="GE36" i="2"/>
  <c r="GE180" i="2"/>
  <c r="GE146" i="2"/>
  <c r="GE99" i="2"/>
  <c r="GE54" i="2"/>
  <c r="GE165" i="2"/>
  <c r="GE67" i="2"/>
  <c r="GE197" i="2"/>
  <c r="GE5" i="2"/>
  <c r="GE123" i="2"/>
  <c r="GE190" i="2"/>
  <c r="GE202" i="2"/>
  <c r="GE72" i="2"/>
  <c r="GE145" i="2"/>
  <c r="GE22" i="2"/>
  <c r="GE75" i="2"/>
  <c r="GE73" i="2"/>
  <c r="GE37" i="2"/>
  <c r="GE117" i="2"/>
  <c r="GE85" i="2"/>
  <c r="GE104" i="2"/>
  <c r="GE110" i="2"/>
  <c r="GE46" i="2"/>
  <c r="GE4" i="2"/>
  <c r="GE27" i="2"/>
  <c r="GE30" i="2"/>
  <c r="GE176" i="2"/>
  <c r="GE8" i="2"/>
  <c r="GE181" i="2"/>
  <c r="GE17" i="2"/>
  <c r="GE74" i="2"/>
  <c r="GE49" i="2"/>
  <c r="GE39" i="2"/>
  <c r="GE105" i="2"/>
  <c r="GE108" i="2"/>
  <c r="GE198" i="2"/>
  <c r="GE174" i="2"/>
  <c r="GE45" i="2"/>
  <c r="GE138" i="2"/>
  <c r="GE3" i="2"/>
  <c r="C14" i="4" s="1"/>
  <c r="E14" i="4" s="1"/>
  <c r="F14" i="4" s="1"/>
  <c r="G14" i="4" s="1"/>
  <c r="L14" i="4" s="1"/>
  <c r="GE47" i="2"/>
  <c r="GE153" i="2"/>
  <c r="GE130" i="2"/>
  <c r="GE144" i="2"/>
  <c r="GE48" i="2"/>
  <c r="GE20" i="2"/>
  <c r="GE183" i="2"/>
  <c r="GE109" i="2"/>
  <c r="GE163" i="2"/>
  <c r="GE164" i="2"/>
  <c r="GE170" i="2"/>
  <c r="GE15" i="2"/>
  <c r="GE116" i="2"/>
  <c r="GE128" i="2"/>
  <c r="GE195" i="2"/>
  <c r="GE13" i="2"/>
  <c r="GE6" i="2"/>
  <c r="GE55" i="2"/>
  <c r="GE193" i="2"/>
  <c r="GE199" i="2"/>
  <c r="GE133" i="2"/>
  <c r="GE21" i="2"/>
  <c r="GE156" i="2"/>
  <c r="GE196" i="2"/>
  <c r="GE160" i="2"/>
  <c r="GE83" i="2"/>
  <c r="GE32" i="2"/>
  <c r="GE35" i="2"/>
  <c r="GE88" i="2"/>
  <c r="GE95" i="2"/>
  <c r="GE124" i="2"/>
  <c r="GE120" i="2"/>
  <c r="GE150" i="2"/>
  <c r="GE79" i="2"/>
  <c r="GE19" i="2"/>
  <c r="GE106" i="2"/>
  <c r="GE149" i="2"/>
  <c r="GE70" i="2"/>
  <c r="GE189" i="2"/>
  <c r="GE89" i="2"/>
  <c r="GE139" i="2"/>
  <c r="GE102" i="2"/>
  <c r="GE58" i="2"/>
  <c r="GE78" i="2"/>
  <c r="GE113" i="2"/>
  <c r="GE127" i="2"/>
  <c r="GE68" i="2"/>
  <c r="GE157" i="2"/>
  <c r="GE28" i="2"/>
  <c r="GE111" i="2"/>
  <c r="GE185" i="2"/>
  <c r="GE76" i="2"/>
  <c r="GE172" i="2"/>
  <c r="GE52" i="2"/>
  <c r="GE151" i="2"/>
  <c r="GE187" i="2"/>
  <c r="GE191" i="2"/>
  <c r="GE137" i="2"/>
  <c r="GE121" i="2"/>
  <c r="GE184" i="2"/>
  <c r="GE119" i="2"/>
  <c r="GE7" i="2"/>
  <c r="GE9" i="2"/>
  <c r="GE56" i="2"/>
  <c r="GE97" i="2"/>
  <c r="GE162" i="2"/>
  <c r="GE40" i="2"/>
  <c r="GE118" i="2"/>
  <c r="GE84" i="2"/>
  <c r="GE66" i="2"/>
  <c r="GE53" i="2"/>
  <c r="GE152" i="2"/>
  <c r="GE33" i="2"/>
  <c r="GE80" i="2"/>
  <c r="GE81" i="2"/>
  <c r="GE34" i="2"/>
  <c r="GE135" i="2"/>
  <c r="GE141" i="2"/>
  <c r="GE188" i="2"/>
  <c r="GE12" i="2"/>
  <c r="GE29" i="2"/>
  <c r="GE182" i="2"/>
  <c r="GE201" i="2"/>
  <c r="GE148" i="2"/>
  <c r="GE107" i="2"/>
  <c r="GE158" i="2"/>
  <c r="GE44" i="2"/>
  <c r="GE166" i="2"/>
  <c r="GE154" i="2"/>
  <c r="GE57" i="2"/>
  <c r="GE114" i="2"/>
  <c r="GE91" i="2"/>
  <c r="GE10" i="2"/>
  <c r="GE23" i="2"/>
  <c r="GE94" i="2"/>
  <c r="GE203" i="2"/>
  <c r="GE64" i="2"/>
  <c r="GE122" i="2"/>
  <c r="GE171" i="2"/>
  <c r="GE24" i="2"/>
  <c r="GE14" i="2"/>
  <c r="FE74" i="2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CY169" i="2" l="1"/>
  <c r="CY154" i="2"/>
  <c r="FE113" i="2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CY195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CY42" i="2" l="1"/>
  <c r="CY157" i="2"/>
  <c r="CY177" i="2"/>
  <c r="CY92" i="2"/>
  <c r="CY187" i="2"/>
  <c r="CY141" i="2"/>
  <c r="CY24" i="2"/>
  <c r="CY119" i="2"/>
  <c r="CY175" i="2"/>
  <c r="CY156" i="2"/>
  <c r="CY74" i="2"/>
  <c r="CY49" i="2"/>
  <c r="CY59" i="2"/>
  <c r="CY127" i="2"/>
  <c r="CY200" i="2"/>
  <c r="CY8" i="2"/>
  <c r="CY29" i="2"/>
  <c r="CY126" i="2"/>
  <c r="CY27" i="2"/>
  <c r="CY140" i="2"/>
  <c r="CY203" i="2"/>
  <c r="CY110" i="2"/>
  <c r="CY76" i="2"/>
  <c r="CY188" i="2"/>
  <c r="CY183" i="2"/>
  <c r="CY81" i="2"/>
  <c r="CY5" i="2"/>
  <c r="CY77" i="2"/>
  <c r="CY79" i="2"/>
  <c r="CY98" i="2"/>
  <c r="CY121" i="2"/>
  <c r="CY163" i="2"/>
  <c r="CY191" i="2"/>
  <c r="CY89" i="2"/>
  <c r="CY61" i="2"/>
  <c r="CY164" i="2"/>
  <c r="CY192" i="2"/>
  <c r="CY181" i="2"/>
  <c r="CY11" i="2"/>
  <c r="CY150" i="2"/>
  <c r="CY13" i="2"/>
  <c r="CY190" i="2"/>
  <c r="CY96" i="2"/>
  <c r="CY22" i="2"/>
  <c r="CY45" i="2"/>
  <c r="CY172" i="2"/>
  <c r="CY155" i="2"/>
  <c r="CY57" i="2"/>
  <c r="CY40" i="2"/>
  <c r="CY73" i="2"/>
  <c r="CY152" i="2"/>
  <c r="CY7" i="2"/>
  <c r="CY62" i="2"/>
  <c r="CY129" i="2"/>
  <c r="CY65" i="2"/>
  <c r="CY198" i="2"/>
  <c r="CY55" i="2"/>
  <c r="CY133" i="2"/>
  <c r="CY139" i="2"/>
  <c r="CY184" i="2"/>
  <c r="CY185" i="2"/>
  <c r="CY134" i="2"/>
  <c r="CY165" i="2"/>
  <c r="CY100" i="2"/>
  <c r="CY35" i="2"/>
  <c r="CY28" i="2"/>
  <c r="CY58" i="2"/>
  <c r="CY32" i="2"/>
  <c r="CY31" i="2"/>
  <c r="CY111" i="2"/>
  <c r="CY189" i="2"/>
  <c r="CY166" i="2"/>
  <c r="CY103" i="2"/>
  <c r="CY168" i="2"/>
  <c r="CY197" i="2"/>
  <c r="CY39" i="2"/>
  <c r="CY83" i="2"/>
  <c r="CY56" i="2"/>
  <c r="CY52" i="2"/>
  <c r="CY117" i="2"/>
  <c r="CY15" i="2"/>
  <c r="CY143" i="2"/>
  <c r="CY173" i="2"/>
  <c r="CY19" i="2"/>
  <c r="CY144" i="2"/>
  <c r="CY50" i="2"/>
  <c r="CY95" i="2"/>
  <c r="CY70" i="2"/>
  <c r="CY30" i="2"/>
  <c r="CY21" i="2"/>
  <c r="CY23" i="2"/>
  <c r="CY18" i="2"/>
  <c r="CY72" i="2"/>
  <c r="CY75" i="2"/>
  <c r="CY109" i="2"/>
  <c r="CY194" i="2"/>
  <c r="CY106" i="2"/>
  <c r="CY17" i="2"/>
  <c r="CY108" i="2"/>
  <c r="CY180" i="2"/>
  <c r="CY14" i="2"/>
  <c r="CY202" i="2"/>
  <c r="CY136" i="2"/>
  <c r="CY182" i="2"/>
  <c r="CY68" i="2"/>
  <c r="CY167" i="2"/>
  <c r="CY147" i="2"/>
  <c r="CY112" i="2"/>
  <c r="CY87" i="2"/>
  <c r="CY176" i="2"/>
  <c r="CY178" i="2"/>
  <c r="CY48" i="2"/>
  <c r="CY145" i="2"/>
  <c r="CY86" i="2"/>
  <c r="CY137" i="2"/>
  <c r="CY171" i="2"/>
  <c r="CY186" i="2"/>
  <c r="CY51" i="2"/>
  <c r="CY114" i="2"/>
  <c r="CY130" i="2"/>
  <c r="CY36" i="2"/>
  <c r="CY104" i="2"/>
  <c r="CY37" i="2"/>
  <c r="CY44" i="2"/>
  <c r="CY46" i="2"/>
  <c r="CY153" i="2"/>
  <c r="CY201" i="2"/>
  <c r="CY71" i="2"/>
  <c r="CY159" i="2"/>
  <c r="CY138" i="2"/>
  <c r="CY199" i="2"/>
  <c r="CY125" i="2"/>
  <c r="CY120" i="2"/>
  <c r="CY82" i="2"/>
  <c r="CY43" i="2"/>
  <c r="CY97" i="2"/>
  <c r="CY64" i="2"/>
  <c r="CY41" i="2"/>
  <c r="CY88" i="2"/>
  <c r="CY54" i="2"/>
  <c r="CY91" i="2"/>
  <c r="CY26" i="2"/>
  <c r="CY99" i="2"/>
  <c r="CY196" i="2"/>
  <c r="CY122" i="2"/>
  <c r="CY161" i="2"/>
  <c r="CY67" i="2"/>
  <c r="CY148" i="2"/>
  <c r="CY90" i="2"/>
  <c r="CY135" i="2"/>
  <c r="CY47" i="2"/>
  <c r="CY84" i="2"/>
  <c r="CY33" i="2"/>
  <c r="CY69" i="2"/>
  <c r="CY151" i="2"/>
  <c r="CY94" i="2"/>
  <c r="CY25" i="2"/>
  <c r="CY115" i="2"/>
  <c r="CY149" i="2"/>
  <c r="CY158" i="2"/>
  <c r="CY179" i="2"/>
  <c r="CY6" i="2"/>
  <c r="CY123" i="2"/>
  <c r="CY160" i="2"/>
  <c r="CY53" i="2"/>
  <c r="CY12" i="2"/>
  <c r="CY116" i="2"/>
  <c r="CY4" i="2"/>
  <c r="CY60" i="2"/>
  <c r="CY170" i="2"/>
  <c r="CY118" i="2"/>
  <c r="CY3" i="2"/>
  <c r="C10" i="4" s="1"/>
  <c r="E10" i="4" s="1"/>
  <c r="F10" i="4" s="1"/>
  <c r="G10" i="4" s="1"/>
  <c r="L10" i="4" s="1"/>
  <c r="CY107" i="2"/>
  <c r="CY146" i="2"/>
  <c r="CY131" i="2"/>
  <c r="CY80" i="2"/>
  <c r="CY105" i="2"/>
  <c r="CY66" i="2"/>
  <c r="CY63" i="2"/>
  <c r="CY9" i="2"/>
  <c r="CY174" i="2"/>
  <c r="CY85" i="2"/>
  <c r="CY34" i="2"/>
  <c r="CY101" i="2"/>
  <c r="CY193" i="2"/>
  <c r="CY128" i="2"/>
  <c r="CY142" i="2"/>
  <c r="CY93" i="2"/>
  <c r="CY78" i="2"/>
  <c r="CY38" i="2"/>
  <c r="CY102" i="2"/>
  <c r="CY162" i="2"/>
  <c r="CY124" i="2"/>
  <c r="CY20" i="2"/>
  <c r="CY132" i="2"/>
  <c r="CY10" i="2"/>
  <c r="CY113" i="2"/>
  <c r="CY16" i="2"/>
  <c r="FE114" i="2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GZ180" i="2" l="1"/>
  <c r="GZ47" i="2"/>
  <c r="GZ67" i="2"/>
  <c r="GZ145" i="2"/>
  <c r="GZ126" i="2"/>
  <c r="GZ132" i="2"/>
  <c r="GZ104" i="2"/>
  <c r="GZ154" i="2"/>
  <c r="GZ78" i="2"/>
  <c r="GZ55" i="2"/>
  <c r="GZ120" i="2"/>
  <c r="GZ150" i="2"/>
  <c r="GZ161" i="2"/>
  <c r="GZ160" i="2"/>
  <c r="GZ201" i="2"/>
  <c r="GZ42" i="2"/>
  <c r="GZ182" i="2"/>
  <c r="GZ110" i="2"/>
  <c r="GZ58" i="2"/>
  <c r="GZ21" i="2"/>
  <c r="GZ71" i="2"/>
  <c r="GZ163" i="2"/>
  <c r="GZ23" i="2"/>
  <c r="GZ175" i="2"/>
  <c r="GZ92" i="2"/>
  <c r="GZ81" i="2"/>
  <c r="GZ143" i="2"/>
  <c r="GZ111" i="2"/>
  <c r="GZ70" i="2"/>
  <c r="GZ181" i="2"/>
  <c r="GZ99" i="2"/>
  <c r="GZ185" i="2"/>
  <c r="GZ164" i="2"/>
  <c r="GZ102" i="2"/>
  <c r="GZ29" i="2"/>
  <c r="GZ113" i="2"/>
  <c r="GZ118" i="2"/>
  <c r="GZ19" i="2"/>
  <c r="GZ39" i="2"/>
  <c r="GZ119" i="2"/>
  <c r="GZ69" i="2"/>
  <c r="GZ165" i="2"/>
  <c r="GZ34" i="2"/>
  <c r="GZ6" i="2"/>
  <c r="GZ72" i="2"/>
  <c r="GZ9" i="2"/>
  <c r="GZ115" i="2"/>
  <c r="GZ87" i="2"/>
  <c r="GZ103" i="2"/>
  <c r="GZ138" i="2"/>
  <c r="GZ43" i="2"/>
  <c r="GZ193" i="2"/>
  <c r="GZ89" i="2"/>
  <c r="GZ63" i="2"/>
  <c r="GZ146" i="2"/>
  <c r="GZ25" i="2"/>
  <c r="GZ172" i="2"/>
  <c r="GZ97" i="2"/>
  <c r="GZ76" i="2"/>
  <c r="GZ41" i="2"/>
  <c r="GZ15" i="2"/>
  <c r="GZ54" i="2"/>
  <c r="GZ149" i="2"/>
  <c r="GZ57" i="2"/>
  <c r="GZ194" i="2"/>
  <c r="GZ177" i="2"/>
  <c r="GZ196" i="2"/>
  <c r="GZ20" i="2"/>
  <c r="GZ187" i="2"/>
  <c r="GZ62" i="2"/>
  <c r="GZ27" i="2"/>
  <c r="GZ86" i="2"/>
  <c r="GZ112" i="2"/>
  <c r="GZ153" i="2"/>
  <c r="GZ88" i="2"/>
  <c r="GZ56" i="2"/>
  <c r="GZ173" i="2"/>
  <c r="GZ174" i="2"/>
  <c r="GZ200" i="2"/>
  <c r="GZ93" i="2"/>
  <c r="GZ129" i="2"/>
  <c r="GZ49" i="2"/>
  <c r="GZ96" i="2"/>
  <c r="GZ167" i="2"/>
  <c r="GZ124" i="2"/>
  <c r="GZ127" i="2"/>
  <c r="GZ123" i="2"/>
  <c r="GZ147" i="2"/>
  <c r="GZ14" i="2"/>
  <c r="GZ136" i="2"/>
  <c r="GZ191" i="2"/>
  <c r="GZ183" i="2"/>
  <c r="GZ192" i="2"/>
  <c r="GZ107" i="2"/>
  <c r="GZ75" i="2"/>
  <c r="GZ168" i="2"/>
  <c r="GZ141" i="2"/>
  <c r="GZ28" i="2"/>
  <c r="GZ74" i="2"/>
  <c r="GZ95" i="2"/>
  <c r="GZ117" i="2"/>
  <c r="GZ77" i="2"/>
  <c r="GZ114" i="2"/>
  <c r="GZ33" i="2"/>
  <c r="GZ64" i="2"/>
  <c r="GZ35" i="2"/>
  <c r="GZ24" i="2"/>
  <c r="GZ90" i="2"/>
  <c r="GZ122" i="2"/>
  <c r="GZ48" i="2"/>
  <c r="GZ189" i="2"/>
  <c r="GZ169" i="2"/>
  <c r="GZ44" i="2"/>
  <c r="GZ11" i="2"/>
  <c r="GZ178" i="2"/>
  <c r="GZ137" i="2"/>
  <c r="GZ152" i="2"/>
  <c r="GZ108" i="2"/>
  <c r="GZ38" i="2"/>
  <c r="GZ159" i="2"/>
  <c r="GZ65" i="2"/>
  <c r="GZ144" i="2"/>
  <c r="GZ197" i="2"/>
  <c r="GZ131" i="2"/>
  <c r="GZ51" i="2"/>
  <c r="GZ190" i="2"/>
  <c r="GZ199" i="2"/>
  <c r="GZ13" i="2"/>
  <c r="GZ60" i="2"/>
  <c r="GZ186" i="2"/>
  <c r="GZ179" i="2"/>
  <c r="GZ7" i="2"/>
  <c r="GZ101" i="2"/>
  <c r="GZ66" i="2"/>
  <c r="GZ121" i="2"/>
  <c r="GZ31" i="2"/>
  <c r="GZ59" i="2"/>
  <c r="GZ151" i="2"/>
  <c r="GZ140" i="2"/>
  <c r="GZ61" i="2"/>
  <c r="GZ84" i="2"/>
  <c r="GZ188" i="2"/>
  <c r="GZ5" i="2"/>
  <c r="GZ135" i="2"/>
  <c r="GZ166" i="2"/>
  <c r="GZ105" i="2"/>
  <c r="GZ202" i="2"/>
  <c r="GZ195" i="2"/>
  <c r="GZ80" i="2"/>
  <c r="GZ91" i="2"/>
  <c r="GZ22" i="2"/>
  <c r="GZ16" i="2"/>
  <c r="GZ53" i="2"/>
  <c r="GZ106" i="2"/>
  <c r="GZ130" i="2"/>
  <c r="GZ133" i="2"/>
  <c r="GZ184" i="2"/>
  <c r="GZ156" i="2"/>
  <c r="GZ17" i="2"/>
  <c r="GZ198" i="2"/>
  <c r="GZ162" i="2"/>
  <c r="GZ36" i="2"/>
  <c r="GZ100" i="2"/>
  <c r="GZ82" i="2"/>
  <c r="GZ12" i="2"/>
  <c r="GZ155" i="2"/>
  <c r="GZ98" i="2"/>
  <c r="GZ45" i="2"/>
  <c r="GZ109" i="2"/>
  <c r="GZ18" i="2"/>
  <c r="GZ116" i="2"/>
  <c r="GZ83" i="2"/>
  <c r="GZ8" i="2"/>
  <c r="GZ171" i="2"/>
  <c r="GZ94" i="2"/>
  <c r="GZ148" i="2"/>
  <c r="GZ142" i="2"/>
  <c r="GZ26" i="2"/>
  <c r="GZ46" i="2"/>
  <c r="GZ85" i="2"/>
  <c r="GZ125" i="2"/>
  <c r="GZ176" i="2"/>
  <c r="GZ52" i="2"/>
  <c r="GZ68" i="2"/>
  <c r="GZ157" i="2"/>
  <c r="GZ79" i="2"/>
  <c r="GZ32" i="2"/>
  <c r="GZ158" i="2"/>
  <c r="GZ37" i="2"/>
  <c r="GZ30" i="2"/>
  <c r="GZ40" i="2"/>
  <c r="GZ139" i="2"/>
  <c r="GZ73" i="2"/>
  <c r="GZ203" i="2"/>
  <c r="GZ170" i="2"/>
  <c r="GZ4" i="2"/>
  <c r="GZ134" i="2"/>
  <c r="GZ10" i="2"/>
  <c r="GZ128" i="2"/>
  <c r="GZ50" i="2"/>
  <c r="GZ3" i="2"/>
  <c r="C15" i="4" s="1"/>
  <c r="E15" i="4" s="1"/>
  <c r="F15" i="4" s="1"/>
  <c r="G15" i="4" s="1"/>
  <c r="L15" i="4" s="1"/>
  <c r="FE115" i="2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J156" i="2" l="1"/>
  <c r="FJ151" i="2"/>
  <c r="FJ196" i="2"/>
  <c r="FJ99" i="2"/>
  <c r="FJ28" i="2"/>
  <c r="FJ3" i="2"/>
  <c r="C13" i="4" s="1"/>
  <c r="E13" i="4" s="1"/>
  <c r="F13" i="4" s="1"/>
  <c r="G13" i="4" s="1"/>
  <c r="L13" i="4" s="1"/>
  <c r="FJ169" i="2"/>
  <c r="FJ120" i="2"/>
  <c r="FJ171" i="2"/>
  <c r="FJ77" i="2"/>
  <c r="FJ93" i="2"/>
  <c r="FJ90" i="2"/>
  <c r="FJ71" i="2"/>
  <c r="FJ51" i="2"/>
  <c r="FJ162" i="2"/>
  <c r="FJ53" i="2"/>
  <c r="FJ64" i="2"/>
  <c r="FJ145" i="2"/>
  <c r="FJ54" i="2"/>
  <c r="FJ182" i="2"/>
  <c r="FJ118" i="2"/>
  <c r="FJ10" i="2"/>
  <c r="FJ22" i="2"/>
  <c r="FJ135" i="2"/>
  <c r="FJ191" i="2"/>
  <c r="FJ39" i="2"/>
  <c r="FJ11" i="2"/>
  <c r="FJ186" i="2"/>
  <c r="FJ68" i="2"/>
  <c r="FJ175" i="2"/>
  <c r="FJ102" i="2"/>
  <c r="FJ193" i="2"/>
  <c r="FJ62" i="2"/>
  <c r="FJ115" i="2"/>
  <c r="FJ49" i="2"/>
  <c r="FJ31" i="2"/>
  <c r="FJ74" i="2"/>
  <c r="FJ165" i="2"/>
  <c r="FJ6" i="2"/>
  <c r="FJ197" i="2"/>
  <c r="FJ50" i="2"/>
  <c r="FJ168" i="2"/>
  <c r="FJ40" i="2"/>
  <c r="FJ38" i="2"/>
  <c r="FJ106" i="2"/>
  <c r="FJ9" i="2"/>
  <c r="FJ85" i="2"/>
  <c r="FJ86" i="2"/>
  <c r="FJ52" i="2"/>
  <c r="FJ34" i="2"/>
  <c r="FJ142" i="2"/>
  <c r="FJ195" i="2"/>
  <c r="FJ70" i="2"/>
  <c r="FJ112" i="2"/>
  <c r="FJ43" i="2"/>
  <c r="FJ163" i="2"/>
  <c r="FJ48" i="2"/>
  <c r="FJ27" i="2"/>
  <c r="FJ161" i="2"/>
  <c r="FJ144" i="2"/>
  <c r="FJ46" i="2"/>
  <c r="FJ29" i="2"/>
  <c r="FJ14" i="2"/>
  <c r="FJ41" i="2"/>
  <c r="FJ103" i="2"/>
  <c r="FJ141" i="2"/>
  <c r="FJ202" i="2"/>
  <c r="FJ185" i="2"/>
  <c r="FJ91" i="2"/>
  <c r="FJ58" i="2"/>
  <c r="FJ201" i="2"/>
  <c r="FJ26" i="2"/>
  <c r="FJ100" i="2"/>
  <c r="FJ173" i="2"/>
  <c r="FJ146" i="2"/>
  <c r="FJ42" i="2"/>
  <c r="FJ92" i="2"/>
  <c r="FJ63" i="2"/>
  <c r="FJ170" i="2"/>
  <c r="FJ20" i="2"/>
  <c r="FJ181" i="2"/>
  <c r="FJ177" i="2"/>
  <c r="FJ124" i="2"/>
  <c r="FJ167" i="2"/>
  <c r="FJ137" i="2"/>
  <c r="FJ116" i="2"/>
  <c r="FJ75" i="2"/>
  <c r="FJ94" i="2"/>
  <c r="FJ111" i="2"/>
  <c r="FJ83" i="2"/>
  <c r="FJ119" i="2"/>
  <c r="FJ126" i="2"/>
  <c r="FJ81" i="2"/>
  <c r="FJ55" i="2"/>
  <c r="FJ13" i="2"/>
  <c r="FJ8" i="2"/>
  <c r="FJ109" i="2"/>
  <c r="FJ69" i="2"/>
  <c r="FJ140" i="2"/>
  <c r="FJ121" i="2"/>
  <c r="FJ148" i="2"/>
  <c r="FJ84" i="2"/>
  <c r="FJ155" i="2"/>
  <c r="FJ122" i="2"/>
  <c r="FJ194" i="2"/>
  <c r="FJ57" i="2"/>
  <c r="FJ178" i="2"/>
  <c r="FJ179" i="2"/>
  <c r="FJ95" i="2"/>
  <c r="FJ203" i="2"/>
  <c r="FJ127" i="2"/>
  <c r="FJ23" i="2"/>
  <c r="FJ30" i="2"/>
  <c r="FJ108" i="2"/>
  <c r="FJ73" i="2"/>
  <c r="FJ184" i="2"/>
  <c r="FJ183" i="2"/>
  <c r="FJ147" i="2"/>
  <c r="FJ190" i="2"/>
  <c r="FJ129" i="2"/>
  <c r="FJ114" i="2"/>
  <c r="FJ187" i="2"/>
  <c r="FJ19" i="2"/>
  <c r="FJ110" i="2"/>
  <c r="FJ78" i="2"/>
  <c r="FJ17" i="2"/>
  <c r="FJ79" i="2"/>
  <c r="FJ5" i="2"/>
  <c r="FJ174" i="2"/>
  <c r="FJ88" i="2"/>
  <c r="FJ104" i="2"/>
  <c r="FJ72" i="2"/>
  <c r="FJ61" i="2"/>
  <c r="FJ128" i="2"/>
  <c r="FJ157" i="2"/>
  <c r="FJ12" i="2"/>
  <c r="FJ192" i="2"/>
  <c r="FJ16" i="2"/>
  <c r="FJ160" i="2"/>
  <c r="FJ188" i="2"/>
  <c r="FJ131" i="2"/>
  <c r="FJ199" i="2"/>
  <c r="FJ82" i="2"/>
  <c r="FJ97" i="2"/>
  <c r="FJ24" i="2"/>
  <c r="FJ152" i="2"/>
  <c r="FJ123" i="2"/>
  <c r="FJ37" i="2"/>
  <c r="FJ149" i="2"/>
  <c r="FJ133" i="2"/>
  <c r="FJ32" i="2"/>
  <c r="FJ200" i="2"/>
  <c r="FJ125" i="2"/>
  <c r="FJ15" i="2"/>
  <c r="FJ113" i="2"/>
  <c r="FJ107" i="2"/>
  <c r="FJ80" i="2"/>
  <c r="FJ154" i="2"/>
  <c r="FJ134" i="2"/>
  <c r="FJ47" i="2"/>
  <c r="FJ45" i="2"/>
  <c r="FJ180" i="2"/>
  <c r="FJ198" i="2"/>
  <c r="FJ66" i="2"/>
  <c r="FJ59" i="2"/>
  <c r="FJ18" i="2"/>
  <c r="FJ35" i="2"/>
  <c r="FJ176" i="2"/>
  <c r="FJ172" i="2"/>
  <c r="FJ105" i="2"/>
  <c r="FJ36" i="2"/>
  <c r="FJ138" i="2"/>
  <c r="FJ130" i="2"/>
  <c r="FJ76" i="2"/>
  <c r="FJ44" i="2"/>
  <c r="FJ7" i="2"/>
  <c r="FJ89" i="2"/>
  <c r="FJ150" i="2"/>
  <c r="FJ25" i="2"/>
  <c r="FJ65" i="2"/>
  <c r="FJ60" i="2"/>
  <c r="FJ132" i="2"/>
  <c r="FJ21" i="2"/>
  <c r="FJ153" i="2"/>
  <c r="FJ98" i="2"/>
  <c r="FJ136" i="2"/>
  <c r="FJ101" i="2"/>
  <c r="FJ139" i="2"/>
  <c r="FJ189" i="2"/>
  <c r="FJ166" i="2"/>
  <c r="FJ143" i="2"/>
  <c r="FJ117" i="2"/>
  <c r="FJ87" i="2"/>
  <c r="FJ33" i="2"/>
  <c r="FJ158" i="2"/>
  <c r="FJ159" i="2"/>
  <c r="FJ164" i="2"/>
  <c r="FJ67" i="2"/>
  <c r="FJ96" i="2"/>
  <c r="FJ4" i="2"/>
  <c r="FJ56" i="2"/>
  <c r="CD81" i="2"/>
  <c r="CD28" i="2"/>
  <c r="CD60" i="2"/>
  <c r="CD184" i="2"/>
  <c r="CD177" i="2"/>
  <c r="CD165" i="2"/>
  <c r="CD181" i="2"/>
  <c r="CD161" i="2"/>
  <c r="CD125" i="2"/>
  <c r="CD93" i="2"/>
  <c r="CD178" i="2"/>
  <c r="CD50" i="2"/>
  <c r="CD24" i="2"/>
  <c r="CD11" i="2"/>
  <c r="CD63" i="2"/>
  <c r="CD30" i="2"/>
  <c r="CD36" i="2"/>
  <c r="CD70" i="2"/>
  <c r="CD78" i="2"/>
  <c r="CD128" i="2"/>
  <c r="CD68" i="2"/>
  <c r="CD155" i="2"/>
  <c r="CD157" i="2"/>
  <c r="CD85" i="2"/>
  <c r="CD53" i="2"/>
  <c r="CD58" i="2"/>
  <c r="CD105" i="2"/>
  <c r="CD130" i="2"/>
  <c r="CD52" i="2"/>
  <c r="CD159" i="2"/>
  <c r="CD15" i="2"/>
  <c r="CD90" i="2"/>
  <c r="CD20" i="2"/>
  <c r="CD43" i="2"/>
  <c r="CD99" i="2"/>
  <c r="CD94" i="2"/>
  <c r="CD186" i="2"/>
  <c r="CD154" i="2"/>
  <c r="CD80" i="2"/>
  <c r="CD69" i="2"/>
  <c r="CD59" i="2"/>
  <c r="CD187" i="2"/>
  <c r="CD197" i="2"/>
  <c r="CD54" i="2"/>
  <c r="CD135" i="2"/>
  <c r="CD49" i="2"/>
  <c r="CD203" i="2"/>
  <c r="CD71" i="2"/>
  <c r="CD13" i="2"/>
  <c r="CD67" i="2"/>
  <c r="CD120" i="2"/>
  <c r="CD26" i="2"/>
  <c r="CD117" i="2"/>
  <c r="CD66" i="2"/>
  <c r="CD101" i="2"/>
  <c r="CD40" i="2"/>
  <c r="CD198" i="2"/>
  <c r="CD140" i="2"/>
  <c r="CD176" i="2"/>
  <c r="CD171" i="2"/>
  <c r="CD88" i="2"/>
  <c r="CD185" i="2"/>
  <c r="CD73" i="2"/>
  <c r="CD34" i="2"/>
  <c r="CD167" i="2"/>
  <c r="CD202" i="2"/>
  <c r="CD175" i="2"/>
  <c r="CD108" i="2"/>
  <c r="CD112" i="2"/>
  <c r="CD139" i="2"/>
  <c r="CD110" i="2"/>
  <c r="CD158" i="2"/>
  <c r="CD10" i="2"/>
  <c r="CD87" i="2"/>
  <c r="CD35" i="2"/>
  <c r="CD27" i="2"/>
  <c r="CD119" i="2"/>
  <c r="CD170" i="2"/>
  <c r="CD190" i="2"/>
  <c r="CD136" i="2"/>
  <c r="CD83" i="2"/>
  <c r="CD146" i="2"/>
  <c r="CD25" i="2"/>
  <c r="CD77" i="2"/>
  <c r="CD8" i="2"/>
  <c r="CD31" i="2"/>
  <c r="CD102" i="2"/>
  <c r="CD152" i="2"/>
  <c r="CD76" i="2"/>
  <c r="CD122" i="2"/>
  <c r="CD188" i="2"/>
  <c r="CD79" i="2"/>
  <c r="CD4" i="2"/>
  <c r="CD23" i="2"/>
  <c r="CD104" i="2"/>
  <c r="CD182" i="2"/>
  <c r="CD169" i="2"/>
  <c r="CD65" i="2"/>
  <c r="CD5" i="2"/>
  <c r="CD106" i="2"/>
  <c r="CD172" i="2"/>
  <c r="CD38" i="2"/>
  <c r="CD89" i="2"/>
  <c r="CD124" i="2"/>
  <c r="CD62" i="2"/>
  <c r="CD18" i="2"/>
  <c r="CD137" i="2"/>
  <c r="CD21" i="2"/>
  <c r="CD195" i="2"/>
  <c r="CD149" i="2"/>
  <c r="CD150" i="2"/>
  <c r="CD193" i="2"/>
  <c r="CD126" i="2"/>
  <c r="CD160" i="2"/>
  <c r="CD179" i="2"/>
  <c r="CD138" i="2"/>
  <c r="CD189" i="2"/>
  <c r="CD96" i="2"/>
  <c r="CD168" i="2"/>
  <c r="CD57" i="2"/>
  <c r="CD14" i="2"/>
  <c r="CD51" i="2"/>
  <c r="CD55" i="2"/>
  <c r="CD191" i="2"/>
  <c r="CD16" i="2"/>
  <c r="CD61" i="2"/>
  <c r="CD12" i="2"/>
  <c r="CD39" i="2"/>
  <c r="CD84" i="2"/>
  <c r="CD33" i="2"/>
  <c r="CD29" i="2"/>
  <c r="CD37" i="2"/>
  <c r="CD6" i="2"/>
  <c r="CD201" i="2"/>
  <c r="CD22" i="2"/>
  <c r="CD143" i="2"/>
  <c r="CD19" i="2"/>
  <c r="CD56" i="2"/>
  <c r="CD115" i="2"/>
  <c r="CD107" i="2"/>
  <c r="CD199" i="2"/>
  <c r="CD114" i="2"/>
  <c r="CD148" i="2"/>
  <c r="CD183" i="2"/>
  <c r="CD92" i="2"/>
  <c r="CD151" i="2"/>
  <c r="CD9" i="2"/>
  <c r="CD100" i="2"/>
  <c r="CD7" i="2"/>
  <c r="CD163" i="2"/>
  <c r="CD166" i="2"/>
  <c r="CD200" i="2"/>
  <c r="CD164" i="2"/>
  <c r="CD192" i="2"/>
  <c r="CD82" i="2"/>
  <c r="CD47" i="2"/>
  <c r="CD75" i="2"/>
  <c r="CD156" i="2"/>
  <c r="CD153" i="2"/>
  <c r="CD103" i="2"/>
  <c r="CD194" i="2"/>
  <c r="CD42" i="2"/>
  <c r="CD98" i="2"/>
  <c r="CD95" i="2"/>
  <c r="CD131" i="2"/>
  <c r="CD91" i="2"/>
  <c r="CD144" i="2"/>
  <c r="CD3" i="2"/>
  <c r="C9" i="4" s="1"/>
  <c r="E9" i="4" s="1"/>
  <c r="F9" i="4" s="1"/>
  <c r="G9" i="4" s="1"/>
  <c r="L9" i="4" s="1"/>
  <c r="CD123" i="2"/>
  <c r="CD147" i="2"/>
  <c r="CD133" i="2"/>
  <c r="CD97" i="2"/>
  <c r="CD17" i="2"/>
  <c r="CD145" i="2"/>
  <c r="CD132" i="2"/>
  <c r="CD196" i="2"/>
  <c r="CD121" i="2"/>
  <c r="CD134" i="2"/>
  <c r="CD86" i="2"/>
  <c r="CD127" i="2"/>
  <c r="CD162" i="2"/>
  <c r="CD48" i="2"/>
  <c r="CD118" i="2"/>
  <c r="CD44" i="2"/>
  <c r="CD46" i="2"/>
  <c r="CD129" i="2"/>
  <c r="CD141" i="2"/>
  <c r="CD116" i="2"/>
  <c r="CD45" i="2"/>
  <c r="CD113" i="2"/>
  <c r="CD142" i="2"/>
  <c r="CD180" i="2"/>
  <c r="CD41" i="2"/>
  <c r="CD74" i="2"/>
  <c r="CD111" i="2"/>
  <c r="CD109" i="2"/>
  <c r="CD32" i="2"/>
  <c r="CD173" i="2"/>
  <c r="CD72" i="2"/>
  <c r="CD174" i="2"/>
  <c r="CD64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<sst xmlns="http://schemas.openxmlformats.org/spreadsheetml/2006/main" count="1189" uniqueCount="330">
  <si>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</si>
  <si>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</si>
  <si>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</si>
  <si>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</si>
  <si>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</si>
  <si>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</si>
  <si>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</si>
  <si>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</si>
  <si>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</si>
  <si>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</si>
  <si>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</si>
  <si>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</si>
  <si>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</si>
  <si>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</si>
  <si>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</si>
  <si>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</si>
  <si>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</si>
  <si>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</si>
  <si>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</si>
  <si>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</si>
  <si>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</si>
  <si>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</si>
  <si>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</si>
  <si>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</si>
  <si>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</si>
  <si>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</si>
  <si>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</si>
  <si>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</si>
  <si>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</si>
  <si>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</si>
  <si>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</si>
  <si>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</si>
  <si>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</si>
  <si>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</si>
  <si>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</si>
  <si>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</si>
  <si>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</si>
  <si>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</si>
  <si>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</si>
  <si>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</si>
  <si>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</si>
  <si>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</si>
  <si>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</si>
  <si>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</si>
  <si>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</si>
  <si>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</si>
  <si>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</si>
  <si>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</si>
  <si>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</si>
  <si>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</si>
  <si>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</si>
  <si>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</si>
  <si>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</si>
  <si>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</si>
  <si>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</si>
  <si>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</si>
  <si>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</si>
  <si>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</si>
  <si>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</si>
  <si>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</si>
  <si>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</si>
  <si>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</si>
  <si>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</si>
  <si>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</si>
  <si>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</si>
  <si>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</si>
  <si>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</si>
  <si>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</si>
  <si>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</si>
  <si>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</si>
  <si>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</si>
  <si>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</si>
  <si>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</si>
  <si>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</si>
  <si>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</si>
  <si>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</si>
  <si>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</si>
  <si>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</si>
  <si>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</si>
  <si>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</si>
  <si>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</si>
  <si>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</si>
  <si>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</si>
  <si>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</si>
  <si>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</si>
  <si>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</si>
  <si>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</si>
  <si>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</si>
  <si>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</si>
  <si>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</si>
  <si>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</si>
  <si>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</si>
  <si>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</si>
  <si>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</si>
  <si>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</si>
  <si>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</si>
  <si>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</si>
  <si>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</si>
  <si>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</si>
  <si>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</si>
  <si>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</si>
  <si>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</si>
  <si>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</si>
  <si>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</si>
  <si>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</si>
  <si>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</si>
  <si>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</si>
  <si>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</si>
  <si>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</si>
  <si>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</si>
  <si>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</si>
  <si>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</si>
  <si>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</si>
  <si>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</si>
  <si>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</si>
  <si>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</si>
  <si>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</si>
  <si>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</si>
  <si>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</si>
  <si>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</si>
  <si>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</si>
  <si>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</si>
  <si>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</si>
  <si>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</si>
  <si>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</si>
  <si>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</si>
  <si>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</si>
  <si>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</si>
  <si>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</si>
  <si>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</si>
  <si>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</si>
  <si>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</si>
  <si>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</si>
  <si>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</si>
  <si>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</si>
  <si>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</si>
  <si>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</si>
  <si>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</si>
  <si>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</si>
  <si>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</si>
  <si>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</si>
  <si>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</si>
  <si>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</si>
  <si>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</si>
  <si>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</si>
  <si>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</si>
  <si>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</si>
  <si>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</si>
  <si>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</si>
  <si>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</si>
  <si>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</si>
  <si>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</si>
  <si>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</si>
  <si>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</si>
  <si>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</si>
  <si>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</si>
  <si>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</si>
  <si>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</si>
  <si>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</si>
  <si>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</si>
  <si>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</si>
  <si>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</si>
  <si>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</si>
  <si>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</si>
  <si>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</si>
  <si>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</si>
  <si>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</si>
  <si>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</si>
  <si>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</si>
  <si>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</si>
  <si>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</si>
  <si>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</si>
  <si>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</si>
  <si>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</si>
  <si>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</si>
  <si>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</si>
  <si>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</si>
  <si>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</si>
  <si>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</si>
  <si>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</si>
  <si>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</si>
  <si>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</si>
  <si>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</si>
  <si>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</si>
  <si>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</si>
  <si>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</si>
  <si>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</si>
  <si>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</si>
  <si>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</si>
  <si>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</si>
  <si>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</si>
  <si>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</si>
  <si>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</si>
  <si>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</si>
  <si>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</si>
  <si>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</si>
  <si>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</si>
  <si>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</si>
  <si>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</si>
  <si>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</si>
  <si>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</si>
  <si>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</si>
  <si>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</si>
  <si>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</si>
  <si>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</si>
  <si>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</si>
  <si>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</si>
  <si>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</si>
  <si>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</si>
  <si>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</si>
  <si>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</si>
  <si>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</si>
  <si>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</si>
  <si>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</si>
  <si>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</si>
  <si>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</si>
  <si>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</si>
  <si>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</si>
  <si>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</si>
  <si>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</si>
  <si>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</si>
  <si>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</si>
  <si>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</si>
  <si>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</si>
  <si>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</si>
  <si>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</si>
  <si>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</si>
  <si>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</si>
  <si>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</si>
  <si>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</si>
  <si>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</si>
  <si>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</si>
  <si>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</si>
  <si>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</si>
  <si>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</si>
  <si>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</si>
  <si>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</si>
  <si>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</si>
  <si>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</si>
  <si>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</si>
  <si>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</si>
  <si>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</si>
  <si>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</si>
  <si>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</si>
  <si>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</si>
  <si>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</si>
  <si>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</si>
  <si>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</si>
  <si>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</si>
  <si>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</si>
  <si>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</si>
  <si>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</si>
  <si>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</si>
  <si>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</si>
  <si>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</si>
  <si>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</si>
  <si>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</si>
  <si>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</si>
  <si>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</si>
  <si>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</si>
  <si>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</si>
  <si>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</si>
  <si>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</si>
  <si>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</si>
  <si>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</si>
  <si>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</si>
  <si>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</si>
  <si>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</si>
  <si>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</si>
  <si>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</si>
  <si>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</si>
  <si>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</si>
  <si>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</si>
  <si>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</si>
  <si>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</si>
  <si>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</si>
  <si>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</si>
  <si>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</si>
  <si>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</si>
  <si>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</si>
  <si>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</si>
  <si>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</si>
  <si>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</si>
  <si>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</si>
  <si>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</si>
  <si>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</si>
  <si>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</si>
  <si>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</si>
  <si>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</si>
  <si>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</si>
  <si>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</si>
  <si>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</si>
  <si>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</si>
  <si>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</si>
  <si>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</si>
  <si>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</si>
  <si>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</si>
  <si>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</si>
  <si>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</si>
  <si>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</si>
  <si>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</si>
  <si>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</si>
  <si>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</si>
  <si>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</si>
  <si>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</si>
  <si>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</si>
  <si>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</si>
  <si>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</si>
  <si>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</si>
  <si>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</si>
  <si>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</si>
  <si>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</si>
  <si>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</si>
  <si>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</si>
  <si>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</si>
  <si>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</si>
  <si>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</si>
  <si>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</si>
  <si>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</si>
  <si>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</si>
  <si>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</si>
  <si>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</si>
  <si>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</si>
  <si>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</si>
  <si>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YC8 [1/3]</t>
  </si>
  <si>
    <t>YC10 [2/5]</t>
  </si>
  <si>
    <t>Unique</t>
  </si>
  <si>
    <t>I [1/5]</t>
  </si>
  <si>
    <t>F3 [2/3/4]</t>
  </si>
  <si>
    <t>IT2 [2/3]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</si>
</sst>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" fontId="0" fillId="0" borderId="0" xfId="0" applyNumberFormat="1" applyProtection="1"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161.75563241829539</c:v>
                </c:pt>
                <c:pt idx="22">
                  <c:v>175.89351283227515</c:v>
                </c:pt>
                <c:pt idx="23">
                  <c:v>190.00471981377623</c:v>
                </c:pt>
                <c:pt idx="24">
                  <c:v>204.09151430529414</c:v>
                </c:pt>
                <c:pt idx="25">
                  <c:v>218.15581931274576</c:v>
                </c:pt>
                <c:pt idx="26">
                  <c:v>169.613452288893</c:v>
                </c:pt>
                <c:pt idx="27">
                  <c:v>187.65460373716556</c:v>
                </c:pt>
                <c:pt idx="28">
                  <c:v>205.65529308794461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262.56193918616879</c:v>
                </c:pt>
                <c:pt idx="32">
                  <c:v>283.53519379457339</c:v>
                </c:pt>
                <c:pt idx="33">
                  <c:v>304.47370954373434</c:v>
                </c:pt>
                <c:pt idx="34">
                  <c:v>325.38021038250321</c:v>
                </c:pt>
                <c:pt idx="35">
                  <c:v>346.25704166537042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302.92383728372175</c:v>
                </c:pt>
                <c:pt idx="39">
                  <c:v>324.60643807826506</c:v>
                </c:pt>
                <c:pt idx="40">
                  <c:v>346.25704166537042</c:v>
                </c:pt>
                <c:pt idx="41">
                  <c:v>368.2637587173711</c:v>
                </c:pt>
                <c:pt idx="42">
                  <c:v>390.24178515868516</c:v>
                </c:pt>
                <c:pt idx="43">
                  <c:v>412.19296293548695</c:v>
                </c:pt>
                <c:pt idx="44">
                  <c:v>434.11892190865478</c:v>
                </c:pt>
                <c:pt idx="45">
                  <c:v>456.02111397099458</c:v>
                </c:pt>
                <c:pt idx="46">
                  <c:v>369.42119511414563</c:v>
                </c:pt>
                <c:pt idx="47">
                  <c:v>390.62711987432004</c:v>
                </c:pt>
                <c:pt idx="48">
                  <c:v>411.8080763786877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473.68012971962668</c:v>
                </c:pt>
                <c:pt idx="52">
                  <c:v>493.24225474849794</c:v>
                </c:pt>
                <c:pt idx="53">
                  <c:v>512.78793950323291</c:v>
                </c:pt>
                <c:pt idx="54">
                  <c:v>532.31789836558266</c:v>
                </c:pt>
                <c:pt idx="55">
                  <c:v>551.83278906179726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551.45028504666311</c:v>
                </c:pt>
                <c:pt idx="62">
                  <c:v>568.27526097606199</c:v>
                </c:pt>
                <c:pt idx="63">
                  <c:v>585.08982917045773</c:v>
                </c:pt>
                <c:pt idx="64">
                  <c:v>601.89433065861692</c:v>
                </c:pt>
                <c:pt idx="65">
                  <c:v>618.68908588691215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604.56686745724687</c:v>
                </c:pt>
                <c:pt idx="72">
                  <c:v>619.07067399707296</c:v>
                </c:pt>
                <c:pt idx="73">
                  <c:v>633.56744133236327</c:v>
                </c:pt>
                <c:pt idx="74">
                  <c:v>648.05735312955619</c:v>
                </c:pt>
                <c:pt idx="75">
                  <c:v>662.54058417706926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631.66036748923955</c:v>
                </c:pt>
                <c:pt idx="82">
                  <c:v>638.90661802503621</c:v>
                </c:pt>
                <c:pt idx="83">
                  <c:v>646.15117115988835</c:v>
                </c:pt>
                <c:pt idx="84">
                  <c:v>653.39404860903915</c:v>
                </c:pt>
                <c:pt idx="85">
                  <c:v>660.63527156703708</c:v>
                </c:pt>
                <c:pt idx="86">
                  <c:v>667.87486072591469</c:v>
                </c:pt>
                <c:pt idx="87">
                  <c:v>675.11283629253967</c:v>
                </c:pt>
                <c:pt idx="88">
                  <c:v>682.34921800518089</c:v>
                </c:pt>
                <c:pt idx="89">
                  <c:v>689.58402514933766</c:v>
                </c:pt>
                <c:pt idx="90">
                  <c:v>696.81727657286899</c:v>
                </c:pt>
                <c:pt idx="91">
                  <c:v>601.32161215624581</c:v>
                </c:pt>
                <c:pt idx="92">
                  <c:v>612.58301041135371</c:v>
                </c:pt>
                <c:pt idx="93">
                  <c:v>623.84011521480932</c:v>
                </c:pt>
                <c:pt idx="94">
                  <c:v>635.09301493951591</c:v>
                </c:pt>
                <c:pt idx="95">
                  <c:v>646.34179457229243</c:v>
                </c:pt>
                <c:pt idx="96">
                  <c:v>657.5865359015296</c:v>
                </c:pt>
                <c:pt idx="97">
                  <c:v>668.82731769134716</c:v>
                </c:pt>
                <c:pt idx="98">
                  <c:v>680.06421584344059</c:v>
                </c:pt>
                <c:pt idx="99">
                  <c:v>691.29730354767992</c:v>
                </c:pt>
                <c:pt idx="100">
                  <c:v>702.52665142241437</c:v>
                </c:pt>
                <c:pt idx="101">
                  <c:v>608.0026257927675</c:v>
                </c:pt>
                <c:pt idx="102">
                  <c:v>618.3074928990726</c:v>
                </c:pt>
                <c:pt idx="103">
                  <c:v>628.60880146856755</c:v>
                </c:pt>
                <c:pt idx="104">
                  <c:v>638.90661802503575</c:v>
                </c:pt>
                <c:pt idx="105">
                  <c:v>649.20100677344124</c:v>
                </c:pt>
                <c:pt idx="106">
                  <c:v>659.49202971702437</c:v>
                </c:pt>
                <c:pt idx="107">
                  <c:v>669.77974676670851</c:v>
                </c:pt>
                <c:pt idx="108">
                  <c:v>680.06421584344037</c:v>
                </c:pt>
                <c:pt idx="109">
                  <c:v>690.34549297401929</c:v>
                </c:pt>
                <c:pt idx="110">
                  <c:v>700.62363238092303</c:v>
                </c:pt>
                <c:pt idx="111">
                  <c:v>608.19348941446708</c:v>
                </c:pt>
                <c:pt idx="112">
                  <c:v>616.7810721021084</c:v>
                </c:pt>
                <c:pt idx="113">
                  <c:v>625.36617664098787</c:v>
                </c:pt>
                <c:pt idx="114">
                  <c:v>633.94884184663977</c:v>
                </c:pt>
                <c:pt idx="115">
                  <c:v>642.52910539795425</c:v>
                </c:pt>
                <c:pt idx="116">
                  <c:v>651.1070038855247</c:v>
                </c:pt>
                <c:pt idx="117">
                  <c:v>659.68257285730897</c:v>
                </c:pt>
                <c:pt idx="118">
                  <c:v>668.25584686179923</c:v>
                </c:pt>
                <c:pt idx="119">
                  <c:v>676.82685948885705</c:v>
                </c:pt>
                <c:pt idx="120">
                  <c:v>685.39564340837785</c:v>
                </c:pt>
                <c:pt idx="121">
                  <c:v>603.8033106091608</c:v>
                </c:pt>
                <c:pt idx="122">
                  <c:v>611.81966247181992</c:v>
                </c:pt>
                <c:pt idx="123">
                  <c:v>619.83383559808942</c:v>
                </c:pt>
                <c:pt idx="124">
                  <c:v>627.84586213083344</c:v>
                </c:pt>
                <c:pt idx="125">
                  <c:v>635.85577332565276</c:v>
                </c:pt>
                <c:pt idx="126">
                  <c:v>643.86359958648518</c:v>
                </c:pt>
                <c:pt idx="127">
                  <c:v>651.86937049934511</c:v>
                </c:pt>
                <c:pt idx="128">
                  <c:v>659.87311486431611</c:v>
                </c:pt>
                <c:pt idx="129">
                  <c:v>667.87486072591389</c:v>
                </c:pt>
                <c:pt idx="130">
                  <c:v>675.87463540191834</c:v>
                </c:pt>
                <c:pt idx="131">
                  <c:v>599.60338857466627</c:v>
                </c:pt>
                <c:pt idx="132">
                  <c:v>607.23915886223779</c:v>
                </c:pt>
                <c:pt idx="133">
                  <c:v>614.87293594423409</c:v>
                </c:pt>
                <c:pt idx="134">
                  <c:v>622.50474805800286</c:v>
                </c:pt>
                <c:pt idx="135">
                  <c:v>630.13462269202034</c:v>
                </c:pt>
                <c:pt idx="136">
                  <c:v>637.76258661477277</c:v>
                </c:pt>
                <c:pt idx="137">
                  <c:v>645.38866590218811</c:v>
                </c:pt>
                <c:pt idx="138">
                  <c:v>653.0128859637</c:v>
                </c:pt>
                <c:pt idx="139">
                  <c:v>660.63527156703606</c:v>
                </c:pt>
                <c:pt idx="140">
                  <c:v>668.25584686179889</c:v>
                </c:pt>
                <c:pt idx="141">
                  <c:v>592.92043173039758</c:v>
                </c:pt>
                <c:pt idx="142">
                  <c:v>599.60338857466627</c:v>
                </c:pt>
                <c:pt idx="143">
                  <c:v>606.28479716716993</c:v>
                </c:pt>
                <c:pt idx="144">
                  <c:v>612.96467697950118</c:v>
                </c:pt>
                <c:pt idx="145">
                  <c:v>619.64304702417701</c:v>
                </c:pt>
                <c:pt idx="146">
                  <c:v>626.31992587040372</c:v>
                </c:pt>
                <c:pt idx="147">
                  <c:v>632.99533165913078</c:v>
                </c:pt>
                <c:pt idx="148">
                  <c:v>639.66928211743823</c:v>
                </c:pt>
                <c:pt idx="149">
                  <c:v>646.34179457229163</c:v>
                </c:pt>
                <c:pt idx="150">
                  <c:v>653.0128859637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02627040"/>
        <c:axId val="-1202623776"/>
      </c:scatterChart>
      <c:valAx>
        <c:axId val="-120262704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23776"/>
        <c:crosses val="autoZero"/>
        <c:crossBetween val="midCat"/>
      </c:valAx>
      <c:valAx>
        <c:axId val="-120262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2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2.5051793880464022</c:v>
                </c:pt>
                <c:pt idx="2">
                  <c:v>3.624379518797646</c:v>
                </c:pt>
                <c:pt idx="3">
                  <c:v>5.245804396463571</c:v>
                </c:pt>
                <c:pt idx="4">
                  <c:v>7.5957538995022098</c:v>
                </c:pt>
                <c:pt idx="5">
                  <c:v>11.002889067654728</c:v>
                </c:pt>
                <c:pt idx="6">
                  <c:v>15.94469618571255</c:v>
                </c:pt>
                <c:pt idx="7">
                  <c:v>23.115110018714589</c:v>
                </c:pt>
                <c:pt idx="8">
                  <c:v>33.522960010987198</c:v>
                </c:pt>
                <c:pt idx="9">
                  <c:v>48.635328574767534</c:v>
                </c:pt>
                <c:pt idx="10">
                  <c:v>70.586367176528725</c:v>
                </c:pt>
                <c:pt idx="11">
                  <c:v>86.750565269587057</c:v>
                </c:pt>
                <c:pt idx="12">
                  <c:v>102.83879803340767</c:v>
                </c:pt>
                <c:pt idx="13">
                  <c:v>118.86466834612668</c:v>
                </c:pt>
                <c:pt idx="14">
                  <c:v>134.83778772804266</c:v>
                </c:pt>
                <c:pt idx="15">
                  <c:v>150.76529438308779</c:v>
                </c:pt>
                <c:pt idx="16">
                  <c:v>127.32709772566022</c:v>
                </c:pt>
                <c:pt idx="17">
                  <c:v>144.21205048455991</c:v>
                </c:pt>
                <c:pt idx="18">
                  <c:v>161.04966060230029</c:v>
                </c:pt>
                <c:pt idx="19">
                  <c:v>177.84557863573093</c:v>
                </c:pt>
                <c:pt idx="20">
                  <c:v>194.60429841233386</c:v>
                </c:pt>
                <c:pt idx="21">
                  <c:v>210.58680257626534</c:v>
                </c:pt>
                <c:pt idx="22">
                  <c:v>226.54133526606725</c:v>
                </c:pt>
                <c:pt idx="23">
                  <c:v>242.47014406922003</c:v>
                </c:pt>
                <c:pt idx="24">
                  <c:v>258.37515696454608</c:v>
                </c:pt>
                <c:pt idx="25">
                  <c:v>274.25804507082165</c:v>
                </c:pt>
                <c:pt idx="26">
                  <c:v>226.17059982008129</c:v>
                </c:pt>
                <c:pt idx="27">
                  <c:v>240.98942582679555</c:v>
                </c:pt>
                <c:pt idx="28">
                  <c:v>255.78751789170556</c:v>
                </c:pt>
                <c:pt idx="29">
                  <c:v>270.56624463958929</c:v>
                </c:pt>
                <c:pt idx="30">
                  <c:v>285.326812913494</c:v>
                </c:pt>
                <c:pt idx="31">
                  <c:v>298.96510410049149</c:v>
                </c:pt>
                <c:pt idx="32">
                  <c:v>312.58953755592438</c:v>
                </c:pt>
                <c:pt idx="33">
                  <c:v>326.20080244945706</c:v>
                </c:pt>
                <c:pt idx="34">
                  <c:v>339.79952573014128</c:v>
                </c:pt>
                <c:pt idx="35">
                  <c:v>353.3862800618312</c:v>
                </c:pt>
                <c:pt idx="36">
                  <c:v>301.72791008451242</c:v>
                </c:pt>
                <c:pt idx="37">
                  <c:v>314.42965273943685</c:v>
                </c:pt>
                <c:pt idx="38">
                  <c:v>327.1200234808083</c:v>
                </c:pt>
                <c:pt idx="39">
                  <c:v>339.79952573014117</c:v>
                </c:pt>
                <c:pt idx="40">
                  <c:v>352.46862226287612</c:v>
                </c:pt>
                <c:pt idx="41">
                  <c:v>364.21073916029871</c:v>
                </c:pt>
                <c:pt idx="42">
                  <c:v>375.94458711662327</c:v>
                </c:pt>
                <c:pt idx="43">
                  <c:v>387.67046064955321</c:v>
                </c:pt>
                <c:pt idx="44">
                  <c:v>399.3886350025723</c:v>
                </c:pt>
                <c:pt idx="45">
                  <c:v>411.09936794685387</c:v>
                </c:pt>
                <c:pt idx="46">
                  <c:v>377.77727330508327</c:v>
                </c:pt>
                <c:pt idx="47">
                  <c:v>384.73972450449719</c:v>
                </c:pt>
                <c:pt idx="48">
                  <c:v>391.69943812459701</c:v>
                </c:pt>
                <c:pt idx="49">
                  <c:v>398.65646970722696</c:v>
                </c:pt>
                <c:pt idx="50">
                  <c:v>405.61087269600699</c:v>
                </c:pt>
                <c:pt idx="51">
                  <c:v>415.85478353292336</c:v>
                </c:pt>
                <c:pt idx="52">
                  <c:v>426.09325445324481</c:v>
                </c:pt>
                <c:pt idx="53">
                  <c:v>436.32643463475307</c:v>
                </c:pt>
                <c:pt idx="54">
                  <c:v>446.55446568525832</c:v>
                </c:pt>
                <c:pt idx="55">
                  <c:v>456.77748219504173</c:v>
                </c:pt>
                <c:pt idx="56">
                  <c:v>409.45298655272927</c:v>
                </c:pt>
                <c:pt idx="57">
                  <c:v>418.78060936059552</c:v>
                </c:pt>
                <c:pt idx="58">
                  <c:v>428.10375641326351</c:v>
                </c:pt>
                <c:pt idx="59">
                  <c:v>437.42253896321091</c:v>
                </c:pt>
                <c:pt idx="60">
                  <c:v>446.73706313430358</c:v>
                </c:pt>
                <c:pt idx="61">
                  <c:v>455.68239493388273</c:v>
                </c:pt>
                <c:pt idx="62">
                  <c:v>464.62397534491424</c:v>
                </c:pt>
                <c:pt idx="63">
                  <c:v>473.56188676537266</c:v>
                </c:pt>
                <c:pt idx="64">
                  <c:v>482.49620822825017</c:v>
                </c:pt>
                <c:pt idx="65">
                  <c:v>491.4270156000884</c:v>
                </c:pt>
                <c:pt idx="66">
                  <c:v>489.42244256680277</c:v>
                </c:pt>
                <c:pt idx="67">
                  <c:v>487.41769531100289</c:v>
                </c:pt>
                <c:pt idx="68">
                  <c:v>485.4127730136845</c:v>
                </c:pt>
                <c:pt idx="69">
                  <c:v>483.40767484851307</c:v>
                </c:pt>
                <c:pt idx="70">
                  <c:v>481.40239998172791</c:v>
                </c:pt>
                <c:pt idx="71">
                  <c:v>489.24020002780725</c:v>
                </c:pt>
                <c:pt idx="72">
                  <c:v>497.07533651620571</c:v>
                </c:pt>
                <c:pt idx="73">
                  <c:v>504.90785736733795</c:v>
                </c:pt>
                <c:pt idx="74">
                  <c:v>512.73780889308171</c:v>
                </c:pt>
                <c:pt idx="75">
                  <c:v>520.56523587504466</c:v>
                </c:pt>
                <c:pt idx="76">
                  <c:v>479.94390679421417</c:v>
                </c:pt>
                <c:pt idx="77">
                  <c:v>487.59995228229172</c:v>
                </c:pt>
                <c:pt idx="78">
                  <c:v>495.25344689448002</c:v>
                </c:pt>
                <c:pt idx="79">
                  <c:v>502.90443562608442</c:v>
                </c:pt>
                <c:pt idx="80">
                  <c:v>510.55296199115043</c:v>
                </c:pt>
                <c:pt idx="81">
                  <c:v>517.47097066164213</c:v>
                </c:pt>
                <c:pt idx="82">
                  <c:v>524.38702836863592</c:v>
                </c:pt>
                <c:pt idx="83">
                  <c:v>531.30116448222964</c:v>
                </c:pt>
                <c:pt idx="84">
                  <c:v>538.21340754546691</c:v>
                </c:pt>
                <c:pt idx="85">
                  <c:v>545.12378530818035</c:v>
                </c:pt>
                <c:pt idx="86">
                  <c:v>508.18582153810485</c:v>
                </c:pt>
                <c:pt idx="87">
                  <c:v>514.92245919242237</c:v>
                </c:pt>
                <c:pt idx="88">
                  <c:v>521.65723675514766</c:v>
                </c:pt>
                <c:pt idx="89">
                  <c:v>528.39018163787762</c:v>
                </c:pt>
                <c:pt idx="90">
                  <c:v>535.1213204963725</c:v>
                </c:pt>
                <c:pt idx="91">
                  <c:v>541.48697522708778</c:v>
                </c:pt>
                <c:pt idx="92">
                  <c:v>547.85105848470664</c:v>
                </c:pt>
                <c:pt idx="93">
                  <c:v>554.2135911059662</c:v>
                </c:pt>
                <c:pt idx="94">
                  <c:v>560.57459340998309</c:v>
                </c:pt>
                <c:pt idx="95">
                  <c:v>566.93408521696699</c:v>
                </c:pt>
                <c:pt idx="96">
                  <c:v>532.21077769816611</c:v>
                </c:pt>
                <c:pt idx="97">
                  <c:v>538.395283369494</c:v>
                </c:pt>
                <c:pt idx="98">
                  <c:v>544.57829635338339</c:v>
                </c:pt>
                <c:pt idx="99">
                  <c:v>550.7598359949335</c:v>
                </c:pt>
                <c:pt idx="100">
                  <c:v>556.93992116940638</c:v>
                </c:pt>
                <c:pt idx="101">
                  <c:v>562.57345267644382</c:v>
                </c:pt>
                <c:pt idx="102">
                  <c:v>568.20580402883661</c:v>
                </c:pt>
                <c:pt idx="103">
                  <c:v>573.83698857973275</c:v>
                </c:pt>
                <c:pt idx="104">
                  <c:v>579.46701939872798</c:v>
                </c:pt>
                <c:pt idx="105">
                  <c:v>585.09590928064313</c:v>
                </c:pt>
                <c:pt idx="106">
                  <c:v>590.72367075394811</c:v>
                </c:pt>
                <c:pt idx="107">
                  <c:v>596.3503160888456</c:v>
                </c:pt>
                <c:pt idx="108">
                  <c:v>601.97585730503681</c:v>
                </c:pt>
                <c:pt idx="109">
                  <c:v>607.6003061791788</c:v>
                </c:pt>
                <c:pt idx="110">
                  <c:v>613.22367425205323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57614944"/>
        <c:axId val="-957611136"/>
      </c:scatterChart>
      <c:valAx>
        <c:axId val="-957614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7611136"/>
        <c:crosses val="autoZero"/>
        <c:crossBetween val="midCat"/>
      </c:valAx>
      <c:valAx>
        <c:axId val="-95761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7614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3.1707548346542</c:v>
                </c:pt>
                <c:pt idx="2">
                  <c:v>3.8994070069335893</c:v>
                </c:pt>
                <c:pt idx="3">
                  <c:v>4.7961395743139903</c:v>
                </c:pt>
                <c:pt idx="4">
                  <c:v>5.8998617479716442</c:v>
                </c:pt>
                <c:pt idx="5">
                  <c:v>7.2585196858425398</c:v>
                </c:pt>
                <c:pt idx="6">
                  <c:v>8.9312018151497536</c:v>
                </c:pt>
                <c:pt idx="7">
                  <c:v>10.990736010102614</c:v>
                </c:pt>
                <c:pt idx="8">
                  <c:v>13.526893830411311</c:v>
                </c:pt>
                <c:pt idx="9">
                  <c:v>16.650344073811482</c:v>
                </c:pt>
                <c:pt idx="10">
                  <c:v>20.497531306964643</c:v>
                </c:pt>
                <c:pt idx="11">
                  <c:v>25.23669631396508</c:v>
                </c:pt>
                <c:pt idx="12">
                  <c:v>31.075306394532003</c:v>
                </c:pt>
                <c:pt idx="13">
                  <c:v>38.269226447074438</c:v>
                </c:pt>
                <c:pt idx="14">
                  <c:v>47.134039619059727</c:v>
                </c:pt>
                <c:pt idx="15">
                  <c:v>58.059022502120392</c:v>
                </c:pt>
                <c:pt idx="16">
                  <c:v>71.524398723990075</c:v>
                </c:pt>
                <c:pt idx="17">
                  <c:v>88.122641699910204</c:v>
                </c:pt>
                <c:pt idx="18">
                  <c:v>108.58477887574996</c:v>
                </c:pt>
                <c:pt idx="19">
                  <c:v>133.81287421387319</c:v>
                </c:pt>
                <c:pt idx="20">
                  <c:v>164.92014306911736</c:v>
                </c:pt>
                <c:pt idx="21">
                  <c:v>180.75557672577415</c:v>
                </c:pt>
                <c:pt idx="22">
                  <c:v>196.55853182882308</c:v>
                </c:pt>
                <c:pt idx="23">
                  <c:v>212.33198814382544</c:v>
                </c:pt>
                <c:pt idx="24">
                  <c:v>228.07844610125684</c:v>
                </c:pt>
                <c:pt idx="25">
                  <c:v>243.80003239943395</c:v>
                </c:pt>
                <c:pt idx="26">
                  <c:v>189.53880266603645</c:v>
                </c:pt>
                <c:pt idx="27">
                  <c:v>209.70501606431188</c:v>
                </c:pt>
                <c:pt idx="28">
                  <c:v>229.82648145953826</c:v>
                </c:pt>
                <c:pt idx="29">
                  <c:v>249.9076676355476</c:v>
                </c:pt>
                <c:pt idx="30">
                  <c:v>269.95226599480003</c:v>
                </c:pt>
                <c:pt idx="31">
                  <c:v>293.44034996889724</c:v>
                </c:pt>
                <c:pt idx="32">
                  <c:v>316.88647637416977</c:v>
                </c:pt>
                <c:pt idx="33">
                  <c:v>340.2941842426967</c:v>
                </c:pt>
                <c:pt idx="34">
                  <c:v>363.66648605477627</c:v>
                </c:pt>
                <c:pt idx="35">
                  <c:v>387.00597559413177</c:v>
                </c:pt>
                <c:pt idx="36">
                  <c:v>289.96337472940422</c:v>
                </c:pt>
                <c:pt idx="37">
                  <c:v>314.28330815365308</c:v>
                </c:pt>
                <c:pt idx="38">
                  <c:v>338.56152844098671</c:v>
                </c:pt>
                <c:pt idx="39">
                  <c:v>362.80144525672239</c:v>
                </c:pt>
                <c:pt idx="40">
                  <c:v>387.00597559413171</c:v>
                </c:pt>
                <c:pt idx="41">
                  <c:v>411.60899407848501</c:v>
                </c:pt>
                <c:pt idx="42">
                  <c:v>436.18028292908167</c:v>
                </c:pt>
                <c:pt idx="43">
                  <c:v>460.72187919832771</c:v>
                </c:pt>
                <c:pt idx="44">
                  <c:v>485.23558538841758</c:v>
                </c:pt>
                <c:pt idx="45">
                  <c:v>509.72300718239194</c:v>
                </c:pt>
                <c:pt idx="46">
                  <c:v>412.90299192267616</c:v>
                </c:pt>
                <c:pt idx="47">
                  <c:v>436.61108755732999</c:v>
                </c:pt>
                <c:pt idx="48">
                  <c:v>460.29157019967312</c:v>
                </c:pt>
                <c:pt idx="49">
                  <c:v>483.94605890429256</c:v>
                </c:pt>
                <c:pt idx="50">
                  <c:v>507.57600167435953</c:v>
                </c:pt>
                <c:pt idx="51">
                  <c:v>529.46660755485038</c:v>
                </c:pt>
                <c:pt idx="52">
                  <c:v>551.33817074688682</c:v>
                </c:pt>
                <c:pt idx="53">
                  <c:v>573.19155224586348</c:v>
                </c:pt>
                <c:pt idx="54">
                  <c:v>595.02754210367516</c:v>
                </c:pt>
                <c:pt idx="55">
                  <c:v>616.84686771553982</c:v>
                </c:pt>
                <c:pt idx="56">
                  <c:v>517.02140203717238</c:v>
                </c:pt>
                <c:pt idx="57">
                  <c:v>537.18811127897277</c:v>
                </c:pt>
                <c:pt idx="58">
                  <c:v>557.33891405416773</c:v>
                </c:pt>
                <c:pt idx="59">
                  <c:v>577.47446592353515</c:v>
                </c:pt>
                <c:pt idx="60">
                  <c:v>597.59537304263779</c:v>
                </c:pt>
                <c:pt idx="61">
                  <c:v>616.41919362679607</c:v>
                </c:pt>
                <c:pt idx="62">
                  <c:v>635.23110191241869</c:v>
                </c:pt>
                <c:pt idx="63">
                  <c:v>654.03150003454277</c:v>
                </c:pt>
                <c:pt idx="64">
                  <c:v>672.82076514505184</c:v>
                </c:pt>
                <c:pt idx="65">
                  <c:v>691.59925163326659</c:v>
                </c:pt>
                <c:pt idx="66">
                  <c:v>589.46311584770126</c:v>
                </c:pt>
                <c:pt idx="67">
                  <c:v>607.00879854794766</c:v>
                </c:pt>
                <c:pt idx="68">
                  <c:v>624.54395486132705</c:v>
                </c:pt>
                <c:pt idx="69">
                  <c:v>642.06892172602977</c:v>
                </c:pt>
                <c:pt idx="70">
                  <c:v>659.58401620212555</c:v>
                </c:pt>
                <c:pt idx="71">
                  <c:v>675.80896375991858</c:v>
                </c:pt>
                <c:pt idx="72">
                  <c:v>692.0259128007566</c:v>
                </c:pt>
                <c:pt idx="73">
                  <c:v>708.23507701664573</c:v>
                </c:pt>
                <c:pt idx="74">
                  <c:v>724.43665952870151</c:v>
                </c:pt>
                <c:pt idx="75">
                  <c:v>740.63085363962227</c:v>
                </c:pt>
                <c:pt idx="76">
                  <c:v>636.51330847982445</c:v>
                </c:pt>
                <c:pt idx="77">
                  <c:v>651.89565867529132</c:v>
                </c:pt>
                <c:pt idx="78">
                  <c:v>667.27052872062916</c:v>
                </c:pt>
                <c:pt idx="79">
                  <c:v>682.63811513058772</c:v>
                </c:pt>
                <c:pt idx="80">
                  <c:v>697.99860485695501</c:v>
                </c:pt>
                <c:pt idx="81">
                  <c:v>706.10272969198661</c:v>
                </c:pt>
                <c:pt idx="82">
                  <c:v>714.20495271831248</c:v>
                </c:pt>
                <c:pt idx="83">
                  <c:v>722.3052985482658</c:v>
                </c:pt>
                <c:pt idx="84">
                  <c:v>730.40379119725401</c:v>
                </c:pt>
                <c:pt idx="85">
                  <c:v>738.50045410483654</c:v>
                </c:pt>
                <c:pt idx="86">
                  <c:v>746.59531015482787</c:v>
                </c:pt>
                <c:pt idx="87">
                  <c:v>754.68838169448679</c:v>
                </c:pt>
                <c:pt idx="88">
                  <c:v>762.77969055283802</c:v>
                </c:pt>
                <c:pt idx="89">
                  <c:v>770.86925805817725</c:v>
                </c:pt>
                <c:pt idx="90">
                  <c:v>778.95710505480304</c:v>
                </c:pt>
                <c:pt idx="91">
                  <c:v>672.18040143052724</c:v>
                </c:pt>
                <c:pt idx="92">
                  <c:v>684.77193672549231</c:v>
                </c:pt>
                <c:pt idx="93">
                  <c:v>697.3587237894086</c:v>
                </c:pt>
                <c:pt idx="94">
                  <c:v>709.94086035598684</c:v>
                </c:pt>
                <c:pt idx="95">
                  <c:v>722.51844041418644</c:v>
                </c:pt>
                <c:pt idx="96">
                  <c:v>735.09155441574819</c:v>
                </c:pt>
                <c:pt idx="97">
                  <c:v>747.66028946779909</c:v>
                </c:pt>
                <c:pt idx="98">
                  <c:v>760.22472951184307</c:v>
                </c:pt>
                <c:pt idx="99">
                  <c:v>772.78495549031061</c:v>
                </c:pt>
                <c:pt idx="100">
                  <c:v>785.34104550172617</c:v>
                </c:pt>
                <c:pt idx="101">
                  <c:v>679.65053482644407</c:v>
                </c:pt>
                <c:pt idx="102">
                  <c:v>691.17258507143526</c:v>
                </c:pt>
                <c:pt idx="103">
                  <c:v>702.69069984530927</c:v>
                </c:pt>
                <c:pt idx="104">
                  <c:v>714.20495271831214</c:v>
                </c:pt>
                <c:pt idx="105">
                  <c:v>725.71541469625129</c:v>
                </c:pt>
                <c:pt idx="106">
                  <c:v>737.22215434999634</c:v>
                </c:pt>
                <c:pt idx="107">
                  <c:v>748.72523793647258</c:v>
                </c:pt>
                <c:pt idx="108">
                  <c:v>760.22472951184272</c:v>
                </c:pt>
                <c:pt idx="109">
                  <c:v>771.72069103748652</c:v>
                </c:pt>
                <c:pt idx="110">
                  <c:v>783.21318247934141</c:v>
                </c:pt>
                <c:pt idx="111">
                  <c:v>679.86394234557974</c:v>
                </c:pt>
                <c:pt idx="112">
                  <c:v>689.4658648045837</c:v>
                </c:pt>
                <c:pt idx="113">
                  <c:v>699.06504661949828</c:v>
                </c:pt>
                <c:pt idx="114">
                  <c:v>708.66153071735198</c:v>
                </c:pt>
                <c:pt idx="115">
                  <c:v>718.25535876813331</c:v>
                </c:pt>
                <c:pt idx="116">
                  <c:v>727.84657123825548</c:v>
                </c:pt>
                <c:pt idx="117">
                  <c:v>737.43520744105683</c:v>
                </c:pt>
                <c:pt idx="118">
                  <c:v>747.02130558454246</c:v>
                </c:pt>
                <c:pt idx="119">
                  <c:v>756.60490281654575</c:v>
                </c:pt>
                <c:pt idx="120">
                  <c:v>766.18603526748541</c:v>
                </c:pt>
                <c:pt idx="121">
                  <c:v>674.95522047957547</c:v>
                </c:pt>
                <c:pt idx="122">
                  <c:v>683.9184244821223</c:v>
                </c:pt>
                <c:pt idx="123">
                  <c:v>692.87921896789578</c:v>
                </c:pt>
                <c:pt idx="124">
                  <c:v>701.83763948445903</c:v>
                </c:pt>
                <c:pt idx="125">
                  <c:v>710.79372059813011</c:v>
                </c:pt>
                <c:pt idx="126">
                  <c:v>719.74749593335264</c:v>
                </c:pt>
                <c:pt idx="127">
                  <c:v>728.69899821000763</c:v>
                </c:pt>
                <c:pt idx="128">
                  <c:v>737.64825927879849</c:v>
                </c:pt>
                <c:pt idx="129">
                  <c:v>746.59531015482673</c:v>
                </c:pt>
                <c:pt idx="130">
                  <c:v>755.54018104947966</c:v>
                </c:pt>
                <c:pt idx="131">
                  <c:v>670.25923500176987</c:v>
                </c:pt>
                <c:pt idx="132">
                  <c:v>678.79689098808058</c:v>
                </c:pt>
                <c:pt idx="133">
                  <c:v>687.3323426405899</c:v>
                </c:pt>
                <c:pt idx="134">
                  <c:v>695.86562118765835</c:v>
                </c:pt>
                <c:pt idx="135">
                  <c:v>704.39675702944942</c:v>
                </c:pt>
                <c:pt idx="136">
                  <c:v>712.92577976987411</c:v>
                </c:pt>
                <c:pt idx="137">
                  <c:v>721.45271824692497</c:v>
                </c:pt>
                <c:pt idx="138">
                  <c:v>729.97760056150446</c:v>
                </c:pt>
                <c:pt idx="139">
                  <c:v>738.50045410483551</c:v>
                </c:pt>
                <c:pt idx="140">
                  <c:v>747.02130558454235</c:v>
                </c:pt>
                <c:pt idx="141">
                  <c:v>662.78695256584854</c:v>
                </c:pt>
                <c:pt idx="142">
                  <c:v>670.25923500176987</c:v>
                </c:pt>
                <c:pt idx="143">
                  <c:v>677.7298051889702</c:v>
                </c:pt>
                <c:pt idx="144">
                  <c:v>685.19868466154912</c:v>
                </c:pt>
                <c:pt idx="145">
                  <c:v>692.66589444590579</c:v>
                </c:pt>
                <c:pt idx="146">
                  <c:v>700.13145507817001</c:v>
                </c:pt>
                <c:pt idx="147">
                  <c:v>707.59538662085242</c:v>
                </c:pt>
                <c:pt idx="148">
                  <c:v>715.05770867875538</c:v>
                </c:pt>
                <c:pt idx="149">
                  <c:v>722.51844041418553</c:v>
                </c:pt>
                <c:pt idx="150">
                  <c:v>729.97760056150446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02630304"/>
        <c:axId val="-1202628672"/>
      </c:scatterChart>
      <c:valAx>
        <c:axId val="-1202630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28672"/>
        <c:crosses val="autoZero"/>
        <c:crossBetween val="midCat"/>
      </c:valAx>
      <c:valAx>
        <c:axId val="-120262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30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2.3792316710116794</c:v>
                </c:pt>
                <c:pt idx="2">
                  <c:v>3.0001714302004134</c:v>
                </c:pt>
                <c:pt idx="3">
                  <c:v>3.7838026635400475</c:v>
                </c:pt>
                <c:pt idx="4">
                  <c:v>4.7729092148501211</c:v>
                </c:pt>
                <c:pt idx="5">
                  <c:v>6.0215647416368272</c:v>
                </c:pt>
                <c:pt idx="6">
                  <c:v>7.5981213697524668</c:v>
                </c:pt>
                <c:pt idx="7">
                  <c:v>9.5889918293318406</c:v>
                </c:pt>
                <c:pt idx="8">
                  <c:v>12.103436304894307</c:v>
                </c:pt>
                <c:pt idx="9">
                  <c:v>15.279621602197665</c:v>
                </c:pt>
                <c:pt idx="10">
                  <c:v>19.292291680236925</c:v>
                </c:pt>
                <c:pt idx="11">
                  <c:v>37.096852338099858</c:v>
                </c:pt>
                <c:pt idx="12">
                  <c:v>54.659647561719503</c:v>
                </c:pt>
                <c:pt idx="13">
                  <c:v>72.072088558495707</c:v>
                </c:pt>
                <c:pt idx="14">
                  <c:v>89.376149667899369</c:v>
                </c:pt>
                <c:pt idx="15">
                  <c:v>106.595922899923</c:v>
                </c:pt>
                <c:pt idx="16">
                  <c:v>128.68204943403745</c:v>
                </c:pt>
                <c:pt idx="17">
                  <c:v>150.67621656079791</c:v>
                </c:pt>
                <c:pt idx="18">
                  <c:v>172.59376735487015</c:v>
                </c:pt>
                <c:pt idx="19">
                  <c:v>194.44581168538045</c:v>
                </c:pt>
                <c:pt idx="20">
                  <c:v>216.24075084880474</c:v>
                </c:pt>
                <c:pt idx="21">
                  <c:v>133.93252826541888</c:v>
                </c:pt>
                <c:pt idx="22">
                  <c:v>157.46934134660478</c:v>
                </c:pt>
                <c:pt idx="23">
                  <c:v>180.92254957217764</c:v>
                </c:pt>
                <c:pt idx="24">
                  <c:v>204.3045280233529</c:v>
                </c:pt>
                <c:pt idx="25">
                  <c:v>227.62457918072189</c:v>
                </c:pt>
                <c:pt idx="26">
                  <c:v>250.13311494134999</c:v>
                </c:pt>
                <c:pt idx="27">
                  <c:v>272.59572366188627</c:v>
                </c:pt>
                <c:pt idx="28">
                  <c:v>295.01672068637509</c:v>
                </c:pt>
                <c:pt idx="29">
                  <c:v>317.39971168920596</c:v>
                </c:pt>
                <c:pt idx="30">
                  <c:v>339.74775226555522</c:v>
                </c:pt>
                <c:pt idx="31">
                  <c:v>250.07004383824537</c:v>
                </c:pt>
                <c:pt idx="32">
                  <c:v>270.42380439071962</c:v>
                </c:pt>
                <c:pt idx="33">
                  <c:v>290.74310019724186</c:v>
                </c:pt>
                <c:pt idx="34">
                  <c:v>311.03067786790672</c:v>
                </c:pt>
                <c:pt idx="35">
                  <c:v>331.28889643907786</c:v>
                </c:pt>
                <c:pt idx="36">
                  <c:v>349.04714813629499</c:v>
                </c:pt>
                <c:pt idx="37">
                  <c:v>366.78558363331143</c:v>
                </c:pt>
                <c:pt idx="38">
                  <c:v>384.50529582609062</c:v>
                </c:pt>
                <c:pt idx="39">
                  <c:v>402.20726868632238</c:v>
                </c:pt>
                <c:pt idx="40">
                  <c:v>419.89239253282386</c:v>
                </c:pt>
                <c:pt idx="41">
                  <c:v>325.83511614471871</c:v>
                </c:pt>
                <c:pt idx="42">
                  <c:v>341.21974267416618</c:v>
                </c:pt>
                <c:pt idx="43">
                  <c:v>356.58912057242401</c:v>
                </c:pt>
                <c:pt idx="44">
                  <c:v>371.94399954059327</c:v>
                </c:pt>
                <c:pt idx="45">
                  <c:v>387.28506233326408</c:v>
                </c:pt>
                <c:pt idx="46">
                  <c:v>400.61572997207281</c:v>
                </c:pt>
                <c:pt idx="47">
                  <c:v>413.9368001118296</c:v>
                </c:pt>
                <c:pt idx="48">
                  <c:v>427.24862511853593</c:v>
                </c:pt>
                <c:pt idx="49">
                  <c:v>440.55153361033672</c:v>
                </c:pt>
                <c:pt idx="50">
                  <c:v>453.84583274186275</c:v>
                </c:pt>
                <c:pt idx="51">
                  <c:v>398.15013483461621</c:v>
                </c:pt>
                <c:pt idx="52">
                  <c:v>409.63265752074312</c:v>
                </c:pt>
                <c:pt idx="53">
                  <c:v>421.10823125259907</c:v>
                </c:pt>
                <c:pt idx="54">
                  <c:v>432.57707211284247</c:v>
                </c:pt>
                <c:pt idx="55">
                  <c:v>444.03938378997123</c:v>
                </c:pt>
                <c:pt idx="56">
                  <c:v>453.81470838209202</c:v>
                </c:pt>
                <c:pt idx="57">
                  <c:v>463.58553297341928</c:v>
                </c:pt>
                <c:pt idx="58">
                  <c:v>473.35196580283736</c:v>
                </c:pt>
                <c:pt idx="59">
                  <c:v>483.1141102774788</c:v>
                </c:pt>
                <c:pt idx="60">
                  <c:v>492.8720652837838</c:v>
                </c:pt>
                <c:pt idx="61">
                  <c:v>454.06370198273868</c:v>
                </c:pt>
                <c:pt idx="62">
                  <c:v>462.21663985035343</c:v>
                </c:pt>
                <c:pt idx="63">
                  <c:v>470.36650984219659</c:v>
                </c:pt>
                <c:pt idx="64">
                  <c:v>478.51337263187162</c:v>
                </c:pt>
                <c:pt idx="65">
                  <c:v>486.65728665769001</c:v>
                </c:pt>
                <c:pt idx="66">
                  <c:v>493.64879532061622</c:v>
                </c:pt>
                <c:pt idx="67">
                  <c:v>500.63820532506929</c:v>
                </c:pt>
                <c:pt idx="68">
                  <c:v>507.62555011613114</c:v>
                </c:pt>
                <c:pt idx="69">
                  <c:v>514.61086214265538</c:v>
                </c:pt>
                <c:pt idx="70">
                  <c:v>521.59417290035935</c:v>
                </c:pt>
                <c:pt idx="71">
                  <c:v>481.65316654343877</c:v>
                </c:pt>
                <c:pt idx="72">
                  <c:v>489.70273725806487</c:v>
                </c:pt>
                <c:pt idx="73">
                  <c:v>497.74950147285654</c:v>
                </c:pt>
                <c:pt idx="74">
                  <c:v>505.79351097209178</c:v>
                </c:pt>
                <c:pt idx="75">
                  <c:v>513.83481575804865</c:v>
                </c:pt>
                <c:pt idx="76">
                  <c:v>519.35972931464255</c:v>
                </c:pt>
                <c:pt idx="77">
                  <c:v>524.88340345718075</c:v>
                </c:pt>
                <c:pt idx="78">
                  <c:v>530.40585307590879</c:v>
                </c:pt>
                <c:pt idx="79">
                  <c:v>535.9270927255476</c:v>
                </c:pt>
                <c:pt idx="80">
                  <c:v>541.44713663630864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02628128"/>
        <c:axId val="-1202627584"/>
      </c:scatterChart>
      <c:valAx>
        <c:axId val="-120262812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27584"/>
        <c:crosses val="autoZero"/>
        <c:crossBetween val="midCat"/>
      </c:valAx>
      <c:valAx>
        <c:axId val="-120262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28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2.6519655211592874</c:v>
                </c:pt>
                <c:pt idx="2">
                  <c:v>3.2610223314459752</c:v>
                </c:pt>
                <c:pt idx="3">
                  <c:v>4.0104905158163051</c:v>
                </c:pt>
                <c:pt idx="4">
                  <c:v>4.9328564726428068</c:v>
                </c:pt>
                <c:pt idx="5">
                  <c:v>6.068147991440398</c:v>
                </c:pt>
                <c:pt idx="6">
                  <c:v>7.4656903389318279</c:v>
                </c:pt>
                <c:pt idx="7">
                  <c:v>9.1862724344194735</c:v>
                </c:pt>
                <c:pt idx="8">
                  <c:v>11.304819130811806</c:v>
                </c:pt>
                <c:pt idx="9">
                  <c:v>13.913688152008866</c:v>
                </c:pt>
                <c:pt idx="10">
                  <c:v>17.126738071781514</c:v>
                </c:pt>
                <c:pt idx="11">
                  <c:v>21.084348102790369</c:v>
                </c:pt>
                <c:pt idx="12">
                  <c:v>25.959612940843225</c:v>
                </c:pt>
                <c:pt idx="13">
                  <c:v>31.965988387315338</c:v>
                </c:pt>
                <c:pt idx="14">
                  <c:v>39.366728311080898</c:v>
                </c:pt>
                <c:pt idx="15">
                  <c:v>48.486533626988098</c:v>
                </c:pt>
                <c:pt idx="16">
                  <c:v>59.725932966858835</c:v>
                </c:pt>
                <c:pt idx="17">
                  <c:v>73.579037059713301</c:v>
                </c:pt>
                <c:pt idx="18">
                  <c:v>90.655460033245092</c:v>
                </c:pt>
                <c:pt idx="19">
                  <c:v>111.70738771533587</c:v>
                </c:pt>
                <c:pt idx="20">
                  <c:v>137.66300398229683</c:v>
                </c:pt>
                <c:pt idx="21">
                  <c:v>150.87513847478246</c:v>
                </c:pt>
                <c:pt idx="22">
                  <c:v>164.05970215478601</c:v>
                </c:pt>
                <c:pt idx="23">
                  <c:v>177.21922452403726</c:v>
                </c:pt>
                <c:pt idx="24">
                  <c:v>190.35582818013089</c:v>
                </c:pt>
                <c:pt idx="25">
                  <c:v>203.47131846209797</c:v>
                </c:pt>
                <c:pt idx="26">
                  <c:v>158.20312733333313</c:v>
                </c:pt>
                <c:pt idx="27">
                  <c:v>175.02761536134474</c:v>
                </c:pt>
                <c:pt idx="28">
                  <c:v>191.81411712876402</c:v>
                </c:pt>
                <c:pt idx="29">
                  <c:v>208.56642615430928</c:v>
                </c:pt>
                <c:pt idx="30">
                  <c:v>225.28767604319731</c:v>
                </c:pt>
                <c:pt idx="31">
                  <c:v>244.88086471160261</c:v>
                </c:pt>
                <c:pt idx="32">
                  <c:v>264.43843589912387</c:v>
                </c:pt>
                <c:pt idx="33">
                  <c:v>283.96339386484857</c:v>
                </c:pt>
                <c:pt idx="34">
                  <c:v>303.45829588181323</c:v>
                </c:pt>
                <c:pt idx="35">
                  <c:v>322.92534379451848</c:v>
                </c:pt>
                <c:pt idx="36">
                  <c:v>241.98049682860949</c:v>
                </c:pt>
                <c:pt idx="37">
                  <c:v>262.26703366253639</c:v>
                </c:pt>
                <c:pt idx="38">
                  <c:v>282.51816051208368</c:v>
                </c:pt>
                <c:pt idx="39">
                  <c:v>302.73677181781744</c:v>
                </c:pt>
                <c:pt idx="40">
                  <c:v>322.92534379451837</c:v>
                </c:pt>
                <c:pt idx="41">
                  <c:v>343.44578806718232</c:v>
                </c:pt>
                <c:pt idx="42">
                  <c:v>363.93929728008408</c:v>
                </c:pt>
                <c:pt idx="43">
                  <c:v>384.40760067247987</c:v>
                </c:pt>
                <c:pt idx="44">
                  <c:v>404.85222837562537</c:v>
                </c:pt>
                <c:pt idx="45">
                  <c:v>425.27454344239982</c:v>
                </c:pt>
                <c:pt idx="46">
                  <c:v>344.52504925832596</c:v>
                </c:pt>
                <c:pt idx="47">
                  <c:v>364.29860280650684</c:v>
                </c:pt>
                <c:pt idx="48">
                  <c:v>384.04871588248375</c:v>
                </c:pt>
                <c:pt idx="49">
                  <c:v>403.77676289014676</c:v>
                </c:pt>
                <c:pt idx="50">
                  <c:v>423.48397302905897</c:v>
                </c:pt>
                <c:pt idx="51">
                  <c:v>441.74027828737439</c:v>
                </c:pt>
                <c:pt idx="52">
                  <c:v>459.98041834329564</c:v>
                </c:pt>
                <c:pt idx="53">
                  <c:v>478.20512408967215</c:v>
                </c:pt>
                <c:pt idx="54">
                  <c:v>496.4150661959215</c:v>
                </c:pt>
                <c:pt idx="55">
                  <c:v>514.61086214265561</c:v>
                </c:pt>
                <c:pt idx="56">
                  <c:v>431.36127413252484</c:v>
                </c:pt>
                <c:pt idx="57">
                  <c:v>448.1797816290819</c:v>
                </c:pt>
                <c:pt idx="58">
                  <c:v>464.98478623960131</c:v>
                </c:pt>
                <c:pt idx="59">
                  <c:v>481.77684446495124</c:v>
                </c:pt>
                <c:pt idx="60">
                  <c:v>498.55647086626527</c:v>
                </c:pt>
                <c:pt idx="61">
                  <c:v>514.25421410888737</c:v>
                </c:pt>
                <c:pt idx="62">
                  <c:v>529.94184508625551</c:v>
                </c:pt>
                <c:pt idx="63">
                  <c:v>545.61970516793383</c:v>
                </c:pt>
                <c:pt idx="64">
                  <c:v>561.28811451546585</c:v>
                </c:pt>
                <c:pt idx="65">
                  <c:v>576.94737396741846</c:v>
                </c:pt>
                <c:pt idx="66">
                  <c:v>491.77468328265195</c:v>
                </c:pt>
                <c:pt idx="67">
                  <c:v>506.40662874127952</c:v>
                </c:pt>
                <c:pt idx="68">
                  <c:v>521.02963842518272</c:v>
                </c:pt>
                <c:pt idx="69">
                  <c:v>535.64399835878714</c:v>
                </c:pt>
                <c:pt idx="70">
                  <c:v>550.24997769212484</c:v>
                </c:pt>
                <c:pt idx="71">
                  <c:v>563.77996485783649</c:v>
                </c:pt>
                <c:pt idx="72">
                  <c:v>577.3031621395595</c:v>
                </c:pt>
                <c:pt idx="73">
                  <c:v>590.81975093891435</c:v>
                </c:pt>
                <c:pt idx="74">
                  <c:v>604.32990368396679</c:v>
                </c:pt>
                <c:pt idx="75">
                  <c:v>617.83378446799861</c:v>
                </c:pt>
                <c:pt idx="76">
                  <c:v>531.01109674664542</c:v>
                </c:pt>
                <c:pt idx="77">
                  <c:v>543.83861192085692</c:v>
                </c:pt>
                <c:pt idx="78">
                  <c:v>556.65977724898164</c:v>
                </c:pt>
                <c:pt idx="79">
                  <c:v>569.4747595509881</c:v>
                </c:pt>
                <c:pt idx="80">
                  <c:v>582.28371752891621</c:v>
                </c:pt>
                <c:pt idx="81">
                  <c:v>589.04162375287956</c:v>
                </c:pt>
                <c:pt idx="82">
                  <c:v>595.79791554499855</c:v>
                </c:pt>
                <c:pt idx="83">
                  <c:v>602.55261379850742</c:v>
                </c:pt>
                <c:pt idx="84">
                  <c:v>609.30573889991399</c:v>
                </c:pt>
                <c:pt idx="85">
                  <c:v>616.05731074689311</c:v>
                </c:pt>
                <c:pt idx="86">
                  <c:v>622.807348765352</c:v>
                </c:pt>
                <c:pt idx="87">
                  <c:v>629.55587192571863</c:v>
                </c:pt>
                <c:pt idx="88">
                  <c:v>636.30289875849701</c:v>
                </c:pt>
                <c:pt idx="89">
                  <c:v>643.04844736912457</c:v>
                </c:pt>
                <c:pt idx="90">
                  <c:v>649.79253545217819</c:v>
                </c:pt>
                <c:pt idx="91">
                  <c:v>560.75411650027092</c:v>
                </c:pt>
                <c:pt idx="92">
                  <c:v>571.25413823451822</c:v>
                </c:pt>
                <c:pt idx="93">
                  <c:v>581.75012922929807</c:v>
                </c:pt>
                <c:pt idx="94">
                  <c:v>592.24217245006048</c:v>
                </c:pt>
                <c:pt idx="95">
                  <c:v>602.73034768336277</c:v>
                </c:pt>
                <c:pt idx="96">
                  <c:v>613.21473171304262</c:v>
                </c:pt>
                <c:pt idx="97">
                  <c:v>623.69539848371858</c:v>
                </c:pt>
                <c:pt idx="98">
                  <c:v>634.17241925273447</c:v>
                </c:pt>
                <c:pt idx="99">
                  <c:v>644.64586273154214</c:v>
                </c:pt>
                <c:pt idx="100">
                  <c:v>655.11579521742192</c:v>
                </c:pt>
                <c:pt idx="101">
                  <c:v>566.98343408817993</c:v>
                </c:pt>
                <c:pt idx="102">
                  <c:v>576.59158121605935</c:v>
                </c:pt>
                <c:pt idx="103">
                  <c:v>586.19638755057986</c:v>
                </c:pt>
                <c:pt idx="104">
                  <c:v>595.79791554499832</c:v>
                </c:pt>
                <c:pt idx="105">
                  <c:v>605.39622547563852</c:v>
                </c:pt>
                <c:pt idx="106">
                  <c:v>614.99137555182222</c:v>
                </c:pt>
                <c:pt idx="107">
                  <c:v>624.58342201858102</c:v>
                </c:pt>
                <c:pt idx="108">
                  <c:v>634.1724192527339</c:v>
                </c:pt>
                <c:pt idx="109">
                  <c:v>643.75841985285513</c:v>
                </c:pt>
                <c:pt idx="110">
                  <c:v>653.34147472360064</c:v>
                </c:pt>
                <c:pt idx="111">
                  <c:v>567.16139348415504</c:v>
                </c:pt>
                <c:pt idx="112">
                  <c:v>575.16836435383277</c:v>
                </c:pt>
                <c:pt idx="113">
                  <c:v>583.17300871029261</c:v>
                </c:pt>
                <c:pt idx="114">
                  <c:v>591.17536299398284</c:v>
                </c:pt>
                <c:pt idx="115">
                  <c:v>599.17546257825927</c:v>
                </c:pt>
                <c:pt idx="116">
                  <c:v>607.17334181477145</c:v>
                </c:pt>
                <c:pt idx="117">
                  <c:v>615.1690340763322</c:v>
                </c:pt>
                <c:pt idx="118">
                  <c:v>623.16257179744446</c:v>
                </c:pt>
                <c:pt idx="119">
                  <c:v>631.15398651263843</c:v>
                </c:pt>
                <c:pt idx="120">
                  <c:v>639.1433088927696</c:v>
                </c:pt>
                <c:pt idx="121">
                  <c:v>563.06803117603783</c:v>
                </c:pt>
                <c:pt idx="122">
                  <c:v>570.54240067835826</c:v>
                </c:pt>
                <c:pt idx="123">
                  <c:v>578.01472475907724</c:v>
                </c:pt>
                <c:pt idx="124">
                  <c:v>585.48503359426752</c:v>
                </c:pt>
                <c:pt idx="125">
                  <c:v>592.95335652703</c:v>
                </c:pt>
                <c:pt idx="126">
                  <c:v>600.41972210091501</c:v>
                </c:pt>
                <c:pt idx="127">
                  <c:v>607.88415809159676</c:v>
                </c:pt>
                <c:pt idx="128">
                  <c:v>615.34669153690879</c:v>
                </c:pt>
                <c:pt idx="129">
                  <c:v>622.80734876535098</c:v>
                </c:pt>
                <c:pt idx="130">
                  <c:v>630.26615542315369</c:v>
                </c:pt>
                <c:pt idx="131">
                  <c:v>559.15205854563067</c:v>
                </c:pt>
                <c:pt idx="132">
                  <c:v>566.27158482196887</c:v>
                </c:pt>
                <c:pt idx="133">
                  <c:v>573.38923985506699</c:v>
                </c:pt>
                <c:pt idx="134">
                  <c:v>580.50505015445754</c:v>
                </c:pt>
                <c:pt idx="135">
                  <c:v>587.61904152662248</c:v>
                </c:pt>
                <c:pt idx="136">
                  <c:v>594.73123910211064</c:v>
                </c:pt>
                <c:pt idx="137">
                  <c:v>601.84166736128827</c:v>
                </c:pt>
                <c:pt idx="138">
                  <c:v>608.95035015881103</c:v>
                </c:pt>
                <c:pt idx="139">
                  <c:v>616.05731074689231</c:v>
                </c:pt>
                <c:pt idx="140">
                  <c:v>623.16257179744423</c:v>
                </c:pt>
                <c:pt idx="141">
                  <c:v>552.9209166529912</c:v>
                </c:pt>
                <c:pt idx="142">
                  <c:v>559.15205854563067</c:v>
                </c:pt>
                <c:pt idx="143">
                  <c:v>565.38174692254449</c:v>
                </c:pt>
                <c:pt idx="144">
                  <c:v>571.61000006387678</c:v>
                </c:pt>
                <c:pt idx="145">
                  <c:v>577.83683581878711</c:v>
                </c:pt>
                <c:pt idx="146">
                  <c:v>584.06227162025004</c:v>
                </c:pt>
                <c:pt idx="147">
                  <c:v>590.28632449918746</c:v>
                </c:pt>
                <c:pt idx="148">
                  <c:v>596.50901109797655</c:v>
                </c:pt>
                <c:pt idx="149">
                  <c:v>602.73034768336208</c:v>
                </c:pt>
                <c:pt idx="150">
                  <c:v>608.95035015881103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02632480"/>
        <c:axId val="-1202625952"/>
      </c:scatterChart>
      <c:valAx>
        <c:axId val="-120263248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25952"/>
        <c:crosses val="autoZero"/>
        <c:crossBetween val="midCat"/>
      </c:valAx>
      <c:valAx>
        <c:axId val="-120262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32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1.4216684505882042</c:v>
                </c:pt>
                <c:pt idx="2">
                  <c:v>1.6494337208217518</c:v>
                </c:pt>
                <c:pt idx="3">
                  <c:v>1.9138254418871894</c:v>
                </c:pt>
                <c:pt idx="4">
                  <c:v>2.2207542185725906</c:v>
                </c:pt>
                <c:pt idx="5">
                  <c:v>2.5770876404627994</c:v>
                </c:pt>
                <c:pt idx="6">
                  <c:v>2.990805705670585</c:v>
                </c:pt>
                <c:pt idx="7">
                  <c:v>3.4711815591519066</c:v>
                </c:pt>
                <c:pt idx="8">
                  <c:v>4.0289916795822309</c:v>
                </c:pt>
                <c:pt idx="9">
                  <c:v>4.6767603254983152</c:v>
                </c:pt>
                <c:pt idx="10">
                  <c:v>5.4290438391611309</c:v>
                </c:pt>
                <c:pt idx="11">
                  <c:v>6.3027613236217057</c:v>
                </c:pt>
                <c:pt idx="12">
                  <c:v>7.3175792760292708</c:v>
                </c:pt>
                <c:pt idx="13">
                  <c:v>8.4963590030684362</c:v>
                </c:pt>
                <c:pt idx="14">
                  <c:v>9.8656770913865515</c:v>
                </c:pt>
                <c:pt idx="15">
                  <c:v>11.456430890563903</c:v>
                </c:pt>
                <c:pt idx="16">
                  <c:v>13.304542927714031</c:v>
                </c:pt>
                <c:pt idx="17">
                  <c:v>15.45178045675719</c:v>
                </c:pt>
                <c:pt idx="18">
                  <c:v>17.946709004879654</c:v>
                </c:pt>
                <c:pt idx="19">
                  <c:v>20.845801875526238</c:v>
                </c:pt>
                <c:pt idx="20">
                  <c:v>24.214731173527223</c:v>
                </c:pt>
                <c:pt idx="21">
                  <c:v>28.129870117578587</c:v>
                </c:pt>
                <c:pt idx="22">
                  <c:v>32.680041296073831</c:v>
                </c:pt>
                <c:pt idx="23">
                  <c:v>37.968551218170866</c:v>
                </c:pt>
                <c:pt idx="24">
                  <c:v>44.115558145722979</c:v>
                </c:pt>
                <c:pt idx="25">
                  <c:v>51.260827917988813</c:v>
                </c:pt>
                <c:pt idx="26">
                  <c:v>59.56694148009052</c:v>
                </c:pt>
                <c:pt idx="27">
                  <c:v>69.223028308013781</c:v>
                </c:pt>
                <c:pt idx="28">
                  <c:v>80.449112132240245</c:v>
                </c:pt>
                <c:pt idx="29">
                  <c:v>93.501169584014704</c:v>
                </c:pt>
                <c:pt idx="30">
                  <c:v>108.6770189550495</c:v>
                </c:pt>
                <c:pt idx="31">
                  <c:v>119.34299443648099</c:v>
                </c:pt>
                <c:pt idx="32">
                  <c:v>129.98572779937055</c:v>
                </c:pt>
                <c:pt idx="33">
                  <c:v>140.60739267386097</c:v>
                </c:pt>
                <c:pt idx="34">
                  <c:v>151.20980677723819</c:v>
                </c:pt>
                <c:pt idx="35">
                  <c:v>161.79451162968965</c:v>
                </c:pt>
                <c:pt idx="36">
                  <c:v>172.36283025234334</c:v>
                </c:pt>
                <c:pt idx="37">
                  <c:v>182.91590993537883</c:v>
                </c:pt>
                <c:pt idx="38">
                  <c:v>193.45475459645681</c:v>
                </c:pt>
                <c:pt idx="39">
                  <c:v>203.9802497043132</c:v>
                </c:pt>
                <c:pt idx="40">
                  <c:v>214.49318177940339</c:v>
                </c:pt>
                <c:pt idx="41">
                  <c:v>224.99425386510336</c:v>
                </c:pt>
                <c:pt idx="42">
                  <c:v>235.48409795523028</c:v>
                </c:pt>
                <c:pt idx="43">
                  <c:v>245.96328508842066</c:v>
                </c:pt>
                <c:pt idx="44">
                  <c:v>256.43233363020784</c:v>
                </c:pt>
                <c:pt idx="45">
                  <c:v>266.89171613041833</c:v>
                </c:pt>
                <c:pt idx="46">
                  <c:v>277.34186504835151</c:v>
                </c:pt>
                <c:pt idx="47">
                  <c:v>287.78317756918744</c:v>
                </c:pt>
                <c:pt idx="48">
                  <c:v>298.21601968429599</c:v>
                </c:pt>
                <c:pt idx="49">
                  <c:v>308.64072967029892</c:v>
                </c:pt>
                <c:pt idx="50">
                  <c:v>319.05762107321726</c:v>
                </c:pt>
                <c:pt idx="51">
                  <c:v>329.46698528230218</c:v>
                </c:pt>
                <c:pt idx="52">
                  <c:v>239.91319254187792</c:v>
                </c:pt>
                <c:pt idx="53">
                  <c:v>250.7566839765808</c:v>
                </c:pt>
                <c:pt idx="54">
                  <c:v>261.58954749693504</c:v>
                </c:pt>
                <c:pt idx="55">
                  <c:v>272.4122855334258</c:v>
                </c:pt>
                <c:pt idx="56">
                  <c:v>283.22535730670057</c:v>
                </c:pt>
                <c:pt idx="57">
                  <c:v>294.02918408713464</c:v>
                </c:pt>
                <c:pt idx="58">
                  <c:v>304.82415364037161</c:v>
                </c:pt>
                <c:pt idx="59">
                  <c:v>315.61062400978892</c:v>
                </c:pt>
                <c:pt idx="60">
                  <c:v>326.38892675453917</c:v>
                </c:pt>
                <c:pt idx="61">
                  <c:v>337.15936973729157</c:v>
                </c:pt>
                <c:pt idx="62">
                  <c:v>347.92223953697516</c:v>
                </c:pt>
                <c:pt idx="63">
                  <c:v>358.67780354724954</c:v>
                </c:pt>
                <c:pt idx="64">
                  <c:v>259.91370728364598</c:v>
                </c:pt>
                <c:pt idx="65">
                  <c:v>269.83633643082231</c:v>
                </c:pt>
                <c:pt idx="66">
                  <c:v>279.75075483937445</c:v>
                </c:pt>
                <c:pt idx="67">
                  <c:v>289.65729473170762</c:v>
                </c:pt>
                <c:pt idx="68">
                  <c:v>299.55626373361866</c:v>
                </c:pt>
                <c:pt idx="69">
                  <c:v>309.4479474656211</c:v>
                </c:pt>
                <c:pt idx="70">
                  <c:v>319.33261178539772</c:v>
                </c:pt>
                <c:pt idx="71">
                  <c:v>329.21050473791996</c:v>
                </c:pt>
                <c:pt idx="72">
                  <c:v>339.08185825915456</c:v>
                </c:pt>
                <c:pt idx="73">
                  <c:v>348.94688967090889</c:v>
                </c:pt>
                <c:pt idx="74">
                  <c:v>358.80580299772583</c:v>
                </c:pt>
                <c:pt idx="75">
                  <c:v>368.65879013141921</c:v>
                </c:pt>
                <c:pt idx="76">
                  <c:v>292.22917146099797</c:v>
                </c:pt>
                <c:pt idx="77">
                  <c:v>301.22679191692936</c:v>
                </c:pt>
                <c:pt idx="78">
                  <c:v>310.21842991455259</c:v>
                </c:pt>
                <c:pt idx="79">
                  <c:v>319.2042834391799</c:v>
                </c:pt>
                <c:pt idx="80">
                  <c:v>328.18453841094606</c:v>
                </c:pt>
                <c:pt idx="81">
                  <c:v>337.15936973729123</c:v>
                </c:pt>
                <c:pt idx="82">
                  <c:v>346.12894224745969</c:v>
                </c:pt>
                <c:pt idx="83">
                  <c:v>355.09341152502003</c:v>
                </c:pt>
                <c:pt idx="84">
                  <c:v>364.05292465188319</c:v>
                </c:pt>
                <c:pt idx="85">
                  <c:v>373.00762087521866</c:v>
                </c:pt>
                <c:pt idx="86">
                  <c:v>381.95763220695682</c:v>
                </c:pt>
                <c:pt idx="87">
                  <c:v>390.90308396414639</c:v>
                </c:pt>
                <c:pt idx="88">
                  <c:v>316.05988081531285</c:v>
                </c:pt>
                <c:pt idx="89">
                  <c:v>324.20824758788905</c:v>
                </c:pt>
                <c:pt idx="90">
                  <c:v>332.35208865052783</c:v>
                </c:pt>
                <c:pt idx="91">
                  <c:v>340.49153063189533</c:v>
                </c:pt>
                <c:pt idx="92">
                  <c:v>348.62669360757508</c:v>
                </c:pt>
                <c:pt idx="93">
                  <c:v>356.75769158755321</c:v>
                </c:pt>
                <c:pt idx="94">
                  <c:v>364.88463295691707</c:v>
                </c:pt>
                <c:pt idx="95">
                  <c:v>373.00762087521849</c:v>
                </c:pt>
                <c:pt idx="96">
                  <c:v>381.1267536392179</c:v>
                </c:pt>
                <c:pt idx="97">
                  <c:v>389.24212501308784</c:v>
                </c:pt>
                <c:pt idx="98">
                  <c:v>397.35382452962966</c:v>
                </c:pt>
                <c:pt idx="99">
                  <c:v>405.46193776560017</c:v>
                </c:pt>
                <c:pt idx="100">
                  <c:v>212.28795240958598</c:v>
                </c:pt>
                <c:pt idx="101">
                  <c:v>218.03673754527372</c:v>
                </c:pt>
                <c:pt idx="102">
                  <c:v>223.78203890753477</c:v>
                </c:pt>
                <c:pt idx="103">
                  <c:v>229.52395871325101</c:v>
                </c:pt>
                <c:pt idx="104">
                  <c:v>235.26259363877315</c:v>
                </c:pt>
                <c:pt idx="105">
                  <c:v>240.99803525113671</c:v>
                </c:pt>
                <c:pt idx="106">
                  <c:v>246.73037039602465</c:v>
                </c:pt>
                <c:pt idx="107">
                  <c:v>252.45968154773928</c:v>
                </c:pt>
                <c:pt idx="108">
                  <c:v>258.18604712570226</c:v>
                </c:pt>
                <c:pt idx="109">
                  <c:v>263.90954178137036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02631392"/>
        <c:axId val="-1202625408"/>
      </c:scatterChart>
      <c:valAx>
        <c:axId val="-120263139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25408"/>
        <c:crosses val="autoZero"/>
        <c:crossBetween val="midCat"/>
      </c:valAx>
      <c:valAx>
        <c:axId val="-120262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31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2.5739702149710419</c:v>
                </c:pt>
                <c:pt idx="2">
                  <c:v>3.2459194465110297</c:v>
                </c:pt>
                <c:pt idx="3">
                  <c:v>4.0939710189489533</c:v>
                </c:pt>
                <c:pt idx="4">
                  <c:v>5.1644468142220035</c:v>
                </c:pt>
                <c:pt idx="5">
                  <c:v>6.5158949204199574</c:v>
                </c:pt>
                <c:pt idx="6">
                  <c:v>8.2223268474483628</c:v>
                </c:pt>
                <c:pt idx="7">
                  <c:v>10.377314381529446</c:v>
                </c:pt>
                <c:pt idx="8">
                  <c:v>13.0991749633718</c:v>
                </c:pt>
                <c:pt idx="9">
                  <c:v>16.5375355648608</c:v>
                </c:pt>
                <c:pt idx="10">
                  <c:v>20.881642470054704</c:v>
                </c:pt>
                <c:pt idx="11">
                  <c:v>40.158707029353486</c:v>
                </c:pt>
                <c:pt idx="12">
                  <c:v>59.175912716477491</c:v>
                </c:pt>
                <c:pt idx="13">
                  <c:v>78.031511845010769</c:v>
                </c:pt>
                <c:pt idx="14">
                  <c:v>96.770620064133439</c:v>
                </c:pt>
                <c:pt idx="15">
                  <c:v>115.41913240124948</c:v>
                </c:pt>
                <c:pt idx="16">
                  <c:v>139.33857382377983</c:v>
                </c:pt>
                <c:pt idx="17">
                  <c:v>163.15917370613849</c:v>
                </c:pt>
                <c:pt idx="18">
                  <c:v>186.89742338047495</c:v>
                </c:pt>
                <c:pt idx="19">
                  <c:v>210.56526416532461</c:v>
                </c:pt>
                <c:pt idx="20">
                  <c:v>234.1717261002126</c:v>
                </c:pt>
                <c:pt idx="21">
                  <c:v>145.0249982538752</c:v>
                </c:pt>
                <c:pt idx="22">
                  <c:v>170.51654323504027</c:v>
                </c:pt>
                <c:pt idx="23">
                  <c:v>195.91822647250351</c:v>
                </c:pt>
                <c:pt idx="24">
                  <c:v>221.24334918385946</c:v>
                </c:pt>
                <c:pt idx="25">
                  <c:v>246.5019100362974</c:v>
                </c:pt>
                <c:pt idx="26">
                  <c:v>270.88192908271884</c:v>
                </c:pt>
                <c:pt idx="27">
                  <c:v>295.21258396391971</c:v>
                </c:pt>
                <c:pt idx="28">
                  <c:v>319.49851297916712</c:v>
                </c:pt>
                <c:pt idx="29">
                  <c:v>343.7435916472391</c:v>
                </c:pt>
                <c:pt idx="30">
                  <c:v>367.95110424042514</c:v>
                </c:pt>
                <c:pt idx="31">
                  <c:v>270.81361334976526</c:v>
                </c:pt>
                <c:pt idx="32">
                  <c:v>292.86002684671388</c:v>
                </c:pt>
                <c:pt idx="33">
                  <c:v>314.86939629706029</c:v>
                </c:pt>
                <c:pt idx="34">
                  <c:v>336.84467386393629</c:v>
                </c:pt>
                <c:pt idx="35">
                  <c:v>358.78839513118515</c:v>
                </c:pt>
                <c:pt idx="36">
                  <c:v>378.02433866846064</c:v>
                </c:pt>
                <c:pt idx="37">
                  <c:v>397.23898298464991</c:v>
                </c:pt>
                <c:pt idx="38">
                  <c:v>416.43350276675238</c:v>
                </c:pt>
                <c:pt idx="39">
                  <c:v>435.60895562573</c:v>
                </c:pt>
                <c:pt idx="40">
                  <c:v>454.7662985108031</c:v>
                </c:pt>
                <c:pt idx="41">
                  <c:v>352.88083208106292</c:v>
                </c:pt>
                <c:pt idx="42">
                  <c:v>369.54558155288436</c:v>
                </c:pt>
                <c:pt idx="43">
                  <c:v>386.19394120407043</c:v>
                </c:pt>
                <c:pt idx="44">
                  <c:v>402.82671684246179</c:v>
                </c:pt>
                <c:pt idx="45">
                  <c:v>419.44464231919113</c:v>
                </c:pt>
                <c:pt idx="46">
                  <c:v>433.88493422762093</c:v>
                </c:pt>
                <c:pt idx="47">
                  <c:v>448.31491037156951</c:v>
                </c:pt>
                <c:pt idx="48">
                  <c:v>462.73494948769138</c:v>
                </c:pt>
                <c:pt idx="49">
                  <c:v>477.14540478752315</c:v>
                </c:pt>
                <c:pt idx="50">
                  <c:v>491.5466064127836</c:v>
                </c:pt>
                <c:pt idx="51">
                  <c:v>431.21410057407803</c:v>
                </c:pt>
                <c:pt idx="52">
                  <c:v>443.65246288624508</c:v>
                </c:pt>
                <c:pt idx="53">
                  <c:v>456.08335619265745</c:v>
                </c:pt>
                <c:pt idx="54">
                  <c:v>468.50701274734303</c:v>
                </c:pt>
                <c:pt idx="55">
                  <c:v>480.92365148260507</c:v>
                </c:pt>
                <c:pt idx="56">
                  <c:v>491.51289051119289</c:v>
                </c:pt>
                <c:pt idx="57">
                  <c:v>502.09729276427265</c:v>
                </c:pt>
                <c:pt idx="58">
                  <c:v>512.67697458119881</c:v>
                </c:pt>
                <c:pt idx="59">
                  <c:v>523.25204710797016</c:v>
                </c:pt>
                <c:pt idx="60">
                  <c:v>533.8226166315709</c:v>
                </c:pt>
                <c:pt idx="61">
                  <c:v>491.78261635079099</c:v>
                </c:pt>
                <c:pt idx="62">
                  <c:v>500.61441511086258</c:v>
                </c:pt>
                <c:pt idx="63">
                  <c:v>509.44291639898364</c:v>
                </c:pt>
                <c:pt idx="64">
                  <c:v>518.2681854294982</c:v>
                </c:pt>
                <c:pt idx="65">
                  <c:v>527.09028501417185</c:v>
                </c:pt>
                <c:pt idx="66">
                  <c:v>534.66403201436515</c:v>
                </c:pt>
                <c:pt idx="67">
                  <c:v>542.23552329497863</c:v>
                </c:pt>
                <c:pt idx="68">
                  <c:v>549.80479480408326</c:v>
                </c:pt>
                <c:pt idx="69">
                  <c:v>557.37188141896718</c:v>
                </c:pt>
                <c:pt idx="70">
                  <c:v>564.93681699244883</c:v>
                </c:pt>
                <c:pt idx="71">
                  <c:v>521.66944319008542</c:v>
                </c:pt>
                <c:pt idx="72">
                  <c:v>530.38935222710518</c:v>
                </c:pt>
                <c:pt idx="73">
                  <c:v>539.10624472917675</c:v>
                </c:pt>
                <c:pt idx="74">
                  <c:v>547.82017635605155</c:v>
                </c:pt>
                <c:pt idx="75">
                  <c:v>556.53120085211901</c:v>
                </c:pt>
                <c:pt idx="76">
                  <c:v>562.51626962014586</c:v>
                </c:pt>
                <c:pt idx="77">
                  <c:v>568.50000621784136</c:v>
                </c:pt>
                <c:pt idx="78">
                  <c:v>574.48242664981956</c:v>
                </c:pt>
                <c:pt idx="79">
                  <c:v>580.46354656005849</c:v>
                </c:pt>
                <c:pt idx="80">
                  <c:v>586.44338124374281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02624864"/>
        <c:axId val="-1202624320"/>
      </c:scatterChart>
      <c:valAx>
        <c:axId val="-12026248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24320"/>
        <c:crosses val="autoZero"/>
        <c:crossBetween val="midCat"/>
      </c:valAx>
      <c:valAx>
        <c:axId val="-120262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24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2.3282881589658171</c:v>
                </c:pt>
                <c:pt idx="2">
                  <c:v>2.4692516704359786</c:v>
                </c:pt>
                <c:pt idx="3">
                  <c:v>2.6187782350426345</c:v>
                </c:pt>
                <c:pt idx="4">
                  <c:v>2.7773896752981226</c:v>
                </c:pt>
                <c:pt idx="5">
                  <c:v>2.9456397074755554</c:v>
                </c:pt>
                <c:pt idx="6">
                  <c:v>3.1241158963615416</c:v>
                </c:pt>
                <c:pt idx="7">
                  <c:v>3.3134417301233028</c:v>
                </c:pt>
                <c:pt idx="8">
                  <c:v>3.514278822688425</c:v>
                </c:pt>
                <c:pt idx="9">
                  <c:v>3.7273292514922112</c:v>
                </c:pt>
                <c:pt idx="10">
                  <c:v>3.9533380389325044</c:v>
                </c:pt>
                <c:pt idx="11">
                  <c:v>4.1930957863867819</c:v>
                </c:pt>
                <c:pt idx="12">
                  <c:v>4.4474414701931062</c:v>
                </c:pt>
                <c:pt idx="13">
                  <c:v>4.7172654095771263</c:v>
                </c:pt>
                <c:pt idx="14">
                  <c:v>5.003512417123857</c:v>
                </c:pt>
                <c:pt idx="15">
                  <c:v>5.3071851430476604</c:v>
                </c:pt>
                <c:pt idx="16">
                  <c:v>5.6293476252090633</c:v>
                </c:pt>
                <c:pt idx="17">
                  <c:v>5.9711290575652809</c:v>
                </c:pt>
                <c:pt idx="18">
                  <c:v>6.333727790525292</c:v>
                </c:pt>
                <c:pt idx="19">
                  <c:v>15.035436191157146</c:v>
                </c:pt>
                <c:pt idx="20">
                  <c:v>23.578782929008216</c:v>
                </c:pt>
                <c:pt idx="21">
                  <c:v>32.032421116321167</c:v>
                </c:pt>
                <c:pt idx="22">
                  <c:v>51.647109078738964</c:v>
                </c:pt>
                <c:pt idx="23">
                  <c:v>71.060821810548774</c:v>
                </c:pt>
                <c:pt idx="24">
                  <c:v>90.337363448897307</c:v>
                </c:pt>
                <c:pt idx="25">
                  <c:v>109.51040959893373</c:v>
                </c:pt>
                <c:pt idx="26">
                  <c:v>128.6007226213413</c:v>
                </c:pt>
                <c:pt idx="27">
                  <c:v>147.62234714684953</c:v>
                </c:pt>
                <c:pt idx="28">
                  <c:v>148.24496805506811</c:v>
                </c:pt>
                <c:pt idx="29">
                  <c:v>171.24037882872651</c:v>
                </c:pt>
                <c:pt idx="30">
                  <c:v>194.16304064471555</c:v>
                </c:pt>
                <c:pt idx="31">
                  <c:v>196.32800949959145</c:v>
                </c:pt>
                <c:pt idx="32">
                  <c:v>222.57460194352402</c:v>
                </c:pt>
                <c:pt idx="33">
                  <c:v>248.75016451475827</c:v>
                </c:pt>
                <c:pt idx="34">
                  <c:v>274.86322161173609</c:v>
                </c:pt>
                <c:pt idx="35">
                  <c:v>300.92054389894366</c:v>
                </c:pt>
                <c:pt idx="36">
                  <c:v>326.9276331083118</c:v>
                </c:pt>
                <c:pt idx="37">
                  <c:v>244.44339805963327</c:v>
                </c:pt>
                <c:pt idx="38">
                  <c:v>272.40799274231136</c:v>
                </c:pt>
                <c:pt idx="39">
                  <c:v>300.30802702917384</c:v>
                </c:pt>
                <c:pt idx="40">
                  <c:v>328.1503383149593</c:v>
                </c:pt>
                <c:pt idx="41">
                  <c:v>355.94050870298332</c:v>
                </c:pt>
                <c:pt idx="42">
                  <c:v>383.6831775834537</c:v>
                </c:pt>
                <c:pt idx="43">
                  <c:v>304.2888920593129</c:v>
                </c:pt>
                <c:pt idx="44">
                  <c:v>333.04015745702907</c:v>
                </c:pt>
                <c:pt idx="45">
                  <c:v>361.73671774155088</c:v>
                </c:pt>
                <c:pt idx="46">
                  <c:v>390.38351842752627</c:v>
                </c:pt>
                <c:pt idx="47">
                  <c:v>418.98472026564724</c:v>
                </c:pt>
                <c:pt idx="48">
                  <c:v>447.5438699506708</c:v>
                </c:pt>
                <c:pt idx="49">
                  <c:v>360.82166278303589</c:v>
                </c:pt>
                <c:pt idx="50">
                  <c:v>389.16546165993583</c:v>
                </c:pt>
                <c:pt idx="51">
                  <c:v>417.46446772037785</c:v>
                </c:pt>
                <c:pt idx="52">
                  <c:v>445.72214076928805</c:v>
                </c:pt>
                <c:pt idx="53">
                  <c:v>473.94146647365955</c:v>
                </c:pt>
                <c:pt idx="54">
                  <c:v>502.125046274314</c:v>
                </c:pt>
                <c:pt idx="55">
                  <c:v>412.59885500930062</c:v>
                </c:pt>
                <c:pt idx="56">
                  <c:v>439.6485541302448</c:v>
                </c:pt>
                <c:pt idx="57">
                  <c:v>466.66258036748872</c:v>
                </c:pt>
                <c:pt idx="58">
                  <c:v>493.64328668822759</c:v>
                </c:pt>
                <c:pt idx="59">
                  <c:v>520.59274811782768</c:v>
                </c:pt>
                <c:pt idx="60">
                  <c:v>547.51280754879247</c:v>
                </c:pt>
                <c:pt idx="61">
                  <c:v>461.70751193736891</c:v>
                </c:pt>
                <c:pt idx="62">
                  <c:v>486.77483940109096</c:v>
                </c:pt>
                <c:pt idx="63">
                  <c:v>511.81477745903248</c:v>
                </c:pt>
                <c:pt idx="64">
                  <c:v>536.82885307947356</c:v>
                </c:pt>
                <c:pt idx="65">
                  <c:v>561.81843946972958</c:v>
                </c:pt>
                <c:pt idx="66">
                  <c:v>586.78477784679262</c:v>
                </c:pt>
                <c:pt idx="67">
                  <c:v>611.72899531220708</c:v>
                </c:pt>
                <c:pt idx="68">
                  <c:v>636.65211966178947</c:v>
                </c:pt>
                <c:pt idx="69">
                  <c:v>661.55509175751888</c:v>
                </c:pt>
                <c:pt idx="70">
                  <c:v>532.19103450300565</c:v>
                </c:pt>
                <c:pt idx="71">
                  <c:v>554.96881965653654</c:v>
                </c:pt>
                <c:pt idx="72">
                  <c:v>577.72702726054183</c:v>
                </c:pt>
                <c:pt idx="73">
                  <c:v>600.46653622697943</c:v>
                </c:pt>
                <c:pt idx="74">
                  <c:v>623.18815354114236</c:v>
                </c:pt>
                <c:pt idx="75">
                  <c:v>645.89262260822341</c:v>
                </c:pt>
                <c:pt idx="76">
                  <c:v>668.58063036620888</c:v>
                </c:pt>
                <c:pt idx="77">
                  <c:v>691.25281338392233</c:v>
                </c:pt>
                <c:pt idx="78">
                  <c:v>713.90976311819611</c:v>
                </c:pt>
                <c:pt idx="79">
                  <c:v>665.16841660226919</c:v>
                </c:pt>
                <c:pt idx="80">
                  <c:v>686.8399721021666</c:v>
                </c:pt>
                <c:pt idx="81">
                  <c:v>708.49751068429669</c:v>
                </c:pt>
                <c:pt idx="82">
                  <c:v>730.14152063681968</c:v>
                </c:pt>
                <c:pt idx="83">
                  <c:v>751.77245897300372</c:v>
                </c:pt>
                <c:pt idx="84">
                  <c:v>773.39075429462139</c:v>
                </c:pt>
                <c:pt idx="85">
                  <c:v>794.09679639066474</c:v>
                </c:pt>
                <c:pt idx="86">
                  <c:v>814.79193114229065</c:v>
                </c:pt>
                <c:pt idx="87">
                  <c:v>835.47647425032699</c:v>
                </c:pt>
                <c:pt idx="88">
                  <c:v>856.15072452917377</c:v>
                </c:pt>
                <c:pt idx="89">
                  <c:v>876.81496520415214</c:v>
                </c:pt>
                <c:pt idx="90">
                  <c:v>897.46946508035228</c:v>
                </c:pt>
                <c:pt idx="91">
                  <c:v>917.81534306490391</c:v>
                </c:pt>
                <c:pt idx="92">
                  <c:v>938.15224136386041</c:v>
                </c:pt>
                <c:pt idx="93">
                  <c:v>958.48038177822752</c:v>
                </c:pt>
                <c:pt idx="94">
                  <c:v>978.79997594718259</c:v>
                </c:pt>
                <c:pt idx="95">
                  <c:v>999.11122601914394</c:v>
                </c:pt>
                <c:pt idx="96">
                  <c:v>1019.4143252655093</c:v>
                </c:pt>
                <c:pt idx="97">
                  <c:v>1039.7094586430337</c:v>
                </c:pt>
                <c:pt idx="98">
                  <c:v>1059.9968033100852</c:v>
                </c:pt>
                <c:pt idx="99">
                  <c:v>1080.2765291013793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02623232"/>
        <c:axId val="-1202635200"/>
      </c:scatterChart>
      <c:valAx>
        <c:axId val="-12026232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35200"/>
        <c:crosses val="autoZero"/>
        <c:crossBetween val="midCat"/>
      </c:valAx>
      <c:valAx>
        <c:axId val="-120263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23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3.0295791840646493</c:v>
                </c:pt>
                <c:pt idx="2">
                  <c:v>3.725679628308781</c:v>
                </c:pt>
                <c:pt idx="3">
                  <c:v>4.5823279764895188</c:v>
                </c:pt>
                <c:pt idx="4">
                  <c:v>5.6366846031435918</c:v>
                </c:pt>
                <c:pt idx="5">
                  <c:v>6.9345395434073795</c:v>
                </c:pt>
                <c:pt idx="6">
                  <c:v>8.5323226929264795</c:v>
                </c:pt>
                <c:pt idx="7">
                  <c:v>10.499583588970779</c:v>
                </c:pt>
                <c:pt idx="8">
                  <c:v>12.922050750342303</c:v>
                </c:pt>
                <c:pt idx="9">
                  <c:v>15.905406371467258</c:v>
                </c:pt>
                <c:pt idx="10">
                  <c:v>19.579944057664719</c:v>
                </c:pt>
                <c:pt idx="11">
                  <c:v>24.106316685632123</c:v>
                </c:pt>
                <c:pt idx="12">
                  <c:v>29.682630145368211</c:v>
                </c:pt>
                <c:pt idx="13">
                  <c:v>36.553198854731285</c:v>
                </c:pt>
                <c:pt idx="14">
                  <c:v>45.01935324011523</c:v>
                </c:pt>
                <c:pt idx="15">
                  <c:v>55.452781189967119</c:v>
                </c:pt>
                <c:pt idx="16">
                  <c:v>68.311998946117441</c:v>
                </c:pt>
                <c:pt idx="17">
                  <c:v>84.162687112704418</c:v>
                </c:pt>
                <c:pt idx="18">
                  <c:v>103.70280075437397</c:v>
                </c:pt>
                <c:pt idx="19">
                  <c:v>127.7935767402505</c:v>
                </c:pt>
                <c:pt idx="20">
                  <c:v>157.49782623325171</c:v>
                </c:pt>
                <c:pt idx="21">
                  <c:v>172.61880685670505</c:v>
                </c:pt>
                <c:pt idx="22">
                  <c:v>187.70863707245701</c:v>
                </c:pt>
                <c:pt idx="23">
                  <c:v>202.77017479447795</c:v>
                </c:pt>
                <c:pt idx="24">
                  <c:v>217.80581820310817</c:v>
                </c:pt>
                <c:pt idx="25">
                  <c:v>232.81760702956308</c:v>
                </c:pt>
                <c:pt idx="26">
                  <c:v>181.00569664728371</c:v>
                </c:pt>
                <c:pt idx="27">
                  <c:v>200.26177659150264</c:v>
                </c:pt>
                <c:pt idx="28">
                  <c:v>219.47493841333153</c:v>
                </c:pt>
                <c:pt idx="29">
                  <c:v>238.64946815456821</c:v>
                </c:pt>
                <c:pt idx="30">
                  <c:v>257.78890626510474</c:v>
                </c:pt>
                <c:pt idx="31">
                  <c:v>280.21615005760458</c:v>
                </c:pt>
                <c:pt idx="32">
                  <c:v>302.60315205267642</c:v>
                </c:pt>
                <c:pt idx="33">
                  <c:v>324.95330656071559</c:v>
                </c:pt>
                <c:pt idx="34">
                  <c:v>347.26950287262474</c:v>
                </c:pt>
                <c:pt idx="35">
                  <c:v>369.55422870449644</c:v>
                </c:pt>
                <c:pt idx="36">
                  <c:v>276.89622424264081</c:v>
                </c:pt>
                <c:pt idx="37">
                  <c:v>300.11758429718867</c:v>
                </c:pt>
                <c:pt idx="38">
                  <c:v>323.29893699066071</c:v>
                </c:pt>
                <c:pt idx="39">
                  <c:v>346.44355255688725</c:v>
                </c:pt>
                <c:pt idx="40">
                  <c:v>369.55422870449632</c:v>
                </c:pt>
                <c:pt idx="41">
                  <c:v>393.04523943920964</c:v>
                </c:pt>
                <c:pt idx="42">
                  <c:v>416.50581806048382</c:v>
                </c:pt>
                <c:pt idx="43">
                  <c:v>439.93791831951495</c:v>
                </c:pt>
                <c:pt idx="44">
                  <c:v>463.34326900875232</c:v>
                </c:pt>
                <c:pt idx="45">
                  <c:v>486.72341015001939</c:v>
                </c:pt>
                <c:pt idx="46">
                  <c:v>394.28074727616132</c:v>
                </c:pt>
                <c:pt idx="47">
                  <c:v>416.9171476106103</c:v>
                </c:pt>
                <c:pt idx="48">
                  <c:v>439.52706413119489</c:v>
                </c:pt>
                <c:pt idx="49">
                  <c:v>462.11204968448243</c:v>
                </c:pt>
                <c:pt idx="50">
                  <c:v>484.67349306043207</c:v>
                </c:pt>
                <c:pt idx="51">
                  <c:v>505.5741589882723</c:v>
                </c:pt>
                <c:pt idx="52">
                  <c:v>526.45656094055948</c:v>
                </c:pt>
                <c:pt idx="53">
                  <c:v>547.32152470399308</c:v>
                </c:pt>
                <c:pt idx="54">
                  <c:v>568.16980802286537</c:v>
                </c:pt>
                <c:pt idx="55">
                  <c:v>589.00210854701277</c:v>
                </c:pt>
                <c:pt idx="56">
                  <c:v>493.69176260852379</c:v>
                </c:pt>
                <c:pt idx="57">
                  <c:v>512.94645994076382</c:v>
                </c:pt>
                <c:pt idx="58">
                  <c:v>532.18590126973982</c:v>
                </c:pt>
                <c:pt idx="59">
                  <c:v>551.41071534837477</c:v>
                </c:pt>
                <c:pt idx="60">
                  <c:v>570.62148354470401</c:v>
                </c:pt>
                <c:pt idx="61">
                  <c:v>588.59378151919873</c:v>
                </c:pt>
                <c:pt idx="62">
                  <c:v>606.55465432493395</c:v>
                </c:pt>
                <c:pt idx="63">
                  <c:v>624.504487652433</c:v>
                </c:pt>
                <c:pt idx="64">
                  <c:v>642.44364323070261</c:v>
                </c:pt>
                <c:pt idx="65">
                  <c:v>660.3724609570171</c:v>
                </c:pt>
                <c:pt idx="66">
                  <c:v>562.85708424728386</c:v>
                </c:pt>
                <c:pt idx="67">
                  <c:v>579.60908578354815</c:v>
                </c:pt>
                <c:pt idx="68">
                  <c:v>596.35099138861813</c:v>
                </c:pt>
                <c:pt idx="69">
                  <c:v>613.08312422226595</c:v>
                </c:pt>
                <c:pt idx="70">
                  <c:v>629.80578837901965</c:v>
                </c:pt>
                <c:pt idx="71">
                  <c:v>645.2966381487488</c:v>
                </c:pt>
                <c:pt idx="72">
                  <c:v>660.77981648497882</c:v>
                </c:pt>
                <c:pt idx="73">
                  <c:v>676.25552834120583</c:v>
                </c:pt>
                <c:pt idx="74">
                  <c:v>691.72396853231078</c:v>
                </c:pt>
                <c:pt idx="75">
                  <c:v>707.18532245626284</c:v>
                </c:pt>
                <c:pt idx="76">
                  <c:v>607.77885306593191</c:v>
                </c:pt>
                <c:pt idx="77">
                  <c:v>622.4652781759479</c:v>
                </c:pt>
                <c:pt idx="78">
                  <c:v>637.1445290217099</c:v>
                </c:pt>
                <c:pt idx="79">
                  <c:v>651.81679408188654</c:v>
                </c:pt>
                <c:pt idx="80">
                  <c:v>666.48225266324471</c:v>
                </c:pt>
                <c:pt idx="81">
                  <c:v>674.21967001771247</c:v>
                </c:pt>
                <c:pt idx="82">
                  <c:v>681.95526333416194</c:v>
                </c:pt>
                <c:pt idx="83">
                  <c:v>689.68905621845386</c:v>
                </c:pt>
                <c:pt idx="84">
                  <c:v>697.42107170393399</c:v>
                </c:pt>
                <c:pt idx="85">
                  <c:v>705.15133227164642</c:v>
                </c:pt>
                <c:pt idx="86">
                  <c:v>712.87985986961849</c:v>
                </c:pt>
                <c:pt idx="87">
                  <c:v>720.60667593126209</c:v>
                </c:pt>
                <c:pt idx="88">
                  <c:v>728.33180139294689</c:v>
                </c:pt>
                <c:pt idx="89">
                  <c:v>736.05525671079067</c:v>
                </c:pt>
                <c:pt idx="90">
                  <c:v>743.77706187670594</c:v>
                </c:pt>
                <c:pt idx="91">
                  <c:v>641.83225318617019</c:v>
                </c:pt>
                <c:pt idx="92">
                  <c:v>653.85406638827374</c:v>
                </c:pt>
                <c:pt idx="93">
                  <c:v>665.87132552880132</c:v>
                </c:pt>
                <c:pt idx="94">
                  <c:v>677.8841243448378</c:v>
                </c:pt>
                <c:pt idx="95">
                  <c:v>689.89255298185083</c:v>
                </c:pt>
                <c:pt idx="96">
                  <c:v>701.89669819273684</c:v>
                </c:pt>
                <c:pt idx="97">
                  <c:v>713.89664352255056</c:v>
                </c:pt>
                <c:pt idx="98">
                  <c:v>725.89246948017444</c:v>
                </c:pt>
                <c:pt idx="99">
                  <c:v>737.88425369805884</c:v>
                </c:pt>
                <c:pt idx="100">
                  <c:v>749.87207108104496</c:v>
                </c:pt>
                <c:pt idx="101">
                  <c:v>648.96439218997534</c:v>
                </c:pt>
                <c:pt idx="102">
                  <c:v>659.96510025530495</c:v>
                </c:pt>
                <c:pt idx="103">
                  <c:v>670.96203378278835</c:v>
                </c:pt>
                <c:pt idx="104">
                  <c:v>681.95526333416149</c:v>
                </c:pt>
                <c:pt idx="105">
                  <c:v>692.94485701159158</c:v>
                </c:pt>
                <c:pt idx="106">
                  <c:v>703.93088058187789</c:v>
                </c:pt>
                <c:pt idx="107">
                  <c:v>714.91339759250093</c:v>
                </c:pt>
                <c:pt idx="108">
                  <c:v>725.89246948017399</c:v>
                </c:pt>
                <c:pt idx="109">
                  <c:v>736.86815567248902</c:v>
                </c:pt>
                <c:pt idx="110">
                  <c:v>747.84051368319581</c:v>
                </c:pt>
                <c:pt idx="111">
                  <c:v>649.16814374322701</c:v>
                </c:pt>
                <c:pt idx="112">
                  <c:v>658.33560563795118</c:v>
                </c:pt>
                <c:pt idx="113">
                  <c:v>667.50043896177965</c:v>
                </c:pt>
                <c:pt idx="114">
                  <c:v>676.66268488632568</c:v>
                </c:pt>
                <c:pt idx="115">
                  <c:v>685.8223833775661</c:v>
                </c:pt>
                <c:pt idx="116">
                  <c:v>694.97957324712013</c:v>
                </c:pt>
                <c:pt idx="117">
                  <c:v>704.1342922006861</c:v>
                </c:pt>
                <c:pt idx="118">
                  <c:v>713.28657688382839</c:v>
                </c:pt>
                <c:pt idx="119">
                  <c:v>722.4364629252932</c:v>
                </c:pt>
                <c:pt idx="120">
                  <c:v>731.58398497801784</c:v>
                </c:pt>
                <c:pt idx="121">
                  <c:v>644.48152336118642</c:v>
                </c:pt>
                <c:pt idx="122">
                  <c:v>653.03917318988636</c:v>
                </c:pt>
                <c:pt idx="123">
                  <c:v>661.59451203421315</c:v>
                </c:pt>
                <c:pt idx="124">
                  <c:v>670.14757398808308</c:v>
                </c:pt>
                <c:pt idx="125">
                  <c:v>678.69839220429276</c:v>
                </c:pt>
                <c:pt idx="126">
                  <c:v>687.24699893228126</c:v>
                </c:pt>
                <c:pt idx="127">
                  <c:v>695.79342555391565</c:v>
                </c:pt>
                <c:pt idx="128">
                  <c:v>704.33770261742723</c:v>
                </c:pt>
                <c:pt idx="129">
                  <c:v>712.87985986961746</c:v>
                </c:pt>
                <c:pt idx="130">
                  <c:v>721.41992628643857</c:v>
                </c:pt>
                <c:pt idx="131">
                  <c:v>639.99801084602666</c:v>
                </c:pt>
                <c:pt idx="132">
                  <c:v>648.14937277791023</c:v>
                </c:pt>
                <c:pt idx="133">
                  <c:v>656.29862051784312</c:v>
                </c:pt>
                <c:pt idx="134">
                  <c:v>664.44578401716308</c:v>
                </c:pt>
                <c:pt idx="135">
                  <c:v>672.5908924328802</c:v>
                </c:pt>
                <c:pt idx="136">
                  <c:v>680.73397415831187</c:v>
                </c:pt>
                <c:pt idx="137">
                  <c:v>688.87505685217866</c:v>
                </c:pt>
                <c:pt idx="138">
                  <c:v>697.01416746625182</c:v>
                </c:pt>
                <c:pt idx="139">
                  <c:v>705.15133227164551</c:v>
                </c:pt>
                <c:pt idx="140">
                  <c:v>713.28657688382816</c:v>
                </c:pt>
                <c:pt idx="141">
                  <c:v>632.86381068293724</c:v>
                </c:pt>
                <c:pt idx="142">
                  <c:v>639.99801084602666</c:v>
                </c:pt>
                <c:pt idx="143">
                  <c:v>647.13056877940369</c:v>
                </c:pt>
                <c:pt idx="144">
                  <c:v>654.26150513657399</c:v>
                </c:pt>
                <c:pt idx="145">
                  <c:v>661.39084008410396</c:v>
                </c:pt>
                <c:pt idx="146">
                  <c:v>668.51859331833884</c:v>
                </c:pt>
                <c:pt idx="147">
                  <c:v>675.64478408137313</c:v>
                </c:pt>
                <c:pt idx="148">
                  <c:v>682.76943117630947</c:v>
                </c:pt>
                <c:pt idx="149">
                  <c:v>689.8925529818498</c:v>
                </c:pt>
                <c:pt idx="150">
                  <c:v>697.01416746625182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02622688"/>
        <c:axId val="-1203740768"/>
      </c:scatterChart>
      <c:valAx>
        <c:axId val="-120262268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3740768"/>
        <c:crosses val="autoZero"/>
        <c:crossBetween val="midCat"/>
      </c:valAx>
      <c:valAx>
        <c:axId val="-120374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2622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87.672415653160499</c:v>
                </c:pt>
                <c:pt idx="17">
                  <c:v>104.14760645595801</c:v>
                </c:pt>
                <c:pt idx="18">
                  <c:v>120.55829551377816</c:v>
                </c:pt>
                <c:pt idx="19">
                  <c:v>136.9145198877824</c:v>
                </c:pt>
                <c:pt idx="20">
                  <c:v>153.22371186614834</c:v>
                </c:pt>
                <c:pt idx="21">
                  <c:v>171.18397278750868</c:v>
                </c:pt>
                <c:pt idx="22">
                  <c:v>189.09987078266826</c:v>
                </c:pt>
                <c:pt idx="23">
                  <c:v>206.97620217195148</c:v>
                </c:pt>
                <c:pt idx="24">
                  <c:v>224.81686592693052</c:v>
                </c:pt>
                <c:pt idx="25">
                  <c:v>242.62509103866606</c:v>
                </c:pt>
                <c:pt idx="26">
                  <c:v>169.32232688472158</c:v>
                </c:pt>
                <c:pt idx="27">
                  <c:v>188.76221470729047</c:v>
                </c:pt>
                <c:pt idx="28">
                  <c:v>208.15542061438953</c:v>
                </c:pt>
                <c:pt idx="29">
                  <c:v>227.50690659831912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263.58734797276014</c:v>
                </c:pt>
                <c:pt idx="35">
                  <c:v>282.83933776674911</c:v>
                </c:pt>
                <c:pt idx="36">
                  <c:v>302.06197856553018</c:v>
                </c:pt>
                <c:pt idx="37">
                  <c:v>321.25740024962437</c:v>
                </c:pt>
                <c:pt idx="38">
                  <c:v>279.73236813579507</c:v>
                </c:pt>
                <c:pt idx="39">
                  <c:v>298.36290228402572</c:v>
                </c:pt>
                <c:pt idx="40">
                  <c:v>316.96751977104663</c:v>
                </c:pt>
                <c:pt idx="41">
                  <c:v>335.54795535646372</c:v>
                </c:pt>
                <c:pt idx="42">
                  <c:v>354.10573601815048</c:v>
                </c:pt>
                <c:pt idx="43">
                  <c:v>372.64221565134471</c:v>
                </c:pt>
                <c:pt idx="44">
                  <c:v>391.15860250001066</c:v>
                </c:pt>
                <c:pt idx="45">
                  <c:v>336.88699770815003</c:v>
                </c:pt>
                <c:pt idx="46">
                  <c:v>354.16518115704031</c:v>
                </c:pt>
                <c:pt idx="47">
                  <c:v>371.42490308727605</c:v>
                </c:pt>
                <c:pt idx="48">
                  <c:v>388.66714186934956</c:v>
                </c:pt>
                <c:pt idx="49">
                  <c:v>405.89278200614257</c:v>
                </c:pt>
                <c:pt idx="50">
                  <c:v>423.1026268227929</c:v>
                </c:pt>
                <c:pt idx="51">
                  <c:v>440.29740898417259</c:v>
                </c:pt>
                <c:pt idx="52">
                  <c:v>457.47779928386598</c:v>
                </c:pt>
                <c:pt idx="53">
                  <c:v>393.44213889474253</c:v>
                </c:pt>
                <c:pt idx="54">
                  <c:v>409.00414204035161</c:v>
                </c:pt>
                <c:pt idx="55">
                  <c:v>424.55336102424576</c:v>
                </c:pt>
                <c:pt idx="56">
                  <c:v>440.09032987714431</c:v>
                </c:pt>
                <c:pt idx="57">
                  <c:v>455.61554185670815</c:v>
                </c:pt>
                <c:pt idx="58">
                  <c:v>471.12945387268002</c:v>
                </c:pt>
                <c:pt idx="59">
                  <c:v>486.63249029889352</c:v>
                </c:pt>
                <c:pt idx="60">
                  <c:v>502.12504627431412</c:v>
                </c:pt>
                <c:pt idx="61">
                  <c:v>438.70974904240546</c:v>
                </c:pt>
                <c:pt idx="62">
                  <c:v>453.06329508642131</c:v>
                </c:pt>
                <c:pt idx="63">
                  <c:v>467.40712233198587</c:v>
                </c:pt>
                <c:pt idx="64">
                  <c:v>481.74157097323291</c:v>
                </c:pt>
                <c:pt idx="65">
                  <c:v>496.06695931286299</c:v>
                </c:pt>
                <c:pt idx="66">
                  <c:v>510.38358577553487</c:v>
                </c:pt>
                <c:pt idx="67">
                  <c:v>524.69173068364421</c:v>
                </c:pt>
                <c:pt idx="68">
                  <c:v>538.99165782937473</c:v>
                </c:pt>
                <c:pt idx="69">
                  <c:v>553.28361587129064</c:v>
                </c:pt>
                <c:pt idx="70">
                  <c:v>2.5073107750038623E-12</c:v>
                </c:pt>
                <c:pt idx="71">
                  <c:v>2.5073107750038623E-12</c:v>
                </c:pt>
                <c:pt idx="72">
                  <c:v>2.5073107750038623E-12</c:v>
                </c:pt>
                <c:pt idx="73">
                  <c:v>2.5073107750038623E-12</c:v>
                </c:pt>
                <c:pt idx="74">
                  <c:v>2.5073107750038623E-12</c:v>
                </c:pt>
                <c:pt idx="75">
                  <c:v>2.5073107750038623E-12</c:v>
                </c:pt>
                <c:pt idx="76">
                  <c:v>2.5073107750038623E-12</c:v>
                </c:pt>
                <c:pt idx="77">
                  <c:v>2.5073107750038623E-12</c:v>
                </c:pt>
                <c:pt idx="78">
                  <c:v>2.5073107750038623E-12</c:v>
                </c:pt>
                <c:pt idx="79">
                  <c:v>2.5073107750038623E-12</c:v>
                </c:pt>
                <c:pt idx="80">
                  <c:v>2.5073107750038623E-12</c:v>
                </c:pt>
                <c:pt idx="81">
                  <c:v>2.5073107750038623E-12</c:v>
                </c:pt>
                <c:pt idx="82">
                  <c:v>2.5073107750038623E-12</c:v>
                </c:pt>
                <c:pt idx="83">
                  <c:v>2.5073107750038623E-12</c:v>
                </c:pt>
                <c:pt idx="84">
                  <c:v>2.5073107750038623E-12</c:v>
                </c:pt>
                <c:pt idx="85">
                  <c:v>2.5073107750038623E-12</c:v>
                </c:pt>
                <c:pt idx="86">
                  <c:v>2.5073107750038623E-12</c:v>
                </c:pt>
                <c:pt idx="87">
                  <c:v>2.5073107750038623E-12</c:v>
                </c:pt>
                <c:pt idx="88">
                  <c:v>2.5073107750038623E-12</c:v>
                </c:pt>
                <c:pt idx="89">
                  <c:v>2.5073107750038623E-12</c:v>
                </c:pt>
                <c:pt idx="90">
                  <c:v>2.5073107750038623E-12</c:v>
                </c:pt>
                <c:pt idx="91">
                  <c:v>2.5073107750038623E-12</c:v>
                </c:pt>
                <c:pt idx="92">
                  <c:v>2.5073107750038623E-12</c:v>
                </c:pt>
                <c:pt idx="93">
                  <c:v>2.5073107750038623E-12</c:v>
                </c:pt>
                <c:pt idx="94">
                  <c:v>2.5073107750038623E-12</c:v>
                </c:pt>
                <c:pt idx="95">
                  <c:v>2.5073107750038623E-12</c:v>
                </c:pt>
                <c:pt idx="96">
                  <c:v>2.5073107750038623E-12</c:v>
                </c:pt>
                <c:pt idx="97">
                  <c:v>2.5073107750038623E-12</c:v>
                </c:pt>
                <c:pt idx="98">
                  <c:v>2.5073107750038623E-12</c:v>
                </c:pt>
                <c:pt idx="99">
                  <c:v>2.5073107750038623E-12</c:v>
                </c:pt>
                <c:pt idx="100">
                  <c:v>2.5073107750038623E-12</c:v>
                </c:pt>
                <c:pt idx="101">
                  <c:v>2.5073107750038623E-12</c:v>
                </c:pt>
                <c:pt idx="102">
                  <c:v>2.5073107750038623E-12</c:v>
                </c:pt>
                <c:pt idx="103">
                  <c:v>2.5073107750038623E-12</c:v>
                </c:pt>
                <c:pt idx="104">
                  <c:v>2.5073107750038623E-12</c:v>
                </c:pt>
                <c:pt idx="105">
                  <c:v>2.5073107750038623E-12</c:v>
                </c:pt>
                <c:pt idx="106">
                  <c:v>2.5073107750038623E-12</c:v>
                </c:pt>
                <c:pt idx="107">
                  <c:v>2.5073107750038623E-12</c:v>
                </c:pt>
                <c:pt idx="108">
                  <c:v>2.5073107750038623E-12</c:v>
                </c:pt>
                <c:pt idx="109">
                  <c:v>2.5073107750038623E-12</c:v>
                </c:pt>
                <c:pt idx="110">
                  <c:v>2.5073107750038623E-12</c:v>
                </c:pt>
                <c:pt idx="111">
                  <c:v>2.5073107750038623E-12</c:v>
                </c:pt>
                <c:pt idx="112">
                  <c:v>2.5073107750038623E-12</c:v>
                </c:pt>
                <c:pt idx="113">
                  <c:v>2.5073107750038623E-12</c:v>
                </c:pt>
                <c:pt idx="114">
                  <c:v>2.5073107750038623E-12</c:v>
                </c:pt>
                <c:pt idx="115">
                  <c:v>2.5073107750038623E-12</c:v>
                </c:pt>
                <c:pt idx="116">
                  <c:v>2.5073107750038623E-12</c:v>
                </c:pt>
                <c:pt idx="117">
                  <c:v>2.5073107750038623E-12</c:v>
                </c:pt>
                <c:pt idx="118">
                  <c:v>2.5073107750038623E-12</c:v>
                </c:pt>
                <c:pt idx="119">
                  <c:v>2.5073107750038623E-12</c:v>
                </c:pt>
                <c:pt idx="120">
                  <c:v>2.5073107750038623E-12</c:v>
                </c:pt>
                <c:pt idx="121">
                  <c:v>2.5073107750038623E-12</c:v>
                </c:pt>
                <c:pt idx="122">
                  <c:v>2.5073107750038623E-12</c:v>
                </c:pt>
                <c:pt idx="123">
                  <c:v>2.5073107750038623E-12</c:v>
                </c:pt>
                <c:pt idx="124">
                  <c:v>2.5073107750038623E-12</c:v>
                </c:pt>
                <c:pt idx="125">
                  <c:v>2.5073107750038623E-12</c:v>
                </c:pt>
                <c:pt idx="126">
                  <c:v>2.5073107750038623E-12</c:v>
                </c:pt>
                <c:pt idx="127">
                  <c:v>2.5073107750038623E-12</c:v>
                </c:pt>
                <c:pt idx="128">
                  <c:v>2.5073107750038623E-12</c:v>
                </c:pt>
                <c:pt idx="129">
                  <c:v>2.5073107750038623E-12</c:v>
                </c:pt>
                <c:pt idx="130">
                  <c:v>2.5073107750038623E-12</c:v>
                </c:pt>
                <c:pt idx="131">
                  <c:v>2.5073107750038623E-12</c:v>
                </c:pt>
                <c:pt idx="132">
                  <c:v>2.5073107750038623E-12</c:v>
                </c:pt>
                <c:pt idx="133">
                  <c:v>2.5073107750038623E-12</c:v>
                </c:pt>
                <c:pt idx="134">
                  <c:v>2.5073107750038623E-12</c:v>
                </c:pt>
                <c:pt idx="135">
                  <c:v>2.5073107750038623E-12</c:v>
                </c:pt>
                <c:pt idx="136">
                  <c:v>2.5073107750038623E-12</c:v>
                </c:pt>
                <c:pt idx="137">
                  <c:v>2.5073107750038623E-12</c:v>
                </c:pt>
                <c:pt idx="138">
                  <c:v>2.5073107750038623E-12</c:v>
                </c:pt>
                <c:pt idx="139">
                  <c:v>2.5073107750038623E-12</c:v>
                </c:pt>
                <c:pt idx="140">
                  <c:v>2.5073107750038623E-12</c:v>
                </c:pt>
                <c:pt idx="141">
                  <c:v>2.5073107750038623E-12</c:v>
                </c:pt>
                <c:pt idx="142">
                  <c:v>2.5073107750038623E-12</c:v>
                </c:pt>
                <c:pt idx="143">
                  <c:v>2.5073107750038623E-12</c:v>
                </c:pt>
                <c:pt idx="144">
                  <c:v>2.5073107750038623E-12</c:v>
                </c:pt>
                <c:pt idx="145">
                  <c:v>2.5073107750038623E-12</c:v>
                </c:pt>
                <c:pt idx="146">
                  <c:v>2.5073107750038623E-12</c:v>
                </c:pt>
                <c:pt idx="147">
                  <c:v>2.5073107750038623E-12</c:v>
                </c:pt>
                <c:pt idx="148">
                  <c:v>2.5073107750038623E-12</c:v>
                </c:pt>
                <c:pt idx="149">
                  <c:v>2.5073107750038623E-12</c:v>
                </c:pt>
                <c:pt idx="150">
                  <c:v>2.5073107750038623E-12</c:v>
                </c:pt>
                <c:pt idx="151">
                  <c:v>2.5073107750038623E-12</c:v>
                </c:pt>
                <c:pt idx="152">
                  <c:v>2.5073107750038623E-12</c:v>
                </c:pt>
                <c:pt idx="153">
                  <c:v>2.5073107750038623E-12</c:v>
                </c:pt>
                <c:pt idx="154">
                  <c:v>2.5073107750038623E-12</c:v>
                </c:pt>
                <c:pt idx="155">
                  <c:v>2.5073107750038623E-12</c:v>
                </c:pt>
                <c:pt idx="156">
                  <c:v>2.5073107750038623E-12</c:v>
                </c:pt>
                <c:pt idx="157">
                  <c:v>2.5073107750038623E-12</c:v>
                </c:pt>
                <c:pt idx="158">
                  <c:v>2.5073107750038623E-12</c:v>
                </c:pt>
                <c:pt idx="159">
                  <c:v>2.5073107750038623E-12</c:v>
                </c:pt>
                <c:pt idx="160">
                  <c:v>2.5073107750038623E-12</c:v>
                </c:pt>
                <c:pt idx="161">
                  <c:v>2.5073107750038623E-12</c:v>
                </c:pt>
                <c:pt idx="162">
                  <c:v>2.5073107750038623E-12</c:v>
                </c:pt>
                <c:pt idx="163">
                  <c:v>2.5073107750038623E-12</c:v>
                </c:pt>
                <c:pt idx="164">
                  <c:v>2.5073107750038623E-12</c:v>
                </c:pt>
                <c:pt idx="165">
                  <c:v>2.5073107750038623E-12</c:v>
                </c:pt>
                <c:pt idx="166">
                  <c:v>2.5073107750038623E-12</c:v>
                </c:pt>
                <c:pt idx="167">
                  <c:v>2.5073107750038623E-12</c:v>
                </c:pt>
                <c:pt idx="168">
                  <c:v>2.5073107750038623E-12</c:v>
                </c:pt>
                <c:pt idx="169">
                  <c:v>2.5073107750038623E-12</c:v>
                </c:pt>
                <c:pt idx="170">
                  <c:v>2.5073107750038623E-12</c:v>
                </c:pt>
                <c:pt idx="171">
                  <c:v>2.5073107750038623E-12</c:v>
                </c:pt>
                <c:pt idx="172">
                  <c:v>2.5073107750038623E-12</c:v>
                </c:pt>
                <c:pt idx="173">
                  <c:v>2.5073107750038623E-12</c:v>
                </c:pt>
                <c:pt idx="174">
                  <c:v>2.5073107750038623E-12</c:v>
                </c:pt>
                <c:pt idx="175">
                  <c:v>2.5073107750038623E-12</c:v>
                </c:pt>
                <c:pt idx="176">
                  <c:v>2.5073107750038623E-12</c:v>
                </c:pt>
                <c:pt idx="177">
                  <c:v>2.5073107750038623E-12</c:v>
                </c:pt>
                <c:pt idx="178">
                  <c:v>2.5073107750038623E-12</c:v>
                </c:pt>
                <c:pt idx="179">
                  <c:v>2.5073107750038623E-12</c:v>
                </c:pt>
                <c:pt idx="180">
                  <c:v>2.5073107750038623E-12</c:v>
                </c:pt>
                <c:pt idx="181">
                  <c:v>2.5073107750038623E-12</c:v>
                </c:pt>
                <c:pt idx="182">
                  <c:v>2.5073107750038623E-12</c:v>
                </c:pt>
                <c:pt idx="183">
                  <c:v>2.5073107750038623E-12</c:v>
                </c:pt>
                <c:pt idx="184">
                  <c:v>2.5073107750038623E-12</c:v>
                </c:pt>
                <c:pt idx="185">
                  <c:v>2.5073107750038623E-12</c:v>
                </c:pt>
                <c:pt idx="186">
                  <c:v>2.5073107750038623E-12</c:v>
                </c:pt>
                <c:pt idx="187">
                  <c:v>2.5073107750038623E-12</c:v>
                </c:pt>
                <c:pt idx="188">
                  <c:v>2.5073107750038623E-12</c:v>
                </c:pt>
                <c:pt idx="189">
                  <c:v>2.5073107750038623E-12</c:v>
                </c:pt>
                <c:pt idx="190">
                  <c:v>2.5073107750038623E-12</c:v>
                </c:pt>
                <c:pt idx="191">
                  <c:v>2.5073107750038623E-12</c:v>
                </c:pt>
                <c:pt idx="192">
                  <c:v>2.5073107750038623E-12</c:v>
                </c:pt>
                <c:pt idx="193">
                  <c:v>2.5073107750038623E-12</c:v>
                </c:pt>
                <c:pt idx="194">
                  <c:v>2.5073107750038623E-12</c:v>
                </c:pt>
                <c:pt idx="195">
                  <c:v>2.5073107750038623E-12</c:v>
                </c:pt>
                <c:pt idx="196">
                  <c:v>2.5073107750038623E-12</c:v>
                </c:pt>
                <c:pt idx="197">
                  <c:v>2.5073107750038623E-12</c:v>
                </c:pt>
                <c:pt idx="198">
                  <c:v>2.5073107750038623E-12</c:v>
                </c:pt>
                <c:pt idx="199">
                  <c:v>2.5073107750038623E-12</c:v>
                </c:pt>
                <c:pt idx="200">
                  <c:v>2.5073107750038623E-12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04488128"/>
        <c:axId val="-957616032"/>
      </c:scatterChart>
      <c:valAx>
        <c:axId val="-120448812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957616032"/>
        <c:crosses val="autoZero"/>
        <c:crossBetween val="midCat"/>
      </c:valAx>
      <c:valAx>
        <c:axId val="-95761603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4488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1" t="s">
        <v>291</v>
      </c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</row>
    <row r="13" spans="2:13" ht="15" customHeight="1" x14ac:dyDescent="0.3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</row>
    <row r="14" spans="2:13" ht="15" customHeight="1" x14ac:dyDescent="0.3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</row>
    <row r="15" spans="2:13" ht="18.75" customHeight="1" x14ac:dyDescent="0.3"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</row>
    <row r="16" spans="2:13" ht="18.75" customHeight="1" x14ac:dyDescent="0.3"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</row>
    <row r="18" spans="2:13" ht="12" customHeight="1" x14ac:dyDescent="0.3">
      <c r="B18" s="291" t="s">
        <v>292</v>
      </c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</row>
    <row r="19" spans="2:13" ht="12" customHeight="1" x14ac:dyDescent="0.3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</row>
    <row r="20" spans="2:13" ht="12" customHeight="1" x14ac:dyDescent="0.3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</row>
    <row r="21" spans="2:13" ht="12" customHeight="1" x14ac:dyDescent="0.3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</row>
    <row r="22" spans="2:13" ht="12" customHeight="1" x14ac:dyDescent="0.3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</row>
    <row r="23" spans="2:13" ht="12" customHeight="1" x14ac:dyDescent="0.3"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</row>
    <row r="24" spans="2:13" ht="12" customHeight="1" x14ac:dyDescent="0.3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</row>
    <row r="25" spans="2:13" ht="12" customHeight="1" x14ac:dyDescent="0.3"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</row>
    <row r="26" spans="2:13" ht="12" customHeight="1" x14ac:dyDescent="0.3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</row>
    <row r="27" spans="2:13" ht="12" customHeight="1" x14ac:dyDescent="0.3"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</row>
    <row r="28" spans="2:13" ht="12" customHeight="1" x14ac:dyDescent="0.3"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</row>
    <row r="29" spans="2:13" ht="12" customHeight="1" x14ac:dyDescent="0.3"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</row>
    <row r="30" spans="2:13" ht="12" customHeight="1" x14ac:dyDescent="0.3"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</row>
    <row r="31" spans="2:13" ht="12" customHeight="1" x14ac:dyDescent="0.3"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zoomScale="70" zoomScaleNormal="70" workbookViewId="0">
      <selection activeCell="E16" sqref="E16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6" t="s">
        <v>190</v>
      </c>
      <c r="D1" s="296"/>
      <c r="E1" s="296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7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7" t="s">
        <v>192</v>
      </c>
      <c r="C3" s="298"/>
      <c r="D3" s="298"/>
      <c r="E3" s="298"/>
      <c r="F3" s="299"/>
      <c r="G3" s="95"/>
      <c r="I3" s="227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7"/>
      <c r="I4" s="227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3" t="s">
        <v>231</v>
      </c>
      <c r="B5" s="303"/>
      <c r="C5" s="26">
        <v>3.5179999999999998</v>
      </c>
      <c r="D5" s="304" t="s">
        <v>229</v>
      </c>
      <c r="E5" s="305"/>
      <c r="F5" s="97"/>
      <c r="G5" s="237"/>
      <c r="H5" s="238"/>
      <c r="I5" s="238"/>
      <c r="J5" s="246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39"/>
      <c r="H6" s="240"/>
      <c r="I6" s="240"/>
      <c r="J6" s="247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1" t="s">
        <v>226</v>
      </c>
      <c r="B7" s="301"/>
      <c r="C7" s="97"/>
      <c r="D7" s="97"/>
      <c r="E7" s="5"/>
      <c r="F7" s="97"/>
      <c r="G7" s="237"/>
      <c r="H7" s="238"/>
      <c r="I7" s="238"/>
      <c r="J7" s="246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2"/>
      <c r="J8" s="246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14</v>
      </c>
      <c r="C9" s="35">
        <v>0.36</v>
      </c>
      <c r="D9" s="36">
        <f t="shared" ref="D9:D18" si="0">C9*$C$5</f>
        <v>1.2664799999999998</v>
      </c>
      <c r="E9" s="37">
        <v>150</v>
      </c>
      <c r="F9" s="38" t="str">
        <f t="array" ref="F9">IF(E9="","",IF(INDEX(A:A,MAX(IF(ISNUMBER($A$36:$A$55),ROW($A$36:$A$55),"")))&lt;&gt;E9,"Corrigez : révolution incorrecte","OK"))</f>
        <v>OK</v>
      </c>
      <c r="G9" s="257" t="s">
        <v>306</v>
      </c>
      <c r="I9" s="253"/>
      <c r="J9" s="24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12</v>
      </c>
      <c r="C10" s="35">
        <v>0.27</v>
      </c>
      <c r="D10" s="36">
        <f t="shared" si="0"/>
        <v>0.94986000000000004</v>
      </c>
      <c r="E10" s="37">
        <v>150</v>
      </c>
      <c r="F10" s="38" t="str">
        <f t="array" ref="F10">IF(E10="","",IF(INDEX(A:A,MAX(IF(ISNUMBER($A$62:$A$81),ROW($A$62:$A$81),"")))&lt;&gt;E10,"Corrigez : révolution incorrecte","OK"))</f>
        <v>OK</v>
      </c>
      <c r="I10" s="253"/>
      <c r="J10" s="24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 t="s">
        <v>8</v>
      </c>
      <c r="C11" s="35">
        <v>0.09</v>
      </c>
      <c r="D11" s="36">
        <f t="shared" si="0"/>
        <v>0.31661999999999996</v>
      </c>
      <c r="E11" s="37">
        <v>80</v>
      </c>
      <c r="F11" s="38" t="str">
        <f t="array" ref="F11">IF(E11="","",IF(INDEX(A:A,MAX(IF(ISNUMBER($A$88:$A$107),ROW($A$88:$A$107),"")))&lt;&gt;E11,"Corrigez : révolution incorrecte","OK"))</f>
        <v>OK</v>
      </c>
      <c r="H11" s="230"/>
      <c r="I11" s="253"/>
      <c r="J11" s="24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 t="s">
        <v>11</v>
      </c>
      <c r="C12" s="35">
        <v>7.0000000000000007E-2</v>
      </c>
      <c r="D12" s="36">
        <f t="shared" si="0"/>
        <v>0.24626000000000001</v>
      </c>
      <c r="E12" s="37">
        <v>150</v>
      </c>
      <c r="F12" s="38" t="str">
        <f t="array" ref="F12">IF(E12="","",IF(INDEX(A:A,MAX(IF(ISNUMBER($A$114:$A$133),ROW($A$114:$A$133),"")))&lt;&gt;E12,"Corrigez : révolution incorrecte","OK"))</f>
        <v>OK</v>
      </c>
      <c r="H12" s="230"/>
      <c r="I12" s="253"/>
      <c r="J12" s="24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 t="s">
        <v>164</v>
      </c>
      <c r="C13" s="35">
        <v>0.05</v>
      </c>
      <c r="D13" s="36">
        <f t="shared" si="0"/>
        <v>0.1759</v>
      </c>
      <c r="E13" s="37">
        <v>109</v>
      </c>
      <c r="F13" s="38" t="str">
        <f t="array" ref="F13">IF(E13="","",IF(INDEX(A:A,MAX(IF(ISNUMBER($A$140:$A$159),ROW($A$140:$A$159),"")))&lt;&gt;E13,"Corrigez : révolution incorrecte","OK"))</f>
        <v>OK</v>
      </c>
      <c r="H13" s="230"/>
      <c r="I13" s="253"/>
      <c r="J13" s="246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 t="s">
        <v>23</v>
      </c>
      <c r="C14" s="35">
        <v>0.04</v>
      </c>
      <c r="D14" s="36">
        <f t="shared" si="0"/>
        <v>0.14071999999999998</v>
      </c>
      <c r="E14" s="37">
        <v>80</v>
      </c>
      <c r="F14" s="38" t="str">
        <f t="array" ref="F14">IF(E14="","",IF(INDEX(A:A,MAX(IF(ISNUMBER($A$166:$A$185),ROW($A$166:$A$185),"")))&lt;&gt;E14,"Corrigez : révolution incorrecte","OK"))</f>
        <v>OK</v>
      </c>
      <c r="H14" s="230"/>
      <c r="I14" s="253"/>
      <c r="J14" s="246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 t="s">
        <v>25</v>
      </c>
      <c r="C15" s="35">
        <v>0.03</v>
      </c>
      <c r="D15" s="36">
        <f t="shared" si="0"/>
        <v>0.10553999999999999</v>
      </c>
      <c r="E15" s="37">
        <v>99</v>
      </c>
      <c r="F15" s="38" t="str">
        <f t="array" ref="F15">IF(E15="","",IF(INDEX(A:A,MAX(IF(ISNUMBER($A$192:$A$211),ROW($A$192:$A$211),"")))&lt;&gt;E15,"Corrigez : révolution incorrecte","OK"))</f>
        <v>OK</v>
      </c>
      <c r="H15" s="230"/>
      <c r="I15" s="253"/>
      <c r="J15" s="246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 t="s">
        <v>1</v>
      </c>
      <c r="C16" s="35">
        <v>0.03</v>
      </c>
      <c r="D16" s="36">
        <f t="shared" si="0"/>
        <v>0.10553999999999999</v>
      </c>
      <c r="E16" s="37">
        <v>150</v>
      </c>
      <c r="F16" s="38" t="str">
        <f t="array" ref="F16">IF(E16="","",IF(INDEX(A:A,MAX(IF(ISNUMBER($A$218:$A$237),ROW($A$218:$A$237),"")))&lt;&gt;E16,"Corrigez : révolution incorrecte","OK"))</f>
        <v>OK</v>
      </c>
      <c r="H16" s="230"/>
      <c r="I16" s="253"/>
      <c r="J16" s="246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 t="s">
        <v>29</v>
      </c>
      <c r="C17" s="35">
        <v>0.02</v>
      </c>
      <c r="D17" s="36">
        <f t="shared" si="0"/>
        <v>7.0359999999999992E-2</v>
      </c>
      <c r="E17" s="37">
        <v>69</v>
      </c>
      <c r="F17" s="38" t="str">
        <f t="array" ref="F17">IF(E17="","",IF(INDEX(A:A,MAX(IF(ISNUMBER($A$244:$A$263),ROW($A$244:$A$263),"")))&lt;&gt;E17,"Corrigez : révolution incorrecte","OK"))</f>
        <v>OK</v>
      </c>
      <c r="H17" s="230"/>
      <c r="I17" s="253"/>
      <c r="J17" s="246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 t="s">
        <v>50</v>
      </c>
      <c r="C18" s="35">
        <v>0.01</v>
      </c>
      <c r="D18" s="36">
        <f t="shared" si="0"/>
        <v>3.5179999999999996E-2</v>
      </c>
      <c r="E18" s="37">
        <v>110</v>
      </c>
      <c r="F18" s="38" t="str">
        <f t="array" ref="F18">IF(E18="","",IF(INDEX(A:A,MAX(IF(ISNUMBER($A$270:$A$289),ROW($A$270:$A$289),"")))&lt;&gt;E18,"Corrigez : révolution incorrecte","OK"))</f>
        <v>OK</v>
      </c>
      <c r="H18" s="230"/>
      <c r="I18" s="253"/>
      <c r="J18" s="246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0.9700000000000002</v>
      </c>
      <c r="D19" s="41">
        <f>SUM(D9:D18)</f>
        <v>3.4124599999999994</v>
      </c>
      <c r="E19" s="5"/>
      <c r="F19" s="101"/>
      <c r="G19" s="241"/>
      <c r="H19" s="242"/>
      <c r="I19" s="241"/>
      <c r="J19" s="246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8"/>
      <c r="F20" s="240"/>
      <c r="G20" s="240"/>
      <c r="H20" s="242"/>
      <c r="I20" s="241"/>
      <c r="J20" s="24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3"/>
      <c r="I21" s="254"/>
      <c r="J21" s="246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0" t="s">
        <v>232</v>
      </c>
      <c r="B22" s="300"/>
      <c r="C22" s="99"/>
      <c r="H22" s="229"/>
      <c r="I22" s="247"/>
      <c r="J22" s="247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0"/>
      <c r="I23" s="246"/>
      <c r="J23" s="246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4"/>
      <c r="H24" s="230"/>
      <c r="I24" s="244"/>
      <c r="J24" s="24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5"/>
      <c r="H25" s="230"/>
      <c r="I25" s="245"/>
      <c r="J25" s="24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4"/>
      <c r="I26" s="244"/>
      <c r="J26" s="244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4"/>
      <c r="I27" s="244"/>
      <c r="J27" s="244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6"/>
      <c r="I28" s="246"/>
      <c r="J28" s="24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6"/>
      <c r="I29" s="246"/>
      <c r="J29" s="24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2" t="s">
        <v>227</v>
      </c>
      <c r="B30" s="302"/>
      <c r="D30" s="249"/>
      <c r="H30" s="247"/>
      <c r="I30" s="247"/>
      <c r="J30" s="247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6"/>
      <c r="I31" s="246"/>
      <c r="J31" s="246"/>
      <c r="K31" s="249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Chêne sessile</v>
      </c>
      <c r="C32" s="25" t="s">
        <v>324</v>
      </c>
      <c r="D32" s="258" t="s">
        <v>307</v>
      </c>
      <c r="K32" s="24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4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2" t="s">
        <v>186</v>
      </c>
      <c r="D34" s="292"/>
      <c r="E34" s="293" t="s">
        <v>187</v>
      </c>
      <c r="F34" s="294"/>
      <c r="G34" s="294"/>
      <c r="H34" s="295"/>
      <c r="I34" s="104"/>
      <c r="J34" s="250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1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20</v>
      </c>
      <c r="B36" s="63">
        <f>67+6</f>
        <v>73</v>
      </c>
      <c r="C36" s="63"/>
      <c r="D36" s="63"/>
      <c r="E36" s="54"/>
      <c r="F36" s="54"/>
      <c r="G36" s="54"/>
      <c r="H36" s="54"/>
      <c r="I36" s="52">
        <f>IFERROR(B36/A36,"")</f>
        <v>3.65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25</v>
      </c>
      <c r="B37" s="63">
        <f>75+28+6</f>
        <v>109</v>
      </c>
      <c r="C37" s="63">
        <v>1</v>
      </c>
      <c r="D37" s="63">
        <f>6+28</f>
        <v>34</v>
      </c>
      <c r="E37" s="54"/>
      <c r="F37" s="54"/>
      <c r="G37" s="54"/>
      <c r="H37" s="54">
        <v>1</v>
      </c>
      <c r="I37" s="56">
        <f t="shared" ref="I37:I55" si="1">IF(A37&lt;&gt;0,(B37-(B36-D36))/(A37-A36),"")</f>
        <v>7.2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30</v>
      </c>
      <c r="B38" s="63">
        <f>93+28</f>
        <v>121</v>
      </c>
      <c r="C38" s="63"/>
      <c r="D38" s="63"/>
      <c r="E38" s="54"/>
      <c r="F38" s="54"/>
      <c r="G38" s="54"/>
      <c r="H38" s="54"/>
      <c r="I38" s="56">
        <f t="shared" si="1"/>
        <v>9.1999999999999993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35</v>
      </c>
      <c r="B39" s="63">
        <f>119+28+28</f>
        <v>175</v>
      </c>
      <c r="C39" s="63">
        <v>2</v>
      </c>
      <c r="D39" s="63">
        <f>28+28</f>
        <v>56</v>
      </c>
      <c r="E39" s="54"/>
      <c r="F39" s="54"/>
      <c r="G39" s="54"/>
      <c r="H39" s="54"/>
      <c r="I39" s="52">
        <f t="shared" si="1"/>
        <v>10.8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40</v>
      </c>
      <c r="B40" s="63">
        <f>147+28</f>
        <v>175</v>
      </c>
      <c r="C40" s="63"/>
      <c r="D40" s="63"/>
      <c r="E40" s="54"/>
      <c r="F40" s="54"/>
      <c r="G40" s="54"/>
      <c r="H40" s="54"/>
      <c r="I40" s="52">
        <f t="shared" si="1"/>
        <v>11.2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45</v>
      </c>
      <c r="B41" s="63">
        <f>176+28+28</f>
        <v>232</v>
      </c>
      <c r="C41" s="63">
        <v>3</v>
      </c>
      <c r="D41" s="63">
        <f>28+28</f>
        <v>56</v>
      </c>
      <c r="E41" s="54"/>
      <c r="F41" s="54"/>
      <c r="G41" s="54"/>
      <c r="H41" s="54"/>
      <c r="I41" s="56">
        <f t="shared" si="1"/>
        <v>11.4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50</v>
      </c>
      <c r="B42" s="63">
        <f>203+28</f>
        <v>231</v>
      </c>
      <c r="C42" s="53"/>
      <c r="D42" s="63"/>
      <c r="E42" s="54"/>
      <c r="F42" s="54"/>
      <c r="G42" s="54"/>
      <c r="H42" s="54"/>
      <c r="I42" s="56">
        <f t="shared" si="1"/>
        <v>11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53">
        <v>55</v>
      </c>
      <c r="B43" s="63">
        <f>226+28+28</f>
        <v>282</v>
      </c>
      <c r="C43" s="53">
        <v>4</v>
      </c>
      <c r="D43" s="63">
        <f>28+28</f>
        <v>56</v>
      </c>
      <c r="E43" s="54"/>
      <c r="F43" s="54"/>
      <c r="G43" s="54"/>
      <c r="H43" s="54"/>
      <c r="I43" s="52">
        <f t="shared" si="1"/>
        <v>10.199999999999999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53">
        <v>60</v>
      </c>
      <c r="B44" s="63">
        <f>245+28</f>
        <v>273</v>
      </c>
      <c r="C44" s="53"/>
      <c r="D44" s="63"/>
      <c r="E44" s="54"/>
      <c r="F44" s="54"/>
      <c r="G44" s="54"/>
      <c r="H44" s="54"/>
      <c r="I44" s="52">
        <f t="shared" si="1"/>
        <v>9.4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53">
        <v>65</v>
      </c>
      <c r="B45" s="63">
        <f>261+28+28</f>
        <v>317</v>
      </c>
      <c r="C45" s="53">
        <v>5</v>
      </c>
      <c r="D45" s="63">
        <f>D43</f>
        <v>56</v>
      </c>
      <c r="E45" s="54"/>
      <c r="F45" s="54"/>
      <c r="G45" s="54"/>
      <c r="H45" s="54"/>
      <c r="I45" s="52">
        <f t="shared" si="1"/>
        <v>8.8000000000000007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53">
        <v>70</v>
      </c>
      <c r="B46" s="63">
        <f>274+28</f>
        <v>302</v>
      </c>
      <c r="C46" s="53"/>
      <c r="D46" s="63"/>
      <c r="E46" s="54"/>
      <c r="F46" s="54"/>
      <c r="G46" s="54"/>
      <c r="H46" s="54"/>
      <c r="I46" s="52">
        <f t="shared" si="1"/>
        <v>8.1999999999999993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53">
        <v>75</v>
      </c>
      <c r="B47" s="63">
        <f>284+28+28</f>
        <v>340</v>
      </c>
      <c r="C47" s="53">
        <v>6</v>
      </c>
      <c r="D47" s="63">
        <f>28+28</f>
        <v>56</v>
      </c>
      <c r="E47" s="54"/>
      <c r="F47" s="54"/>
      <c r="G47" s="54"/>
      <c r="H47" s="54"/>
      <c r="I47" s="52">
        <f t="shared" si="1"/>
        <v>7.6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53">
        <v>80</v>
      </c>
      <c r="B48" s="63">
        <f>292+28</f>
        <v>320</v>
      </c>
      <c r="C48" s="53"/>
      <c r="D48" s="63"/>
      <c r="E48" s="54"/>
      <c r="F48" s="54"/>
      <c r="G48" s="54"/>
      <c r="H48" s="54"/>
      <c r="I48" s="52">
        <f t="shared" si="1"/>
        <v>7.2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53">
        <v>90</v>
      </c>
      <c r="B49" s="63">
        <f>302+28+28</f>
        <v>358</v>
      </c>
      <c r="C49" s="53">
        <v>7</v>
      </c>
      <c r="D49" s="63">
        <f>28+28</f>
        <v>56</v>
      </c>
      <c r="E49" s="54"/>
      <c r="F49" s="54"/>
      <c r="G49" s="54"/>
      <c r="H49" s="54"/>
      <c r="I49" s="52">
        <f t="shared" si="1"/>
        <v>3.8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53">
        <v>100</v>
      </c>
      <c r="B50" s="53">
        <v>361</v>
      </c>
      <c r="C50" s="53">
        <v>8</v>
      </c>
      <c r="D50" s="53">
        <v>55</v>
      </c>
      <c r="E50" s="54"/>
      <c r="F50" s="54"/>
      <c r="G50" s="54"/>
      <c r="H50" s="54"/>
      <c r="I50" s="52">
        <f t="shared" si="1"/>
        <v>5.9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53">
        <v>110</v>
      </c>
      <c r="B51" s="53">
        <v>360</v>
      </c>
      <c r="C51" s="53">
        <v>9</v>
      </c>
      <c r="D51" s="53">
        <v>53</v>
      </c>
      <c r="E51" s="54"/>
      <c r="F51" s="54"/>
      <c r="G51" s="54"/>
      <c r="H51" s="54"/>
      <c r="I51" s="52">
        <f t="shared" si="1"/>
        <v>5.4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53">
        <v>120</v>
      </c>
      <c r="B52" s="53">
        <v>352</v>
      </c>
      <c r="C52" s="53">
        <v>10</v>
      </c>
      <c r="D52" s="53">
        <v>47</v>
      </c>
      <c r="E52" s="54"/>
      <c r="F52" s="54"/>
      <c r="G52" s="54"/>
      <c r="H52" s="54"/>
      <c r="I52" s="52">
        <f t="shared" si="1"/>
        <v>4.5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53">
        <v>130</v>
      </c>
      <c r="B53" s="53">
        <v>347</v>
      </c>
      <c r="C53" s="53">
        <v>11</v>
      </c>
      <c r="D53" s="53">
        <v>44</v>
      </c>
      <c r="E53" s="54"/>
      <c r="F53" s="54"/>
      <c r="G53" s="54"/>
      <c r="H53" s="54"/>
      <c r="I53" s="52">
        <f t="shared" si="1"/>
        <v>4.2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53">
        <v>140</v>
      </c>
      <c r="B54" s="53">
        <v>343</v>
      </c>
      <c r="C54" s="53">
        <v>12</v>
      </c>
      <c r="D54" s="53">
        <v>43</v>
      </c>
      <c r="E54" s="54"/>
      <c r="F54" s="54"/>
      <c r="G54" s="54"/>
      <c r="H54" s="54"/>
      <c r="I54" s="52">
        <f t="shared" si="1"/>
        <v>4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53">
        <v>150</v>
      </c>
      <c r="B55" s="53">
        <v>335</v>
      </c>
      <c r="C55" s="53">
        <v>13</v>
      </c>
      <c r="D55" s="53">
        <v>335</v>
      </c>
      <c r="E55" s="54"/>
      <c r="F55" s="54"/>
      <c r="G55" s="54"/>
      <c r="H55" s="54"/>
      <c r="I55" s="52">
        <f t="shared" si="1"/>
        <v>3.5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>Chêne pubescent</v>
      </c>
      <c r="C58" s="25" t="s">
        <v>324</v>
      </c>
      <c r="D58" s="258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2" t="s">
        <v>186</v>
      </c>
      <c r="D60" s="292"/>
      <c r="E60" s="293" t="s">
        <v>187</v>
      </c>
      <c r="F60" s="294"/>
      <c r="G60" s="294"/>
      <c r="H60" s="295"/>
      <c r="I60" s="104"/>
      <c r="J60" s="250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1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>
        <v>20</v>
      </c>
      <c r="B62" s="63">
        <f>67+6</f>
        <v>73</v>
      </c>
      <c r="C62" s="63"/>
      <c r="D62" s="63"/>
      <c r="E62" s="54"/>
      <c r="F62" s="54"/>
      <c r="G62" s="54"/>
      <c r="H62" s="54"/>
      <c r="I62" s="56">
        <f>IFERROR(B62/A62,"")</f>
        <v>3.65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>
        <v>25</v>
      </c>
      <c r="B63" s="63">
        <f>75+28+6</f>
        <v>109</v>
      </c>
      <c r="C63" s="63">
        <v>1</v>
      </c>
      <c r="D63" s="63">
        <f>6+28</f>
        <v>34</v>
      </c>
      <c r="E63" s="54"/>
      <c r="F63" s="54"/>
      <c r="G63" s="54"/>
      <c r="H63" s="54">
        <v>1</v>
      </c>
      <c r="I63" s="52">
        <f>IF(A63&lt;&gt;0,(B63-(B62-D62))/(A63-A62),"")</f>
        <v>7.2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>
        <v>30</v>
      </c>
      <c r="B64" s="63">
        <f>93+28</f>
        <v>121</v>
      </c>
      <c r="C64" s="63"/>
      <c r="D64" s="63"/>
      <c r="E64" s="54"/>
      <c r="F64" s="54"/>
      <c r="G64" s="54"/>
      <c r="H64" s="54"/>
      <c r="I64" s="52">
        <f>IF(A64&lt;&gt;0,(B64-(B63-D63))/(A64-A63),"")</f>
        <v>9.1999999999999993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>
        <v>35</v>
      </c>
      <c r="B65" s="63">
        <f>119+28+28</f>
        <v>175</v>
      </c>
      <c r="C65" s="63">
        <v>2</v>
      </c>
      <c r="D65" s="63">
        <f>28+28</f>
        <v>56</v>
      </c>
      <c r="E65" s="54"/>
      <c r="F65" s="54"/>
      <c r="G65" s="54"/>
      <c r="H65" s="54"/>
      <c r="I65" s="52">
        <f>IF(A65&lt;&gt;0,(B65-(B64-D64))/(A65-A64),"")</f>
        <v>10.8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>
        <v>40</v>
      </c>
      <c r="B66" s="63">
        <f>147+28</f>
        <v>175</v>
      </c>
      <c r="C66" s="63"/>
      <c r="D66" s="63"/>
      <c r="E66" s="54"/>
      <c r="F66" s="54"/>
      <c r="G66" s="54"/>
      <c r="H66" s="54"/>
      <c r="I66" s="52">
        <f t="shared" ref="I66:I81" si="2">IF(A66&lt;&gt;0,(B66-(B65-D65))/(A66-A65),"")</f>
        <v>11.2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>
        <v>45</v>
      </c>
      <c r="B67" s="63">
        <f>176+28+28</f>
        <v>232</v>
      </c>
      <c r="C67" s="63">
        <v>3</v>
      </c>
      <c r="D67" s="63">
        <f>28+28</f>
        <v>56</v>
      </c>
      <c r="E67" s="54"/>
      <c r="F67" s="54"/>
      <c r="G67" s="54"/>
      <c r="H67" s="54"/>
      <c r="I67" s="52">
        <f t="shared" si="2"/>
        <v>11.4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>
        <v>50</v>
      </c>
      <c r="B68" s="63">
        <f>203+28</f>
        <v>231</v>
      </c>
      <c r="C68" s="53"/>
      <c r="D68" s="63"/>
      <c r="E68" s="54"/>
      <c r="F68" s="54"/>
      <c r="G68" s="54"/>
      <c r="H68" s="54"/>
      <c r="I68" s="52">
        <f t="shared" si="2"/>
        <v>11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>
        <v>55</v>
      </c>
      <c r="B69" s="63">
        <f>226+28+28</f>
        <v>282</v>
      </c>
      <c r="C69" s="53">
        <v>4</v>
      </c>
      <c r="D69" s="63">
        <f>28+28</f>
        <v>56</v>
      </c>
      <c r="E69" s="54"/>
      <c r="F69" s="54"/>
      <c r="G69" s="54"/>
      <c r="H69" s="54"/>
      <c r="I69" s="52">
        <f t="shared" si="2"/>
        <v>10.199999999999999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>
        <v>60</v>
      </c>
      <c r="B70" s="63">
        <f>245+28</f>
        <v>273</v>
      </c>
      <c r="C70" s="53"/>
      <c r="D70" s="63"/>
      <c r="E70" s="54"/>
      <c r="F70" s="54"/>
      <c r="G70" s="54"/>
      <c r="H70" s="54"/>
      <c r="I70" s="52">
        <f t="shared" si="2"/>
        <v>9.4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>
        <v>65</v>
      </c>
      <c r="B71" s="63">
        <f>261+28+28</f>
        <v>317</v>
      </c>
      <c r="C71" s="53">
        <v>5</v>
      </c>
      <c r="D71" s="63">
        <f>D69</f>
        <v>56</v>
      </c>
      <c r="E71" s="54"/>
      <c r="F71" s="54"/>
      <c r="G71" s="54"/>
      <c r="H71" s="54"/>
      <c r="I71" s="52">
        <f t="shared" si="2"/>
        <v>8.8000000000000007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>
        <v>70</v>
      </c>
      <c r="B72" s="63">
        <f>274+28</f>
        <v>302</v>
      </c>
      <c r="C72" s="53"/>
      <c r="D72" s="63"/>
      <c r="E72" s="54"/>
      <c r="F72" s="54"/>
      <c r="G72" s="54"/>
      <c r="H72" s="54"/>
      <c r="I72" s="52">
        <f t="shared" si="2"/>
        <v>8.1999999999999993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>
        <v>75</v>
      </c>
      <c r="B73" s="63">
        <f>284+28+28</f>
        <v>340</v>
      </c>
      <c r="C73" s="53">
        <v>6</v>
      </c>
      <c r="D73" s="63">
        <f>28+28</f>
        <v>56</v>
      </c>
      <c r="E73" s="54"/>
      <c r="F73" s="54"/>
      <c r="G73" s="54"/>
      <c r="H73" s="54"/>
      <c r="I73" s="52">
        <f t="shared" si="2"/>
        <v>7.6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>
        <v>80</v>
      </c>
      <c r="B74" s="63">
        <f>292+28</f>
        <v>320</v>
      </c>
      <c r="C74" s="53"/>
      <c r="D74" s="63"/>
      <c r="E74" s="54"/>
      <c r="F74" s="54"/>
      <c r="G74" s="54"/>
      <c r="H74" s="54"/>
      <c r="I74" s="52">
        <f t="shared" si="2"/>
        <v>7.2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>
        <v>90</v>
      </c>
      <c r="B75" s="63">
        <f>302+28+28</f>
        <v>358</v>
      </c>
      <c r="C75" s="53">
        <v>7</v>
      </c>
      <c r="D75" s="63">
        <f>28+28</f>
        <v>56</v>
      </c>
      <c r="E75" s="54"/>
      <c r="F75" s="54"/>
      <c r="G75" s="54"/>
      <c r="H75" s="54"/>
      <c r="I75" s="52">
        <f t="shared" si="2"/>
        <v>3.8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>
        <v>100</v>
      </c>
      <c r="B76" s="53">
        <v>361</v>
      </c>
      <c r="C76" s="53">
        <v>8</v>
      </c>
      <c r="D76" s="53">
        <v>55</v>
      </c>
      <c r="E76" s="54"/>
      <c r="F76" s="54"/>
      <c r="G76" s="54"/>
      <c r="H76" s="54"/>
      <c r="I76" s="52">
        <f t="shared" si="2"/>
        <v>5.9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>
        <v>110</v>
      </c>
      <c r="B77" s="53">
        <v>360</v>
      </c>
      <c r="C77" s="53">
        <v>9</v>
      </c>
      <c r="D77" s="53">
        <v>53</v>
      </c>
      <c r="E77" s="54"/>
      <c r="F77" s="54"/>
      <c r="G77" s="54"/>
      <c r="H77" s="54"/>
      <c r="I77" s="52">
        <f t="shared" si="2"/>
        <v>5.4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>
        <v>120</v>
      </c>
      <c r="B78" s="53">
        <v>352</v>
      </c>
      <c r="C78" s="53">
        <v>10</v>
      </c>
      <c r="D78" s="53">
        <v>47</v>
      </c>
      <c r="E78" s="54"/>
      <c r="F78" s="54"/>
      <c r="G78" s="54"/>
      <c r="H78" s="54"/>
      <c r="I78" s="52">
        <f t="shared" si="2"/>
        <v>4.5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>
        <v>130</v>
      </c>
      <c r="B79" s="53">
        <v>347</v>
      </c>
      <c r="C79" s="53">
        <v>11</v>
      </c>
      <c r="D79" s="53">
        <v>44</v>
      </c>
      <c r="E79" s="54"/>
      <c r="F79" s="54"/>
      <c r="G79" s="54"/>
      <c r="H79" s="54"/>
      <c r="I79" s="52">
        <f t="shared" si="2"/>
        <v>4.2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>
        <v>140</v>
      </c>
      <c r="B80" s="53">
        <v>343</v>
      </c>
      <c r="C80" s="53">
        <v>12</v>
      </c>
      <c r="D80" s="53">
        <v>43</v>
      </c>
      <c r="E80" s="54"/>
      <c r="F80" s="54"/>
      <c r="G80" s="54"/>
      <c r="H80" s="54"/>
      <c r="I80" s="52">
        <f t="shared" si="2"/>
        <v>4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>
        <v>150</v>
      </c>
      <c r="B81" s="53">
        <v>335</v>
      </c>
      <c r="C81" s="53">
        <v>13</v>
      </c>
      <c r="D81" s="53">
        <v>335</v>
      </c>
      <c r="E81" s="54"/>
      <c r="F81" s="54"/>
      <c r="G81" s="54"/>
      <c r="H81" s="54"/>
      <c r="I81" s="52">
        <f t="shared" si="2"/>
        <v>3.5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>Châtaignier</v>
      </c>
      <c r="C84" s="25" t="s">
        <v>325</v>
      </c>
      <c r="D84" s="258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2" t="s">
        <v>186</v>
      </c>
      <c r="D86" s="292"/>
      <c r="E86" s="293" t="s">
        <v>187</v>
      </c>
      <c r="F86" s="294"/>
      <c r="G86" s="294"/>
      <c r="H86" s="295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>
        <v>10</v>
      </c>
      <c r="B88" s="63">
        <f>11.1+0</f>
        <v>11.1</v>
      </c>
      <c r="C88" s="63"/>
      <c r="D88" s="63"/>
      <c r="E88" s="54"/>
      <c r="F88" s="54"/>
      <c r="G88" s="54"/>
      <c r="H88" s="54"/>
      <c r="I88" s="56">
        <f>IFERROR(B88/A88,"")</f>
        <v>1.1099999999999999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>
        <v>15</v>
      </c>
      <c r="B89" s="63">
        <f>33+31.5</f>
        <v>64.5</v>
      </c>
      <c r="C89" s="63"/>
      <c r="D89" s="63"/>
      <c r="E89" s="54"/>
      <c r="F89" s="54"/>
      <c r="G89" s="54"/>
      <c r="H89" s="54"/>
      <c r="I89" s="56">
        <f t="shared" ref="I89:I107" si="3">IF(A89&lt;&gt;0,(B89-(B88-D88))/(A89-A88),"")</f>
        <v>10.68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>
        <v>20</v>
      </c>
      <c r="B90" s="63">
        <f>66.8+35+31.5+0</f>
        <v>133.30000000000001</v>
      </c>
      <c r="C90" s="63">
        <v>1</v>
      </c>
      <c r="D90" s="63">
        <f>35+31.5+0</f>
        <v>66.5</v>
      </c>
      <c r="E90" s="54"/>
      <c r="F90" s="54"/>
      <c r="G90" s="54"/>
      <c r="H90" s="54">
        <v>1</v>
      </c>
      <c r="I90" s="56">
        <f t="shared" si="3"/>
        <v>13.760000000000002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>
        <v>25</v>
      </c>
      <c r="B91" s="63">
        <f>105.5+35</f>
        <v>140.5</v>
      </c>
      <c r="C91" s="63"/>
      <c r="D91" s="63"/>
      <c r="E91" s="54"/>
      <c r="F91" s="54"/>
      <c r="G91" s="54"/>
      <c r="H91" s="54"/>
      <c r="I91" s="56">
        <f t="shared" si="3"/>
        <v>14.739999999999998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>
        <v>30</v>
      </c>
      <c r="B92" s="63">
        <f>141.8+35+35</f>
        <v>211.8</v>
      </c>
      <c r="C92" s="63">
        <v>2</v>
      </c>
      <c r="D92" s="63">
        <f>35+35</f>
        <v>70</v>
      </c>
      <c r="E92" s="54"/>
      <c r="F92" s="54"/>
      <c r="G92" s="54"/>
      <c r="H92" s="54">
        <v>1</v>
      </c>
      <c r="I92" s="56">
        <f t="shared" si="3"/>
        <v>14.260000000000002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>
        <v>35</v>
      </c>
      <c r="B93" s="63">
        <f>171.4+35</f>
        <v>206.4</v>
      </c>
      <c r="C93" s="63"/>
      <c r="D93" s="63"/>
      <c r="E93" s="54"/>
      <c r="F93" s="54"/>
      <c r="G93" s="54"/>
      <c r="H93" s="54"/>
      <c r="I93" s="56">
        <f t="shared" si="3"/>
        <v>12.919999999999998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>
        <v>40</v>
      </c>
      <c r="B94" s="63">
        <f>193.1+35+35</f>
        <v>263.10000000000002</v>
      </c>
      <c r="C94" s="53">
        <v>3</v>
      </c>
      <c r="D94" s="63">
        <f>35+35</f>
        <v>70</v>
      </c>
      <c r="E94" s="54"/>
      <c r="F94" s="54"/>
      <c r="G94" s="54"/>
      <c r="H94" s="54"/>
      <c r="I94" s="56">
        <f t="shared" si="3"/>
        <v>11.340000000000003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53">
        <v>45</v>
      </c>
      <c r="B95" s="63">
        <f>218+24.2</f>
        <v>242.2</v>
      </c>
      <c r="C95" s="53"/>
      <c r="D95" s="63"/>
      <c r="E95" s="54"/>
      <c r="F95" s="54"/>
      <c r="G95" s="54"/>
      <c r="H95" s="54"/>
      <c r="I95" s="56">
        <f t="shared" si="3"/>
        <v>9.8199999999999932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53">
        <v>50</v>
      </c>
      <c r="B96" s="63">
        <f>241.8+18.9+24.2</f>
        <v>284.89999999999998</v>
      </c>
      <c r="C96" s="53">
        <v>4</v>
      </c>
      <c r="D96" s="63">
        <f>18.9+24.2</f>
        <v>43.099999999999994</v>
      </c>
      <c r="E96" s="54"/>
      <c r="F96" s="54"/>
      <c r="G96" s="54"/>
      <c r="H96" s="54"/>
      <c r="I96" s="56">
        <f t="shared" si="3"/>
        <v>8.5399999999999974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53">
        <v>55</v>
      </c>
      <c r="B97" s="63">
        <f>262.6+16</f>
        <v>278.60000000000002</v>
      </c>
      <c r="C97" s="53"/>
      <c r="D97" s="63"/>
      <c r="E97" s="54"/>
      <c r="F97" s="54"/>
      <c r="G97" s="54"/>
      <c r="H97" s="54"/>
      <c r="I97" s="56">
        <f t="shared" si="3"/>
        <v>7.3600000000000083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53">
        <v>60</v>
      </c>
      <c r="B98" s="63">
        <f>279.8+14.2+16</f>
        <v>310</v>
      </c>
      <c r="C98" s="53">
        <v>5</v>
      </c>
      <c r="D98" s="63">
        <f>14.2+16</f>
        <v>30.2</v>
      </c>
      <c r="E98" s="54"/>
      <c r="F98" s="54"/>
      <c r="G98" s="54"/>
      <c r="H98" s="54"/>
      <c r="I98" s="56">
        <f t="shared" si="3"/>
        <v>6.2799999999999958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53">
        <v>65</v>
      </c>
      <c r="B99" s="63">
        <f>292.6+13.4</f>
        <v>306</v>
      </c>
      <c r="C99" s="53"/>
      <c r="D99" s="63"/>
      <c r="E99" s="54"/>
      <c r="F99" s="54"/>
      <c r="G99" s="54"/>
      <c r="H99" s="54"/>
      <c r="I99" s="56">
        <f t="shared" si="3"/>
        <v>5.2399999999999975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53">
        <v>70</v>
      </c>
      <c r="B100" s="63">
        <f>302.6+12.5+13.4</f>
        <v>328.5</v>
      </c>
      <c r="C100" s="53">
        <v>6</v>
      </c>
      <c r="D100" s="63">
        <f>15+15.9</f>
        <v>30.9</v>
      </c>
      <c r="E100" s="54"/>
      <c r="F100" s="54"/>
      <c r="G100" s="54"/>
      <c r="H100" s="54"/>
      <c r="I100" s="56">
        <f t="shared" si="3"/>
        <v>4.5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53">
        <v>75</v>
      </c>
      <c r="B101" s="63">
        <f>311.9+11.6</f>
        <v>323.5</v>
      </c>
      <c r="C101" s="53"/>
      <c r="D101" s="63"/>
      <c r="E101" s="54"/>
      <c r="F101" s="54"/>
      <c r="G101" s="54"/>
      <c r="H101" s="54"/>
      <c r="I101" s="56">
        <f t="shared" si="3"/>
        <v>5.1799999999999953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53">
        <v>80</v>
      </c>
      <c r="B102" s="53">
        <v>341.3</v>
      </c>
      <c r="C102" s="53">
        <v>8</v>
      </c>
      <c r="D102" s="53">
        <v>341.3</v>
      </c>
      <c r="E102" s="54"/>
      <c r="F102" s="54"/>
      <c r="G102" s="54"/>
      <c r="H102" s="54"/>
      <c r="I102" s="56">
        <f t="shared" si="3"/>
        <v>3.5600000000000023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53"/>
      <c r="B103" s="53"/>
      <c r="C103" s="53"/>
      <c r="D103" s="53"/>
      <c r="E103" s="54"/>
      <c r="F103" s="54"/>
      <c r="G103" s="54"/>
      <c r="H103" s="54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53"/>
      <c r="B104" s="53"/>
      <c r="C104" s="53"/>
      <c r="D104" s="53"/>
      <c r="E104" s="54"/>
      <c r="F104" s="54"/>
      <c r="G104" s="54"/>
      <c r="H104" s="54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4"/>
      <c r="F105" s="54"/>
      <c r="G105" s="54"/>
      <c r="H105" s="54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4"/>
      <c r="F106" s="54"/>
      <c r="G106" s="54"/>
      <c r="H106" s="54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4"/>
      <c r="F107" s="54"/>
      <c r="G107" s="54"/>
      <c r="H107" s="54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>Chêne pédonculé</v>
      </c>
      <c r="C110" s="25" t="s">
        <v>324</v>
      </c>
      <c r="D110" s="258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2" t="s">
        <v>186</v>
      </c>
      <c r="D112" s="292"/>
      <c r="E112" s="293" t="s">
        <v>187</v>
      </c>
      <c r="F112" s="294"/>
      <c r="G112" s="294"/>
      <c r="H112" s="295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>
        <v>20</v>
      </c>
      <c r="B114" s="63">
        <f>67+6</f>
        <v>73</v>
      </c>
      <c r="C114" s="63"/>
      <c r="D114" s="63"/>
      <c r="E114" s="54"/>
      <c r="F114" s="54"/>
      <c r="G114" s="54"/>
      <c r="H114" s="54"/>
      <c r="I114" s="56">
        <f>IFERROR(B114/A114,"")</f>
        <v>3.65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>
        <v>25</v>
      </c>
      <c r="B115" s="63">
        <f>75+28+6</f>
        <v>109</v>
      </c>
      <c r="C115" s="63">
        <v>1</v>
      </c>
      <c r="D115" s="63">
        <f>6+28</f>
        <v>34</v>
      </c>
      <c r="E115" s="54"/>
      <c r="F115" s="54"/>
      <c r="G115" s="54"/>
      <c r="H115" s="54">
        <v>1</v>
      </c>
      <c r="I115" s="56">
        <f t="shared" ref="I115:I133" si="4">IF(A115&lt;&gt;0,(B115-(B114-D114))/(A115-A114),"")</f>
        <v>7.2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>
        <v>30</v>
      </c>
      <c r="B116" s="63">
        <f>93+28</f>
        <v>121</v>
      </c>
      <c r="C116" s="63"/>
      <c r="D116" s="63"/>
      <c r="E116" s="54"/>
      <c r="F116" s="54"/>
      <c r="G116" s="54"/>
      <c r="H116" s="54"/>
      <c r="I116" s="56">
        <f t="shared" si="4"/>
        <v>9.1999999999999993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>
        <v>35</v>
      </c>
      <c r="B117" s="63">
        <f>119+28+28</f>
        <v>175</v>
      </c>
      <c r="C117" s="63">
        <v>2</v>
      </c>
      <c r="D117" s="63">
        <f>28+28</f>
        <v>56</v>
      </c>
      <c r="E117" s="54"/>
      <c r="F117" s="54"/>
      <c r="G117" s="54"/>
      <c r="H117" s="54"/>
      <c r="I117" s="56">
        <f t="shared" si="4"/>
        <v>10.8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>
        <v>40</v>
      </c>
      <c r="B118" s="63">
        <f>147+28</f>
        <v>175</v>
      </c>
      <c r="C118" s="63"/>
      <c r="D118" s="63"/>
      <c r="E118" s="54"/>
      <c r="F118" s="54"/>
      <c r="G118" s="54"/>
      <c r="H118" s="54"/>
      <c r="I118" s="56">
        <f t="shared" si="4"/>
        <v>11.2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>
        <v>45</v>
      </c>
      <c r="B119" s="63">
        <f>176+28+28</f>
        <v>232</v>
      </c>
      <c r="C119" s="63">
        <v>3</v>
      </c>
      <c r="D119" s="63">
        <f>28+28</f>
        <v>56</v>
      </c>
      <c r="E119" s="54"/>
      <c r="F119" s="54"/>
      <c r="G119" s="54"/>
      <c r="H119" s="54"/>
      <c r="I119" s="56">
        <f t="shared" si="4"/>
        <v>11.4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53">
        <v>50</v>
      </c>
      <c r="B120" s="63">
        <f>203+28</f>
        <v>231</v>
      </c>
      <c r="C120" s="53"/>
      <c r="D120" s="63"/>
      <c r="E120" s="54"/>
      <c r="F120" s="54"/>
      <c r="G120" s="54"/>
      <c r="H120" s="54"/>
      <c r="I120" s="56">
        <f t="shared" si="4"/>
        <v>11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53">
        <v>55</v>
      </c>
      <c r="B121" s="63">
        <f>226+28+28</f>
        <v>282</v>
      </c>
      <c r="C121" s="53">
        <v>4</v>
      </c>
      <c r="D121" s="63">
        <f>28+28</f>
        <v>56</v>
      </c>
      <c r="E121" s="54"/>
      <c r="F121" s="54"/>
      <c r="G121" s="54"/>
      <c r="H121" s="54"/>
      <c r="I121" s="56">
        <f t="shared" si="4"/>
        <v>10.199999999999999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53">
        <v>60</v>
      </c>
      <c r="B122" s="63">
        <f>245+28</f>
        <v>273</v>
      </c>
      <c r="C122" s="53"/>
      <c r="D122" s="63"/>
      <c r="E122" s="54"/>
      <c r="F122" s="54"/>
      <c r="G122" s="54"/>
      <c r="H122" s="54"/>
      <c r="I122" s="56">
        <f t="shared" si="4"/>
        <v>9.4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53">
        <v>65</v>
      </c>
      <c r="B123" s="63">
        <f>261+28+28</f>
        <v>317</v>
      </c>
      <c r="C123" s="53">
        <v>5</v>
      </c>
      <c r="D123" s="63">
        <f>D121</f>
        <v>56</v>
      </c>
      <c r="E123" s="54"/>
      <c r="F123" s="54"/>
      <c r="G123" s="54"/>
      <c r="H123" s="54"/>
      <c r="I123" s="56">
        <f t="shared" si="4"/>
        <v>8.8000000000000007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53">
        <v>70</v>
      </c>
      <c r="B124" s="63">
        <f>274+28</f>
        <v>302</v>
      </c>
      <c r="C124" s="53"/>
      <c r="D124" s="63"/>
      <c r="E124" s="54"/>
      <c r="F124" s="54"/>
      <c r="G124" s="54"/>
      <c r="H124" s="54"/>
      <c r="I124" s="56">
        <f t="shared" si="4"/>
        <v>8.1999999999999993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53">
        <v>75</v>
      </c>
      <c r="B125" s="63">
        <f>284+28+28</f>
        <v>340</v>
      </c>
      <c r="C125" s="53">
        <v>6</v>
      </c>
      <c r="D125" s="63">
        <f>28+28</f>
        <v>56</v>
      </c>
      <c r="E125" s="54"/>
      <c r="F125" s="54"/>
      <c r="G125" s="54"/>
      <c r="H125" s="54"/>
      <c r="I125" s="56">
        <f t="shared" si="4"/>
        <v>7.6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53">
        <v>80</v>
      </c>
      <c r="B126" s="63">
        <f>292+28</f>
        <v>320</v>
      </c>
      <c r="C126" s="53"/>
      <c r="D126" s="63"/>
      <c r="E126" s="54"/>
      <c r="F126" s="54"/>
      <c r="G126" s="54"/>
      <c r="H126" s="54"/>
      <c r="I126" s="56">
        <f t="shared" si="4"/>
        <v>7.2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53">
        <v>90</v>
      </c>
      <c r="B127" s="63">
        <f>302+28+28</f>
        <v>358</v>
      </c>
      <c r="C127" s="53">
        <v>7</v>
      </c>
      <c r="D127" s="63">
        <f>28+28</f>
        <v>56</v>
      </c>
      <c r="E127" s="54"/>
      <c r="F127" s="54"/>
      <c r="G127" s="54"/>
      <c r="H127" s="54"/>
      <c r="I127" s="56">
        <f t="shared" si="4"/>
        <v>3.8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>
        <v>100</v>
      </c>
      <c r="B128" s="53">
        <v>361</v>
      </c>
      <c r="C128" s="53">
        <v>8</v>
      </c>
      <c r="D128" s="53">
        <v>55</v>
      </c>
      <c r="E128" s="54"/>
      <c r="F128" s="54"/>
      <c r="G128" s="54"/>
      <c r="H128" s="54"/>
      <c r="I128" s="56">
        <f t="shared" si="4"/>
        <v>5.9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>
        <v>110</v>
      </c>
      <c r="B129" s="53">
        <v>360</v>
      </c>
      <c r="C129" s="53">
        <v>9</v>
      </c>
      <c r="D129" s="53">
        <v>53</v>
      </c>
      <c r="E129" s="54"/>
      <c r="F129" s="54"/>
      <c r="G129" s="54"/>
      <c r="H129" s="54"/>
      <c r="I129" s="56">
        <f t="shared" si="4"/>
        <v>5.4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>
        <v>120</v>
      </c>
      <c r="B130" s="53">
        <v>352</v>
      </c>
      <c r="C130" s="53">
        <v>10</v>
      </c>
      <c r="D130" s="53">
        <v>47</v>
      </c>
      <c r="E130" s="54"/>
      <c r="F130" s="54"/>
      <c r="G130" s="54"/>
      <c r="H130" s="54"/>
      <c r="I130" s="56">
        <f t="shared" si="4"/>
        <v>4.5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>
        <v>130</v>
      </c>
      <c r="B131" s="53">
        <v>347</v>
      </c>
      <c r="C131" s="53">
        <v>11</v>
      </c>
      <c r="D131" s="53">
        <v>44</v>
      </c>
      <c r="E131" s="54"/>
      <c r="F131" s="54"/>
      <c r="G131" s="54"/>
      <c r="H131" s="54"/>
      <c r="I131" s="56">
        <f t="shared" si="4"/>
        <v>4.2</v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>
        <v>140</v>
      </c>
      <c r="B132" s="53">
        <v>343</v>
      </c>
      <c r="C132" s="53">
        <v>12</v>
      </c>
      <c r="D132" s="53">
        <v>43</v>
      </c>
      <c r="E132" s="54"/>
      <c r="F132" s="54"/>
      <c r="G132" s="54"/>
      <c r="H132" s="54"/>
      <c r="I132" s="56">
        <f t="shared" si="4"/>
        <v>4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>
        <v>150</v>
      </c>
      <c r="B133" s="53">
        <v>335</v>
      </c>
      <c r="C133" s="53">
        <v>13</v>
      </c>
      <c r="D133" s="53">
        <v>335</v>
      </c>
      <c r="E133" s="54"/>
      <c r="F133" s="54"/>
      <c r="G133" s="54"/>
      <c r="H133" s="54"/>
      <c r="I133" s="56">
        <f t="shared" si="4"/>
        <v>3.5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>Cèdre de l'Atlas</v>
      </c>
      <c r="C136" s="25" t="s">
        <v>328</v>
      </c>
      <c r="D136" s="258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2" t="s">
        <v>186</v>
      </c>
      <c r="D138" s="292"/>
      <c r="E138" s="293" t="s">
        <v>187</v>
      </c>
      <c r="F138" s="294"/>
      <c r="G138" s="294"/>
      <c r="H138" s="295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>
        <v>30</v>
      </c>
      <c r="B140" s="63">
        <f>134/1.3</f>
        <v>103.07692307692308</v>
      </c>
      <c r="C140" s="53"/>
      <c r="D140" s="63"/>
      <c r="E140" s="54"/>
      <c r="F140" s="54"/>
      <c r="G140" s="54"/>
      <c r="H140" s="93"/>
      <c r="I140" s="60">
        <f>IFERROR(B140/A140,"")</f>
        <v>3.4358974358974361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>
        <v>51</v>
      </c>
      <c r="B141" s="63">
        <f>418/1.3</f>
        <v>321.53846153846155</v>
      </c>
      <c r="C141" s="53">
        <v>1</v>
      </c>
      <c r="D141" s="63">
        <f>(418-288)/1.3</f>
        <v>100</v>
      </c>
      <c r="E141" s="54"/>
      <c r="F141" s="54"/>
      <c r="G141" s="54"/>
      <c r="H141" s="93"/>
      <c r="I141" s="60">
        <f t="shared" ref="I141:I159" si="5">IF(A141&lt;&gt;0,(B141-(B140-D140))/(A141-A140),"")</f>
        <v>10.402930402930403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>
        <v>63</v>
      </c>
      <c r="B142" s="63">
        <f>456/1.3</f>
        <v>350.76923076923077</v>
      </c>
      <c r="C142" s="53">
        <v>2</v>
      </c>
      <c r="D142" s="63">
        <f>(456-315)/1.3</f>
        <v>108.46153846153845</v>
      </c>
      <c r="E142" s="93"/>
      <c r="F142" s="93"/>
      <c r="G142" s="93"/>
      <c r="H142" s="93"/>
      <c r="I142" s="60">
        <f t="shared" si="5"/>
        <v>10.769230769230768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>
        <v>75</v>
      </c>
      <c r="B143" s="63">
        <f>469/1.3</f>
        <v>360.76923076923077</v>
      </c>
      <c r="C143" s="53">
        <v>3</v>
      </c>
      <c r="D143" s="63">
        <f>B143-(358/1.3)</f>
        <v>85.384615384615415</v>
      </c>
      <c r="E143" s="93"/>
      <c r="F143" s="93"/>
      <c r="G143" s="93"/>
      <c r="H143" s="93"/>
      <c r="I143" s="60">
        <f t="shared" si="5"/>
        <v>9.8717948717948705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>
        <v>87</v>
      </c>
      <c r="B144" s="63">
        <f>498/1.3</f>
        <v>383.07692307692304</v>
      </c>
      <c r="C144" s="53">
        <v>4</v>
      </c>
      <c r="D144" s="63">
        <f>B144-(390/1.3)</f>
        <v>83.076923076923038</v>
      </c>
      <c r="E144" s="93"/>
      <c r="F144" s="93"/>
      <c r="G144" s="93"/>
      <c r="H144" s="93"/>
      <c r="I144" s="60">
        <f t="shared" si="5"/>
        <v>8.9743589743589727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>
        <v>99</v>
      </c>
      <c r="B145" s="63">
        <f>517/1.3</f>
        <v>397.69230769230768</v>
      </c>
      <c r="C145" s="53">
        <v>5</v>
      </c>
      <c r="D145" s="63">
        <f>B145-(259/1.3)</f>
        <v>198.46153846153845</v>
      </c>
      <c r="E145" s="93"/>
      <c r="F145" s="93"/>
      <c r="G145" s="93"/>
      <c r="H145" s="93"/>
      <c r="I145" s="60">
        <f t="shared" si="5"/>
        <v>8.1410256410256405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63">
        <v>109</v>
      </c>
      <c r="B146" s="63">
        <f>333/1.3</f>
        <v>256.15384615384613</v>
      </c>
      <c r="C146" s="63">
        <v>6</v>
      </c>
      <c r="D146" s="63">
        <f>B146</f>
        <v>256.15384615384613</v>
      </c>
      <c r="E146" s="93"/>
      <c r="F146" s="93"/>
      <c r="G146" s="93"/>
      <c r="H146" s="93"/>
      <c r="I146" s="60">
        <f t="shared" si="5"/>
        <v>5.6923076923076907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/>
      <c r="B147" s="63"/>
      <c r="C147" s="6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63"/>
      <c r="B148" s="63"/>
      <c r="C148" s="63"/>
      <c r="D148" s="63"/>
      <c r="E148" s="93"/>
      <c r="F148" s="93"/>
      <c r="G148" s="93"/>
      <c r="H148" s="93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>Erable sycomore</v>
      </c>
      <c r="C162" s="25" t="s">
        <v>325</v>
      </c>
      <c r="D162" s="258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2" t="s">
        <v>186</v>
      </c>
      <c r="D164" s="292"/>
      <c r="E164" s="293" t="s">
        <v>187</v>
      </c>
      <c r="F164" s="294"/>
      <c r="G164" s="294"/>
      <c r="H164" s="295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>
        <v>10</v>
      </c>
      <c r="B166" s="63">
        <f>11.1+0</f>
        <v>11.1</v>
      </c>
      <c r="C166" s="63"/>
      <c r="D166" s="63"/>
      <c r="E166" s="54"/>
      <c r="F166" s="54"/>
      <c r="G166" s="54"/>
      <c r="H166" s="54"/>
      <c r="I166" s="52">
        <f>IFERROR(B166/A166,"")</f>
        <v>1.1099999999999999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>
        <v>15</v>
      </c>
      <c r="B167" s="63">
        <f>33+31.5</f>
        <v>64.5</v>
      </c>
      <c r="C167" s="63"/>
      <c r="D167" s="63"/>
      <c r="E167" s="54"/>
      <c r="F167" s="54"/>
      <c r="G167" s="54"/>
      <c r="H167" s="54"/>
      <c r="I167" s="52">
        <f t="shared" ref="I167:I185" si="6">IF(A167&lt;&gt;0,(B167-(B166-D166))/(A167-A166),"")</f>
        <v>10.68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>
        <v>20</v>
      </c>
      <c r="B168" s="63">
        <f>66.8+35+31.5+0</f>
        <v>133.30000000000001</v>
      </c>
      <c r="C168" s="63">
        <v>1</v>
      </c>
      <c r="D168" s="63">
        <f>35+31.5+0</f>
        <v>66.5</v>
      </c>
      <c r="E168" s="54"/>
      <c r="F168" s="54"/>
      <c r="G168" s="54"/>
      <c r="H168" s="54">
        <v>1</v>
      </c>
      <c r="I168" s="52">
        <f t="shared" si="6"/>
        <v>13.760000000000002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>
        <v>25</v>
      </c>
      <c r="B169" s="63">
        <f>105.5+35</f>
        <v>140.5</v>
      </c>
      <c r="C169" s="63"/>
      <c r="D169" s="63"/>
      <c r="E169" s="54"/>
      <c r="F169" s="54"/>
      <c r="G169" s="54"/>
      <c r="H169" s="54"/>
      <c r="I169" s="52">
        <f t="shared" si="6"/>
        <v>14.739999999999998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>
        <v>30</v>
      </c>
      <c r="B170" s="63">
        <f>141.8+35+35</f>
        <v>211.8</v>
      </c>
      <c r="C170" s="63">
        <v>2</v>
      </c>
      <c r="D170" s="63">
        <f>35+35</f>
        <v>70</v>
      </c>
      <c r="E170" s="54"/>
      <c r="F170" s="54"/>
      <c r="G170" s="54"/>
      <c r="H170" s="54">
        <v>1</v>
      </c>
      <c r="I170" s="52">
        <f t="shared" si="6"/>
        <v>14.260000000000002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>
        <v>35</v>
      </c>
      <c r="B171" s="63">
        <f>171.4+35</f>
        <v>206.4</v>
      </c>
      <c r="C171" s="63"/>
      <c r="D171" s="63"/>
      <c r="E171" s="54"/>
      <c r="F171" s="54"/>
      <c r="G171" s="54"/>
      <c r="H171" s="54"/>
      <c r="I171" s="52">
        <f t="shared" si="6"/>
        <v>12.919999999999998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>
        <v>40</v>
      </c>
      <c r="B172" s="63">
        <f>193.1+35+35</f>
        <v>263.10000000000002</v>
      </c>
      <c r="C172" s="53">
        <v>3</v>
      </c>
      <c r="D172" s="63">
        <f>35+35</f>
        <v>70</v>
      </c>
      <c r="E172" s="54"/>
      <c r="F172" s="54"/>
      <c r="G172" s="54"/>
      <c r="H172" s="54"/>
      <c r="I172" s="52">
        <f t="shared" si="6"/>
        <v>11.340000000000003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>
        <v>45</v>
      </c>
      <c r="B173" s="63">
        <f>218+24.2</f>
        <v>242.2</v>
      </c>
      <c r="C173" s="53"/>
      <c r="D173" s="63"/>
      <c r="E173" s="54"/>
      <c r="F173" s="54"/>
      <c r="G173" s="54"/>
      <c r="H173" s="54"/>
      <c r="I173" s="52">
        <f t="shared" si="6"/>
        <v>9.8199999999999932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>
        <v>50</v>
      </c>
      <c r="B174" s="63">
        <f>241.8+18.9+24.2</f>
        <v>284.89999999999998</v>
      </c>
      <c r="C174" s="53">
        <v>4</v>
      </c>
      <c r="D174" s="63">
        <f>18.9+24.2</f>
        <v>43.099999999999994</v>
      </c>
      <c r="E174" s="54"/>
      <c r="F174" s="54"/>
      <c r="G174" s="54"/>
      <c r="H174" s="54"/>
      <c r="I174" s="52">
        <f t="shared" si="6"/>
        <v>8.5399999999999974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>
        <v>55</v>
      </c>
      <c r="B175" s="63">
        <f>262.6+16</f>
        <v>278.60000000000002</v>
      </c>
      <c r="C175" s="53"/>
      <c r="D175" s="63"/>
      <c r="E175" s="54"/>
      <c r="F175" s="54"/>
      <c r="G175" s="54"/>
      <c r="H175" s="54"/>
      <c r="I175" s="52">
        <f t="shared" si="6"/>
        <v>7.3600000000000083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>
        <v>60</v>
      </c>
      <c r="B176" s="63">
        <f>279.8+14.2+16</f>
        <v>310</v>
      </c>
      <c r="C176" s="53">
        <v>5</v>
      </c>
      <c r="D176" s="63">
        <f>14.2+16</f>
        <v>30.2</v>
      </c>
      <c r="E176" s="54"/>
      <c r="F176" s="54"/>
      <c r="G176" s="54"/>
      <c r="H176" s="54"/>
      <c r="I176" s="52">
        <f t="shared" si="6"/>
        <v>6.2799999999999958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>
        <v>65</v>
      </c>
      <c r="B177" s="63">
        <f>292.6+13.4</f>
        <v>306</v>
      </c>
      <c r="C177" s="53"/>
      <c r="D177" s="63"/>
      <c r="E177" s="54"/>
      <c r="F177" s="54"/>
      <c r="G177" s="54"/>
      <c r="H177" s="54"/>
      <c r="I177" s="52">
        <f t="shared" si="6"/>
        <v>5.2399999999999975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>
        <v>70</v>
      </c>
      <c r="B178" s="63">
        <f>302.6+12.5+13.4</f>
        <v>328.5</v>
      </c>
      <c r="C178" s="53">
        <v>6</v>
      </c>
      <c r="D178" s="63">
        <f>15+15.9</f>
        <v>30.9</v>
      </c>
      <c r="E178" s="54"/>
      <c r="F178" s="54"/>
      <c r="G178" s="54"/>
      <c r="H178" s="54"/>
      <c r="I178" s="52">
        <f t="shared" si="6"/>
        <v>4.5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>
        <v>75</v>
      </c>
      <c r="B179" s="63">
        <f>311.9+11.6</f>
        <v>323.5</v>
      </c>
      <c r="C179" s="53"/>
      <c r="D179" s="63"/>
      <c r="E179" s="54"/>
      <c r="F179" s="54"/>
      <c r="G179" s="54"/>
      <c r="H179" s="54"/>
      <c r="I179" s="52">
        <f t="shared" si="6"/>
        <v>5.1799999999999953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>
        <v>80</v>
      </c>
      <c r="B180" s="53">
        <v>341.3</v>
      </c>
      <c r="C180" s="53">
        <v>8</v>
      </c>
      <c r="D180" s="53">
        <v>341.3</v>
      </c>
      <c r="E180" s="54"/>
      <c r="F180" s="54"/>
      <c r="G180" s="54"/>
      <c r="H180" s="54"/>
      <c r="I180" s="52">
        <f t="shared" si="6"/>
        <v>3.5600000000000023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>Hêtre</v>
      </c>
      <c r="C188" s="290" t="s">
        <v>329</v>
      </c>
      <c r="D188" s="258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2" t="s">
        <v>186</v>
      </c>
      <c r="D190" s="292"/>
      <c r="E190" s="293" t="s">
        <v>187</v>
      </c>
      <c r="F190" s="294"/>
      <c r="G190" s="294"/>
      <c r="H190" s="295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>
        <v>18</v>
      </c>
      <c r="B192" s="63">
        <v>3</v>
      </c>
      <c r="C192" s="63"/>
      <c r="D192" s="63"/>
      <c r="E192" s="54"/>
      <c r="F192" s="54"/>
      <c r="G192" s="54"/>
      <c r="H192" s="54"/>
      <c r="I192" s="52">
        <f>IFERROR(B192/A192,"")</f>
        <v>0.16666666666666666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>
        <v>21</v>
      </c>
      <c r="B193" s="63">
        <v>16</v>
      </c>
      <c r="C193" s="63"/>
      <c r="D193" s="63"/>
      <c r="E193" s="54"/>
      <c r="F193" s="54"/>
      <c r="G193" s="54"/>
      <c r="H193" s="54"/>
      <c r="I193" s="52">
        <f t="shared" ref="I193:I211" si="7">IF(A193&lt;&gt;0,(B193-(B192-D192))/(A193-A192),"")</f>
        <v>4.333333333333333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>
        <v>27</v>
      </c>
      <c r="B194" s="63">
        <v>77</v>
      </c>
      <c r="C194" s="63">
        <v>1</v>
      </c>
      <c r="D194" s="63">
        <v>12</v>
      </c>
      <c r="E194" s="54"/>
      <c r="F194" s="54"/>
      <c r="G194" s="54"/>
      <c r="H194" s="54">
        <v>1</v>
      </c>
      <c r="I194" s="52">
        <f t="shared" si="7"/>
        <v>10.166666666666666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>
        <v>30</v>
      </c>
      <c r="B195" s="63">
        <v>102</v>
      </c>
      <c r="C195" s="63">
        <v>2</v>
      </c>
      <c r="D195" s="63">
        <v>13</v>
      </c>
      <c r="E195" s="54"/>
      <c r="F195" s="54"/>
      <c r="G195" s="54"/>
      <c r="H195" s="54">
        <v>1</v>
      </c>
      <c r="I195" s="52">
        <f t="shared" si="7"/>
        <v>12.333333333333334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>
        <v>36</v>
      </c>
      <c r="B196" s="63">
        <v>174</v>
      </c>
      <c r="C196" s="63">
        <v>3</v>
      </c>
      <c r="D196" s="63">
        <v>60</v>
      </c>
      <c r="E196" s="54"/>
      <c r="F196" s="54"/>
      <c r="G196" s="54"/>
      <c r="H196" s="54"/>
      <c r="I196" s="52">
        <f t="shared" si="7"/>
        <v>14.166666666666666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>
        <v>42</v>
      </c>
      <c r="B197" s="63">
        <v>205</v>
      </c>
      <c r="C197" s="63">
        <v>4</v>
      </c>
      <c r="D197" s="63">
        <v>59</v>
      </c>
      <c r="E197" s="54"/>
      <c r="F197" s="54"/>
      <c r="G197" s="54"/>
      <c r="H197" s="54"/>
      <c r="I197" s="52">
        <f t="shared" si="7"/>
        <v>15.166666666666666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>
        <v>48</v>
      </c>
      <c r="B198" s="63">
        <v>240</v>
      </c>
      <c r="C198" s="63">
        <v>5</v>
      </c>
      <c r="D198" s="63">
        <v>63</v>
      </c>
      <c r="E198" s="54"/>
      <c r="F198" s="54"/>
      <c r="G198" s="54"/>
      <c r="H198" s="54"/>
      <c r="I198" s="52">
        <f t="shared" si="7"/>
        <v>15.666666666666666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>
        <v>54</v>
      </c>
      <c r="B199" s="53">
        <v>270</v>
      </c>
      <c r="C199" s="53">
        <v>6</v>
      </c>
      <c r="D199" s="53">
        <v>64</v>
      </c>
      <c r="E199" s="54"/>
      <c r="F199" s="54"/>
      <c r="G199" s="54"/>
      <c r="H199" s="54"/>
      <c r="I199" s="52">
        <f t="shared" si="7"/>
        <v>15.5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>
        <v>60</v>
      </c>
      <c r="B200" s="53">
        <v>295</v>
      </c>
      <c r="C200" s="53">
        <v>7</v>
      </c>
      <c r="D200" s="53">
        <v>61</v>
      </c>
      <c r="E200" s="54"/>
      <c r="F200" s="54"/>
      <c r="G200" s="54"/>
      <c r="H200" s="54"/>
      <c r="I200" s="52">
        <f t="shared" si="7"/>
        <v>14.833333333333334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>
        <v>69</v>
      </c>
      <c r="B201" s="53">
        <v>358</v>
      </c>
      <c r="C201" s="53">
        <v>8</v>
      </c>
      <c r="D201" s="53">
        <v>84</v>
      </c>
      <c r="E201" s="54"/>
      <c r="F201" s="54"/>
      <c r="G201" s="54"/>
      <c r="H201" s="54"/>
      <c r="I201" s="52">
        <f t="shared" si="7"/>
        <v>13.777777777777779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>
        <v>78</v>
      </c>
      <c r="B202" s="53">
        <v>387</v>
      </c>
      <c r="C202" s="53">
        <v>9</v>
      </c>
      <c r="D202" s="53">
        <v>39</v>
      </c>
      <c r="E202" s="54"/>
      <c r="F202" s="54"/>
      <c r="G202" s="54"/>
      <c r="H202" s="54"/>
      <c r="I202" s="52">
        <f t="shared" si="7"/>
        <v>12.555555555555555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>
        <v>84</v>
      </c>
      <c r="B203" s="53">
        <v>420</v>
      </c>
      <c r="C203" s="53"/>
      <c r="D203" s="53"/>
      <c r="E203" s="54"/>
      <c r="F203" s="54"/>
      <c r="G203" s="54"/>
      <c r="H203" s="54"/>
      <c r="I203" s="52">
        <f t="shared" si="7"/>
        <v>12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>
        <v>90</v>
      </c>
      <c r="B204" s="53">
        <v>489</v>
      </c>
      <c r="C204" s="53"/>
      <c r="D204" s="53"/>
      <c r="E204" s="54"/>
      <c r="F204" s="54"/>
      <c r="G204" s="54"/>
      <c r="H204" s="54"/>
      <c r="I204" s="52">
        <f t="shared" si="7"/>
        <v>11.5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>
        <v>96</v>
      </c>
      <c r="B205" s="53">
        <v>557</v>
      </c>
      <c r="C205" s="53"/>
      <c r="D205" s="53"/>
      <c r="E205" s="54"/>
      <c r="F205" s="54"/>
      <c r="G205" s="54"/>
      <c r="H205" s="54"/>
      <c r="I205" s="52">
        <f t="shared" si="7"/>
        <v>11.333333333333334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>
        <v>99</v>
      </c>
      <c r="B206" s="53">
        <v>591</v>
      </c>
      <c r="C206" s="53">
        <v>10</v>
      </c>
      <c r="D206" s="53">
        <v>591</v>
      </c>
      <c r="E206" s="54"/>
      <c r="F206" s="54"/>
      <c r="G206" s="54"/>
      <c r="H206" s="54"/>
      <c r="I206" s="52">
        <f t="shared" si="7"/>
        <v>11.333333333333334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>Alisier torminal</v>
      </c>
      <c r="C214" s="25" t="s">
        <v>324</v>
      </c>
      <c r="D214" s="258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2" t="s">
        <v>186</v>
      </c>
      <c r="D216" s="292"/>
      <c r="E216" s="293" t="s">
        <v>187</v>
      </c>
      <c r="F216" s="294"/>
      <c r="G216" s="294"/>
      <c r="H216" s="295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>
        <v>20</v>
      </c>
      <c r="B218" s="63">
        <f>67+6</f>
        <v>73</v>
      </c>
      <c r="C218" s="63"/>
      <c r="D218" s="63"/>
      <c r="E218" s="54"/>
      <c r="F218" s="54"/>
      <c r="G218" s="54"/>
      <c r="H218" s="54"/>
      <c r="I218" s="56">
        <f>IFERROR(B218/A218,"")</f>
        <v>3.65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>
        <v>25</v>
      </c>
      <c r="B219" s="63">
        <f>75+28+6</f>
        <v>109</v>
      </c>
      <c r="C219" s="63">
        <v>1</v>
      </c>
      <c r="D219" s="63">
        <f>6+28</f>
        <v>34</v>
      </c>
      <c r="E219" s="54"/>
      <c r="F219" s="54"/>
      <c r="G219" s="54"/>
      <c r="H219" s="54">
        <v>1</v>
      </c>
      <c r="I219" s="56">
        <f t="shared" ref="I219:I237" si="8">IF(A219&lt;&gt;0,(B219-(B218-D218))/(A219-A218),"")</f>
        <v>7.2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>
        <v>30</v>
      </c>
      <c r="B220" s="63">
        <f>93+28</f>
        <v>121</v>
      </c>
      <c r="C220" s="63"/>
      <c r="D220" s="63"/>
      <c r="E220" s="54"/>
      <c r="F220" s="54"/>
      <c r="G220" s="54"/>
      <c r="H220" s="54"/>
      <c r="I220" s="56">
        <f t="shared" si="8"/>
        <v>9.1999999999999993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3">
        <v>35</v>
      </c>
      <c r="B221" s="63">
        <f>119+28+28</f>
        <v>175</v>
      </c>
      <c r="C221" s="63">
        <v>2</v>
      </c>
      <c r="D221" s="63">
        <f>28+28</f>
        <v>56</v>
      </c>
      <c r="E221" s="54"/>
      <c r="F221" s="54"/>
      <c r="G221" s="54"/>
      <c r="H221" s="54"/>
      <c r="I221" s="56">
        <f t="shared" si="8"/>
        <v>10.8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3">
        <v>40</v>
      </c>
      <c r="B222" s="63">
        <f>147+28</f>
        <v>175</v>
      </c>
      <c r="C222" s="63"/>
      <c r="D222" s="63"/>
      <c r="E222" s="54"/>
      <c r="F222" s="54"/>
      <c r="G222" s="54"/>
      <c r="H222" s="54"/>
      <c r="I222" s="56">
        <f t="shared" si="8"/>
        <v>11.2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3">
        <v>45</v>
      </c>
      <c r="B223" s="63">
        <f>176+28+28</f>
        <v>232</v>
      </c>
      <c r="C223" s="63">
        <v>3</v>
      </c>
      <c r="D223" s="63">
        <f>28+28</f>
        <v>56</v>
      </c>
      <c r="E223" s="54"/>
      <c r="F223" s="54"/>
      <c r="G223" s="54"/>
      <c r="H223" s="54"/>
      <c r="I223" s="56">
        <f t="shared" si="8"/>
        <v>11.4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3">
        <v>50</v>
      </c>
      <c r="B224" s="63">
        <f>203+28</f>
        <v>231</v>
      </c>
      <c r="C224" s="53"/>
      <c r="D224" s="63"/>
      <c r="E224" s="54"/>
      <c r="F224" s="54"/>
      <c r="G224" s="54"/>
      <c r="H224" s="54"/>
      <c r="I224" s="56">
        <f t="shared" si="8"/>
        <v>11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3">
        <v>55</v>
      </c>
      <c r="B225" s="63">
        <f>226+28+28</f>
        <v>282</v>
      </c>
      <c r="C225" s="53">
        <v>4</v>
      </c>
      <c r="D225" s="63">
        <f>28+28</f>
        <v>56</v>
      </c>
      <c r="E225" s="54"/>
      <c r="F225" s="54"/>
      <c r="G225" s="54"/>
      <c r="H225" s="54"/>
      <c r="I225" s="56">
        <f t="shared" si="8"/>
        <v>10.199999999999999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3">
        <v>60</v>
      </c>
      <c r="B226" s="63">
        <f>245+28</f>
        <v>273</v>
      </c>
      <c r="C226" s="53"/>
      <c r="D226" s="63"/>
      <c r="E226" s="54"/>
      <c r="F226" s="54"/>
      <c r="G226" s="54"/>
      <c r="H226" s="54"/>
      <c r="I226" s="56">
        <f t="shared" si="8"/>
        <v>9.4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3">
        <v>65</v>
      </c>
      <c r="B227" s="63">
        <f>261+28+28</f>
        <v>317</v>
      </c>
      <c r="C227" s="53">
        <v>5</v>
      </c>
      <c r="D227" s="63">
        <f>D225</f>
        <v>56</v>
      </c>
      <c r="E227" s="54"/>
      <c r="F227" s="54"/>
      <c r="G227" s="54"/>
      <c r="H227" s="54"/>
      <c r="I227" s="56">
        <f t="shared" si="8"/>
        <v>8.8000000000000007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3">
        <v>70</v>
      </c>
      <c r="B228" s="63">
        <f>274+28</f>
        <v>302</v>
      </c>
      <c r="C228" s="53"/>
      <c r="D228" s="63"/>
      <c r="E228" s="54"/>
      <c r="F228" s="54"/>
      <c r="G228" s="54"/>
      <c r="H228" s="54"/>
      <c r="I228" s="56">
        <f t="shared" si="8"/>
        <v>8.1999999999999993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3">
        <v>75</v>
      </c>
      <c r="B229" s="63">
        <f>284+28+28</f>
        <v>340</v>
      </c>
      <c r="C229" s="53">
        <v>6</v>
      </c>
      <c r="D229" s="63">
        <f>28+28</f>
        <v>56</v>
      </c>
      <c r="E229" s="54"/>
      <c r="F229" s="54"/>
      <c r="G229" s="54"/>
      <c r="H229" s="54"/>
      <c r="I229" s="56">
        <f t="shared" si="8"/>
        <v>7.6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3">
        <v>80</v>
      </c>
      <c r="B230" s="63">
        <f>292+28</f>
        <v>320</v>
      </c>
      <c r="C230" s="53"/>
      <c r="D230" s="63"/>
      <c r="E230" s="54"/>
      <c r="F230" s="54"/>
      <c r="G230" s="54"/>
      <c r="H230" s="54"/>
      <c r="I230" s="56">
        <f t="shared" si="8"/>
        <v>7.2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53">
        <v>90</v>
      </c>
      <c r="B231" s="63">
        <f>302+28+28</f>
        <v>358</v>
      </c>
      <c r="C231" s="53">
        <v>7</v>
      </c>
      <c r="D231" s="63">
        <f>28+28</f>
        <v>56</v>
      </c>
      <c r="E231" s="54"/>
      <c r="F231" s="54"/>
      <c r="G231" s="54"/>
      <c r="H231" s="54"/>
      <c r="I231" s="56">
        <f t="shared" si="8"/>
        <v>3.8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>
        <v>100</v>
      </c>
      <c r="B232" s="53">
        <v>361</v>
      </c>
      <c r="C232" s="53">
        <v>8</v>
      </c>
      <c r="D232" s="53">
        <v>55</v>
      </c>
      <c r="E232" s="54"/>
      <c r="F232" s="54"/>
      <c r="G232" s="54"/>
      <c r="H232" s="54"/>
      <c r="I232" s="56">
        <f t="shared" si="8"/>
        <v>5.9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>
        <v>110</v>
      </c>
      <c r="B233" s="53">
        <v>360</v>
      </c>
      <c r="C233" s="53">
        <v>9</v>
      </c>
      <c r="D233" s="53">
        <v>53</v>
      </c>
      <c r="E233" s="54"/>
      <c r="F233" s="54"/>
      <c r="G233" s="54"/>
      <c r="H233" s="54"/>
      <c r="I233" s="56">
        <f t="shared" si="8"/>
        <v>5.4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>
        <v>120</v>
      </c>
      <c r="B234" s="53">
        <v>352</v>
      </c>
      <c r="C234" s="53">
        <v>10</v>
      </c>
      <c r="D234" s="53">
        <v>47</v>
      </c>
      <c r="E234" s="54"/>
      <c r="F234" s="54"/>
      <c r="G234" s="54"/>
      <c r="H234" s="54"/>
      <c r="I234" s="56">
        <f t="shared" si="8"/>
        <v>4.5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>
        <v>130</v>
      </c>
      <c r="B235" s="53">
        <v>347</v>
      </c>
      <c r="C235" s="53">
        <v>11</v>
      </c>
      <c r="D235" s="53">
        <v>44</v>
      </c>
      <c r="E235" s="54"/>
      <c r="F235" s="54"/>
      <c r="G235" s="54"/>
      <c r="H235" s="54"/>
      <c r="I235" s="56">
        <f t="shared" si="8"/>
        <v>4.2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>
        <v>140</v>
      </c>
      <c r="B236" s="53">
        <v>343</v>
      </c>
      <c r="C236" s="53">
        <v>12</v>
      </c>
      <c r="D236" s="53">
        <v>43</v>
      </c>
      <c r="E236" s="54"/>
      <c r="F236" s="54"/>
      <c r="G236" s="54"/>
      <c r="H236" s="54"/>
      <c r="I236" s="56">
        <f t="shared" si="8"/>
        <v>4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>
        <v>150</v>
      </c>
      <c r="B237" s="53">
        <v>335</v>
      </c>
      <c r="C237" s="53">
        <v>13</v>
      </c>
      <c r="D237" s="53">
        <v>335</v>
      </c>
      <c r="E237" s="54"/>
      <c r="F237" s="54"/>
      <c r="G237" s="54"/>
      <c r="H237" s="54"/>
      <c r="I237" s="56">
        <f t="shared" si="8"/>
        <v>3.5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>Merisier</v>
      </c>
      <c r="C240" s="25" t="s">
        <v>326</v>
      </c>
      <c r="D240" s="258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2" t="s">
        <v>186</v>
      </c>
      <c r="D242" s="292"/>
      <c r="E242" s="293" t="s">
        <v>187</v>
      </c>
      <c r="F242" s="294"/>
      <c r="G242" s="294"/>
      <c r="H242" s="295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>
        <v>15</v>
      </c>
      <c r="B244" s="63">
        <v>40</v>
      </c>
      <c r="C244" s="53"/>
      <c r="D244" s="63"/>
      <c r="E244" s="54"/>
      <c r="F244" s="54"/>
      <c r="G244" s="54"/>
      <c r="H244" s="54"/>
      <c r="I244" s="56">
        <f>IFERROR(B244/A244,"")</f>
        <v>2.6666666666666665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>
        <v>20</v>
      </c>
      <c r="B245" s="63">
        <f>85+3</f>
        <v>88</v>
      </c>
      <c r="C245" s="53"/>
      <c r="D245" s="63"/>
      <c r="E245" s="54"/>
      <c r="F245" s="54"/>
      <c r="G245" s="54"/>
      <c r="H245" s="54"/>
      <c r="I245" s="56">
        <f>IF(A245&lt;&gt;0,(B245-(B244-D244))/(A245-A244),"")</f>
        <v>9.6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>
        <v>25</v>
      </c>
      <c r="B246" s="63">
        <f>113+3+25</f>
        <v>141</v>
      </c>
      <c r="C246" s="53">
        <v>1</v>
      </c>
      <c r="D246" s="63">
        <f>3+25+27</f>
        <v>55</v>
      </c>
      <c r="E246" s="54"/>
      <c r="F246" s="54"/>
      <c r="G246" s="54"/>
      <c r="H246" s="54">
        <v>1</v>
      </c>
      <c r="I246" s="56">
        <f>IF(A246&lt;&gt;0,(B246-(B245-D245))/(A246-A245),"")</f>
        <v>10.6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>
        <v>31</v>
      </c>
      <c r="B247" s="63">
        <v>155</v>
      </c>
      <c r="C247" s="53">
        <v>2</v>
      </c>
      <c r="D247" s="63">
        <v>36</v>
      </c>
      <c r="E247" s="54"/>
      <c r="F247" s="54"/>
      <c r="G247" s="54"/>
      <c r="H247" s="54"/>
      <c r="I247" s="56">
        <f t="shared" ref="I247:I263" si="9">IF(A247&lt;&gt;0,(B247-(B246-D246))/(A247-A246),"")</f>
        <v>11.5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>
        <v>37</v>
      </c>
      <c r="B248" s="63">
        <v>188</v>
      </c>
      <c r="C248" s="53">
        <v>3</v>
      </c>
      <c r="D248" s="63">
        <v>36</v>
      </c>
      <c r="E248" s="54"/>
      <c r="F248" s="54"/>
      <c r="G248" s="54"/>
      <c r="H248" s="54"/>
      <c r="I248" s="56">
        <f t="shared" si="9"/>
        <v>11.5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>
        <v>44</v>
      </c>
      <c r="B249" s="63">
        <v>230</v>
      </c>
      <c r="C249" s="53">
        <v>4</v>
      </c>
      <c r="D249" s="63">
        <v>43</v>
      </c>
      <c r="E249" s="54"/>
      <c r="F249" s="54"/>
      <c r="G249" s="54"/>
      <c r="H249" s="54"/>
      <c r="I249" s="56">
        <f t="shared" si="9"/>
        <v>11.142857142857142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63">
        <v>52</v>
      </c>
      <c r="B250" s="63">
        <v>270</v>
      </c>
      <c r="C250" s="63">
        <v>5</v>
      </c>
      <c r="D250" s="63">
        <v>48</v>
      </c>
      <c r="E250" s="93"/>
      <c r="F250" s="93"/>
      <c r="G250" s="93"/>
      <c r="H250" s="93"/>
      <c r="I250" s="56">
        <f t="shared" si="9"/>
        <v>10.375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63">
        <v>60</v>
      </c>
      <c r="B251" s="63">
        <v>297</v>
      </c>
      <c r="C251" s="63">
        <v>6</v>
      </c>
      <c r="D251" s="63">
        <v>47</v>
      </c>
      <c r="E251" s="93"/>
      <c r="F251" s="93"/>
      <c r="G251" s="93"/>
      <c r="H251" s="93"/>
      <c r="I251" s="56">
        <f t="shared" si="9"/>
        <v>9.375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63">
        <v>69</v>
      </c>
      <c r="B252" s="63">
        <v>328</v>
      </c>
      <c r="C252" s="63">
        <v>7</v>
      </c>
      <c r="D252" s="63">
        <f>B252</f>
        <v>328</v>
      </c>
      <c r="E252" s="93"/>
      <c r="F252" s="93"/>
      <c r="G252" s="93"/>
      <c r="H252" s="93"/>
      <c r="I252" s="56">
        <f t="shared" si="9"/>
        <v>8.6666666666666661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63"/>
      <c r="B253" s="63"/>
      <c r="C253" s="63"/>
      <c r="D253" s="63"/>
      <c r="E253" s="93"/>
      <c r="F253" s="93"/>
      <c r="G253" s="93"/>
      <c r="H253" s="93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63"/>
      <c r="B254" s="63"/>
      <c r="C254" s="63"/>
      <c r="D254" s="63"/>
      <c r="E254" s="93"/>
      <c r="F254" s="93"/>
      <c r="G254" s="93"/>
      <c r="H254" s="93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63"/>
      <c r="B255" s="63"/>
      <c r="C255" s="63"/>
      <c r="D255" s="63"/>
      <c r="E255" s="93"/>
      <c r="F255" s="93"/>
      <c r="G255" s="93"/>
      <c r="H255" s="93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63"/>
      <c r="B256" s="63"/>
      <c r="C256" s="63"/>
      <c r="D256" s="63"/>
      <c r="E256" s="68"/>
      <c r="F256" s="68"/>
      <c r="G256" s="68"/>
      <c r="H256" s="68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63"/>
      <c r="B257" s="63"/>
      <c r="C257" s="63"/>
      <c r="D257" s="63"/>
      <c r="E257" s="68"/>
      <c r="F257" s="68"/>
      <c r="G257" s="68"/>
      <c r="H257" s="68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63"/>
      <c r="B258" s="53"/>
      <c r="C258" s="6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63"/>
      <c r="B259" s="53"/>
      <c r="C259" s="6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63"/>
      <c r="B260" s="53"/>
      <c r="C260" s="6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>Tilleul</v>
      </c>
      <c r="C266" s="290" t="s">
        <v>327</v>
      </c>
      <c r="D266" s="258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2" t="s">
        <v>186</v>
      </c>
      <c r="D268" s="292"/>
      <c r="E268" s="293" t="s">
        <v>187</v>
      </c>
      <c r="F268" s="294"/>
      <c r="G268" s="294"/>
      <c r="H268" s="295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>
        <v>10</v>
      </c>
      <c r="B270" s="63">
        <f>72/1.56</f>
        <v>46.153846153846153</v>
      </c>
      <c r="C270" s="63"/>
      <c r="D270" s="63"/>
      <c r="E270" s="54"/>
      <c r="F270" s="54"/>
      <c r="G270" s="54"/>
      <c r="H270" s="54"/>
      <c r="I270" s="56">
        <f>IFERROR(B270/A270,"")</f>
        <v>4.615384615384615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>
        <v>15</v>
      </c>
      <c r="B271" s="63">
        <f>(141+16)/1.56</f>
        <v>100.64102564102564</v>
      </c>
      <c r="C271" s="63">
        <v>1</v>
      </c>
      <c r="D271" s="63">
        <f>(16+27)/1.56</f>
        <v>27.564102564102562</v>
      </c>
      <c r="E271" s="54"/>
      <c r="F271" s="54"/>
      <c r="G271" s="54"/>
      <c r="H271" s="54">
        <v>1</v>
      </c>
      <c r="I271" s="56">
        <f>IF(A271&lt;&gt;0,(B271-(B270-D270))/(A271-A270),"")</f>
        <v>10.897435897435896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>
        <v>20</v>
      </c>
      <c r="B272" s="63">
        <f>204/1.56</f>
        <v>130.76923076923077</v>
      </c>
      <c r="C272" s="63"/>
      <c r="D272" s="63"/>
      <c r="E272" s="54"/>
      <c r="F272" s="54"/>
      <c r="G272" s="54"/>
      <c r="H272" s="54"/>
      <c r="I272" s="56">
        <f t="shared" ref="I272:I289" si="10">IF(A272&lt;&gt;0,(B272-(B271-D271))/(A272-A271),"")</f>
        <v>11.538461538461542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>
        <v>25</v>
      </c>
      <c r="B273" s="63">
        <f>(257+33)/1.56</f>
        <v>185.89743589743588</v>
      </c>
      <c r="C273" s="63">
        <v>2</v>
      </c>
      <c r="D273" s="63">
        <f>(35+33)/1.56</f>
        <v>43.589743589743591</v>
      </c>
      <c r="E273" s="54"/>
      <c r="F273" s="54"/>
      <c r="G273" s="54"/>
      <c r="H273" s="54">
        <v>1</v>
      </c>
      <c r="I273" s="56">
        <f t="shared" si="10"/>
        <v>11.025641025641022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>
        <v>30</v>
      </c>
      <c r="B274" s="63">
        <f>302/1.56</f>
        <v>193.58974358974359</v>
      </c>
      <c r="C274" s="63"/>
      <c r="D274" s="63"/>
      <c r="E274" s="54"/>
      <c r="F274" s="54"/>
      <c r="G274" s="54"/>
      <c r="H274" s="54"/>
      <c r="I274" s="56">
        <f t="shared" si="10"/>
        <v>10.256410256410259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>
        <v>35</v>
      </c>
      <c r="B275" s="63">
        <f>(341+35)/1.56</f>
        <v>241.02564102564102</v>
      </c>
      <c r="C275" s="63">
        <v>3</v>
      </c>
      <c r="D275" s="63">
        <f>(35+35)/1.56</f>
        <v>44.871794871794869</v>
      </c>
      <c r="E275" s="54"/>
      <c r="F275" s="54"/>
      <c r="G275" s="54"/>
      <c r="H275" s="54"/>
      <c r="I275" s="56">
        <f t="shared" si="10"/>
        <v>9.4871794871794854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>
        <v>40</v>
      </c>
      <c r="B276" s="63">
        <f>(375/1.56)</f>
        <v>240.38461538461539</v>
      </c>
      <c r="C276" s="63"/>
      <c r="D276" s="63"/>
      <c r="E276" s="54"/>
      <c r="F276" s="54"/>
      <c r="G276" s="54"/>
      <c r="H276" s="54"/>
      <c r="I276" s="56">
        <f t="shared" si="10"/>
        <v>8.8461538461538449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3">
        <v>45</v>
      </c>
      <c r="B277" s="63">
        <f>(407+32)/1.56</f>
        <v>281.41025641025641</v>
      </c>
      <c r="C277" s="63">
        <v>4</v>
      </c>
      <c r="D277" s="63">
        <v>28.205128205128204</v>
      </c>
      <c r="E277" s="54"/>
      <c r="F277" s="54"/>
      <c r="G277" s="54"/>
      <c r="H277" s="54"/>
      <c r="I277" s="56">
        <f t="shared" si="10"/>
        <v>8.2051282051282044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3">
        <v>50</v>
      </c>
      <c r="B278" s="63">
        <f>433/1.56</f>
        <v>277.56410256410254</v>
      </c>
      <c r="C278" s="63"/>
      <c r="D278" s="63"/>
      <c r="E278" s="54"/>
      <c r="F278" s="54"/>
      <c r="G278" s="54"/>
      <c r="H278" s="54"/>
      <c r="I278" s="56">
        <f t="shared" si="10"/>
        <v>4.8717948717948669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3">
        <v>55</v>
      </c>
      <c r="B279" s="58">
        <v>313.46153846153845</v>
      </c>
      <c r="C279" s="58">
        <v>5</v>
      </c>
      <c r="D279" s="58">
        <v>39.743589743589745</v>
      </c>
      <c r="E279" s="66"/>
      <c r="F279" s="66"/>
      <c r="G279" s="66"/>
      <c r="H279" s="66"/>
      <c r="I279" s="56">
        <f t="shared" si="10"/>
        <v>7.1794871794871824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3">
        <v>60</v>
      </c>
      <c r="B280" s="58">
        <v>306.41025641025641</v>
      </c>
      <c r="C280" s="58"/>
      <c r="D280" s="58"/>
      <c r="E280" s="66"/>
      <c r="F280" s="66"/>
      <c r="G280" s="66"/>
      <c r="H280" s="66"/>
      <c r="I280" s="56">
        <f t="shared" si="10"/>
        <v>6.5384615384615357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3">
        <v>65</v>
      </c>
      <c r="B281" s="58">
        <v>337.82051282051282</v>
      </c>
      <c r="C281" s="58">
        <v>6</v>
      </c>
      <c r="D281" s="58"/>
      <c r="E281" s="66"/>
      <c r="F281" s="66"/>
      <c r="G281" s="66"/>
      <c r="H281" s="66"/>
      <c r="I281" s="56">
        <f t="shared" si="10"/>
        <v>6.2820512820512819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3">
        <v>70</v>
      </c>
      <c r="B282" s="58">
        <v>330.76923076923077</v>
      </c>
      <c r="C282" s="58"/>
      <c r="D282" s="58"/>
      <c r="E282" s="67"/>
      <c r="F282" s="67"/>
      <c r="G282" s="67"/>
      <c r="H282" s="67"/>
      <c r="I282" s="56">
        <f t="shared" si="10"/>
        <v>-1.4102564102564088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53">
        <v>75</v>
      </c>
      <c r="B283" s="63">
        <f>(532+27)/1.56</f>
        <v>358.33333333333331</v>
      </c>
      <c r="C283" s="94">
        <v>7</v>
      </c>
      <c r="D283" s="63">
        <f>(26+27)/1.56</f>
        <v>33.974358974358971</v>
      </c>
      <c r="E283" s="57"/>
      <c r="F283" s="57"/>
      <c r="G283" s="57"/>
      <c r="H283" s="57"/>
      <c r="I283" s="56">
        <f t="shared" si="10"/>
        <v>5.5128205128205083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>
        <v>80</v>
      </c>
      <c r="B284" s="53">
        <v>351.28205128205127</v>
      </c>
      <c r="C284" s="53"/>
      <c r="D284" s="53"/>
      <c r="E284" s="57"/>
      <c r="F284" s="57"/>
      <c r="G284" s="57"/>
      <c r="H284" s="57"/>
      <c r="I284" s="56">
        <f t="shared" si="10"/>
        <v>5.3846153846153815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>
        <v>85</v>
      </c>
      <c r="B285" s="53">
        <v>375.64102564102564</v>
      </c>
      <c r="C285" s="53">
        <v>8</v>
      </c>
      <c r="D285" s="53">
        <v>30.769230769230766</v>
      </c>
      <c r="E285" s="57"/>
      <c r="F285" s="57"/>
      <c r="G285" s="57"/>
      <c r="H285" s="57"/>
      <c r="I285" s="56">
        <f t="shared" si="10"/>
        <v>4.8717948717948731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>
        <v>90</v>
      </c>
      <c r="B286" s="53">
        <v>368.58974358974359</v>
      </c>
      <c r="C286" s="53"/>
      <c r="D286" s="53"/>
      <c r="E286" s="57"/>
      <c r="F286" s="57"/>
      <c r="G286" s="57"/>
      <c r="H286" s="57"/>
      <c r="I286" s="56">
        <f t="shared" si="10"/>
        <v>4.7435897435897463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>
        <v>95</v>
      </c>
      <c r="B287" s="53">
        <v>391.02564102564099</v>
      </c>
      <c r="C287" s="53">
        <v>9</v>
      </c>
      <c r="D287" s="53">
        <v>28.846153846153847</v>
      </c>
      <c r="E287" s="57"/>
      <c r="F287" s="57"/>
      <c r="G287" s="57"/>
      <c r="H287" s="57"/>
      <c r="I287" s="56">
        <f t="shared" si="10"/>
        <v>4.4871794871794801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>
        <v>100</v>
      </c>
      <c r="B288" s="53">
        <v>383.97435897435895</v>
      </c>
      <c r="C288" s="53"/>
      <c r="D288" s="53"/>
      <c r="E288" s="57"/>
      <c r="F288" s="57"/>
      <c r="G288" s="57"/>
      <c r="H288" s="57"/>
      <c r="I288" s="56">
        <f t="shared" si="10"/>
        <v>4.3589743589743648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>
        <v>110</v>
      </c>
      <c r="B289" s="53">
        <v>423.71794871794873</v>
      </c>
      <c r="C289" s="53">
        <v>10</v>
      </c>
      <c r="D289" s="53">
        <v>423.71794871794873</v>
      </c>
      <c r="E289" s="57"/>
      <c r="F289" s="57"/>
      <c r="G289" s="57"/>
      <c r="H289" s="57"/>
      <c r="I289" s="56">
        <f t="shared" si="10"/>
        <v>3.974358974358978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disablePrompts="1"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09" t="s">
        <v>176</v>
      </c>
      <c r="C1" s="310"/>
      <c r="D1" s="310"/>
      <c r="E1" s="310"/>
      <c r="F1" s="310"/>
      <c r="G1" s="310"/>
      <c r="H1" s="311"/>
      <c r="I1" s="306" t="str">
        <f>IF('Données projet'!$B$9="","",'Données projet'!$B$9)</f>
        <v>Chêne sessile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8"/>
      <c r="AD1" s="307" t="str">
        <f>IF('Données projet'!$B$10="","",'Données projet'!$B$10)</f>
        <v>Chêne pubescent</v>
      </c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8"/>
      <c r="AY1" s="306" t="str">
        <f>IF('Données projet'!$B$11="","",'Données projet'!$B$11)</f>
        <v>Châtaignier</v>
      </c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8"/>
      <c r="BT1" s="306" t="str">
        <f>IF('Données projet'!$B$12="","",'Données projet'!$B$12)</f>
        <v>Chêne pédonculé</v>
      </c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8"/>
      <c r="CO1" s="306" t="str">
        <f>IF('Données projet'!$B$13="","",'Données projet'!$B$13)</f>
        <v>Cèdre de l'Atlas</v>
      </c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8"/>
      <c r="DJ1" s="306" t="str">
        <f>IF('Données projet'!$B$14="","",'Données projet'!$B$14)</f>
        <v>Erable sycomore</v>
      </c>
      <c r="DK1" s="307"/>
      <c r="DL1" s="307"/>
      <c r="DM1" s="307"/>
      <c r="DN1" s="307"/>
      <c r="DO1" s="307"/>
      <c r="DP1" s="307"/>
      <c r="DQ1" s="307"/>
      <c r="DR1" s="307"/>
      <c r="DS1" s="307"/>
      <c r="DT1" s="307"/>
      <c r="DU1" s="307"/>
      <c r="DV1" s="307"/>
      <c r="DW1" s="307"/>
      <c r="DX1" s="307"/>
      <c r="DY1" s="307"/>
      <c r="DZ1" s="307"/>
      <c r="EA1" s="307"/>
      <c r="EB1" s="307"/>
      <c r="EC1" s="307"/>
      <c r="ED1" s="308"/>
      <c r="EE1" s="306" t="str">
        <f>IF('Données projet'!$B$15="","",'Données projet'!$B$15)</f>
        <v>Hêtre</v>
      </c>
      <c r="EF1" s="307"/>
      <c r="EG1" s="307"/>
      <c r="EH1" s="307"/>
      <c r="EI1" s="307"/>
      <c r="EJ1" s="307"/>
      <c r="EK1" s="307"/>
      <c r="EL1" s="307"/>
      <c r="EM1" s="307"/>
      <c r="EN1" s="307"/>
      <c r="EO1" s="307"/>
      <c r="EP1" s="307"/>
      <c r="EQ1" s="307"/>
      <c r="ER1" s="307"/>
      <c r="ES1" s="307"/>
      <c r="ET1" s="307"/>
      <c r="EU1" s="307"/>
      <c r="EV1" s="307"/>
      <c r="EW1" s="307"/>
      <c r="EX1" s="307"/>
      <c r="EY1" s="308"/>
      <c r="EZ1" s="306" t="str">
        <f>IF('Données projet'!$B$16="","",'Données projet'!$B$16)</f>
        <v>Alisier torminal</v>
      </c>
      <c r="FA1" s="307"/>
      <c r="FB1" s="307"/>
      <c r="FC1" s="307"/>
      <c r="FD1" s="307"/>
      <c r="FE1" s="307"/>
      <c r="FF1" s="307"/>
      <c r="FG1" s="307"/>
      <c r="FH1" s="307"/>
      <c r="FI1" s="307"/>
      <c r="FJ1" s="307"/>
      <c r="FK1" s="307"/>
      <c r="FL1" s="307"/>
      <c r="FM1" s="307"/>
      <c r="FN1" s="307"/>
      <c r="FO1" s="307"/>
      <c r="FP1" s="307"/>
      <c r="FQ1" s="307"/>
      <c r="FR1" s="307"/>
      <c r="FS1" s="307"/>
      <c r="FT1" s="308"/>
      <c r="FU1" s="306" t="str">
        <f>IF('Données projet'!$B$17="","",'Données projet'!$B$17)</f>
        <v>Merisier</v>
      </c>
      <c r="FV1" s="307"/>
      <c r="FW1" s="307"/>
      <c r="FX1" s="307"/>
      <c r="FY1" s="307"/>
      <c r="FZ1" s="307"/>
      <c r="GA1" s="307"/>
      <c r="GB1" s="307"/>
      <c r="GC1" s="307"/>
      <c r="GD1" s="307"/>
      <c r="GE1" s="307"/>
      <c r="GF1" s="307"/>
      <c r="GG1" s="307"/>
      <c r="GH1" s="307"/>
      <c r="GI1" s="307"/>
      <c r="GJ1" s="307"/>
      <c r="GK1" s="307"/>
      <c r="GL1" s="307"/>
      <c r="GM1" s="307"/>
      <c r="GN1" s="307"/>
      <c r="GO1" s="308"/>
      <c r="GP1" s="306" t="str">
        <f>IF('Données projet'!$B$18="","",'Données projet'!$B$18)</f>
        <v>Tilleul</v>
      </c>
      <c r="GQ1" s="307"/>
      <c r="GR1" s="307"/>
      <c r="GS1" s="307"/>
      <c r="GT1" s="307"/>
      <c r="GU1" s="307"/>
      <c r="GV1" s="307"/>
      <c r="GW1" s="307"/>
      <c r="GX1" s="307"/>
      <c r="GY1" s="307"/>
      <c r="GZ1" s="307"/>
      <c r="HA1" s="307"/>
      <c r="HB1" s="307"/>
      <c r="HC1" s="307"/>
      <c r="HD1" s="307"/>
      <c r="HE1" s="307"/>
      <c r="HF1" s="307"/>
      <c r="HG1" s="307"/>
      <c r="HH1" s="307"/>
      <c r="HI1" s="307"/>
      <c r="HJ1" s="308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509.56241660612449</v>
      </c>
      <c r="T3" s="62">
        <f>IF('Données projet'!E9&gt;30,$R$33-$H$33,LOOKUP('Données projet'!$E$9,$A$3:$A$203,R3:R203)-LOOKUP('Données projet'!$E$9,$A$3:$A$203,$H$3:$H$203))</f>
        <v>278.21741231699929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565.72091871734051</v>
      </c>
      <c r="AO3" s="62">
        <f>IF('Données projet'!E10&gt;30,$AM$33-$H$33,LOOKUP('Données projet'!$E$10,$A$3:$A$203,AM3:AM203)-LOOKUP('Données projet'!$E$10,$A$3:$A$203,$H$3:$H$203))</f>
        <v>306.61893266146666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256.66666666666669</v>
      </c>
      <c r="BI3" s="62">
        <f ca="1">AVERAGE(OFFSET($BH$3,0,0,'Données projet'!$E$11+1,1))-AVERAGE(OFFSET($H$3,0,0,'Données projet'!$E$11+1,1))</f>
        <v>344.26020118887629</v>
      </c>
      <c r="BJ3" s="62">
        <f>IF('Données projet'!E11&gt;30,$BH$33-$H$33,LOOKUP('Données projet'!$E$11,$A$3:$A$203,BH3:BH203)-LOOKUP('Données projet'!$E$11,$A$3:$A$203,$H$3:$H$203))</f>
        <v>376.41441893222185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256.66666666666669</v>
      </c>
      <c r="CD3" s="62">
        <f ca="1">AVERAGE(OFFSET($CC$3,0,0,'Données projet'!$E$12+1,1))-AVERAGE(OFFSET($H$3,0,0,'Données projet'!$E$12+1,1))</f>
        <v>477.4105367901771</v>
      </c>
      <c r="CE3" s="62">
        <f>IF('Données projet'!E12&gt;30,$CC$33-$H$33,LOOKUP('Données projet'!$E$12,$A$3:$A$203,CC3:CC203)-LOOKUP('Données projet'!$E$12,$A$3:$A$203,$H$3:$H$203))</f>
        <v>261.95434270986397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256.66666666666669</v>
      </c>
      <c r="CY3" s="62">
        <f ca="1">AVERAGE(OFFSET($CX$3,0,0,'Données projet'!$E$13+1,1))-AVERAGE(OFFSET($H$3,0,0,'Données projet'!$E$13+1,1))</f>
        <v>246.64907095367749</v>
      </c>
      <c r="CZ3" s="62">
        <f>IF('Données projet'!E13&gt;30,$CX$33-$H$33,LOOKUP('Données projet'!$E$13,$A$3:$A$203,CX3:CX203)-LOOKUP('Données projet'!$E$13,$A$3:$A$203,$H$3:$H$203))</f>
        <v>145.34368562171613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2">
        <f>DR3+(DJ3+DK3)*44/12</f>
        <v>256.66666666666669</v>
      </c>
      <c r="DT3" s="62">
        <f ca="1">AVERAGE(OFFSET($DS$3,0,0,'Données projet'!$E$14+1,1))-AVERAGE(OFFSET($H$3,0,0,'Données projet'!$E$14+1,1))</f>
        <v>370.38521334472284</v>
      </c>
      <c r="DU3" s="62">
        <f>IF('Données projet'!E14&gt;30,$DS$33-$H$33,LOOKUP('Données projet'!$E$14,$A$3:$A$203,DS3:DS203)-LOOKUP('Données projet'!$E$14,$A$3:$A$203,$H$3:$H$203))</f>
        <v>404.61777090709171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2">
        <f>EM3+(EE3+EF3)*44/12</f>
        <v>256.66666666666669</v>
      </c>
      <c r="EO3" s="62">
        <f ca="1">AVERAGE(OFFSET($EN$3,0,0,'Données projet'!$E$15+1,1))-AVERAGE(OFFSET($H$3,0,0,'Données projet'!$E$15+1,1))</f>
        <v>445.81166342116865</v>
      </c>
      <c r="EP3" s="62">
        <f>IF('Données projet'!E15&gt;30,$EN$33-$H$33,LOOKUP('Données projet'!$E$15,$A$3:$A$203,EN3:EN203)-LOOKUP('Données projet'!$E$15,$A$3:$A$203,$H$3:$H$203))</f>
        <v>230.82970731138215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>
        <f>FE3*VLOOKUP('Données projet'!$B$16,Paramètres!$A$1:$I$89,3,0)*VLOOKUP('Données projet'!$B$16,Paramètres!$A$1:$I$89,5,0)</f>
        <v>0</v>
      </c>
      <c r="FG3" s="13">
        <v>0</v>
      </c>
      <c r="FH3" s="15">
        <f>(FF3+FG3)*0.475*44/12</f>
        <v>0</v>
      </c>
      <c r="FI3" s="62">
        <f>FH3+(EZ3+FA3)*44/12</f>
        <v>256.66666666666669</v>
      </c>
      <c r="FJ3" s="62">
        <f ca="1">AVERAGE(OFFSET($FI$3,0,0,'Données projet'!$E$16+1,1))-AVERAGE(OFFSET($H$3,0,0,'Données projet'!$E$16+1,1))</f>
        <v>541.66888676162716</v>
      </c>
      <c r="FK3" s="62">
        <f>IF('Données projet'!E16&gt;30,$FI$33-$H$33,LOOKUP('Données projet'!$E$16,$A$3:$A$203,FI3:FI203)-LOOKUP('Données projet'!$E$16,$A$3:$A$203,$H$3:$H$203))</f>
        <v>294.45557293177131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>
        <f>FZ3*VLOOKUP('Données projet'!$B$17,Paramètres!$A$1:$I$89,3,0)*VLOOKUP('Données projet'!$B$17,Paramètres!$A$1:$I$89,5,0)</f>
        <v>0</v>
      </c>
      <c r="GB3" s="13">
        <v>0</v>
      </c>
      <c r="GC3" s="15">
        <f>(GA3+GB3)*0.475*44/12</f>
        <v>0</v>
      </c>
      <c r="GD3" s="62">
        <f>GC3+(FU3+FV3)*44/12</f>
        <v>256.66666666666669</v>
      </c>
      <c r="GE3" s="62">
        <f ca="1">AVERAGE(OFFSET($GD$3,0,0,'Données projet'!$E$17+1,1))-AVERAGE(OFFSET($H$3,0,0,'Données projet'!$E$17+1,1))</f>
        <v>292.57482726862594</v>
      </c>
      <c r="GF3" s="62">
        <f>IF('Données projet'!E17&gt;30,$GD$33-$H$33,LOOKUP('Données projet'!$E$17,$A$3:$A$203,GD3:GD203)-LOOKUP('Données projet'!$E$17,$A$3:$A$203,$H$3:$H$203))</f>
        <v>283.48738729114024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>
        <f>GU3*VLOOKUP('Données projet'!$B$18,Paramètres!$A$1:$I$89,3,0)*VLOOKUP('Données projet'!$B$18,Paramètres!$A$1:$I$89,5,0)</f>
        <v>0</v>
      </c>
      <c r="GW3" s="13">
        <v>0</v>
      </c>
      <c r="GX3" s="15">
        <f>(GV3+GW3)*0.475*44/12</f>
        <v>0</v>
      </c>
      <c r="GY3" s="62">
        <f>GX3+(GP3+GQ3)*44/12</f>
        <v>256.66666666666669</v>
      </c>
      <c r="GZ3" s="62">
        <f ca="1">AVERAGE(OFFSET($GY$3,0,0,'Données projet'!$E$18+1,1))-AVERAGE(OFFSET($H$3,0,0,'Données projet'!$E$18+1,1))</f>
        <v>410.20186800287411</v>
      </c>
      <c r="HA3" s="62">
        <f>IF('Données projet'!E18&gt;30,$GY$33-$H$33,LOOKUP('Données projet'!$E$18,$A$3:$A$203,GY3:GY203)-LOOKUP('Données projet'!$E$18,$A$3:$A$203,$H$3:$H$203))</f>
        <v>321.99347958016057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3.65</v>
      </c>
      <c r="N4" s="14">
        <f>IF('Données projet'!$A$36&gt;35,N3+M4-V3,IF(A4&lt;'Données projet'!$A$36,$K$205^A4,IF(A4='Données projet'!$A$36,'Données projet'!$B$36,N3+M4-V3)))</f>
        <v>1.2392705892426346</v>
      </c>
      <c r="O4" s="14">
        <f>N4*VLOOKUP('Données projet'!$B$9,Paramètres!$A$1:$I$89,3,0)*VLOOKUP('Données projet'!$B$9,Paramètres!$A$1:$I$89,5,0)</f>
        <v>1.1212920291467359</v>
      </c>
      <c r="P4" s="14">
        <f>EXP(-1.0587+0.8836*LN(O4)+0.284)</f>
        <v>0.50989827066551541</v>
      </c>
      <c r="Q4" s="22">
        <f t="shared" ref="Q4:Q34" si="2">(O4+P4)*0.475*44/12</f>
        <v>2.8409897721730037</v>
      </c>
      <c r="R4" s="62">
        <f t="shared" si="0"/>
        <v>260.72987866106189</v>
      </c>
      <c r="S4" s="62">
        <f ca="1">AVERAGE(OFFSET($R$3,0,0,'Données projet'!$E$9+1,1))-AVERAGE(OFFSET($H$3,0,0,'Données projet'!$E$9+1,1))</f>
        <v>509.56241660612449</v>
      </c>
      <c r="T4" s="62">
        <f>$T$3</f>
        <v>278.21741231699929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3.65</v>
      </c>
      <c r="AI4" s="14">
        <f>IF('Données projet'!$A$62&gt;35,AI3+AH4-AQ3,IF(A4&lt;'Données projet'!$A$62,$AF$205^A4,IF(A4='Données projet'!$A$62,'Données projet'!$B$62,AI3+AH4-AQ3)))</f>
        <v>1.2392705892426346</v>
      </c>
      <c r="AJ4" s="14">
        <f>AI4*VLOOKUP('Données projet'!$B$10,Paramètres!$A$1:$I$89,3,0)*VLOOKUP('Données projet'!$B$10,Paramètres!$A$1:$I$89,5,0)</f>
        <v>1.2566203774920315</v>
      </c>
      <c r="AK4" s="14">
        <f>EXP(-1.0587+0.8836*LN(AJ4)+0.284)</f>
        <v>0.56390871417545174</v>
      </c>
      <c r="AL4" s="22">
        <f t="shared" ref="AL4:AL67" si="4">(AJ4+AK4)*0.475*44/12</f>
        <v>3.1707548346542</v>
      </c>
      <c r="AM4" s="62">
        <f t="shared" ref="AM4:AM67" si="5">AL4+(AD4+AE4)*44/12</f>
        <v>261.05964372354305</v>
      </c>
      <c r="AN4" s="62">
        <f ca="1">AVERAGE(OFFSET($AM$3,0,0,'Données projet'!$E$10+1,1))-AVERAGE(OFFSET($H$3,0,0,'Données projet'!$E$10+1,1))</f>
        <v>565.72091871734051</v>
      </c>
      <c r="AO4" s="62">
        <f>$AO$3</f>
        <v>306.61893266146666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1.1099999999999999</v>
      </c>
      <c r="BD4" s="13">
        <f>IF('Données projet'!$A$88&gt;35,BD3+BC4-BL3,IF(A4&lt;'Données projet'!$A$88,$BA$205^A4,IF(A4='Données projet'!$A$88,'Données projet'!$B$88,BD3+BC4-BL3)))</f>
        <v>1.2721323532877689</v>
      </c>
      <c r="BE4" s="14">
        <f>BD4*VLOOKUP('Données projet'!$B$11,Paramètres!$A$1:$I$89,3,0)*VLOOKUP('Données projet'!$B$11,Paramètres!$A$1:$I$89,5,0)</f>
        <v>0.93272744143059216</v>
      </c>
      <c r="BF4" s="14">
        <f>EXP(-1.0587+0.8836*LN(BE4)+0.284)</f>
        <v>0.43333858977228618</v>
      </c>
      <c r="BG4" s="22">
        <f t="shared" ref="BG4:BG67" si="7">(BE4+BF4)*0.475*44/12</f>
        <v>2.3792316710116794</v>
      </c>
      <c r="BH4" s="62">
        <f t="shared" ref="BH4:BH67" si="8">BG4+(AY4+AZ4)*44/12</f>
        <v>260.26812055990052</v>
      </c>
      <c r="BI4" s="62">
        <f ca="1">AVERAGE(OFFSET($BH$3,0,0,'Données projet'!$E$11+1,1))-AVERAGE(OFFSET($H$3,0,0,'Données projet'!$E$11+1,1))</f>
        <v>344.26020118887629</v>
      </c>
      <c r="BJ4" s="62">
        <f>$BJ$3</f>
        <v>376.41441893222185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3.65</v>
      </c>
      <c r="BY4" s="13">
        <f>IF('Données projet'!$A$114&gt;35,BY3+BX4-CG3,IF(A4&lt;'Données projet'!$A$114,$BV$205^A4,IF(A4='Données projet'!$A$114,'Données projet'!$B$114,BY3+BX4-CG3)))</f>
        <v>1.2392705892426346</v>
      </c>
      <c r="BZ4" s="14">
        <f>BY4*VLOOKUP('Données projet'!$B$12,Paramètres!$A$1:$I$89,3,0)*VLOOKUP('Données projet'!$B$12,Paramètres!$A$1:$I$89,5,0)</f>
        <v>1.0439615443779955</v>
      </c>
      <c r="CA4" s="14">
        <f>EXP(-1.0587+0.8836*LN(BZ4)+0.284)</f>
        <v>0.478698084995758</v>
      </c>
      <c r="CB4" s="22">
        <f t="shared" ref="CB4:CB67" si="10">(BZ4+CA4)*0.475*44/12</f>
        <v>2.6519655211592874</v>
      </c>
      <c r="CC4" s="62">
        <f t="shared" ref="CC4:CC67" si="11">CB4+(BT4+BU4)*44/12</f>
        <v>260.54085441004815</v>
      </c>
      <c r="CD4" s="62">
        <f ca="1">AVERAGE(OFFSET($CC$3,0,0,'Données projet'!$E$12+1,1))-AVERAGE(OFFSET($H$3,0,0,'Données projet'!$E$12+1,1))</f>
        <v>477.4105367901771</v>
      </c>
      <c r="CE4" s="62">
        <f>$CE$3</f>
        <v>261.95434270986397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3.4358974358974361</v>
      </c>
      <c r="CT4" s="13">
        <f>IF('Données projet'!$A$140&gt;35,CT3+CS4-DB3,IF(A4&lt;'Données projet'!$A$140,$CQ$205^A4,IF(A4='Données projet'!$A$140,'Données projet'!$B$140,CT3+CS4-DB3)))</f>
        <v>1.167092777711815</v>
      </c>
      <c r="CU4" s="18">
        <f>CT4*VLOOKUP('Données projet'!$B$13,Paramètres!$A$1:$I$89,3,0)*VLOOKUP('Données projet'!$B$13,Paramètres!$A$1:$I$89,5,0)</f>
        <v>0.54619941996912946</v>
      </c>
      <c r="CV4" s="14">
        <f>EXP(-1.0587+0.8836*LN(CU4)+0.284)</f>
        <v>0.27006954687577245</v>
      </c>
      <c r="CW4" s="22">
        <f t="shared" ref="CW4:CW67" si="13">(CU4+CV4)*0.475*44/12</f>
        <v>1.4216684505882042</v>
      </c>
      <c r="CX4" s="62">
        <f t="shared" ref="CX4:CX67" si="14">CW4+(CO4+CP4)*44/12</f>
        <v>259.31055733947704</v>
      </c>
      <c r="CY4" s="62">
        <f ca="1">AVERAGE(OFFSET($CX$3,0,0,'Données projet'!$E$13+1,1))-AVERAGE(OFFSET($H$3,0,0,'Données projet'!$E$13+1,1))</f>
        <v>246.64907095367749</v>
      </c>
      <c r="CZ4" s="62">
        <f>$CZ$3</f>
        <v>145.34368562171613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1.1099999999999999</v>
      </c>
      <c r="DO4" s="13">
        <f>IF('Données projet'!$A$166&gt;35,DO3+DN4-DW3,IF(A4&lt;'Données projet'!$A$166,$DL$205^A4,IF(A4='Données projet'!$A$166,'Données projet'!$B$166,DO3+DN4-DW3)))</f>
        <v>1.2721323532877689</v>
      </c>
      <c r="DP4" s="18">
        <f>DO4*VLOOKUP('Données projet'!$B$14,Paramètres!$A$1:$I$89,3,0)*VLOOKUP('Données projet'!$B$14,Paramètres!$A$1:$I$89,5,0)</f>
        <v>1.0121085002757488</v>
      </c>
      <c r="DQ4" s="14">
        <f>EXP(-1.0587+0.8836*LN(DP4)+0.284)</f>
        <v>0.46576913511432322</v>
      </c>
      <c r="DR4" s="22">
        <f t="shared" ref="DR4:DR67" si="16">(DP4+DQ4)*0.475*44/12</f>
        <v>2.5739702149710419</v>
      </c>
      <c r="DS4" s="62">
        <f t="shared" ref="DS4:DS67" si="17">DR4+(DJ4+DK4)*44/12</f>
        <v>260.4628591038599</v>
      </c>
      <c r="DT4" s="62">
        <f ca="1">AVERAGE(OFFSET($DS$3,0,0,'Données projet'!$E$14+1,1))-AVERAGE(OFFSET($H$3,0,0,'Données projet'!$E$14+1,1))</f>
        <v>370.38521334472284</v>
      </c>
      <c r="DU4" s="62">
        <f>$DU$3</f>
        <v>404.61777090709171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0.16666666666666666</v>
      </c>
      <c r="EJ4" s="13">
        <f>IF('Données projet'!$A$192&gt;35,EJ3+EI4-ER3,IF(A4&lt;'Données projet'!$A$192,$EG$205^A4,IF(A4='Données projet'!$A$192,'Données projet'!$B$192,EJ3+EI4-ER3)))</f>
        <v>1.0629350704110543</v>
      </c>
      <c r="EK4" s="18">
        <f>EJ4*VLOOKUP('Données projet'!$B$15,Paramètres!$A$1:$I$89,3,0)*VLOOKUP('Données projet'!$B$15,Paramètres!$A$1:$I$89,5,0)</f>
        <v>0.91199829041268465</v>
      </c>
      <c r="EL4" s="14">
        <f>EXP(-1.0587+0.8836*LN(EK4)+0.284)</f>
        <v>0.42481787741457866</v>
      </c>
      <c r="EM4" s="22">
        <f t="shared" ref="EM4:EM67" si="19">(EK4+EL4)*0.475*44/12</f>
        <v>2.3282881589658171</v>
      </c>
      <c r="EN4" s="62">
        <f t="shared" ref="EN4:EN67" si="20">EM4+(EE4+EF4)*44/12</f>
        <v>260.21717704785465</v>
      </c>
      <c r="EO4" s="62">
        <f ca="1">AVERAGE(OFFSET($EN$3,0,0,'Données projet'!$E$15+1,1))-AVERAGE(OFFSET($H$3,0,0,'Données projet'!$E$15+1,1))</f>
        <v>445.81166342116865</v>
      </c>
      <c r="EP4" s="62">
        <f>$EP$3</f>
        <v>230.82970731138215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3.65</v>
      </c>
      <c r="FE4" s="13">
        <f>IF('Données projet'!$A$218&gt;35,FE3+FD4-FM3,IF(A4&lt;'Données projet'!$A$218,$FB$205^A4,IF(A4='Données projet'!$A$218,'Données projet'!$B$218,FE3+FD4-FM3)))</f>
        <v>1.2392705892426346</v>
      </c>
      <c r="FF4" s="18">
        <f>FE4*VLOOKUP('Données projet'!$B$16,Paramètres!$A$1:$I$89,3,0)*VLOOKUP('Données projet'!$B$16,Paramètres!$A$1:$I$89,5,0)</f>
        <v>1.1986225139154763</v>
      </c>
      <c r="FG4" s="14">
        <f>EXP(-1.0587+0.8836*LN(FF4)+0.284)</f>
        <v>0.54084878793982472</v>
      </c>
      <c r="FH4" s="22">
        <f t="shared" ref="FH4:FH67" si="22">(FF4+FG4)*0.475*44/12</f>
        <v>3.0295791840646493</v>
      </c>
      <c r="FI4" s="62">
        <f t="shared" ref="FI4:FI67" si="23">FH4+(EZ4+FA4)*44/12</f>
        <v>260.91846807295349</v>
      </c>
      <c r="FJ4" s="62">
        <f ca="1">AVERAGE(OFFSET($FI$3,0,0,'Données projet'!$E$16+1,1))-AVERAGE(OFFSET($H$3,0,0,'Données projet'!$E$16+1,1))</f>
        <v>541.66888676162716</v>
      </c>
      <c r="FK4" s="62">
        <f>$FK$3</f>
        <v>294.45557293177131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>
        <f>EXP(-LN(2)/35)*FQ3+(1-EXP(-LN(2)/35))/(LN(2)/35)*FM4*FN4*VLOOKUP('Données projet'!$B$16,Paramètres!$A$1:$I$89,3,0)*0.475*44/12</f>
        <v>0</v>
      </c>
      <c r="FR4" s="23">
        <f>EXP(-LN(2)/25)*FR3+(1-EXP(-LN(2)/25))/(LN(2)/25)*Calculateur!FM4*Calculateur!FO4*VLOOKUP('Données projet'!$B$16,Paramètres!$A$1:$I$89,3,0)*0.475*44/12</f>
        <v>0</v>
      </c>
      <c r="FS4" s="23">
        <f>EXP(-LN(2)/2)*FS3+(1-EXP(-LN(2)/2))/(LN(2)/2)*FM4*FP4*VLOOKUP('Données projet'!$B$16,Paramètres!$A$1:$I$89,3,0)*0.475*44/12</f>
        <v>0</v>
      </c>
      <c r="FT4" s="24">
        <f t="shared" ref="FT4:FT67" si="24">SUM(FQ4:FS4)</f>
        <v>0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2.6666666666666665</v>
      </c>
      <c r="FZ4" s="13">
        <f>IF('Données projet'!$A$244&gt;35,FZ3+FY4-GH3,IF(A4&lt;'Données projet'!$A$244,$FW$205^A4,IF(A4='Données projet'!$A$244,'Données projet'!$B$244,FZ3+FY4-GH3)))</f>
        <v>1.2788040393997409</v>
      </c>
      <c r="GA4" s="18">
        <f>FZ4*VLOOKUP('Données projet'!$B$17,Paramètres!$A$1:$I$89,3,0)*VLOOKUP('Données projet'!$B$17,Paramètres!$A$1:$I$89,5,0)</f>
        <v>0.99746715073179792</v>
      </c>
      <c r="GB4" s="14">
        <f>EXP(-1.0587+0.8836*LN(GA4)+0.284)</f>
        <v>0.45981048445793882</v>
      </c>
      <c r="GC4" s="22">
        <f t="shared" ref="GC4:GC67" si="25">(GA4+GB4)*0.475*44/12</f>
        <v>2.5380918812887914</v>
      </c>
      <c r="GD4" s="62">
        <f t="shared" ref="GD4:GD67" si="26">GC4+(FU4+FV4)*44/12</f>
        <v>260.42698077017764</v>
      </c>
      <c r="GE4" s="62">
        <f ca="1">AVERAGE(OFFSET($GD$3,0,0,'Données projet'!$E$17+1,1))-AVERAGE(OFFSET($H$3,0,0,'Données projet'!$E$17+1,1))</f>
        <v>292.57482726862594</v>
      </c>
      <c r="GF4" s="62">
        <f>$GF$3</f>
        <v>283.48738729114024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>
        <f>EXP(-LN(2)/35)*GL3+(1-EXP(-LN(2)/35))/(LN(2)/35)*GH4*GI4*VLOOKUP('Données projet'!$B$17,Paramètres!$A$1:$I$89,3,0)*0.475*44/12</f>
        <v>0</v>
      </c>
      <c r="GM4" s="23">
        <f>EXP(-LN(2)/25)*GM3+(1-EXP(-LN(2)/25))/(LN(2)/25)*Calculateur!GH4*Calculateur!GJ4*VLOOKUP('Données projet'!$B$17,Paramètres!$A$1:$I$89,3,0)*0.475*44/12</f>
        <v>0</v>
      </c>
      <c r="GN4" s="23">
        <f>EXP(-LN(2)/2)*GN3+(1-EXP(-LN(2)/2))/(LN(2)/2)*GH4*GK4*VLOOKUP('Données projet'!$B$17,Paramètres!$A$1:$I$89,3,0)*0.475*44/12</f>
        <v>0</v>
      </c>
      <c r="GO4" s="23">
        <f t="shared" ref="GO4:GO67" si="27">SUM(GL4:GN4)</f>
        <v>0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4.615384615384615</v>
      </c>
      <c r="GU4" s="13">
        <f>IF('Données projet'!$A$270&gt;35,GU3+GT4-HC3,IF(A4&lt;'Données projet'!$A$270,$GR$205^A4,IF(A4='Données projet'!$A$270,'Données projet'!$B$270,GU3+GT4-HC3)))</f>
        <v>1.4669685047497352</v>
      </c>
      <c r="GV4" s="18">
        <f>GU4*VLOOKUP('Données projet'!$B$18,Paramètres!$A$1:$I$89,3,0)*VLOOKUP('Données projet'!$B$18,Paramètres!$A$1:$I$89,5,0)</f>
        <v>0.98404247298612235</v>
      </c>
      <c r="GW4" s="14">
        <f>EXP(-1.0587+0.8836*LN(GV4)+0.284)</f>
        <v>0.45433803689697932</v>
      </c>
      <c r="GX4" s="22">
        <f t="shared" ref="GX4:GX67" si="28">(GV4+GW4)*0.475*44/12</f>
        <v>2.5051793880464022</v>
      </c>
      <c r="GY4" s="62">
        <f t="shared" ref="GY4:GY67" si="29">GX4+(GP4+GQ4)*44/12</f>
        <v>260.39406827693529</v>
      </c>
      <c r="GZ4" s="62">
        <f ca="1">AVERAGE(OFFSET($GY$3,0,0,'Données projet'!$E$18+1,1))-AVERAGE(OFFSET($H$3,0,0,'Données projet'!$E$18+1,1))</f>
        <v>410.20186800287411</v>
      </c>
      <c r="HA4" s="62">
        <f>$HA$3</f>
        <v>321.99347958016057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>
        <f>EXP(-LN(2)/35)*HG3+(1-EXP(-LN(2)/35))/(LN(2)/35)*HC4*HD4*VLOOKUP('Données projet'!$B$18,Paramètres!$A$1:$I$89,3,0)*0.475*44/12</f>
        <v>0</v>
      </c>
      <c r="HH4" s="23">
        <f>EXP(-LN(2)/25)*HH3+(1-EXP(-LN(2)/25))/(LN(2)/25)*Calculateur!HC4*Calculateur!HE4*VLOOKUP('Données projet'!$B$18,Paramètres!$A$1:$I$89,3,0)*0.475*44/12</f>
        <v>0</v>
      </c>
      <c r="HI4" s="23">
        <f>EXP(-LN(2)/2)*HI3+(1-EXP(-LN(2)/2))/(LN(2)/2)*HC4*HF4*VLOOKUP('Données projet'!$B$18,Paramètres!$A$1:$I$89,3,0)*0.475*44/12</f>
        <v>0</v>
      </c>
      <c r="HJ4" s="24">
        <f t="shared" ref="HJ4:HJ67" si="30">SUM(HG4:HI4)</f>
        <v>0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3.65</v>
      </c>
      <c r="N5" s="14">
        <f>IF('Données projet'!$A$36&gt;35,N4+M5-V4,IF(A5&lt;'Données projet'!$A$36,$K$205^A5,IF(A5='Données projet'!$A$36,'Données projet'!$B$36,N4+M5-V4)))</f>
        <v>1.5357915933617867</v>
      </c>
      <c r="O5" s="14">
        <f>N5*VLOOKUP('Données projet'!$B$9,Paramètres!$A$1:$I$89,3,0)*VLOOKUP('Données projet'!$B$9,Paramètres!$A$1:$I$89,5,0)</f>
        <v>1.3895842336737447</v>
      </c>
      <c r="P5" s="14">
        <f t="shared" ref="P5:P68" si="33">EXP(-1.0587+0.8836*LN(O5)+0.284)</f>
        <v>0.61631841327304715</v>
      </c>
      <c r="Q5" s="22">
        <f t="shared" si="2"/>
        <v>3.4936137767656628</v>
      </c>
      <c r="R5" s="62">
        <f t="shared" si="0"/>
        <v>262.60472488787678</v>
      </c>
      <c r="S5" s="62">
        <f ca="1">AVERAGE(OFFSET($R$3,0,0,'Données projet'!$E$9+1,1))-AVERAGE(OFFSET($H$3,0,0,'Données projet'!$E$9+1,1))</f>
        <v>509.56241660612449</v>
      </c>
      <c r="T5" s="62">
        <f t="shared" ref="T5:T68" si="34">$T$3</f>
        <v>278.21741231699929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3.65</v>
      </c>
      <c r="AI5" s="14">
        <f>IF('Données projet'!$A$62&gt;35,AI4+AH5-AQ4,IF(A5&lt;'Données projet'!$A$62,$AF$205^A5,IF(A5='Données projet'!$A$62,'Données projet'!$B$62,AI4+AH5-AQ4)))</f>
        <v>1.5357915933617867</v>
      </c>
      <c r="AJ5" s="14">
        <f>AI5*VLOOKUP('Données projet'!$B$10,Paramètres!$A$1:$I$89,3,0)*VLOOKUP('Données projet'!$B$10,Paramètres!$A$1:$I$89,5,0)</f>
        <v>1.5572926756688519</v>
      </c>
      <c r="AK5" s="14">
        <f t="shared" ref="AK5:AK68" si="35">EXP(-1.0587+0.8836*LN(AJ5)+0.284)</f>
        <v>0.68160129960402205</v>
      </c>
      <c r="AL5" s="22">
        <f t="shared" si="4"/>
        <v>3.8994070069335893</v>
      </c>
      <c r="AM5" s="62">
        <f t="shared" si="5"/>
        <v>263.01051811804473</v>
      </c>
      <c r="AN5" s="62">
        <f ca="1">AVERAGE(OFFSET($AM$3,0,0,'Données projet'!$E$10+1,1))-AVERAGE(OFFSET($H$3,0,0,'Données projet'!$E$10+1,1))</f>
        <v>565.72091871734051</v>
      </c>
      <c r="AO5" s="62">
        <f t="shared" ref="AO5:AO68" si="36">$AO$3</f>
        <v>306.61893266146666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1.1099999999999999</v>
      </c>
      <c r="BD5" s="13">
        <f>IF('Données projet'!$A$88&gt;35,BD4+BC5-BL4,IF(A5&lt;'Données projet'!$A$88,$BA$205^A5,IF(A5='Données projet'!$A$88,'Données projet'!$B$88,BD4+BC5-BL4)))</f>
        <v>1.6183207242814768</v>
      </c>
      <c r="BE5" s="14">
        <f>BD5*VLOOKUP('Données projet'!$B$11,Paramètres!$A$1:$I$89,3,0)*VLOOKUP('Données projet'!$B$11,Paramètres!$A$1:$I$89,5,0)</f>
        <v>1.1865527550431787</v>
      </c>
      <c r="BF5" s="14">
        <f t="shared" ref="BF5:BF68" si="37">EXP(-1.0587+0.8836*LN(BE5)+0.284)</f>
        <v>0.53603371205753736</v>
      </c>
      <c r="BG5" s="22">
        <f t="shared" si="7"/>
        <v>3.0001714302004134</v>
      </c>
      <c r="BH5" s="62">
        <f t="shared" si="8"/>
        <v>262.11128254131154</v>
      </c>
      <c r="BI5" s="62">
        <f ca="1">AVERAGE(OFFSET($BH$3,0,0,'Données projet'!$E$11+1,1))-AVERAGE(OFFSET($H$3,0,0,'Données projet'!$E$11+1,1))</f>
        <v>344.26020118887629</v>
      </c>
      <c r="BJ5" s="62">
        <f t="shared" ref="BJ5:BJ68" si="38">$BJ$3</f>
        <v>376.41441893222185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3.65</v>
      </c>
      <c r="BY5" s="13">
        <f>IF('Données projet'!$A$114&gt;35,BY4+BX5-CG4,IF(A5&lt;'Données projet'!$A$114,$BV$205^A5,IF(A5='Données projet'!$A$114,'Données projet'!$B$114,BY4+BX5-CG4)))</f>
        <v>1.5357915933617867</v>
      </c>
      <c r="BZ5" s="14">
        <f>BY5*VLOOKUP('Données projet'!$B$12,Paramètres!$A$1:$I$89,3,0)*VLOOKUP('Données projet'!$B$12,Paramètres!$A$1:$I$89,5,0)</f>
        <v>1.2937508382479692</v>
      </c>
      <c r="CA5" s="14">
        <f t="shared" ref="CA5:CA68" si="39">EXP(-1.0587+0.8836*LN(BZ5)+0.284)</f>
        <v>0.57860648124254321</v>
      </c>
      <c r="CB5" s="22">
        <f t="shared" si="10"/>
        <v>3.2610223314459752</v>
      </c>
      <c r="CC5" s="62">
        <f t="shared" si="11"/>
        <v>262.37213344255713</v>
      </c>
      <c r="CD5" s="62">
        <f ca="1">AVERAGE(OFFSET($CC$3,0,0,'Données projet'!$E$12+1,1))-AVERAGE(OFFSET($H$3,0,0,'Données projet'!$E$12+1,1))</f>
        <v>477.4105367901771</v>
      </c>
      <c r="CE5" s="62">
        <f t="shared" ref="CE5:CE68" si="40">$CE$3</f>
        <v>261.95434270986397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3.4358974358974361</v>
      </c>
      <c r="CT5" s="13">
        <f>IF('Données projet'!$A$140&gt;35,CT4+CS5-DB4,IF(A5&lt;'Données projet'!$A$140,$CQ$205^A5,IF(A5='Données projet'!$A$140,'Données projet'!$B$140,CT4+CS5-DB4)))</f>
        <v>1.3621055517870799</v>
      </c>
      <c r="CU5" s="18">
        <f>CT5*VLOOKUP('Données projet'!$B$13,Paramètres!$A$1:$I$89,3,0)*VLOOKUP('Données projet'!$B$13,Paramètres!$A$1:$I$89,5,0)</f>
        <v>0.6374653982363534</v>
      </c>
      <c r="CV5" s="14">
        <f t="shared" ref="CV5:CV68" si="41">EXP(-1.0587+0.8836*LN(CU5)+0.284)</f>
        <v>0.30957788644599227</v>
      </c>
      <c r="CW5" s="22">
        <f t="shared" si="13"/>
        <v>1.6494337208217518</v>
      </c>
      <c r="CX5" s="62">
        <f t="shared" si="14"/>
        <v>260.76054483193292</v>
      </c>
      <c r="CY5" s="62">
        <f ca="1">AVERAGE(OFFSET($CX$3,0,0,'Données projet'!$E$13+1,1))-AVERAGE(OFFSET($H$3,0,0,'Données projet'!$E$13+1,1))</f>
        <v>246.64907095367749</v>
      </c>
      <c r="CZ5" s="62">
        <f t="shared" ref="CZ5:CZ68" si="42">$CZ$3</f>
        <v>145.34368562171613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1.1099999999999999</v>
      </c>
      <c r="DO5" s="13">
        <f>IF('Données projet'!$A$166&gt;35,DO4+DN5-DW4,IF(A5&lt;'Données projet'!$A$166,$DL$205^A5,IF(A5='Données projet'!$A$166,'Données projet'!$B$166,DO4+DN5-DW4)))</f>
        <v>1.6183207242814768</v>
      </c>
      <c r="DP5" s="18">
        <f>DO5*VLOOKUP('Données projet'!$B$14,Paramètres!$A$1:$I$89,3,0)*VLOOKUP('Données projet'!$B$14,Paramètres!$A$1:$I$89,5,0)</f>
        <v>1.2875359682383429</v>
      </c>
      <c r="DQ5" s="14">
        <f t="shared" ref="DQ5:DQ68" si="43">EXP(-1.0587+0.8836*LN(DP5)+0.284)</f>
        <v>0.57614983837086087</v>
      </c>
      <c r="DR5" s="22">
        <f t="shared" si="16"/>
        <v>3.2459194465110297</v>
      </c>
      <c r="DS5" s="62">
        <f t="shared" si="17"/>
        <v>262.35703055762218</v>
      </c>
      <c r="DT5" s="62">
        <f ca="1">AVERAGE(OFFSET($DS$3,0,0,'Données projet'!$E$14+1,1))-AVERAGE(OFFSET($H$3,0,0,'Données projet'!$E$14+1,1))</f>
        <v>370.38521334472284</v>
      </c>
      <c r="DU5" s="62">
        <f t="shared" ref="DU5:DU68" si="44">$DU$3</f>
        <v>404.61777090709171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0.16666666666666666</v>
      </c>
      <c r="EJ5" s="13">
        <f>IF('Données projet'!$A$192&gt;35,EJ4+EI5-ER4,IF(A5&lt;'Données projet'!$A$192,$EG$205^A5,IF(A5='Données projet'!$A$192,'Données projet'!$B$192,EJ4+EI5-ER4)))</f>
        <v>1.129830963909753</v>
      </c>
      <c r="EK5" s="18">
        <f>EJ5*VLOOKUP('Données projet'!$B$15,Paramètres!$A$1:$I$89,3,0)*VLOOKUP('Données projet'!$B$15,Paramètres!$A$1:$I$89,5,0)</f>
        <v>0.96939496703456829</v>
      </c>
      <c r="EL5" s="14">
        <f t="shared" ref="EL5:EL68" si="45">EXP(-1.0587+0.8836*LN(EK5)+0.284)</f>
        <v>0.44835718823967796</v>
      </c>
      <c r="EM5" s="22">
        <f t="shared" si="19"/>
        <v>2.4692516704359786</v>
      </c>
      <c r="EN5" s="62">
        <f t="shared" si="20"/>
        <v>261.58036278154714</v>
      </c>
      <c r="EO5" s="62">
        <f ca="1">AVERAGE(OFFSET($EN$3,0,0,'Données projet'!$E$15+1,1))-AVERAGE(OFFSET($H$3,0,0,'Données projet'!$E$15+1,1))</f>
        <v>445.81166342116865</v>
      </c>
      <c r="EP5" s="62">
        <f t="shared" ref="EP5:EP68" si="46">$EP$3</f>
        <v>230.82970731138215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3.65</v>
      </c>
      <c r="FE5" s="13">
        <f>IF('Données projet'!$A$218&gt;35,FE4+FD5-FM4,IF(A5&lt;'Données projet'!$A$218,$FB$205^A5,IF(A5='Données projet'!$A$218,'Données projet'!$B$218,FE4+FD5-FM4)))</f>
        <v>1.5357915933617867</v>
      </c>
      <c r="FF5" s="18">
        <f>FE5*VLOOKUP('Données projet'!$B$16,Paramètres!$A$1:$I$89,3,0)*VLOOKUP('Données projet'!$B$16,Paramètres!$A$1:$I$89,5,0)</f>
        <v>1.4854176290995202</v>
      </c>
      <c r="FG5" s="14">
        <f t="shared" ref="FG5:FG68" si="47">EXP(-1.0587+0.8836*LN(FF5)+0.284)</f>
        <v>0.65372856897250708</v>
      </c>
      <c r="FH5" s="22">
        <f t="shared" si="22"/>
        <v>3.725679628308781</v>
      </c>
      <c r="FI5" s="62">
        <f t="shared" si="23"/>
        <v>262.83679073941994</v>
      </c>
      <c r="FJ5" s="62">
        <f ca="1">AVERAGE(OFFSET($FI$3,0,0,'Données projet'!$E$16+1,1))-AVERAGE(OFFSET($H$3,0,0,'Données projet'!$E$16+1,1))</f>
        <v>541.66888676162716</v>
      </c>
      <c r="FK5" s="62">
        <f t="shared" ref="FK5:FK68" si="48">$FK$3</f>
        <v>294.45557293177131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>
        <f>EXP(-LN(2)/35)*FQ4+(1-EXP(-LN(2)/35))/(LN(2)/35)*FM5*FN5*VLOOKUP('Données projet'!$B$16,Paramètres!$A$1:$I$89,3,0)*0.475*44/12</f>
        <v>0</v>
      </c>
      <c r="FR5" s="23">
        <f>EXP(-LN(2)/25)*FR4+(1-EXP(-LN(2)/25))/(LN(2)/25)*Calculateur!FM5*Calculateur!FO5*VLOOKUP('Données projet'!$B$16,Paramètres!$A$1:$I$89,3,0)*0.475*44/12</f>
        <v>0</v>
      </c>
      <c r="FS5" s="23">
        <f>EXP(-LN(2)/2)*FS4+(1-EXP(-LN(2)/2))/(LN(2)/2)*FM5*FP5*VLOOKUP('Données projet'!$B$16,Paramètres!$A$1:$I$89,3,0)*0.475*44/12</f>
        <v>0</v>
      </c>
      <c r="FT5" s="24">
        <f t="shared" si="24"/>
        <v>0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2.6666666666666665</v>
      </c>
      <c r="FZ5" s="13">
        <f>IF('Données projet'!$A$244&gt;35,FZ4+FY5-GH4,IF(A5&lt;'Données projet'!$A$244,$FW$205^A5,IF(A5='Données projet'!$A$244,'Données projet'!$B$244,FZ4+FY5-GH4)))</f>
        <v>1.6353397711850939</v>
      </c>
      <c r="GA5" s="18">
        <f>FZ5*VLOOKUP('Données projet'!$B$17,Paramètres!$A$1:$I$89,3,0)*VLOOKUP('Données projet'!$B$17,Paramètres!$A$1:$I$89,5,0)</f>
        <v>1.2755650215243732</v>
      </c>
      <c r="GB5" s="14">
        <f t="shared" ref="GB5:GB68" si="49">EXP(-1.0587+0.8836*LN(GA5)+0.284)</f>
        <v>0.57141400910743001</v>
      </c>
      <c r="GC5" s="22">
        <f t="shared" si="25"/>
        <v>3.2168218116837237</v>
      </c>
      <c r="GD5" s="62">
        <f t="shared" si="26"/>
        <v>262.32793292279484</v>
      </c>
      <c r="GE5" s="62">
        <f ca="1">AVERAGE(OFFSET($GD$3,0,0,'Données projet'!$E$17+1,1))-AVERAGE(OFFSET($H$3,0,0,'Données projet'!$E$17+1,1))</f>
        <v>292.57482726862594</v>
      </c>
      <c r="GF5" s="62">
        <f t="shared" ref="GF5:GF68" si="50">$GF$3</f>
        <v>283.48738729114024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>
        <f>EXP(-LN(2)/35)*GL4+(1-EXP(-LN(2)/35))/(LN(2)/35)*GH5*GI5*VLOOKUP('Données projet'!$B$17,Paramètres!$A$1:$I$89,3,0)*0.475*44/12</f>
        <v>0</v>
      </c>
      <c r="GM5" s="23">
        <f>EXP(-LN(2)/25)*GM4+(1-EXP(-LN(2)/25))/(LN(2)/25)*Calculateur!GH5*Calculateur!GJ5*VLOOKUP('Données projet'!$B$17,Paramètres!$A$1:$I$89,3,0)*0.475*44/12</f>
        <v>0</v>
      </c>
      <c r="GN5" s="23">
        <f>EXP(-LN(2)/2)*GN4+(1-EXP(-LN(2)/2))/(LN(2)/2)*GH5*GK5*VLOOKUP('Données projet'!$B$17,Paramètres!$A$1:$I$89,3,0)*0.475*44/12</f>
        <v>0</v>
      </c>
      <c r="GO5" s="23">
        <f t="shared" si="27"/>
        <v>0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4.615384615384615</v>
      </c>
      <c r="GU5" s="13">
        <f>IF('Données projet'!$A$270&gt;35,GU4+GT5-HC4,IF(A5&lt;'Données projet'!$A$270,$GR$205^A5,IF(A5='Données projet'!$A$270,'Données projet'!$B$270,GU4+GT5-HC4)))</f>
        <v>2.1519965939276737</v>
      </c>
      <c r="GV5" s="18">
        <f>GU5*VLOOKUP('Données projet'!$B$18,Paramètres!$A$1:$I$89,3,0)*VLOOKUP('Données projet'!$B$18,Paramètres!$A$1:$I$89,5,0)</f>
        <v>1.4435593152066835</v>
      </c>
      <c r="GW5" s="14">
        <f t="shared" ref="GW5:GW68" si="51">EXP(-1.0587+0.8836*LN(GV5)+0.284)</f>
        <v>0.63742414056230023</v>
      </c>
      <c r="GX5" s="22">
        <f t="shared" si="28"/>
        <v>3.624379518797646</v>
      </c>
      <c r="GY5" s="62">
        <f t="shared" si="29"/>
        <v>262.73549062990878</v>
      </c>
      <c r="GZ5" s="62">
        <f ca="1">AVERAGE(OFFSET($GY$3,0,0,'Données projet'!$E$18+1,1))-AVERAGE(OFFSET($H$3,0,0,'Données projet'!$E$18+1,1))</f>
        <v>410.20186800287411</v>
      </c>
      <c r="HA5" s="62">
        <f t="shared" ref="HA5:HA68" si="52">$HA$3</f>
        <v>321.99347958016057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>
        <f>EXP(-LN(2)/35)*HG4+(1-EXP(-LN(2)/35))/(LN(2)/35)*HC5*HD5*VLOOKUP('Données projet'!$B$18,Paramètres!$A$1:$I$89,3,0)*0.475*44/12</f>
        <v>0</v>
      </c>
      <c r="HH5" s="23">
        <f>EXP(-LN(2)/25)*HH4+(1-EXP(-LN(2)/25))/(LN(2)/25)*Calculateur!HC5*Calculateur!HE5*VLOOKUP('Données projet'!$B$18,Paramètres!$A$1:$I$89,3,0)*0.475*44/12</f>
        <v>0</v>
      </c>
      <c r="HI5" s="23">
        <f>EXP(-LN(2)/2)*HI4+(1-EXP(-LN(2)/2))/(LN(2)/2)*HC5*HF5*VLOOKUP('Données projet'!$B$18,Paramètres!$A$1:$I$89,3,0)*0.475*44/12</f>
        <v>0</v>
      </c>
      <c r="HJ5" s="24">
        <f t="shared" si="30"/>
        <v>0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3.65</v>
      </c>
      <c r="N6" s="14">
        <f>IF('Données projet'!$A$36&gt;35,N5+M6-V5,IF(A6&lt;'Données projet'!$A$36,$K$205^A6,IF(A6='Données projet'!$A$36,'Données projet'!$B$36,N5+M6-V5)))</f>
        <v>1.9032613528593461</v>
      </c>
      <c r="O6" s="14">
        <f>N6*VLOOKUP('Données projet'!$B$9,Paramètres!$A$1:$I$89,3,0)*VLOOKUP('Données projet'!$B$9,Paramètres!$A$1:$I$89,5,0)</f>
        <v>1.7220708720671365</v>
      </c>
      <c r="P6" s="14">
        <f t="shared" si="33"/>
        <v>0.74494935243383209</v>
      </c>
      <c r="Q6" s="22">
        <f t="shared" si="2"/>
        <v>4.2967268910058536</v>
      </c>
      <c r="R6" s="62">
        <f t="shared" si="0"/>
        <v>264.63006022433916</v>
      </c>
      <c r="S6" s="62">
        <f ca="1">AVERAGE(OFFSET($R$3,0,0,'Données projet'!$E$9+1,1))-AVERAGE(OFFSET($H$3,0,0,'Données projet'!$E$9+1,1))</f>
        <v>509.56241660612449</v>
      </c>
      <c r="T6" s="62">
        <f t="shared" si="34"/>
        <v>278.21741231699929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3.65</v>
      </c>
      <c r="AI6" s="14">
        <f>IF('Données projet'!$A$62&gt;35,AI5+AH6-AQ5,IF(A6&lt;'Données projet'!$A$62,$AF$205^A6,IF(A6='Données projet'!$A$62,'Données projet'!$B$62,AI5+AH6-AQ5)))</f>
        <v>1.9032613528593461</v>
      </c>
      <c r="AJ6" s="14">
        <f>AI6*VLOOKUP('Données projet'!$B$10,Paramètres!$A$1:$I$89,3,0)*VLOOKUP('Données projet'!$B$10,Paramètres!$A$1:$I$89,5,0)</f>
        <v>1.9299070117993768</v>
      </c>
      <c r="AK6" s="14">
        <f t="shared" si="35"/>
        <v>0.82385733708903885</v>
      </c>
      <c r="AL6" s="22">
        <f t="shared" si="4"/>
        <v>4.7961395743139903</v>
      </c>
      <c r="AM6" s="62">
        <f t="shared" si="5"/>
        <v>265.12947290764731</v>
      </c>
      <c r="AN6" s="62">
        <f ca="1">AVERAGE(OFFSET($AM$3,0,0,'Données projet'!$E$10+1,1))-AVERAGE(OFFSET($H$3,0,0,'Données projet'!$E$10+1,1))</f>
        <v>565.72091871734051</v>
      </c>
      <c r="AO6" s="62">
        <f t="shared" si="36"/>
        <v>306.61893266146666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1.1099999999999999</v>
      </c>
      <c r="BD6" s="13">
        <f>IF('Données projet'!$A$88&gt;35,BD5+BC6-BL5,IF(A6&lt;'Données projet'!$A$88,$BA$205^A6,IF(A6='Données projet'!$A$88,'Données projet'!$B$88,BD5+BC6-BL5)))</f>
        <v>2.0587181513545616</v>
      </c>
      <c r="BE6" s="14">
        <f>BD6*VLOOKUP('Données projet'!$B$11,Paramètres!$A$1:$I$89,3,0)*VLOOKUP('Données projet'!$B$11,Paramètres!$A$1:$I$89,5,0)</f>
        <v>1.5094521485731647</v>
      </c>
      <c r="BF6" s="14">
        <f t="shared" si="37"/>
        <v>0.66306612714360913</v>
      </c>
      <c r="BG6" s="22">
        <f t="shared" si="7"/>
        <v>3.7838026635400475</v>
      </c>
      <c r="BH6" s="62">
        <f t="shared" si="8"/>
        <v>264.11713599687334</v>
      </c>
      <c r="BI6" s="62">
        <f ca="1">AVERAGE(OFFSET($BH$3,0,0,'Données projet'!$E$11+1,1))-AVERAGE(OFFSET($H$3,0,0,'Données projet'!$E$11+1,1))</f>
        <v>344.26020118887629</v>
      </c>
      <c r="BJ6" s="62">
        <f t="shared" si="38"/>
        <v>376.41441893222185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3.65</v>
      </c>
      <c r="BY6" s="13">
        <f>IF('Données projet'!$A$114&gt;35,BY5+BX6-CG5,IF(A6&lt;'Données projet'!$A$114,$BV$205^A6,IF(A6='Données projet'!$A$114,'Données projet'!$B$114,BY5+BX6-CG5)))</f>
        <v>1.9032613528593461</v>
      </c>
      <c r="BZ6" s="14">
        <f>BY6*VLOOKUP('Données projet'!$B$12,Paramètres!$A$1:$I$89,3,0)*VLOOKUP('Données projet'!$B$12,Paramètres!$A$1:$I$89,5,0)</f>
        <v>1.6033073636487132</v>
      </c>
      <c r="CA6" s="14">
        <f t="shared" si="39"/>
        <v>0.69936661672428513</v>
      </c>
      <c r="CB6" s="22">
        <f t="shared" si="10"/>
        <v>4.0104905158163051</v>
      </c>
      <c r="CC6" s="62">
        <f t="shared" si="11"/>
        <v>264.3438238491496</v>
      </c>
      <c r="CD6" s="62">
        <f ca="1">AVERAGE(OFFSET($CC$3,0,0,'Données projet'!$E$12+1,1))-AVERAGE(OFFSET($H$3,0,0,'Données projet'!$E$12+1,1))</f>
        <v>477.4105367901771</v>
      </c>
      <c r="CE6" s="62">
        <f t="shared" si="40"/>
        <v>261.95434270986397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3.4358974358974361</v>
      </c>
      <c r="CT6" s="13">
        <f>IF('Données projet'!$A$140&gt;35,CT5+CS6-DB5,IF(A6&lt;'Données projet'!$A$140,$CQ$205^A6,IF(A6='Données projet'!$A$140,'Données projet'!$B$140,CT5+CS6-DB5)))</f>
        <v>1.5897035519718676</v>
      </c>
      <c r="CU6" s="18">
        <f>CT6*VLOOKUP('Données projet'!$B$13,Paramètres!$A$1:$I$89,3,0)*VLOOKUP('Données projet'!$B$13,Paramètres!$A$1:$I$89,5,0)</f>
        <v>0.74398126232283412</v>
      </c>
      <c r="CV6" s="14">
        <f t="shared" si="41"/>
        <v>0.35486588134445163</v>
      </c>
      <c r="CW6" s="22">
        <f t="shared" si="13"/>
        <v>1.9138254418871894</v>
      </c>
      <c r="CX6" s="62">
        <f t="shared" si="14"/>
        <v>262.2471587752205</v>
      </c>
      <c r="CY6" s="62">
        <f ca="1">AVERAGE(OFFSET($CX$3,0,0,'Données projet'!$E$13+1,1))-AVERAGE(OFFSET($H$3,0,0,'Données projet'!$E$13+1,1))</f>
        <v>246.64907095367749</v>
      </c>
      <c r="CZ6" s="62">
        <f t="shared" si="42"/>
        <v>145.34368562171613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1.1099999999999999</v>
      </c>
      <c r="DO6" s="13">
        <f>IF('Données projet'!$A$166&gt;35,DO5+DN6-DW5,IF(A6&lt;'Données projet'!$A$166,$DL$205^A6,IF(A6='Données projet'!$A$166,'Données projet'!$B$166,DO5+DN6-DW5)))</f>
        <v>2.0587181513545616</v>
      </c>
      <c r="DP6" s="18">
        <f>DO6*VLOOKUP('Données projet'!$B$14,Paramètres!$A$1:$I$89,3,0)*VLOOKUP('Données projet'!$B$14,Paramètres!$A$1:$I$89,5,0)</f>
        <v>1.6379161612176893</v>
      </c>
      <c r="DQ6" s="14">
        <f t="shared" si="43"/>
        <v>0.71268920851376738</v>
      </c>
      <c r="DR6" s="22">
        <f t="shared" si="16"/>
        <v>4.0939710189489533</v>
      </c>
      <c r="DS6" s="62">
        <f t="shared" si="17"/>
        <v>264.42730435228225</v>
      </c>
      <c r="DT6" s="62">
        <f ca="1">AVERAGE(OFFSET($DS$3,0,0,'Données projet'!$E$14+1,1))-AVERAGE(OFFSET($H$3,0,0,'Données projet'!$E$14+1,1))</f>
        <v>370.38521334472284</v>
      </c>
      <c r="DU6" s="62">
        <f t="shared" si="44"/>
        <v>404.61777090709171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0.16666666666666666</v>
      </c>
      <c r="EJ6" s="13">
        <f>IF('Données projet'!$A$192&gt;35,EJ5+EI6-ER5,IF(A6&lt;'Données projet'!$A$192,$EG$205^A6,IF(A6='Données projet'!$A$192,'Données projet'!$B$192,EJ5+EI6-ER5)))</f>
        <v>1.2009369551760027</v>
      </c>
      <c r="EK6" s="18">
        <f>EJ6*VLOOKUP('Données projet'!$B$15,Paramètres!$A$1:$I$89,3,0)*VLOOKUP('Données projet'!$B$15,Paramètres!$A$1:$I$89,5,0)</f>
        <v>1.0304039075410105</v>
      </c>
      <c r="EL6" s="14">
        <f t="shared" si="45"/>
        <v>0.47320082071313369</v>
      </c>
      <c r="EM6" s="22">
        <f t="shared" si="19"/>
        <v>2.6187782350426345</v>
      </c>
      <c r="EN6" s="62">
        <f t="shared" si="20"/>
        <v>262.95211156837593</v>
      </c>
      <c r="EO6" s="62">
        <f ca="1">AVERAGE(OFFSET($EN$3,0,0,'Données projet'!$E$15+1,1))-AVERAGE(OFFSET($H$3,0,0,'Données projet'!$E$15+1,1))</f>
        <v>445.81166342116865</v>
      </c>
      <c r="EP6" s="62">
        <f t="shared" si="46"/>
        <v>230.82970731138215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3.65</v>
      </c>
      <c r="FE6" s="13">
        <f>IF('Données projet'!$A$218&gt;35,FE5+FD6-FM5,IF(A6&lt;'Données projet'!$A$218,$FB$205^A6,IF(A6='Données projet'!$A$218,'Données projet'!$B$218,FE5+FD6-FM5)))</f>
        <v>1.9032613528593461</v>
      </c>
      <c r="FF6" s="18">
        <f>FE6*VLOOKUP('Données projet'!$B$16,Paramètres!$A$1:$I$89,3,0)*VLOOKUP('Données projet'!$B$16,Paramètres!$A$1:$I$89,5,0)</f>
        <v>1.8408343804855598</v>
      </c>
      <c r="FG6" s="14">
        <f t="shared" si="47"/>
        <v>0.79016732850363813</v>
      </c>
      <c r="FH6" s="22">
        <f t="shared" si="22"/>
        <v>4.5823279764895188</v>
      </c>
      <c r="FI6" s="62">
        <f t="shared" si="23"/>
        <v>264.91566130982284</v>
      </c>
      <c r="FJ6" s="62">
        <f ca="1">AVERAGE(OFFSET($FI$3,0,0,'Données projet'!$E$16+1,1))-AVERAGE(OFFSET($H$3,0,0,'Données projet'!$E$16+1,1))</f>
        <v>541.66888676162716</v>
      </c>
      <c r="FK6" s="62">
        <f t="shared" si="48"/>
        <v>294.45557293177131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>
        <f>EXP(-LN(2)/35)*FQ5+(1-EXP(-LN(2)/35))/(LN(2)/35)*FM6*FN6*VLOOKUP('Données projet'!$B$16,Paramètres!$A$1:$I$89,3,0)*0.475*44/12</f>
        <v>0</v>
      </c>
      <c r="FR6" s="23">
        <f>EXP(-LN(2)/25)*FR5+(1-EXP(-LN(2)/25))/(LN(2)/25)*Calculateur!FM6*Calculateur!FO6*VLOOKUP('Données projet'!$B$16,Paramètres!$A$1:$I$89,3,0)*0.475*44/12</f>
        <v>0</v>
      </c>
      <c r="FS6" s="23">
        <f>EXP(-LN(2)/2)*FS5+(1-EXP(-LN(2)/2))/(LN(2)/2)*FM6*FP6*VLOOKUP('Données projet'!$B$16,Paramètres!$A$1:$I$89,3,0)*0.475*44/12</f>
        <v>0</v>
      </c>
      <c r="FT6" s="24">
        <f t="shared" si="24"/>
        <v>0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2.6666666666666665</v>
      </c>
      <c r="FZ6" s="13">
        <f>IF('Données projet'!$A$244&gt;35,FZ5+FY6-GH5,IF(A6&lt;'Données projet'!$A$244,$FW$205^A6,IF(A6='Données projet'!$A$244,'Données projet'!$B$244,FZ5+FY6-GH5)))</f>
        <v>2.0912791051825459</v>
      </c>
      <c r="GA6" s="18">
        <f>FZ6*VLOOKUP('Données projet'!$B$17,Paramètres!$A$1:$I$89,3,0)*VLOOKUP('Données projet'!$B$17,Paramètres!$A$1:$I$89,5,0)</f>
        <v>1.6311977020423858</v>
      </c>
      <c r="GB6" s="14">
        <f t="shared" si="49"/>
        <v>0.71010553443370616</v>
      </c>
      <c r="GC6" s="22">
        <f t="shared" si="25"/>
        <v>4.0777698035291934</v>
      </c>
      <c r="GD6" s="62">
        <f t="shared" si="26"/>
        <v>264.41110313686249</v>
      </c>
      <c r="GE6" s="62">
        <f ca="1">AVERAGE(OFFSET($GD$3,0,0,'Données projet'!$E$17+1,1))-AVERAGE(OFFSET($H$3,0,0,'Données projet'!$E$17+1,1))</f>
        <v>292.57482726862594</v>
      </c>
      <c r="GF6" s="62">
        <f t="shared" si="50"/>
        <v>283.48738729114024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>
        <f>EXP(-LN(2)/35)*GL5+(1-EXP(-LN(2)/35))/(LN(2)/35)*GH6*GI6*VLOOKUP('Données projet'!$B$17,Paramètres!$A$1:$I$89,3,0)*0.475*44/12</f>
        <v>0</v>
      </c>
      <c r="GM6" s="23">
        <f>EXP(-LN(2)/25)*GM5+(1-EXP(-LN(2)/25))/(LN(2)/25)*Calculateur!GH6*Calculateur!GJ6*VLOOKUP('Données projet'!$B$17,Paramètres!$A$1:$I$89,3,0)*0.475*44/12</f>
        <v>0</v>
      </c>
      <c r="GN6" s="23">
        <f>EXP(-LN(2)/2)*GN5+(1-EXP(-LN(2)/2))/(LN(2)/2)*GH6*GK6*VLOOKUP('Données projet'!$B$17,Paramètres!$A$1:$I$89,3,0)*0.475*44/12</f>
        <v>0</v>
      </c>
      <c r="GO6" s="23">
        <f t="shared" si="27"/>
        <v>0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4.615384615384615</v>
      </c>
      <c r="GU6" s="13">
        <f>IF('Données projet'!$A$270&gt;35,GU5+GT6-HC5,IF(A6&lt;'Données projet'!$A$270,$GR$205^A6,IF(A6='Données projet'!$A$270,'Données projet'!$B$270,GU5+GT6-HC5)))</f>
        <v>3.1569112256206027</v>
      </c>
      <c r="GV6" s="18">
        <f>GU6*VLOOKUP('Données projet'!$B$18,Paramètres!$A$1:$I$89,3,0)*VLOOKUP('Données projet'!$B$18,Paramètres!$A$1:$I$89,5,0)</f>
        <v>2.1176560501463002</v>
      </c>
      <c r="GW6" s="14">
        <f t="shared" si="51"/>
        <v>0.89428905787106128</v>
      </c>
      <c r="GX6" s="22">
        <f t="shared" si="28"/>
        <v>5.245804396463571</v>
      </c>
      <c r="GY6" s="62">
        <f t="shared" si="29"/>
        <v>265.57913772979691</v>
      </c>
      <c r="GZ6" s="62">
        <f ca="1">AVERAGE(OFFSET($GY$3,0,0,'Données projet'!$E$18+1,1))-AVERAGE(OFFSET($H$3,0,0,'Données projet'!$E$18+1,1))</f>
        <v>410.20186800287411</v>
      </c>
      <c r="HA6" s="62">
        <f t="shared" si="52"/>
        <v>321.99347958016057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>
        <f>EXP(-LN(2)/35)*HG5+(1-EXP(-LN(2)/35))/(LN(2)/35)*HC6*HD6*VLOOKUP('Données projet'!$B$18,Paramètres!$A$1:$I$89,3,0)*0.475*44/12</f>
        <v>0</v>
      </c>
      <c r="HH6" s="23">
        <f>EXP(-LN(2)/25)*HH5+(1-EXP(-LN(2)/25))/(LN(2)/25)*Calculateur!HC6*Calculateur!HE6*VLOOKUP('Données projet'!$B$18,Paramètres!$A$1:$I$89,3,0)*0.475*44/12</f>
        <v>0</v>
      </c>
      <c r="HI6" s="23">
        <f>EXP(-LN(2)/2)*HI5+(1-EXP(-LN(2)/2))/(LN(2)/2)*HC6*HF6*VLOOKUP('Données projet'!$B$18,Paramètres!$A$1:$I$89,3,0)*0.475*44/12</f>
        <v>0</v>
      </c>
      <c r="HJ6" s="24">
        <f t="shared" si="30"/>
        <v>0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3.65</v>
      </c>
      <c r="N7" s="14">
        <f>IF('Données projet'!$A$36&gt;35,N6+M7-V6,IF(A7&lt;'Données projet'!$A$36,$K$205^A7,IF(A7='Données projet'!$A$36,'Données projet'!$B$36,N6+M7-V6)))</f>
        <v>2.3586558182407358</v>
      </c>
      <c r="O7" s="14">
        <f>N7*VLOOKUP('Données projet'!$B$9,Paramètres!$A$1:$I$89,3,0)*VLOOKUP('Données projet'!$B$9,Paramètres!$A$1:$I$89,5,0)</f>
        <v>2.1341117843442179</v>
      </c>
      <c r="P7" s="14">
        <f t="shared" si="33"/>
        <v>0.90042667189585779</v>
      </c>
      <c r="Q7" s="22">
        <f t="shared" si="2"/>
        <v>5.2851544779514645</v>
      </c>
      <c r="R7" s="62">
        <f t="shared" si="0"/>
        <v>266.84071003350698</v>
      </c>
      <c r="S7" s="62">
        <f ca="1">AVERAGE(OFFSET($R$3,0,0,'Données projet'!$E$9+1,1))-AVERAGE(OFFSET($H$3,0,0,'Données projet'!$E$9+1,1))</f>
        <v>509.56241660612449</v>
      </c>
      <c r="T7" s="62">
        <f t="shared" si="34"/>
        <v>278.21741231699929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3.65</v>
      </c>
      <c r="AI7" s="14">
        <f>IF('Données projet'!$A$62&gt;35,AI6+AH7-AQ6,IF(A7&lt;'Données projet'!$A$62,$AF$205^A7,IF(A7='Données projet'!$A$62,'Données projet'!$B$62,AI6+AH7-AQ6)))</f>
        <v>2.3586558182407358</v>
      </c>
      <c r="AJ7" s="14">
        <f>AI7*VLOOKUP('Données projet'!$B$10,Paramètres!$A$1:$I$89,3,0)*VLOOKUP('Données projet'!$B$10,Paramètres!$A$1:$I$89,5,0)</f>
        <v>2.3916769996961063</v>
      </c>
      <c r="AK7" s="14">
        <f t="shared" si="35"/>
        <v>0.9958034297612971</v>
      </c>
      <c r="AL7" s="22">
        <f t="shared" si="4"/>
        <v>5.8998617479716442</v>
      </c>
      <c r="AM7" s="62">
        <f t="shared" si="5"/>
        <v>267.45541730352721</v>
      </c>
      <c r="AN7" s="62">
        <f ca="1">AVERAGE(OFFSET($AM$3,0,0,'Données projet'!$E$10+1,1))-AVERAGE(OFFSET($H$3,0,0,'Données projet'!$E$10+1,1))</f>
        <v>565.72091871734051</v>
      </c>
      <c r="AO7" s="62">
        <f t="shared" si="36"/>
        <v>306.61893266146666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1.1099999999999999</v>
      </c>
      <c r="BD7" s="13">
        <f>IF('Données projet'!$A$88&gt;35,BD6+BC7-BL6,IF(A7&lt;'Données projet'!$A$88,$BA$205^A7,IF(A7='Données projet'!$A$88,'Données projet'!$B$88,BD6+BC7-BL6)))</f>
        <v>2.6189619666389237</v>
      </c>
      <c r="BE7" s="14">
        <f>BD7*VLOOKUP('Données projet'!$B$11,Paramètres!$A$1:$I$89,3,0)*VLOOKUP('Données projet'!$B$11,Paramètres!$A$1:$I$89,5,0)</f>
        <v>1.9202229139396587</v>
      </c>
      <c r="BF7" s="14">
        <f t="shared" si="37"/>
        <v>0.82020342951495628</v>
      </c>
      <c r="BG7" s="22">
        <f t="shared" si="7"/>
        <v>4.7729092148501211</v>
      </c>
      <c r="BH7" s="62">
        <f t="shared" si="8"/>
        <v>266.32846477040567</v>
      </c>
      <c r="BI7" s="62">
        <f ca="1">AVERAGE(OFFSET($BH$3,0,0,'Données projet'!$E$11+1,1))-AVERAGE(OFFSET($H$3,0,0,'Données projet'!$E$11+1,1))</f>
        <v>344.26020118887629</v>
      </c>
      <c r="BJ7" s="62">
        <f t="shared" si="38"/>
        <v>376.41441893222185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3.65</v>
      </c>
      <c r="BY7" s="13">
        <f>IF('Données projet'!$A$114&gt;35,BY6+BX7-CG6,IF(A7&lt;'Données projet'!$A$114,$BV$205^A7,IF(A7='Données projet'!$A$114,'Données projet'!$B$114,BY6+BX7-CG6)))</f>
        <v>2.3586558182407358</v>
      </c>
      <c r="BZ7" s="14">
        <f>BY7*VLOOKUP('Données projet'!$B$12,Paramètres!$A$1:$I$89,3,0)*VLOOKUP('Données projet'!$B$12,Paramètres!$A$1:$I$89,5,0)</f>
        <v>1.9869316612859962</v>
      </c>
      <c r="CA7" s="14">
        <f t="shared" si="39"/>
        <v>0.84533042826968274</v>
      </c>
      <c r="CB7" s="22">
        <f t="shared" si="10"/>
        <v>4.9328564726428068</v>
      </c>
      <c r="CC7" s="62">
        <f t="shared" si="11"/>
        <v>266.48841202819835</v>
      </c>
      <c r="CD7" s="62">
        <f ca="1">AVERAGE(OFFSET($CC$3,0,0,'Données projet'!$E$12+1,1))-AVERAGE(OFFSET($H$3,0,0,'Données projet'!$E$12+1,1))</f>
        <v>477.4105367901771</v>
      </c>
      <c r="CE7" s="62">
        <f t="shared" si="40"/>
        <v>261.95434270986397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3.4358974358974361</v>
      </c>
      <c r="CT7" s="13">
        <f>IF('Données projet'!$A$140&gt;35,CT6+CS7-DB6,IF(A7&lt;'Données projet'!$A$140,$CQ$205^A7,IF(A7='Données projet'!$A$140,'Données projet'!$B$140,CT6+CS7-DB6)))</f>
        <v>1.8553315342091854</v>
      </c>
      <c r="CU7" s="18">
        <f>CT7*VLOOKUP('Données projet'!$B$13,Paramètres!$A$1:$I$89,3,0)*VLOOKUP('Données projet'!$B$13,Paramètres!$A$1:$I$89,5,0)</f>
        <v>0.86829515800989876</v>
      </c>
      <c r="CV7" s="14">
        <f t="shared" si="41"/>
        <v>0.4067790344719715</v>
      </c>
      <c r="CW7" s="22">
        <f t="shared" si="13"/>
        <v>2.2207542185725906</v>
      </c>
      <c r="CX7" s="62">
        <f t="shared" si="14"/>
        <v>263.77630977412815</v>
      </c>
      <c r="CY7" s="62">
        <f ca="1">AVERAGE(OFFSET($CX$3,0,0,'Données projet'!$E$13+1,1))-AVERAGE(OFFSET($H$3,0,0,'Données projet'!$E$13+1,1))</f>
        <v>246.64907095367749</v>
      </c>
      <c r="CZ7" s="62">
        <f t="shared" si="42"/>
        <v>145.34368562171613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1.1099999999999999</v>
      </c>
      <c r="DO7" s="13">
        <f>IF('Données projet'!$A$166&gt;35,DO6+DN7-DW6,IF(A7&lt;'Données projet'!$A$166,$DL$205^A7,IF(A7='Données projet'!$A$166,'Données projet'!$B$166,DO6+DN7-DW6)))</f>
        <v>2.6189619666389237</v>
      </c>
      <c r="DP7" s="18">
        <f>DO7*VLOOKUP('Données projet'!$B$14,Paramètres!$A$1:$I$89,3,0)*VLOOKUP('Données projet'!$B$14,Paramètres!$A$1:$I$89,5,0)</f>
        <v>2.0836461406579279</v>
      </c>
      <c r="DQ7" s="14">
        <f t="shared" si="43"/>
        <v>0.88158647994800687</v>
      </c>
      <c r="DR7" s="22">
        <f t="shared" si="16"/>
        <v>5.1644468142220035</v>
      </c>
      <c r="DS7" s="62">
        <f t="shared" si="17"/>
        <v>266.72000236977755</v>
      </c>
      <c r="DT7" s="62">
        <f ca="1">AVERAGE(OFFSET($DS$3,0,0,'Données projet'!$E$14+1,1))-AVERAGE(OFFSET($H$3,0,0,'Données projet'!$E$14+1,1))</f>
        <v>370.38521334472284</v>
      </c>
      <c r="DU7" s="62">
        <f t="shared" si="44"/>
        <v>404.61777090709171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0.16666666666666666</v>
      </c>
      <c r="EJ7" s="13">
        <f>IF('Données projet'!$A$192&gt;35,EJ6+EI7-ER6,IF(A7&lt;'Données projet'!$A$192,$EG$205^A7,IF(A7='Données projet'!$A$192,'Données projet'!$B$192,EJ6+EI7-ER6)))</f>
        <v>1.2765180070092417</v>
      </c>
      <c r="EK7" s="18">
        <f>EJ7*VLOOKUP('Données projet'!$B$15,Paramètres!$A$1:$I$89,3,0)*VLOOKUP('Données projet'!$B$15,Paramètres!$A$1:$I$89,5,0)</f>
        <v>1.0952524500139293</v>
      </c>
      <c r="EL7" s="14">
        <f t="shared" si="45"/>
        <v>0.49942104776489715</v>
      </c>
      <c r="EM7" s="22">
        <f t="shared" si="19"/>
        <v>2.7773896752981226</v>
      </c>
      <c r="EN7" s="62">
        <f t="shared" si="20"/>
        <v>264.33294523085368</v>
      </c>
      <c r="EO7" s="62">
        <f ca="1">AVERAGE(OFFSET($EN$3,0,0,'Données projet'!$E$15+1,1))-AVERAGE(OFFSET($H$3,0,0,'Données projet'!$E$15+1,1))</f>
        <v>445.81166342116865</v>
      </c>
      <c r="EP7" s="62">
        <f t="shared" si="46"/>
        <v>230.82970731138215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3.65</v>
      </c>
      <c r="FE7" s="13">
        <f>IF('Données projet'!$A$218&gt;35,FE6+FD7-FM6,IF(A7&lt;'Données projet'!$A$218,$FB$205^A7,IF(A7='Données projet'!$A$218,'Données projet'!$B$218,FE6+FD7-FM6)))</f>
        <v>2.3586558182407358</v>
      </c>
      <c r="FF7" s="18">
        <f>FE7*VLOOKUP('Données projet'!$B$16,Paramètres!$A$1:$I$89,3,0)*VLOOKUP('Données projet'!$B$16,Paramètres!$A$1:$I$89,5,0)</f>
        <v>2.2812919074024398</v>
      </c>
      <c r="FG7" s="14">
        <f t="shared" si="47"/>
        <v>0.95508202741684722</v>
      </c>
      <c r="FH7" s="22">
        <f t="shared" si="22"/>
        <v>5.6366846031435918</v>
      </c>
      <c r="FI7" s="62">
        <f t="shared" si="23"/>
        <v>267.19224015869912</v>
      </c>
      <c r="FJ7" s="62">
        <f ca="1">AVERAGE(OFFSET($FI$3,0,0,'Données projet'!$E$16+1,1))-AVERAGE(OFFSET($H$3,0,0,'Données projet'!$E$16+1,1))</f>
        <v>541.66888676162716</v>
      </c>
      <c r="FK7" s="62">
        <f t="shared" si="48"/>
        <v>294.45557293177131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>
        <f>EXP(-LN(2)/35)*FQ6+(1-EXP(-LN(2)/35))/(LN(2)/35)*FM7*FN7*VLOOKUP('Données projet'!$B$16,Paramètres!$A$1:$I$89,3,0)*0.475*44/12</f>
        <v>0</v>
      </c>
      <c r="FR7" s="23">
        <f>EXP(-LN(2)/25)*FR6+(1-EXP(-LN(2)/25))/(LN(2)/25)*Calculateur!FM7*Calculateur!FO7*VLOOKUP('Données projet'!$B$16,Paramètres!$A$1:$I$89,3,0)*0.475*44/12</f>
        <v>0</v>
      </c>
      <c r="FS7" s="23">
        <f>EXP(-LN(2)/2)*FS6+(1-EXP(-LN(2)/2))/(LN(2)/2)*FM7*FP7*VLOOKUP('Données projet'!$B$16,Paramètres!$A$1:$I$89,3,0)*0.475*44/12</f>
        <v>0</v>
      </c>
      <c r="FT7" s="24">
        <f t="shared" si="24"/>
        <v>0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2.6666666666666665</v>
      </c>
      <c r="FZ7" s="13">
        <f>IF('Données projet'!$A$244&gt;35,FZ6+FY7-GH6,IF(A7&lt;'Données projet'!$A$244,$FW$205^A7,IF(A7='Données projet'!$A$244,'Données projet'!$B$244,FZ6+FY7-GH6)))</f>
        <v>2.6743361672197152</v>
      </c>
      <c r="GA7" s="18">
        <f>FZ7*VLOOKUP('Données projet'!$B$17,Paramètres!$A$1:$I$89,3,0)*VLOOKUP('Données projet'!$B$17,Paramètres!$A$1:$I$89,5,0)</f>
        <v>2.0859822104313781</v>
      </c>
      <c r="GB7" s="14">
        <f t="shared" si="49"/>
        <v>0.88245976121767966</v>
      </c>
      <c r="GC7" s="22">
        <f t="shared" si="25"/>
        <v>5.1700364339554419</v>
      </c>
      <c r="GD7" s="62">
        <f t="shared" si="26"/>
        <v>266.72559198951097</v>
      </c>
      <c r="GE7" s="62">
        <f ca="1">AVERAGE(OFFSET($GD$3,0,0,'Données projet'!$E$17+1,1))-AVERAGE(OFFSET($H$3,0,0,'Données projet'!$E$17+1,1))</f>
        <v>292.57482726862594</v>
      </c>
      <c r="GF7" s="62">
        <f t="shared" si="50"/>
        <v>283.48738729114024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>
        <f>EXP(-LN(2)/35)*GL6+(1-EXP(-LN(2)/35))/(LN(2)/35)*GH7*GI7*VLOOKUP('Données projet'!$B$17,Paramètres!$A$1:$I$89,3,0)*0.475*44/12</f>
        <v>0</v>
      </c>
      <c r="GM7" s="23">
        <f>EXP(-LN(2)/25)*GM6+(1-EXP(-LN(2)/25))/(LN(2)/25)*Calculateur!GH7*Calculateur!GJ7*VLOOKUP('Données projet'!$B$17,Paramètres!$A$1:$I$89,3,0)*0.475*44/12</f>
        <v>0</v>
      </c>
      <c r="GN7" s="23">
        <f>EXP(-LN(2)/2)*GN6+(1-EXP(-LN(2)/2))/(LN(2)/2)*GH7*GK7*VLOOKUP('Données projet'!$B$17,Paramètres!$A$1:$I$89,3,0)*0.475*44/12</f>
        <v>0</v>
      </c>
      <c r="GO7" s="23">
        <f t="shared" si="27"/>
        <v>0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4.615384615384615</v>
      </c>
      <c r="GU7" s="13">
        <f>IF('Données projet'!$A$270&gt;35,GU6+GT7-HC6,IF(A7&lt;'Données projet'!$A$270,$GR$205^A7,IF(A7='Données projet'!$A$270,'Données projet'!$B$270,GU6+GT7-HC6)))</f>
        <v>4.6310893402763087</v>
      </c>
      <c r="GV7" s="18">
        <f>GU7*VLOOKUP('Données projet'!$B$18,Paramètres!$A$1:$I$89,3,0)*VLOOKUP('Données projet'!$B$18,Paramètres!$A$1:$I$89,5,0)</f>
        <v>3.1065347294573482</v>
      </c>
      <c r="GW7" s="14">
        <f t="shared" si="51"/>
        <v>1.2546636817400934</v>
      </c>
      <c r="GX7" s="22">
        <f t="shared" si="28"/>
        <v>7.5957538995022098</v>
      </c>
      <c r="GY7" s="62">
        <f t="shared" si="29"/>
        <v>269.15130945505774</v>
      </c>
      <c r="GZ7" s="62">
        <f ca="1">AVERAGE(OFFSET($GY$3,0,0,'Données projet'!$E$18+1,1))-AVERAGE(OFFSET($H$3,0,0,'Données projet'!$E$18+1,1))</f>
        <v>410.20186800287411</v>
      </c>
      <c r="HA7" s="62">
        <f t="shared" si="52"/>
        <v>321.99347958016057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>
        <f>EXP(-LN(2)/35)*HG6+(1-EXP(-LN(2)/35))/(LN(2)/35)*HC7*HD7*VLOOKUP('Données projet'!$B$18,Paramètres!$A$1:$I$89,3,0)*0.475*44/12</f>
        <v>0</v>
      </c>
      <c r="HH7" s="23">
        <f>EXP(-LN(2)/25)*HH6+(1-EXP(-LN(2)/25))/(LN(2)/25)*Calculateur!HC7*Calculateur!HE7*VLOOKUP('Données projet'!$B$18,Paramètres!$A$1:$I$89,3,0)*0.475*44/12</f>
        <v>0</v>
      </c>
      <c r="HI7" s="23">
        <f>EXP(-LN(2)/2)*HI6+(1-EXP(-LN(2)/2))/(LN(2)/2)*HC7*HF7*VLOOKUP('Données projet'!$B$18,Paramètres!$A$1:$I$89,3,0)*0.475*44/12</f>
        <v>0</v>
      </c>
      <c r="HJ7" s="24">
        <f t="shared" si="30"/>
        <v>0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3.65</v>
      </c>
      <c r="N8" s="14">
        <f>IF('Données projet'!$A$36&gt;35,N7+M8-V7,IF(A8&lt;'Données projet'!$A$36,$K$205^A8,IF(A8='Données projet'!$A$36,'Données projet'!$B$36,N7+M8-V7)))</f>
        <v>2.9230127856917649</v>
      </c>
      <c r="O8" s="14">
        <f>N8*VLOOKUP('Données projet'!$B$9,Paramètres!$A$1:$I$89,3,0)*VLOOKUP('Données projet'!$B$9,Paramètres!$A$1:$I$89,5,0)</f>
        <v>2.6447419684939089</v>
      </c>
      <c r="P8" s="14">
        <f t="shared" si="33"/>
        <v>1.0883534414958294</v>
      </c>
      <c r="Q8" s="22">
        <f t="shared" si="2"/>
        <v>6.5018078390654601</v>
      </c>
      <c r="R8" s="62">
        <f t="shared" si="0"/>
        <v>269.27958561684324</v>
      </c>
      <c r="S8" s="62">
        <f ca="1">AVERAGE(OFFSET($R$3,0,0,'Données projet'!$E$9+1,1))-AVERAGE(OFFSET($H$3,0,0,'Données projet'!$E$9+1,1))</f>
        <v>509.56241660612449</v>
      </c>
      <c r="T8" s="62">
        <f t="shared" si="34"/>
        <v>278.21741231699929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3.65</v>
      </c>
      <c r="AI8" s="14">
        <f>IF('Données projet'!$A$62&gt;35,AI7+AH8-AQ7,IF(A8&lt;'Données projet'!$A$62,$AF$205^A8,IF(A8='Données projet'!$A$62,'Données projet'!$B$62,AI7+AH8-AQ7)))</f>
        <v>2.9230127856917649</v>
      </c>
      <c r="AJ8" s="14">
        <f>AI8*VLOOKUP('Données projet'!$B$10,Paramètres!$A$1:$I$89,3,0)*VLOOKUP('Données projet'!$B$10,Paramètres!$A$1:$I$89,5,0)</f>
        <v>2.9639349646914495</v>
      </c>
      <c r="AK8" s="14">
        <f t="shared" si="35"/>
        <v>1.2036361467970902</v>
      </c>
      <c r="AL8" s="22">
        <f t="shared" si="4"/>
        <v>7.2585196858425398</v>
      </c>
      <c r="AM8" s="62">
        <f t="shared" si="5"/>
        <v>270.03629746362031</v>
      </c>
      <c r="AN8" s="62">
        <f ca="1">AVERAGE(OFFSET($AM$3,0,0,'Données projet'!$E$10+1,1))-AVERAGE(OFFSET($H$3,0,0,'Données projet'!$E$10+1,1))</f>
        <v>565.72091871734051</v>
      </c>
      <c r="AO8" s="62">
        <f t="shared" si="36"/>
        <v>306.61893266146666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1.1099999999999999</v>
      </c>
      <c r="BD8" s="13">
        <f>IF('Données projet'!$A$88&gt;35,BD7+BC8-BL7,IF(A8&lt;'Données projet'!$A$88,$BA$205^A8,IF(A8='Données projet'!$A$88,'Données projet'!$B$88,BD7+BC8-BL7)))</f>
        <v>3.331666249791537</v>
      </c>
      <c r="BE8" s="14">
        <f>BD8*VLOOKUP('Données projet'!$B$11,Paramètres!$A$1:$I$89,3,0)*VLOOKUP('Données projet'!$B$11,Paramètres!$A$1:$I$89,5,0)</f>
        <v>2.4427776943471549</v>
      </c>
      <c r="BF8" s="14">
        <f t="shared" si="37"/>
        <v>1.0145800520471964</v>
      </c>
      <c r="BG8" s="22">
        <f t="shared" si="7"/>
        <v>6.0215647416368272</v>
      </c>
      <c r="BH8" s="62">
        <f t="shared" si="8"/>
        <v>268.79934251941461</v>
      </c>
      <c r="BI8" s="62">
        <f ca="1">AVERAGE(OFFSET($BH$3,0,0,'Données projet'!$E$11+1,1))-AVERAGE(OFFSET($H$3,0,0,'Données projet'!$E$11+1,1))</f>
        <v>344.26020118887629</v>
      </c>
      <c r="BJ8" s="62">
        <f t="shared" si="38"/>
        <v>376.41441893222185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3.65</v>
      </c>
      <c r="BY8" s="13">
        <f>IF('Données projet'!$A$114&gt;35,BY7+BX8-CG7,IF(A8&lt;'Données projet'!$A$114,$BV$205^A8,IF(A8='Données projet'!$A$114,'Données projet'!$B$114,BY7+BX8-CG7)))</f>
        <v>2.9230127856917649</v>
      </c>
      <c r="BZ8" s="14">
        <f>BY8*VLOOKUP('Données projet'!$B$12,Paramètres!$A$1:$I$89,3,0)*VLOOKUP('Données projet'!$B$12,Paramètres!$A$1:$I$89,5,0)</f>
        <v>2.462345970666743</v>
      </c>
      <c r="CA8" s="14">
        <f t="shared" si="39"/>
        <v>1.021758139251189</v>
      </c>
      <c r="CB8" s="22">
        <f t="shared" si="10"/>
        <v>6.068147991440398</v>
      </c>
      <c r="CC8" s="62">
        <f t="shared" si="11"/>
        <v>268.84592576921818</v>
      </c>
      <c r="CD8" s="62">
        <f ca="1">AVERAGE(OFFSET($CC$3,0,0,'Données projet'!$E$12+1,1))-AVERAGE(OFFSET($H$3,0,0,'Données projet'!$E$12+1,1))</f>
        <v>477.4105367901771</v>
      </c>
      <c r="CE8" s="62">
        <f t="shared" si="40"/>
        <v>261.95434270986397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3.4358974358974361</v>
      </c>
      <c r="CT8" s="13">
        <f>IF('Données projet'!$A$140&gt;35,CT7+CS8-DB7,IF(A8&lt;'Données projet'!$A$140,$CQ$205^A8,IF(A8='Données projet'!$A$140,'Données projet'!$B$140,CT7+CS8-DB7)))</f>
        <v>2.1653440338365213</v>
      </c>
      <c r="CU8" s="18">
        <f>CT8*VLOOKUP('Données projet'!$B$13,Paramètres!$A$1:$I$89,3,0)*VLOOKUP('Données projet'!$B$13,Paramètres!$A$1:$I$89,5,0)</f>
        <v>1.0133810078354919</v>
      </c>
      <c r="CV8" s="14">
        <f t="shared" si="41"/>
        <v>0.46628653692783789</v>
      </c>
      <c r="CW8" s="22">
        <f t="shared" si="13"/>
        <v>2.5770876404627994</v>
      </c>
      <c r="CX8" s="62">
        <f t="shared" si="14"/>
        <v>265.35486541824059</v>
      </c>
      <c r="CY8" s="62">
        <f ca="1">AVERAGE(OFFSET($CX$3,0,0,'Données projet'!$E$13+1,1))-AVERAGE(OFFSET($H$3,0,0,'Données projet'!$E$13+1,1))</f>
        <v>246.64907095367749</v>
      </c>
      <c r="CZ8" s="62">
        <f t="shared" si="42"/>
        <v>145.34368562171613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1.1099999999999999</v>
      </c>
      <c r="DO8" s="13">
        <f>IF('Données projet'!$A$166&gt;35,DO7+DN8-DW7,IF(A8&lt;'Données projet'!$A$166,$DL$205^A8,IF(A8='Données projet'!$A$166,'Données projet'!$B$166,DO7+DN8-DW7)))</f>
        <v>3.331666249791537</v>
      </c>
      <c r="DP8" s="18">
        <f>DO8*VLOOKUP('Données projet'!$B$14,Paramètres!$A$1:$I$89,3,0)*VLOOKUP('Données projet'!$B$14,Paramètres!$A$1:$I$89,5,0)</f>
        <v>2.650673668334147</v>
      </c>
      <c r="DQ8" s="14">
        <f t="shared" si="43"/>
        <v>1.0905100180313785</v>
      </c>
      <c r="DR8" s="22">
        <f t="shared" si="16"/>
        <v>6.5158949204199574</v>
      </c>
      <c r="DS8" s="62">
        <f t="shared" si="17"/>
        <v>269.29367269819772</v>
      </c>
      <c r="DT8" s="62">
        <f ca="1">AVERAGE(OFFSET($DS$3,0,0,'Données projet'!$E$14+1,1))-AVERAGE(OFFSET($H$3,0,0,'Données projet'!$E$14+1,1))</f>
        <v>370.38521334472284</v>
      </c>
      <c r="DU8" s="62">
        <f t="shared" si="44"/>
        <v>404.61777090709171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0.16666666666666666</v>
      </c>
      <c r="EJ8" s="13">
        <f>IF('Données projet'!$A$192&gt;35,EJ7+EI8-ER7,IF(A8&lt;'Données projet'!$A$192,$EG$205^A8,IF(A8='Données projet'!$A$192,'Données projet'!$B$192,EJ7+EI8-ER7)))</f>
        <v>1.3568557576613469</v>
      </c>
      <c r="EK8" s="18">
        <f>EJ8*VLOOKUP('Données projet'!$B$15,Paramètres!$A$1:$I$89,3,0)*VLOOKUP('Données projet'!$B$15,Paramètres!$A$1:$I$89,5,0)</f>
        <v>1.1641822400734358</v>
      </c>
      <c r="EL8" s="14">
        <f t="shared" si="45"/>
        <v>0.5270941469938687</v>
      </c>
      <c r="EM8" s="22">
        <f t="shared" si="19"/>
        <v>2.9456397074755554</v>
      </c>
      <c r="EN8" s="62">
        <f t="shared" si="20"/>
        <v>265.72341748525332</v>
      </c>
      <c r="EO8" s="62">
        <f ca="1">AVERAGE(OFFSET($EN$3,0,0,'Données projet'!$E$15+1,1))-AVERAGE(OFFSET($H$3,0,0,'Données projet'!$E$15+1,1))</f>
        <v>445.81166342116865</v>
      </c>
      <c r="EP8" s="62">
        <f t="shared" si="46"/>
        <v>230.82970731138215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3.65</v>
      </c>
      <c r="FE8" s="13">
        <f>IF('Données projet'!$A$218&gt;35,FE7+FD8-FM7,IF(A8&lt;'Données projet'!$A$218,$FB$205^A8,IF(A8='Données projet'!$A$218,'Données projet'!$B$218,FE7+FD8-FM7)))</f>
        <v>2.9230127856917649</v>
      </c>
      <c r="FF8" s="18">
        <f>FE8*VLOOKUP('Données projet'!$B$16,Paramètres!$A$1:$I$89,3,0)*VLOOKUP('Données projet'!$B$16,Paramètres!$A$1:$I$89,5,0)</f>
        <v>2.8271379663210752</v>
      </c>
      <c r="FG8" s="14">
        <f t="shared" si="47"/>
        <v>1.1544158385061292</v>
      </c>
      <c r="FH8" s="22">
        <f t="shared" si="22"/>
        <v>6.9345395434073795</v>
      </c>
      <c r="FI8" s="62">
        <f t="shared" si="23"/>
        <v>269.71231732118514</v>
      </c>
      <c r="FJ8" s="62">
        <f ca="1">AVERAGE(OFFSET($FI$3,0,0,'Données projet'!$E$16+1,1))-AVERAGE(OFFSET($H$3,0,0,'Données projet'!$E$16+1,1))</f>
        <v>541.66888676162716</v>
      </c>
      <c r="FK8" s="62">
        <f t="shared" si="48"/>
        <v>294.45557293177131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>
        <f>EXP(-LN(2)/35)*FQ7+(1-EXP(-LN(2)/35))/(LN(2)/35)*FM8*FN8*VLOOKUP('Données projet'!$B$16,Paramètres!$A$1:$I$89,3,0)*0.475*44/12</f>
        <v>0</v>
      </c>
      <c r="FR8" s="23">
        <f>EXP(-LN(2)/25)*FR7+(1-EXP(-LN(2)/25))/(LN(2)/25)*Calculateur!FM8*Calculateur!FO8*VLOOKUP('Données projet'!$B$16,Paramètres!$A$1:$I$89,3,0)*0.475*44/12</f>
        <v>0</v>
      </c>
      <c r="FS8" s="23">
        <f>EXP(-LN(2)/2)*FS7+(1-EXP(-LN(2)/2))/(LN(2)/2)*FM8*FP8*VLOOKUP('Données projet'!$B$16,Paramètres!$A$1:$I$89,3,0)*0.475*44/12</f>
        <v>0</v>
      </c>
      <c r="FT8" s="24">
        <f t="shared" si="24"/>
        <v>0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2.6666666666666665</v>
      </c>
      <c r="FZ8" s="13">
        <f>IF('Données projet'!$A$244&gt;35,FZ7+FY8-GH7,IF(A8&lt;'Données projet'!$A$244,$FW$205^A8,IF(A8='Données projet'!$A$244,'Données projet'!$B$244,FZ7+FY8-GH7)))</f>
        <v>3.4199518933533928</v>
      </c>
      <c r="GA8" s="18">
        <f>FZ8*VLOOKUP('Données projet'!$B$17,Paramètres!$A$1:$I$89,3,0)*VLOOKUP('Données projet'!$B$17,Paramètres!$A$1:$I$89,5,0)</f>
        <v>2.6675624768156463</v>
      </c>
      <c r="GB8" s="14">
        <f t="shared" si="49"/>
        <v>1.0966471776471767</v>
      </c>
      <c r="GC8" s="22">
        <f t="shared" si="25"/>
        <v>6.5559984815227494</v>
      </c>
      <c r="GD8" s="62">
        <f t="shared" si="26"/>
        <v>269.33377625930052</v>
      </c>
      <c r="GE8" s="62">
        <f ca="1">AVERAGE(OFFSET($GD$3,0,0,'Données projet'!$E$17+1,1))-AVERAGE(OFFSET($H$3,0,0,'Données projet'!$E$17+1,1))</f>
        <v>292.57482726862594</v>
      </c>
      <c r="GF8" s="62">
        <f t="shared" si="50"/>
        <v>283.48738729114024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>
        <f>EXP(-LN(2)/35)*GL7+(1-EXP(-LN(2)/35))/(LN(2)/35)*GH8*GI8*VLOOKUP('Données projet'!$B$17,Paramètres!$A$1:$I$89,3,0)*0.475*44/12</f>
        <v>0</v>
      </c>
      <c r="GM8" s="23">
        <f>EXP(-LN(2)/25)*GM7+(1-EXP(-LN(2)/25))/(LN(2)/25)*Calculateur!GH8*Calculateur!GJ8*VLOOKUP('Données projet'!$B$17,Paramètres!$A$1:$I$89,3,0)*0.475*44/12</f>
        <v>0</v>
      </c>
      <c r="GN8" s="23">
        <f>EXP(-LN(2)/2)*GN7+(1-EXP(-LN(2)/2))/(LN(2)/2)*GH8*GK8*VLOOKUP('Données projet'!$B$17,Paramètres!$A$1:$I$89,3,0)*0.475*44/12</f>
        <v>0</v>
      </c>
      <c r="GO8" s="23">
        <f t="shared" si="27"/>
        <v>0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4.615384615384615</v>
      </c>
      <c r="GU8" s="13">
        <f>IF('Données projet'!$A$270&gt;35,GU7+GT8-HC7,IF(A8&lt;'Données projet'!$A$270,$GR$205^A8,IF(A8='Données projet'!$A$270,'Données projet'!$B$270,GU7+GT8-HC7)))</f>
        <v>6.7936622048675739</v>
      </c>
      <c r="GV8" s="18">
        <f>GU8*VLOOKUP('Données projet'!$B$18,Paramètres!$A$1:$I$89,3,0)*VLOOKUP('Données projet'!$B$18,Paramètres!$A$1:$I$89,5,0)</f>
        <v>4.5571886070251688</v>
      </c>
      <c r="GW8" s="14">
        <f t="shared" si="51"/>
        <v>1.7602596614847237</v>
      </c>
      <c r="GX8" s="22">
        <f t="shared" si="28"/>
        <v>11.002889067654728</v>
      </c>
      <c r="GY8" s="62">
        <f t="shared" si="29"/>
        <v>273.78066684543251</v>
      </c>
      <c r="GZ8" s="62">
        <f ca="1">AVERAGE(OFFSET($GY$3,0,0,'Données projet'!$E$18+1,1))-AVERAGE(OFFSET($H$3,0,0,'Données projet'!$E$18+1,1))</f>
        <v>410.20186800287411</v>
      </c>
      <c r="HA8" s="62">
        <f t="shared" si="52"/>
        <v>321.99347958016057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>
        <f>EXP(-LN(2)/35)*HG7+(1-EXP(-LN(2)/35))/(LN(2)/35)*HC8*HD8*VLOOKUP('Données projet'!$B$18,Paramètres!$A$1:$I$89,3,0)*0.475*44/12</f>
        <v>0</v>
      </c>
      <c r="HH8" s="23">
        <f>EXP(-LN(2)/25)*HH7+(1-EXP(-LN(2)/25))/(LN(2)/25)*Calculateur!HC8*Calculateur!HE8*VLOOKUP('Données projet'!$B$18,Paramètres!$A$1:$I$89,3,0)*0.475*44/12</f>
        <v>0</v>
      </c>
      <c r="HI8" s="23">
        <f>EXP(-LN(2)/2)*HI7+(1-EXP(-LN(2)/2))/(LN(2)/2)*HC8*HF8*VLOOKUP('Données projet'!$B$18,Paramètres!$A$1:$I$89,3,0)*0.475*44/12</f>
        <v>0</v>
      </c>
      <c r="HJ8" s="24">
        <f t="shared" si="30"/>
        <v>0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3.65</v>
      </c>
      <c r="N9" s="14">
        <f>IF('Données projet'!$A$36&gt;35,N8+M9-V8,IF(A9&lt;'Données projet'!$A$36,$K$205^A9,IF(A9='Données projet'!$A$36,'Données projet'!$B$36,N8+M9-V8)))</f>
        <v>3.6224037772879885</v>
      </c>
      <c r="O9" s="14">
        <f>N9*VLOOKUP('Données projet'!$B$9,Paramètres!$A$1:$I$89,3,0)*VLOOKUP('Données projet'!$B$9,Paramètres!$A$1:$I$89,5,0)</f>
        <v>3.2775509376901719</v>
      </c>
      <c r="P9" s="14">
        <f t="shared" si="33"/>
        <v>1.315502139804245</v>
      </c>
      <c r="Q9" s="22">
        <f t="shared" si="2"/>
        <v>7.9995674433027766</v>
      </c>
      <c r="R9" s="62">
        <f t="shared" si="0"/>
        <v>271.99956744330279</v>
      </c>
      <c r="S9" s="62">
        <f ca="1">AVERAGE(OFFSET($R$3,0,0,'Données projet'!$E$9+1,1))-AVERAGE(OFFSET($H$3,0,0,'Données projet'!$E$9+1,1))</f>
        <v>509.56241660612449</v>
      </c>
      <c r="T9" s="62">
        <f t="shared" si="34"/>
        <v>278.21741231699929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3.65</v>
      </c>
      <c r="AI9" s="14">
        <f>IF('Données projet'!$A$62&gt;35,AI8+AH9-AQ8,IF(A9&lt;'Données projet'!$A$62,$AF$205^A9,IF(A9='Données projet'!$A$62,'Données projet'!$B$62,AI8+AH9-AQ8)))</f>
        <v>3.6224037772879885</v>
      </c>
      <c r="AJ9" s="14">
        <f>AI9*VLOOKUP('Données projet'!$B$10,Paramètres!$A$1:$I$89,3,0)*VLOOKUP('Données projet'!$B$10,Paramètres!$A$1:$I$89,5,0)</f>
        <v>3.6731174301700205</v>
      </c>
      <c r="AK9" s="14">
        <f t="shared" si="35"/>
        <v>1.4548453345092642</v>
      </c>
      <c r="AL9" s="22">
        <f t="shared" si="4"/>
        <v>8.9312018151497536</v>
      </c>
      <c r="AM9" s="62">
        <f t="shared" si="5"/>
        <v>272.93120181514973</v>
      </c>
      <c r="AN9" s="62">
        <f ca="1">AVERAGE(OFFSET($AM$3,0,0,'Données projet'!$E$10+1,1))-AVERAGE(OFFSET($H$3,0,0,'Données projet'!$E$10+1,1))</f>
        <v>565.72091871734051</v>
      </c>
      <c r="AO9" s="62">
        <f t="shared" si="36"/>
        <v>306.61893266146666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1.1099999999999999</v>
      </c>
      <c r="BD9" s="13">
        <f>IF('Données projet'!$A$88&gt;35,BD8+BC9-BL8,IF(A9&lt;'Données projet'!$A$88,$BA$205^A9,IF(A9='Données projet'!$A$88,'Données projet'!$B$88,BD8+BC9-BL8)))</f>
        <v>4.2383204267167436</v>
      </c>
      <c r="BE9" s="14">
        <f>BD9*VLOOKUP('Données projet'!$B$11,Paramètres!$A$1:$I$89,3,0)*VLOOKUP('Données projet'!$B$11,Paramètres!$A$1:$I$89,5,0)</f>
        <v>3.1075365368687162</v>
      </c>
      <c r="BF9" s="14">
        <f t="shared" si="37"/>
        <v>1.2550211873910744</v>
      </c>
      <c r="BG9" s="22">
        <f t="shared" si="7"/>
        <v>7.5981213697524668</v>
      </c>
      <c r="BH9" s="62">
        <f t="shared" si="8"/>
        <v>271.59812136975245</v>
      </c>
      <c r="BI9" s="62">
        <f ca="1">AVERAGE(OFFSET($BH$3,0,0,'Données projet'!$E$11+1,1))-AVERAGE(OFFSET($H$3,0,0,'Données projet'!$E$11+1,1))</f>
        <v>344.26020118887629</v>
      </c>
      <c r="BJ9" s="62">
        <f t="shared" si="38"/>
        <v>376.41441893222185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3.65</v>
      </c>
      <c r="BY9" s="13">
        <f>IF('Données projet'!$A$114&gt;35,BY8+BX9-CG8,IF(A9&lt;'Données projet'!$A$114,$BV$205^A9,IF(A9='Données projet'!$A$114,'Données projet'!$B$114,BY8+BX9-CG8)))</f>
        <v>3.6224037772879885</v>
      </c>
      <c r="BZ9" s="14">
        <f>BY9*VLOOKUP('Données projet'!$B$12,Paramètres!$A$1:$I$89,3,0)*VLOOKUP('Données projet'!$B$12,Paramètres!$A$1:$I$89,5,0)</f>
        <v>3.0515129419874016</v>
      </c>
      <c r="CA9" s="14">
        <f t="shared" si="39"/>
        <v>1.2350078267772846</v>
      </c>
      <c r="CB9" s="22">
        <f t="shared" si="10"/>
        <v>7.4656903389318279</v>
      </c>
      <c r="CC9" s="62">
        <f t="shared" si="11"/>
        <v>271.46569033893184</v>
      </c>
      <c r="CD9" s="62">
        <f ca="1">AVERAGE(OFFSET($CC$3,0,0,'Données projet'!$E$12+1,1))-AVERAGE(OFFSET($H$3,0,0,'Données projet'!$E$12+1,1))</f>
        <v>477.4105367901771</v>
      </c>
      <c r="CE9" s="62">
        <f t="shared" si="40"/>
        <v>261.95434270986397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3.4358974358974361</v>
      </c>
      <c r="CT9" s="13">
        <f>IF('Données projet'!$A$140&gt;35,CT8+CS9-DB8,IF(A9&lt;'Données projet'!$A$140,$CQ$205^A9,IF(A9='Données projet'!$A$140,'Données projet'!$B$140,CT8+CS9-DB8)))</f>
        <v>2.5271573831519722</v>
      </c>
      <c r="CU9" s="18">
        <f>CT9*VLOOKUP('Données projet'!$B$13,Paramètres!$A$1:$I$89,3,0)*VLOOKUP('Données projet'!$B$13,Paramètres!$A$1:$I$89,5,0)</f>
        <v>1.1827096553151231</v>
      </c>
      <c r="CV9" s="14">
        <f t="shared" si="41"/>
        <v>0.53449936229478223</v>
      </c>
      <c r="CW9" s="22">
        <f t="shared" si="13"/>
        <v>2.990805705670585</v>
      </c>
      <c r="CX9" s="62">
        <f t="shared" si="14"/>
        <v>266.9908057056706</v>
      </c>
      <c r="CY9" s="62">
        <f ca="1">AVERAGE(OFFSET($CX$3,0,0,'Données projet'!$E$13+1,1))-AVERAGE(OFFSET($H$3,0,0,'Données projet'!$E$13+1,1))</f>
        <v>246.64907095367749</v>
      </c>
      <c r="CZ9" s="62">
        <f t="shared" si="42"/>
        <v>145.34368562171613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1.1099999999999999</v>
      </c>
      <c r="DO9" s="13">
        <f>IF('Données projet'!$A$166&gt;35,DO8+DN9-DW8,IF(A9&lt;'Données projet'!$A$166,$DL$205^A9,IF(A9='Données projet'!$A$166,'Données projet'!$B$166,DO8+DN9-DW8)))</f>
        <v>4.2383204267167436</v>
      </c>
      <c r="DP9" s="18">
        <f>DO9*VLOOKUP('Données projet'!$B$14,Paramètres!$A$1:$I$89,3,0)*VLOOKUP('Données projet'!$B$14,Paramètres!$A$1:$I$89,5,0)</f>
        <v>3.3720077314958417</v>
      </c>
      <c r="DQ9" s="14">
        <f t="shared" si="43"/>
        <v>1.3489454823501079</v>
      </c>
      <c r="DR9" s="22">
        <f t="shared" si="16"/>
        <v>8.2223268474483628</v>
      </c>
      <c r="DS9" s="62">
        <f t="shared" si="17"/>
        <v>272.22232684744836</v>
      </c>
      <c r="DT9" s="62">
        <f ca="1">AVERAGE(OFFSET($DS$3,0,0,'Données projet'!$E$14+1,1))-AVERAGE(OFFSET($H$3,0,0,'Données projet'!$E$14+1,1))</f>
        <v>370.38521334472284</v>
      </c>
      <c r="DU9" s="62">
        <f t="shared" si="44"/>
        <v>404.61777090709171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0.16666666666666666</v>
      </c>
      <c r="EJ9" s="13">
        <f>IF('Données projet'!$A$192&gt;35,EJ8+EI9-ER8,IF(A9&lt;'Données projet'!$A$192,$EG$205^A9,IF(A9='Données projet'!$A$192,'Données projet'!$B$192,EJ8+EI9-ER8)))</f>
        <v>1.4422495703074083</v>
      </c>
      <c r="EK9" s="18">
        <f>EJ9*VLOOKUP('Données projet'!$B$15,Paramètres!$A$1:$I$89,3,0)*VLOOKUP('Données projet'!$B$15,Paramètres!$A$1:$I$89,5,0)</f>
        <v>1.2374501313237565</v>
      </c>
      <c r="EL9" s="14">
        <f t="shared" si="45"/>
        <v>0.55630062256803792</v>
      </c>
      <c r="EM9" s="22">
        <f t="shared" si="19"/>
        <v>3.1241158963615416</v>
      </c>
      <c r="EN9" s="62">
        <f t="shared" si="20"/>
        <v>267.12411589636156</v>
      </c>
      <c r="EO9" s="62">
        <f ca="1">AVERAGE(OFFSET($EN$3,0,0,'Données projet'!$E$15+1,1))-AVERAGE(OFFSET($H$3,0,0,'Données projet'!$E$15+1,1))</f>
        <v>445.81166342116865</v>
      </c>
      <c r="EP9" s="62">
        <f t="shared" si="46"/>
        <v>230.82970731138215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3.65</v>
      </c>
      <c r="FE9" s="13">
        <f>IF('Données projet'!$A$218&gt;35,FE8+FD9-FM8,IF(A9&lt;'Données projet'!$A$218,$FB$205^A9,IF(A9='Données projet'!$A$218,'Données projet'!$B$218,FE8+FD9-FM8)))</f>
        <v>3.6224037772879885</v>
      </c>
      <c r="FF9" s="18">
        <f>FE9*VLOOKUP('Données projet'!$B$16,Paramètres!$A$1:$I$89,3,0)*VLOOKUP('Données projet'!$B$16,Paramètres!$A$1:$I$89,5,0)</f>
        <v>3.5035889333929422</v>
      </c>
      <c r="FG9" s="14">
        <f t="shared" si="47"/>
        <v>1.3953523257036018</v>
      </c>
      <c r="FH9" s="22">
        <f t="shared" si="22"/>
        <v>8.5323226929264795</v>
      </c>
      <c r="FI9" s="62">
        <f t="shared" si="23"/>
        <v>272.53232269292647</v>
      </c>
      <c r="FJ9" s="62">
        <f ca="1">AVERAGE(OFFSET($FI$3,0,0,'Données projet'!$E$16+1,1))-AVERAGE(OFFSET($H$3,0,0,'Données projet'!$E$16+1,1))</f>
        <v>541.66888676162716</v>
      </c>
      <c r="FK9" s="62">
        <f t="shared" si="48"/>
        <v>294.45557293177131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>
        <f>EXP(-LN(2)/35)*FQ8+(1-EXP(-LN(2)/35))/(LN(2)/35)*FM9*FN9*VLOOKUP('Données projet'!$B$16,Paramètres!$A$1:$I$89,3,0)*0.475*44/12</f>
        <v>0</v>
      </c>
      <c r="FR9" s="23">
        <f>EXP(-LN(2)/25)*FR8+(1-EXP(-LN(2)/25))/(LN(2)/25)*Calculateur!FM9*Calculateur!FO9*VLOOKUP('Données projet'!$B$16,Paramètres!$A$1:$I$89,3,0)*0.475*44/12</f>
        <v>0</v>
      </c>
      <c r="FS9" s="23">
        <f>EXP(-LN(2)/2)*FS8+(1-EXP(-LN(2)/2))/(LN(2)/2)*FM9*FP9*VLOOKUP('Données projet'!$B$16,Paramètres!$A$1:$I$89,3,0)*0.475*44/12</f>
        <v>0</v>
      </c>
      <c r="FT9" s="24">
        <f t="shared" si="24"/>
        <v>0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2.6666666666666665</v>
      </c>
      <c r="FZ9" s="13">
        <f>IF('Données projet'!$A$244&gt;35,FZ8+FY9-GH8,IF(A9&lt;'Données projet'!$A$244,$FW$205^A9,IF(A9='Données projet'!$A$244,'Données projet'!$B$244,FZ8+FY9-GH8)))</f>
        <v>4.3734482957731098</v>
      </c>
      <c r="GA9" s="18">
        <f>FZ9*VLOOKUP('Données projet'!$B$17,Paramètres!$A$1:$I$89,3,0)*VLOOKUP('Données projet'!$B$17,Paramètres!$A$1:$I$89,5,0)</f>
        <v>3.4112896707030256</v>
      </c>
      <c r="GB9" s="14">
        <f t="shared" si="49"/>
        <v>1.3628213830192535</v>
      </c>
      <c r="GC9" s="22">
        <f t="shared" si="25"/>
        <v>8.3149100852329703</v>
      </c>
      <c r="GD9" s="62">
        <f t="shared" si="26"/>
        <v>272.31491008523295</v>
      </c>
      <c r="GE9" s="62">
        <f ca="1">AVERAGE(OFFSET($GD$3,0,0,'Données projet'!$E$17+1,1))-AVERAGE(OFFSET($H$3,0,0,'Données projet'!$E$17+1,1))</f>
        <v>292.57482726862594</v>
      </c>
      <c r="GF9" s="62">
        <f t="shared" si="50"/>
        <v>283.48738729114024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>
        <f>EXP(-LN(2)/35)*GL8+(1-EXP(-LN(2)/35))/(LN(2)/35)*GH9*GI9*VLOOKUP('Données projet'!$B$17,Paramètres!$A$1:$I$89,3,0)*0.475*44/12</f>
        <v>0</v>
      </c>
      <c r="GM9" s="23">
        <f>EXP(-LN(2)/25)*GM8+(1-EXP(-LN(2)/25))/(LN(2)/25)*Calculateur!GH9*Calculateur!GJ9*VLOOKUP('Données projet'!$B$17,Paramètres!$A$1:$I$89,3,0)*0.475*44/12</f>
        <v>0</v>
      </c>
      <c r="GN9" s="23">
        <f>EXP(-LN(2)/2)*GN8+(1-EXP(-LN(2)/2))/(LN(2)/2)*GH9*GK9*VLOOKUP('Données projet'!$B$17,Paramètres!$A$1:$I$89,3,0)*0.475*44/12</f>
        <v>0</v>
      </c>
      <c r="GO9" s="23">
        <f t="shared" si="27"/>
        <v>0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4.615384615384615</v>
      </c>
      <c r="GU9" s="13">
        <f>IF('Données projet'!$A$270&gt;35,GU8+GT9-HC8,IF(A9&lt;'Données projet'!$A$270,$GR$205^A9,IF(A9='Données projet'!$A$270,'Données projet'!$B$270,GU8+GT9-HC8)))</f>
        <v>9.9660884864493742</v>
      </c>
      <c r="GV9" s="18">
        <f>GU9*VLOOKUP('Données projet'!$B$18,Paramètres!$A$1:$I$89,3,0)*VLOOKUP('Données projet'!$B$18,Paramètres!$A$1:$I$89,5,0)</f>
        <v>6.6852521567102405</v>
      </c>
      <c r="GW9" s="14">
        <f t="shared" si="51"/>
        <v>2.4695973279094066</v>
      </c>
      <c r="GX9" s="22">
        <f t="shared" si="28"/>
        <v>15.94469618571255</v>
      </c>
      <c r="GY9" s="62">
        <f t="shared" si="29"/>
        <v>279.94469618571253</v>
      </c>
      <c r="GZ9" s="62">
        <f ca="1">AVERAGE(OFFSET($GY$3,0,0,'Données projet'!$E$18+1,1))-AVERAGE(OFFSET($H$3,0,0,'Données projet'!$E$18+1,1))</f>
        <v>410.20186800287411</v>
      </c>
      <c r="HA9" s="62">
        <f t="shared" si="52"/>
        <v>321.99347958016057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>
        <f>EXP(-LN(2)/35)*HG8+(1-EXP(-LN(2)/35))/(LN(2)/35)*HC9*HD9*VLOOKUP('Données projet'!$B$18,Paramètres!$A$1:$I$89,3,0)*0.475*44/12</f>
        <v>0</v>
      </c>
      <c r="HH9" s="23">
        <f>EXP(-LN(2)/25)*HH8+(1-EXP(-LN(2)/25))/(LN(2)/25)*Calculateur!HC9*Calculateur!HE9*VLOOKUP('Données projet'!$B$18,Paramètres!$A$1:$I$89,3,0)*0.475*44/12</f>
        <v>0</v>
      </c>
      <c r="HI9" s="23">
        <f>EXP(-LN(2)/2)*HI8+(1-EXP(-LN(2)/2))/(LN(2)/2)*HC9*HF9*VLOOKUP('Données projet'!$B$18,Paramètres!$A$1:$I$89,3,0)*0.475*44/12</f>
        <v>0</v>
      </c>
      <c r="HJ9" s="24">
        <f t="shared" si="30"/>
        <v>0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3.65</v>
      </c>
      <c r="N10" s="14">
        <f>IF('Données projet'!$A$36&gt;35,N9+M10-V9,IF(A10&lt;'Données projet'!$A$36,$K$205^A10,IF(A10='Données projet'!$A$36,'Données projet'!$B$36,N9+M10-V9)))</f>
        <v>4.4891384635544309</v>
      </c>
      <c r="O10" s="14">
        <f>N10*VLOOKUP('Données projet'!$B$9,Paramètres!$A$1:$I$89,3,0)*VLOOKUP('Données projet'!$B$9,Paramètres!$A$1:$I$89,5,0)</f>
        <v>4.0617724818240486</v>
      </c>
      <c r="P10" s="14">
        <f t="shared" si="33"/>
        <v>1.590058719758437</v>
      </c>
      <c r="Q10" s="22">
        <f t="shared" si="2"/>
        <v>9.8436060094228282</v>
      </c>
      <c r="R10" s="62">
        <f t="shared" si="0"/>
        <v>275.06582823164507</v>
      </c>
      <c r="S10" s="62">
        <f ca="1">AVERAGE(OFFSET($R$3,0,0,'Données projet'!$E$9+1,1))-AVERAGE(OFFSET($H$3,0,0,'Données projet'!$E$9+1,1))</f>
        <v>509.56241660612449</v>
      </c>
      <c r="T10" s="62">
        <f t="shared" si="34"/>
        <v>278.21741231699929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3.65</v>
      </c>
      <c r="AI10" s="14">
        <f>IF('Données projet'!$A$62&gt;35,AI9+AH10-AQ9,IF(A10&lt;'Données projet'!$A$62,$AF$205^A10,IF(A10='Données projet'!$A$62,'Données projet'!$B$62,AI9+AH10-AQ9)))</f>
        <v>4.4891384635544309</v>
      </c>
      <c r="AJ10" s="14">
        <f>AI10*VLOOKUP('Données projet'!$B$10,Paramètres!$A$1:$I$89,3,0)*VLOOKUP('Données projet'!$B$10,Paramètres!$A$1:$I$89,5,0)</f>
        <v>4.5519864020441929</v>
      </c>
      <c r="AK10" s="14">
        <f t="shared" si="35"/>
        <v>1.7584840343783612</v>
      </c>
      <c r="AL10" s="22">
        <f t="shared" si="4"/>
        <v>10.990736010102614</v>
      </c>
      <c r="AM10" s="62">
        <f t="shared" si="5"/>
        <v>276.21295823232487</v>
      </c>
      <c r="AN10" s="62">
        <f ca="1">AVERAGE(OFFSET($AM$3,0,0,'Données projet'!$E$10+1,1))-AVERAGE(OFFSET($H$3,0,0,'Données projet'!$E$10+1,1))</f>
        <v>565.72091871734051</v>
      </c>
      <c r="AO10" s="62">
        <f t="shared" si="36"/>
        <v>306.61893266146666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1.1099999999999999</v>
      </c>
      <c r="BD10" s="13">
        <f>IF('Données projet'!$A$88&gt;35,BD9+BC10-BL9,IF(A10&lt;'Données projet'!$A$88,$BA$205^A10,IF(A10='Données projet'!$A$88,'Données projet'!$B$88,BD9+BC10-BL9)))</f>
        <v>5.3917045384267919</v>
      </c>
      <c r="BE10" s="14">
        <f>BD10*VLOOKUP('Données projet'!$B$11,Paramètres!$A$1:$I$89,3,0)*VLOOKUP('Données projet'!$B$11,Paramètres!$A$1:$I$89,5,0)</f>
        <v>3.9531977675745238</v>
      </c>
      <c r="BF10" s="14">
        <f t="shared" si="37"/>
        <v>1.5524434741471074</v>
      </c>
      <c r="BG10" s="22">
        <f t="shared" si="7"/>
        <v>9.5889918293318406</v>
      </c>
      <c r="BH10" s="62">
        <f t="shared" si="8"/>
        <v>274.81121405155409</v>
      </c>
      <c r="BI10" s="62">
        <f ca="1">AVERAGE(OFFSET($BH$3,0,0,'Données projet'!$E$11+1,1))-AVERAGE(OFFSET($H$3,0,0,'Données projet'!$E$11+1,1))</f>
        <v>344.26020118887629</v>
      </c>
      <c r="BJ10" s="62">
        <f t="shared" si="38"/>
        <v>376.41441893222185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3.65</v>
      </c>
      <c r="BY10" s="13">
        <f>IF('Données projet'!$A$114&gt;35,BY9+BX10-CG9,IF(A10&lt;'Données projet'!$A$114,$BV$205^A10,IF(A10='Données projet'!$A$114,'Données projet'!$B$114,BY9+BX10-CG9)))</f>
        <v>4.4891384635544309</v>
      </c>
      <c r="BZ10" s="14">
        <f>BY10*VLOOKUP('Données projet'!$B$12,Paramètres!$A$1:$I$89,3,0)*VLOOKUP('Données projet'!$B$12,Paramètres!$A$1:$I$89,5,0)</f>
        <v>3.7816502416982529</v>
      </c>
      <c r="CA10" s="14">
        <f t="shared" si="39"/>
        <v>1.492764553183741</v>
      </c>
      <c r="CB10" s="22">
        <f t="shared" si="10"/>
        <v>9.1862724344194735</v>
      </c>
      <c r="CC10" s="62">
        <f t="shared" si="11"/>
        <v>274.40849465664172</v>
      </c>
      <c r="CD10" s="62">
        <f ca="1">AVERAGE(OFFSET($CC$3,0,0,'Données projet'!$E$12+1,1))-AVERAGE(OFFSET($H$3,0,0,'Données projet'!$E$12+1,1))</f>
        <v>477.4105367901771</v>
      </c>
      <c r="CE10" s="62">
        <f t="shared" si="40"/>
        <v>261.95434270986397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3.4358974358974361</v>
      </c>
      <c r="CT10" s="13">
        <f>IF('Données projet'!$A$140&gt;35,CT9+CS10-DB9,IF(A10&lt;'Données projet'!$A$140,$CQ$205^A10,IF(A10='Données projet'!$A$140,'Données projet'!$B$140,CT9+CS10-DB9)))</f>
        <v>2.9494271300177566</v>
      </c>
      <c r="CU10" s="18">
        <f>CT10*VLOOKUP('Données projet'!$B$13,Paramètres!$A$1:$I$89,3,0)*VLOOKUP('Données projet'!$B$13,Paramètres!$A$1:$I$89,5,0)</f>
        <v>1.38033189684831</v>
      </c>
      <c r="CV10" s="14">
        <f t="shared" si="41"/>
        <v>0.6126910079279041</v>
      </c>
      <c r="CW10" s="22">
        <f t="shared" si="13"/>
        <v>3.4711815591519066</v>
      </c>
      <c r="CX10" s="62">
        <f t="shared" si="14"/>
        <v>268.69340378137412</v>
      </c>
      <c r="CY10" s="62">
        <f ca="1">AVERAGE(OFFSET($CX$3,0,0,'Données projet'!$E$13+1,1))-AVERAGE(OFFSET($H$3,0,0,'Données projet'!$E$13+1,1))</f>
        <v>246.64907095367749</v>
      </c>
      <c r="CZ10" s="62">
        <f t="shared" si="42"/>
        <v>145.34368562171613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1.1099999999999999</v>
      </c>
      <c r="DO10" s="13">
        <f>IF('Données projet'!$A$166&gt;35,DO9+DN10-DW9,IF(A10&lt;'Données projet'!$A$166,$DL$205^A10,IF(A10='Données projet'!$A$166,'Données projet'!$B$166,DO9+DN10-DW9)))</f>
        <v>5.3917045384267919</v>
      </c>
      <c r="DP10" s="18">
        <f>DO10*VLOOKUP('Données projet'!$B$14,Paramètres!$A$1:$I$89,3,0)*VLOOKUP('Données projet'!$B$14,Paramètres!$A$1:$I$89,5,0)</f>
        <v>4.289640130772356</v>
      </c>
      <c r="DQ10" s="14">
        <f t="shared" si="43"/>
        <v>1.6686264997708673</v>
      </c>
      <c r="DR10" s="22">
        <f t="shared" si="16"/>
        <v>10.377314381529446</v>
      </c>
      <c r="DS10" s="62">
        <f t="shared" si="17"/>
        <v>275.59953660375169</v>
      </c>
      <c r="DT10" s="62">
        <f ca="1">AVERAGE(OFFSET($DS$3,0,0,'Données projet'!$E$14+1,1))-AVERAGE(OFFSET($H$3,0,0,'Données projet'!$E$14+1,1))</f>
        <v>370.38521334472284</v>
      </c>
      <c r="DU10" s="62">
        <f t="shared" si="44"/>
        <v>404.61777090709171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0.16666666666666666</v>
      </c>
      <c r="EJ10" s="13">
        <f>IF('Données projet'!$A$192&gt;35,EJ9+EI10-ER9,IF(A10&lt;'Données projet'!$A$192,$EG$205^A10,IF(A10='Données projet'!$A$192,'Données projet'!$B$192,EJ9+EI10-ER9)))</f>
        <v>1.533017648565018</v>
      </c>
      <c r="EK10" s="18">
        <f>EJ10*VLOOKUP('Données projet'!$B$15,Paramètres!$A$1:$I$89,3,0)*VLOOKUP('Données projet'!$B$15,Paramètres!$A$1:$I$89,5,0)</f>
        <v>1.3153291424687856</v>
      </c>
      <c r="EL10" s="14">
        <f t="shared" si="45"/>
        <v>0.58712543942019213</v>
      </c>
      <c r="EM10" s="22">
        <f t="shared" si="19"/>
        <v>3.3134417301233028</v>
      </c>
      <c r="EN10" s="62">
        <f t="shared" si="20"/>
        <v>268.53566395234554</v>
      </c>
      <c r="EO10" s="62">
        <f ca="1">AVERAGE(OFFSET($EN$3,0,0,'Données projet'!$E$15+1,1))-AVERAGE(OFFSET($H$3,0,0,'Données projet'!$E$15+1,1))</f>
        <v>445.81166342116865</v>
      </c>
      <c r="EP10" s="62">
        <f t="shared" si="46"/>
        <v>230.82970731138215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3.65</v>
      </c>
      <c r="FE10" s="13">
        <f>IF('Données projet'!$A$218&gt;35,FE9+FD10-FM9,IF(A10&lt;'Données projet'!$A$218,$FB$205^A10,IF(A10='Données projet'!$A$218,'Données projet'!$B$218,FE9+FD10-FM9)))</f>
        <v>4.4891384635544309</v>
      </c>
      <c r="FF10" s="18">
        <f>FE10*VLOOKUP('Données projet'!$B$16,Paramètres!$A$1:$I$89,3,0)*VLOOKUP('Données projet'!$B$16,Paramètres!$A$1:$I$89,5,0)</f>
        <v>4.3418947219498456</v>
      </c>
      <c r="FG10" s="14">
        <f t="shared" si="47"/>
        <v>1.6865743243491664</v>
      </c>
      <c r="FH10" s="22">
        <f t="shared" si="22"/>
        <v>10.499583588970779</v>
      </c>
      <c r="FI10" s="62">
        <f t="shared" si="23"/>
        <v>275.72180581119301</v>
      </c>
      <c r="FJ10" s="62">
        <f ca="1">AVERAGE(OFFSET($FI$3,0,0,'Données projet'!$E$16+1,1))-AVERAGE(OFFSET($H$3,0,0,'Données projet'!$E$16+1,1))</f>
        <v>541.66888676162716</v>
      </c>
      <c r="FK10" s="62">
        <f t="shared" si="48"/>
        <v>294.45557293177131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>
        <f>EXP(-LN(2)/35)*FQ9+(1-EXP(-LN(2)/35))/(LN(2)/35)*FM10*FN10*VLOOKUP('Données projet'!$B$16,Paramètres!$A$1:$I$89,3,0)*0.475*44/12</f>
        <v>0</v>
      </c>
      <c r="FR10" s="23">
        <f>EXP(-LN(2)/25)*FR9+(1-EXP(-LN(2)/25))/(LN(2)/25)*Calculateur!FM10*Calculateur!FO10*VLOOKUP('Données projet'!$B$16,Paramètres!$A$1:$I$89,3,0)*0.475*44/12</f>
        <v>0</v>
      </c>
      <c r="FS10" s="23">
        <f>EXP(-LN(2)/2)*FS9+(1-EXP(-LN(2)/2))/(LN(2)/2)*FM10*FP10*VLOOKUP('Données projet'!$B$16,Paramètres!$A$1:$I$89,3,0)*0.475*44/12</f>
        <v>0</v>
      </c>
      <c r="FT10" s="24">
        <f t="shared" si="24"/>
        <v>0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2.6666666666666665</v>
      </c>
      <c r="FZ10" s="13">
        <f>IF('Données projet'!$A$244&gt;35,FZ9+FY10-GH9,IF(A10&lt;'Données projet'!$A$244,$FW$205^A10,IF(A10='Données projet'!$A$244,'Données projet'!$B$244,FZ9+FY10-GH9)))</f>
        <v>5.5927833467405659</v>
      </c>
      <c r="GA10" s="18">
        <f>FZ10*VLOOKUP('Données projet'!$B$17,Paramètres!$A$1:$I$89,3,0)*VLOOKUP('Données projet'!$B$17,Paramètres!$A$1:$I$89,5,0)</f>
        <v>4.3623710104576414</v>
      </c>
      <c r="GB10" s="14">
        <f t="shared" si="49"/>
        <v>1.6936004212396314</v>
      </c>
      <c r="GC10" s="22">
        <f t="shared" si="25"/>
        <v>10.54748357687275</v>
      </c>
      <c r="GD10" s="62">
        <f t="shared" si="26"/>
        <v>275.76970579909499</v>
      </c>
      <c r="GE10" s="62">
        <f ca="1">AVERAGE(OFFSET($GD$3,0,0,'Données projet'!$E$17+1,1))-AVERAGE(OFFSET($H$3,0,0,'Données projet'!$E$17+1,1))</f>
        <v>292.57482726862594</v>
      </c>
      <c r="GF10" s="62">
        <f t="shared" si="50"/>
        <v>283.48738729114024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>
        <f>EXP(-LN(2)/35)*GL9+(1-EXP(-LN(2)/35))/(LN(2)/35)*GH10*GI10*VLOOKUP('Données projet'!$B$17,Paramètres!$A$1:$I$89,3,0)*0.475*44/12</f>
        <v>0</v>
      </c>
      <c r="GM10" s="23">
        <f>EXP(-LN(2)/25)*GM9+(1-EXP(-LN(2)/25))/(LN(2)/25)*Calculateur!GH10*Calculateur!GJ10*VLOOKUP('Données projet'!$B$17,Paramètres!$A$1:$I$89,3,0)*0.475*44/12</f>
        <v>0</v>
      </c>
      <c r="GN10" s="23">
        <f>EXP(-LN(2)/2)*GN9+(1-EXP(-LN(2)/2))/(LN(2)/2)*GH10*GK10*VLOOKUP('Données projet'!$B$17,Paramètres!$A$1:$I$89,3,0)*0.475*44/12</f>
        <v>0</v>
      </c>
      <c r="GO10" s="23">
        <f t="shared" si="27"/>
        <v>0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4.615384615384615</v>
      </c>
      <c r="GU10" s="13">
        <f>IF('Données projet'!$A$270&gt;35,GU9+GT10-HC9,IF(A10&lt;'Données projet'!$A$270,$GR$205^A10,IF(A10='Données projet'!$A$270,'Données projet'!$B$270,GU9+GT10-HC9)))</f>
        <v>14.61993792517019</v>
      </c>
      <c r="GV10" s="18">
        <f>GU10*VLOOKUP('Données projet'!$B$18,Paramètres!$A$1:$I$89,3,0)*VLOOKUP('Données projet'!$B$18,Paramètres!$A$1:$I$89,5,0)</f>
        <v>9.8070543602041642</v>
      </c>
      <c r="GW10" s="14">
        <f t="shared" si="51"/>
        <v>3.464779143364022</v>
      </c>
      <c r="GX10" s="22">
        <f t="shared" si="28"/>
        <v>23.115110018714589</v>
      </c>
      <c r="GY10" s="62">
        <f t="shared" si="29"/>
        <v>288.3373322409368</v>
      </c>
      <c r="GZ10" s="62">
        <f ca="1">AVERAGE(OFFSET($GY$3,0,0,'Données projet'!$E$18+1,1))-AVERAGE(OFFSET($H$3,0,0,'Données projet'!$E$18+1,1))</f>
        <v>410.20186800287411</v>
      </c>
      <c r="HA10" s="62">
        <f t="shared" si="52"/>
        <v>321.99347958016057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>
        <f>EXP(-LN(2)/35)*HG9+(1-EXP(-LN(2)/35))/(LN(2)/35)*HC10*HD10*VLOOKUP('Données projet'!$B$18,Paramètres!$A$1:$I$89,3,0)*0.475*44/12</f>
        <v>0</v>
      </c>
      <c r="HH10" s="23">
        <f>EXP(-LN(2)/25)*HH9+(1-EXP(-LN(2)/25))/(LN(2)/25)*Calculateur!HC10*Calculateur!HE10*VLOOKUP('Données projet'!$B$18,Paramètres!$A$1:$I$89,3,0)*0.475*44/12</f>
        <v>0</v>
      </c>
      <c r="HI10" s="23">
        <f>EXP(-LN(2)/2)*HI9+(1-EXP(-LN(2)/2))/(LN(2)/2)*HC10*HF10*VLOOKUP('Données projet'!$B$18,Paramètres!$A$1:$I$89,3,0)*0.475*44/12</f>
        <v>0</v>
      </c>
      <c r="HJ10" s="24">
        <f t="shared" si="30"/>
        <v>0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3.65</v>
      </c>
      <c r="N11" s="14">
        <f>IF('Données projet'!$A$36&gt;35,N10+M11-V10,IF(A11&lt;'Données projet'!$A$36,$K$205^A11,IF(A11='Données projet'!$A$36,'Données projet'!$B$36,N10+M11-V10)))</f>
        <v>5.563257268920875</v>
      </c>
      <c r="O11" s="14">
        <f>N11*VLOOKUP('Données projet'!$B$9,Paramètres!$A$1:$I$89,3,0)*VLOOKUP('Données projet'!$B$9,Paramètres!$A$1:$I$89,5,0)</f>
        <v>5.0336351769196082</v>
      </c>
      <c r="P11" s="14">
        <f t="shared" si="33"/>
        <v>1.9219176128866391</v>
      </c>
      <c r="Q11" s="22">
        <f t="shared" si="2"/>
        <v>12.11425444224588</v>
      </c>
      <c r="R11" s="62">
        <f t="shared" si="0"/>
        <v>278.55869888669031</v>
      </c>
      <c r="S11" s="62">
        <f ca="1">AVERAGE(OFFSET($R$3,0,0,'Données projet'!$E$9+1,1))-AVERAGE(OFFSET($H$3,0,0,'Données projet'!$E$9+1,1))</f>
        <v>509.56241660612449</v>
      </c>
      <c r="T11" s="62">
        <f t="shared" si="34"/>
        <v>278.21741231699929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3.65</v>
      </c>
      <c r="AI11" s="14">
        <f>IF('Données projet'!$A$62&gt;35,AI10+AH11-AQ10,IF(A11&lt;'Données projet'!$A$62,$AF$205^A11,IF(A11='Données projet'!$A$62,'Données projet'!$B$62,AI10+AH11-AQ10)))</f>
        <v>5.563257268920875</v>
      </c>
      <c r="AJ11" s="14">
        <f>AI11*VLOOKUP('Données projet'!$B$10,Paramètres!$A$1:$I$89,3,0)*VLOOKUP('Données projet'!$B$10,Paramètres!$A$1:$I$89,5,0)</f>
        <v>5.6411428706857674</v>
      </c>
      <c r="AK11" s="14">
        <f t="shared" si="35"/>
        <v>2.125494735292019</v>
      </c>
      <c r="AL11" s="22">
        <f t="shared" si="4"/>
        <v>13.526893830411311</v>
      </c>
      <c r="AM11" s="62">
        <f t="shared" si="5"/>
        <v>279.97133827485578</v>
      </c>
      <c r="AN11" s="62">
        <f ca="1">AVERAGE(OFFSET($AM$3,0,0,'Données projet'!$E$10+1,1))-AVERAGE(OFFSET($H$3,0,0,'Données projet'!$E$10+1,1))</f>
        <v>565.72091871734051</v>
      </c>
      <c r="AO11" s="62">
        <f t="shared" si="36"/>
        <v>306.61893266146666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1.1099999999999999</v>
      </c>
      <c r="BD11" s="13">
        <f>IF('Données projet'!$A$88&gt;35,BD10+BC11-BL10,IF(A11&lt;'Données projet'!$A$88,$BA$205^A11,IF(A11='Données projet'!$A$88,'Données projet'!$B$88,BD10+BC11-BL10)))</f>
        <v>6.8589617827012184</v>
      </c>
      <c r="BE11" s="14">
        <f>BD11*VLOOKUP('Données projet'!$B$11,Paramètres!$A$1:$I$89,3,0)*VLOOKUP('Données projet'!$B$11,Paramètres!$A$1:$I$89,5,0)</f>
        <v>5.0289907790765334</v>
      </c>
      <c r="BF11" s="14">
        <f t="shared" si="37"/>
        <v>1.920350640001538</v>
      </c>
      <c r="BG11" s="22">
        <f t="shared" si="7"/>
        <v>12.103436304894307</v>
      </c>
      <c r="BH11" s="62">
        <f t="shared" si="8"/>
        <v>278.54788074933879</v>
      </c>
      <c r="BI11" s="62">
        <f ca="1">AVERAGE(OFFSET($BH$3,0,0,'Données projet'!$E$11+1,1))-AVERAGE(OFFSET($H$3,0,0,'Données projet'!$E$11+1,1))</f>
        <v>344.26020118887629</v>
      </c>
      <c r="BJ11" s="62">
        <f t="shared" si="38"/>
        <v>376.41441893222185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3.65</v>
      </c>
      <c r="BY11" s="13">
        <f>IF('Données projet'!$A$114&gt;35,BY10+BX11-CG10,IF(A11&lt;'Données projet'!$A$114,$BV$205^A11,IF(A11='Données projet'!$A$114,'Données projet'!$B$114,BY10+BX11-CG10)))</f>
        <v>5.563257268920875</v>
      </c>
      <c r="BZ11" s="14">
        <f>BY11*VLOOKUP('Données projet'!$B$12,Paramètres!$A$1:$I$89,3,0)*VLOOKUP('Données projet'!$B$12,Paramètres!$A$1:$I$89,5,0)</f>
        <v>4.6864879233389463</v>
      </c>
      <c r="CA11" s="14">
        <f t="shared" si="39"/>
        <v>1.8043173192324258</v>
      </c>
      <c r="CB11" s="22">
        <f t="shared" si="10"/>
        <v>11.304819130811806</v>
      </c>
      <c r="CC11" s="62">
        <f t="shared" si="11"/>
        <v>277.74926357525624</v>
      </c>
      <c r="CD11" s="62">
        <f ca="1">AVERAGE(OFFSET($CC$3,0,0,'Données projet'!$E$12+1,1))-AVERAGE(OFFSET($H$3,0,0,'Données projet'!$E$12+1,1))</f>
        <v>477.4105367901771</v>
      </c>
      <c r="CE11" s="62">
        <f t="shared" si="40"/>
        <v>261.95434270986397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3.4358974358974361</v>
      </c>
      <c r="CT11" s="13">
        <f>IF('Données projet'!$A$140&gt;35,CT10+CS11-DB10,IF(A11&lt;'Données projet'!$A$140,$CQ$205^A11,IF(A11='Données projet'!$A$140,'Données projet'!$B$140,CT10+CS11-DB10)))</f>
        <v>3.4422551018310097</v>
      </c>
      <c r="CU11" s="18">
        <f>CT11*VLOOKUP('Données projet'!$B$13,Paramètres!$A$1:$I$89,3,0)*VLOOKUP('Données projet'!$B$13,Paramètres!$A$1:$I$89,5,0)</f>
        <v>1.6109753876569124</v>
      </c>
      <c r="CV11" s="14">
        <f t="shared" si="41"/>
        <v>0.70232127047642601</v>
      </c>
      <c r="CW11" s="22">
        <f t="shared" si="13"/>
        <v>4.0289916795822309</v>
      </c>
      <c r="CX11" s="62">
        <f t="shared" si="14"/>
        <v>270.4734361240267</v>
      </c>
      <c r="CY11" s="62">
        <f ca="1">AVERAGE(OFFSET($CX$3,0,0,'Données projet'!$E$13+1,1))-AVERAGE(OFFSET($H$3,0,0,'Données projet'!$E$13+1,1))</f>
        <v>246.64907095367749</v>
      </c>
      <c r="CZ11" s="62">
        <f t="shared" si="42"/>
        <v>145.34368562171613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1.1099999999999999</v>
      </c>
      <c r="DO11" s="13">
        <f>IF('Données projet'!$A$166&gt;35,DO10+DN11-DW10,IF(A11&lt;'Données projet'!$A$166,$DL$205^A11,IF(A11='Données projet'!$A$166,'Données projet'!$B$166,DO10+DN11-DW10)))</f>
        <v>6.8589617827012184</v>
      </c>
      <c r="DP11" s="18">
        <f>DO11*VLOOKUP('Données projet'!$B$14,Paramètres!$A$1:$I$89,3,0)*VLOOKUP('Données projet'!$B$14,Paramètres!$A$1:$I$89,5,0)</f>
        <v>5.4569899943170901</v>
      </c>
      <c r="DQ11" s="14">
        <f t="shared" si="43"/>
        <v>2.0640674009203073</v>
      </c>
      <c r="DR11" s="22">
        <f t="shared" si="16"/>
        <v>13.0991749633718</v>
      </c>
      <c r="DS11" s="62">
        <f t="shared" si="17"/>
        <v>279.54361940781627</v>
      </c>
      <c r="DT11" s="62">
        <f ca="1">AVERAGE(OFFSET($DS$3,0,0,'Données projet'!$E$14+1,1))-AVERAGE(OFFSET($H$3,0,0,'Données projet'!$E$14+1,1))</f>
        <v>370.38521334472284</v>
      </c>
      <c r="DU11" s="62">
        <f t="shared" si="44"/>
        <v>404.61777090709171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0.16666666666666666</v>
      </c>
      <c r="EJ11" s="13">
        <f>IF('Données projet'!$A$192&gt;35,EJ10+EI11-ER10,IF(A11&lt;'Données projet'!$A$192,$EG$205^A11,IF(A11='Données projet'!$A$192,'Données projet'!$B$192,EJ10+EI11-ER10)))</f>
        <v>1.6294982222188463</v>
      </c>
      <c r="EK11" s="18">
        <f>EJ11*VLOOKUP('Données projet'!$B$15,Paramètres!$A$1:$I$89,3,0)*VLOOKUP('Données projet'!$B$15,Paramètres!$A$1:$I$89,5,0)</f>
        <v>1.3981094746637703</v>
      </c>
      <c r="EL11" s="14">
        <f t="shared" si="45"/>
        <v>0.61965827042049282</v>
      </c>
      <c r="EM11" s="22">
        <f t="shared" si="19"/>
        <v>3.514278822688425</v>
      </c>
      <c r="EN11" s="62">
        <f t="shared" si="20"/>
        <v>269.95872326713288</v>
      </c>
      <c r="EO11" s="62">
        <f ca="1">AVERAGE(OFFSET($EN$3,0,0,'Données projet'!$E$15+1,1))-AVERAGE(OFFSET($H$3,0,0,'Données projet'!$E$15+1,1))</f>
        <v>445.81166342116865</v>
      </c>
      <c r="EP11" s="62">
        <f t="shared" si="46"/>
        <v>230.82970731138215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3.65</v>
      </c>
      <c r="FE11" s="13">
        <f>IF('Données projet'!$A$218&gt;35,FE10+FD11-FM10,IF(A11&lt;'Données projet'!$A$218,$FB$205^A11,IF(A11='Données projet'!$A$218,'Données projet'!$B$218,FE10+FD11-FM10)))</f>
        <v>5.563257268920875</v>
      </c>
      <c r="FF11" s="18">
        <f>FE11*VLOOKUP('Données projet'!$B$16,Paramètres!$A$1:$I$89,3,0)*VLOOKUP('Données projet'!$B$16,Paramètres!$A$1:$I$89,5,0)</f>
        <v>5.3807824305002701</v>
      </c>
      <c r="FG11" s="14">
        <f t="shared" si="47"/>
        <v>2.0385768519929188</v>
      </c>
      <c r="FH11" s="22">
        <f t="shared" si="22"/>
        <v>12.922050750342303</v>
      </c>
      <c r="FI11" s="62">
        <f t="shared" si="23"/>
        <v>279.36649519478675</v>
      </c>
      <c r="FJ11" s="62">
        <f ca="1">AVERAGE(OFFSET($FI$3,0,0,'Données projet'!$E$16+1,1))-AVERAGE(OFFSET($H$3,0,0,'Données projet'!$E$16+1,1))</f>
        <v>541.66888676162716</v>
      </c>
      <c r="FK11" s="62">
        <f t="shared" si="48"/>
        <v>294.45557293177131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>
        <f>EXP(-LN(2)/35)*FQ10+(1-EXP(-LN(2)/35))/(LN(2)/35)*FM11*FN11*VLOOKUP('Données projet'!$B$16,Paramètres!$A$1:$I$89,3,0)*0.475*44/12</f>
        <v>0</v>
      </c>
      <c r="FR11" s="23">
        <f>EXP(-LN(2)/25)*FR10+(1-EXP(-LN(2)/25))/(LN(2)/25)*Calculateur!FM11*Calculateur!FO11*VLOOKUP('Données projet'!$B$16,Paramètres!$A$1:$I$89,3,0)*0.475*44/12</f>
        <v>0</v>
      </c>
      <c r="FS11" s="23">
        <f>EXP(-LN(2)/2)*FS10+(1-EXP(-LN(2)/2))/(LN(2)/2)*FM11*FP11*VLOOKUP('Données projet'!$B$16,Paramètres!$A$1:$I$89,3,0)*0.475*44/12</f>
        <v>0</v>
      </c>
      <c r="FT11" s="24">
        <f t="shared" si="24"/>
        <v>0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2.6666666666666665</v>
      </c>
      <c r="FZ11" s="13">
        <f>IF('Données projet'!$A$244&gt;35,FZ10+FY11-GH10,IF(A11&lt;'Données projet'!$A$244,$FW$205^A11,IF(A11='Données projet'!$A$244,'Données projet'!$B$244,FZ10+FY11-GH10)))</f>
        <v>7.1520739352994367</v>
      </c>
      <c r="GA11" s="18">
        <f>FZ11*VLOOKUP('Données projet'!$B$17,Paramètres!$A$1:$I$89,3,0)*VLOOKUP('Données projet'!$B$17,Paramètres!$A$1:$I$89,5,0)</f>
        <v>5.5786176695335605</v>
      </c>
      <c r="GB11" s="14">
        <f t="shared" si="49"/>
        <v>2.1046649418345189</v>
      </c>
      <c r="GC11" s="22">
        <f t="shared" si="25"/>
        <v>13.381717214799407</v>
      </c>
      <c r="GD11" s="62">
        <f t="shared" si="26"/>
        <v>279.82616165924384</v>
      </c>
      <c r="GE11" s="62">
        <f ca="1">AVERAGE(OFFSET($GD$3,0,0,'Données projet'!$E$17+1,1))-AVERAGE(OFFSET($H$3,0,0,'Données projet'!$E$17+1,1))</f>
        <v>292.57482726862594</v>
      </c>
      <c r="GF11" s="62">
        <f t="shared" si="50"/>
        <v>283.48738729114024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>
        <f>EXP(-LN(2)/35)*GL10+(1-EXP(-LN(2)/35))/(LN(2)/35)*GH11*GI11*VLOOKUP('Données projet'!$B$17,Paramètres!$A$1:$I$89,3,0)*0.475*44/12</f>
        <v>0</v>
      </c>
      <c r="GM11" s="23">
        <f>EXP(-LN(2)/25)*GM10+(1-EXP(-LN(2)/25))/(LN(2)/25)*Calculateur!GH11*Calculateur!GJ11*VLOOKUP('Données projet'!$B$17,Paramètres!$A$1:$I$89,3,0)*0.475*44/12</f>
        <v>0</v>
      </c>
      <c r="GN11" s="23">
        <f>EXP(-LN(2)/2)*GN10+(1-EXP(-LN(2)/2))/(LN(2)/2)*GH11*GK11*VLOOKUP('Données projet'!$B$17,Paramètres!$A$1:$I$89,3,0)*0.475*44/12</f>
        <v>0</v>
      </c>
      <c r="GO11" s="23">
        <f t="shared" si="27"/>
        <v>0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4.615384615384615</v>
      </c>
      <c r="GU11" s="13">
        <f>IF('Données projet'!$A$270&gt;35,GU10+GT11-HC10,IF(A11&lt;'Données projet'!$A$270,$GR$205^A11,IF(A11='Données projet'!$A$270,'Données projet'!$B$270,GU10+GT11-HC10)))</f>
        <v>21.446988477620856</v>
      </c>
      <c r="GV11" s="18">
        <f>GU11*VLOOKUP('Données projet'!$B$18,Paramètres!$A$1:$I$89,3,0)*VLOOKUP('Données projet'!$B$18,Paramètres!$A$1:$I$89,5,0)</f>
        <v>14.386639870788072</v>
      </c>
      <c r="GW11" s="14">
        <f t="shared" si="51"/>
        <v>4.860992671405536</v>
      </c>
      <c r="GX11" s="22">
        <f t="shared" si="28"/>
        <v>33.522960010987198</v>
      </c>
      <c r="GY11" s="62">
        <f t="shared" si="29"/>
        <v>299.96740445543168</v>
      </c>
      <c r="GZ11" s="62">
        <f ca="1">AVERAGE(OFFSET($GY$3,0,0,'Données projet'!$E$18+1,1))-AVERAGE(OFFSET($H$3,0,0,'Données projet'!$E$18+1,1))</f>
        <v>410.20186800287411</v>
      </c>
      <c r="HA11" s="62">
        <f t="shared" si="52"/>
        <v>321.99347958016057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>
        <f>EXP(-LN(2)/35)*HG10+(1-EXP(-LN(2)/35))/(LN(2)/35)*HC11*HD11*VLOOKUP('Données projet'!$B$18,Paramètres!$A$1:$I$89,3,0)*0.475*44/12</f>
        <v>0</v>
      </c>
      <c r="HH11" s="23">
        <f>EXP(-LN(2)/25)*HH10+(1-EXP(-LN(2)/25))/(LN(2)/25)*Calculateur!HC11*Calculateur!HE11*VLOOKUP('Données projet'!$B$18,Paramètres!$A$1:$I$89,3,0)*0.475*44/12</f>
        <v>0</v>
      </c>
      <c r="HI11" s="23">
        <f>EXP(-LN(2)/2)*HI10+(1-EXP(-LN(2)/2))/(LN(2)/2)*HC11*HF11*VLOOKUP('Données projet'!$B$18,Paramètres!$A$1:$I$89,3,0)*0.475*44/12</f>
        <v>0</v>
      </c>
      <c r="HJ11" s="24">
        <f t="shared" si="30"/>
        <v>0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3.65</v>
      </c>
      <c r="N12" s="14">
        <f>IF('Données projet'!$A$36&gt;35,N11+M12-V11,IF(A12&lt;'Données projet'!$A$36,$K$205^A12,IF(A12='Données projet'!$A$36,'Données projet'!$B$36,N11+M12-V11)))</f>
        <v>6.8943811137639424</v>
      </c>
      <c r="O12" s="14">
        <f>N12*VLOOKUP('Données projet'!$B$9,Paramètres!$A$1:$I$89,3,0)*VLOOKUP('Données projet'!$B$9,Paramètres!$A$1:$I$89,5,0)</f>
        <v>6.2380360317336141</v>
      </c>
      <c r="P12" s="14">
        <f t="shared" si="33"/>
        <v>2.3230383034439352</v>
      </c>
      <c r="Q12" s="22">
        <f t="shared" si="2"/>
        <v>14.910537800434229</v>
      </c>
      <c r="R12" s="62">
        <f t="shared" si="0"/>
        <v>282.5772044671009</v>
      </c>
      <c r="S12" s="62">
        <f ca="1">AVERAGE(OFFSET($R$3,0,0,'Données projet'!$E$9+1,1))-AVERAGE(OFFSET($H$3,0,0,'Données projet'!$E$9+1,1))</f>
        <v>509.56241660612449</v>
      </c>
      <c r="T12" s="62">
        <f t="shared" si="34"/>
        <v>278.21741231699929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3.65</v>
      </c>
      <c r="AI12" s="14">
        <f>IF('Données projet'!$A$62&gt;35,AI11+AH12-AQ11,IF(A12&lt;'Données projet'!$A$62,$AF$205^A12,IF(A12='Données projet'!$A$62,'Données projet'!$B$62,AI11+AH12-AQ11)))</f>
        <v>6.8943811137639424</v>
      </c>
      <c r="AJ12" s="14">
        <f>AI12*VLOOKUP('Données projet'!$B$10,Paramètres!$A$1:$I$89,3,0)*VLOOKUP('Données projet'!$B$10,Paramètres!$A$1:$I$89,5,0)</f>
        <v>6.9909024493566383</v>
      </c>
      <c r="AK12" s="14">
        <f t="shared" si="35"/>
        <v>2.5691037174250742</v>
      </c>
      <c r="AL12" s="22">
        <f t="shared" si="4"/>
        <v>16.650344073811482</v>
      </c>
      <c r="AM12" s="62">
        <f t="shared" si="5"/>
        <v>284.31701074047817</v>
      </c>
      <c r="AN12" s="62">
        <f ca="1">AVERAGE(OFFSET($AM$3,0,0,'Données projet'!$E$10+1,1))-AVERAGE(OFFSET($H$3,0,0,'Données projet'!$E$10+1,1))</f>
        <v>565.72091871734051</v>
      </c>
      <c r="AO12" s="62">
        <f t="shared" si="36"/>
        <v>306.61893266146666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1.1099999999999999</v>
      </c>
      <c r="BD12" s="13">
        <f>IF('Données projet'!$A$88&gt;35,BD11+BC12-BL11,IF(A12&lt;'Données projet'!$A$88,$BA$205^A12,IF(A12='Données projet'!$A$88,'Données projet'!$B$88,BD11+BC12-BL11)))</f>
        <v>8.7255071937385704</v>
      </c>
      <c r="BE12" s="14">
        <f>BD12*VLOOKUP('Données projet'!$B$11,Paramètres!$A$1:$I$89,3,0)*VLOOKUP('Données projet'!$B$11,Paramètres!$A$1:$I$89,5,0)</f>
        <v>6.3975418744491197</v>
      </c>
      <c r="BF12" s="14">
        <f t="shared" si="37"/>
        <v>2.3754466052815975</v>
      </c>
      <c r="BG12" s="22">
        <f t="shared" si="7"/>
        <v>15.279621602197665</v>
      </c>
      <c r="BH12" s="62">
        <f t="shared" si="8"/>
        <v>282.94628826886435</v>
      </c>
      <c r="BI12" s="62">
        <f ca="1">AVERAGE(OFFSET($BH$3,0,0,'Données projet'!$E$11+1,1))-AVERAGE(OFFSET($H$3,0,0,'Données projet'!$E$11+1,1))</f>
        <v>344.26020118887629</v>
      </c>
      <c r="BJ12" s="62">
        <f t="shared" si="38"/>
        <v>376.41441893222185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3.65</v>
      </c>
      <c r="BY12" s="13">
        <f>IF('Données projet'!$A$114&gt;35,BY11+BX12-CG11,IF(A12&lt;'Données projet'!$A$114,$BV$205^A12,IF(A12='Données projet'!$A$114,'Données projet'!$B$114,BY11+BX12-CG11)))</f>
        <v>6.8943811137639424</v>
      </c>
      <c r="BZ12" s="14">
        <f>BY12*VLOOKUP('Données projet'!$B$12,Paramètres!$A$1:$I$89,3,0)*VLOOKUP('Données projet'!$B$12,Paramètres!$A$1:$I$89,5,0)</f>
        <v>5.8078266502347455</v>
      </c>
      <c r="CA12" s="14">
        <f t="shared" si="39"/>
        <v>2.1808938198181922</v>
      </c>
      <c r="CB12" s="22">
        <f t="shared" si="10"/>
        <v>13.913688152008866</v>
      </c>
      <c r="CC12" s="62">
        <f t="shared" si="11"/>
        <v>281.58035481867557</v>
      </c>
      <c r="CD12" s="62">
        <f ca="1">AVERAGE(OFFSET($CC$3,0,0,'Données projet'!$E$12+1,1))-AVERAGE(OFFSET($H$3,0,0,'Données projet'!$E$12+1,1))</f>
        <v>477.4105367901771</v>
      </c>
      <c r="CE12" s="62">
        <f t="shared" si="40"/>
        <v>261.95434270986397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3.4358974358974361</v>
      </c>
      <c r="CT12" s="13">
        <f>IF('Données projet'!$A$140&gt;35,CT11+CS12-DB11,IF(A12&lt;'Données projet'!$A$140,$CQ$205^A12,IF(A12='Données projet'!$A$140,'Données projet'!$B$140,CT11+CS12-DB11)))</f>
        <v>4.0174310683886194</v>
      </c>
      <c r="CU12" s="18">
        <f>CT12*VLOOKUP('Données projet'!$B$13,Paramètres!$A$1:$I$89,3,0)*VLOOKUP('Données projet'!$B$13,Paramètres!$A$1:$I$89,5,0)</f>
        <v>1.8801577400058738</v>
      </c>
      <c r="CV12" s="14">
        <f t="shared" si="41"/>
        <v>0.80506349951468992</v>
      </c>
      <c r="CW12" s="22">
        <f t="shared" si="13"/>
        <v>4.6767603254983152</v>
      </c>
      <c r="CX12" s="62">
        <f t="shared" si="14"/>
        <v>272.34342699216501</v>
      </c>
      <c r="CY12" s="62">
        <f ca="1">AVERAGE(OFFSET($CX$3,0,0,'Données projet'!$E$13+1,1))-AVERAGE(OFFSET($H$3,0,0,'Données projet'!$E$13+1,1))</f>
        <v>246.64907095367749</v>
      </c>
      <c r="CZ12" s="62">
        <f t="shared" si="42"/>
        <v>145.34368562171613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1.1099999999999999</v>
      </c>
      <c r="DO12" s="13">
        <f>IF('Données projet'!$A$166&gt;35,DO11+DN12-DW11,IF(A12&lt;'Données projet'!$A$166,$DL$205^A12,IF(A12='Données projet'!$A$166,'Données projet'!$B$166,DO11+DN12-DW11)))</f>
        <v>8.7255071937385704</v>
      </c>
      <c r="DP12" s="18">
        <f>DO12*VLOOKUP('Données projet'!$B$14,Paramètres!$A$1:$I$89,3,0)*VLOOKUP('Données projet'!$B$14,Paramètres!$A$1:$I$89,5,0)</f>
        <v>6.9420135233384066</v>
      </c>
      <c r="DQ12" s="14">
        <f t="shared" si="43"/>
        <v>2.5532222076821487</v>
      </c>
      <c r="DR12" s="22">
        <f t="shared" si="16"/>
        <v>16.5375355648608</v>
      </c>
      <c r="DS12" s="62">
        <f t="shared" si="17"/>
        <v>284.20420223152746</v>
      </c>
      <c r="DT12" s="62">
        <f ca="1">AVERAGE(OFFSET($DS$3,0,0,'Données projet'!$E$14+1,1))-AVERAGE(OFFSET($H$3,0,0,'Données projet'!$E$14+1,1))</f>
        <v>370.38521334472284</v>
      </c>
      <c r="DU12" s="62">
        <f t="shared" si="44"/>
        <v>404.61777090709171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0.16666666666666666</v>
      </c>
      <c r="EJ12" s="13">
        <f>IF('Données projet'!$A$192&gt;35,EJ11+EI12-ER11,IF(A12&lt;'Données projet'!$A$192,$EG$205^A12,IF(A12='Données projet'!$A$192,'Données projet'!$B$192,EJ11+EI12-ER11)))</f>
        <v>1.7320508075688772</v>
      </c>
      <c r="EK12" s="18">
        <f>EJ12*VLOOKUP('Données projet'!$B$15,Paramètres!$A$1:$I$89,3,0)*VLOOKUP('Données projet'!$B$15,Paramètres!$A$1:$I$89,5,0)</f>
        <v>1.4860995928940968</v>
      </c>
      <c r="EL12" s="14">
        <f t="shared" si="45"/>
        <v>0.65399375724497177</v>
      </c>
      <c r="EM12" s="22">
        <f t="shared" si="19"/>
        <v>3.7273292514922112</v>
      </c>
      <c r="EN12" s="62">
        <f t="shared" si="20"/>
        <v>271.39399591815891</v>
      </c>
      <c r="EO12" s="62">
        <f ca="1">AVERAGE(OFFSET($EN$3,0,0,'Données projet'!$E$15+1,1))-AVERAGE(OFFSET($H$3,0,0,'Données projet'!$E$15+1,1))</f>
        <v>445.81166342116865</v>
      </c>
      <c r="EP12" s="62">
        <f t="shared" si="46"/>
        <v>230.82970731138215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3.65</v>
      </c>
      <c r="FE12" s="13">
        <f>IF('Données projet'!$A$218&gt;35,FE11+FD12-FM11,IF(A12&lt;'Données projet'!$A$218,$FB$205^A12,IF(A12='Données projet'!$A$218,'Données projet'!$B$218,FE11+FD12-FM11)))</f>
        <v>6.8943811137639424</v>
      </c>
      <c r="FF12" s="18">
        <f>FE12*VLOOKUP('Données projet'!$B$16,Paramètres!$A$1:$I$89,3,0)*VLOOKUP('Données projet'!$B$16,Paramètres!$A$1:$I$89,5,0)</f>
        <v>6.6682454132324853</v>
      </c>
      <c r="FG12" s="14">
        <f t="shared" si="47"/>
        <v>2.4640453263659414</v>
      </c>
      <c r="FH12" s="22">
        <f t="shared" si="22"/>
        <v>15.905406371467258</v>
      </c>
      <c r="FI12" s="62">
        <f t="shared" si="23"/>
        <v>283.57207303813396</v>
      </c>
      <c r="FJ12" s="62">
        <f ca="1">AVERAGE(OFFSET($FI$3,0,0,'Données projet'!$E$16+1,1))-AVERAGE(OFFSET($H$3,0,0,'Données projet'!$E$16+1,1))</f>
        <v>541.66888676162716</v>
      </c>
      <c r="FK12" s="62">
        <f t="shared" si="48"/>
        <v>294.45557293177131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>
        <f>EXP(-LN(2)/35)*FQ11+(1-EXP(-LN(2)/35))/(LN(2)/35)*FM12*FN12*VLOOKUP('Données projet'!$B$16,Paramètres!$A$1:$I$89,3,0)*0.475*44/12</f>
        <v>0</v>
      </c>
      <c r="FR12" s="23">
        <f>EXP(-LN(2)/25)*FR11+(1-EXP(-LN(2)/25))/(LN(2)/25)*Calculateur!FM12*Calculateur!FO12*VLOOKUP('Données projet'!$B$16,Paramètres!$A$1:$I$89,3,0)*0.475*44/12</f>
        <v>0</v>
      </c>
      <c r="FS12" s="23">
        <f>EXP(-LN(2)/2)*FS11+(1-EXP(-LN(2)/2))/(LN(2)/2)*FM12*FP12*VLOOKUP('Données projet'!$B$16,Paramètres!$A$1:$I$89,3,0)*0.475*44/12</f>
        <v>0</v>
      </c>
      <c r="FT12" s="24">
        <f t="shared" si="24"/>
        <v>0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2.6666666666666665</v>
      </c>
      <c r="FZ12" s="13">
        <f>IF('Données projet'!$A$244&gt;35,FZ11+FY12-GH11,IF(A12&lt;'Données projet'!$A$244,$FW$205^A12,IF(A12='Données projet'!$A$244,'Données projet'!$B$244,FZ11+FY12-GH11)))</f>
        <v>9.1461010385465205</v>
      </c>
      <c r="GA12" s="18">
        <f>FZ12*VLOOKUP('Données projet'!$B$17,Paramètres!$A$1:$I$89,3,0)*VLOOKUP('Données projet'!$B$17,Paramètres!$A$1:$I$89,5,0)</f>
        <v>7.1339588100662858</v>
      </c>
      <c r="GB12" s="14">
        <f t="shared" si="49"/>
        <v>2.6155015444227643</v>
      </c>
      <c r="GC12" s="22">
        <f t="shared" si="25"/>
        <v>16.980310117401761</v>
      </c>
      <c r="GD12" s="62">
        <f t="shared" si="26"/>
        <v>284.64697678406844</v>
      </c>
      <c r="GE12" s="62">
        <f ca="1">AVERAGE(OFFSET($GD$3,0,0,'Données projet'!$E$17+1,1))-AVERAGE(OFFSET($H$3,0,0,'Données projet'!$E$17+1,1))</f>
        <v>292.57482726862594</v>
      </c>
      <c r="GF12" s="62">
        <f t="shared" si="50"/>
        <v>283.48738729114024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>
        <f>EXP(-LN(2)/35)*GL11+(1-EXP(-LN(2)/35))/(LN(2)/35)*GH12*GI12*VLOOKUP('Données projet'!$B$17,Paramètres!$A$1:$I$89,3,0)*0.475*44/12</f>
        <v>0</v>
      </c>
      <c r="GM12" s="23">
        <f>EXP(-LN(2)/25)*GM11+(1-EXP(-LN(2)/25))/(LN(2)/25)*Calculateur!GH12*Calculateur!GJ12*VLOOKUP('Données projet'!$B$17,Paramètres!$A$1:$I$89,3,0)*0.475*44/12</f>
        <v>0</v>
      </c>
      <c r="GN12" s="23">
        <f>EXP(-LN(2)/2)*GN11+(1-EXP(-LN(2)/2))/(LN(2)/2)*GH12*GK12*VLOOKUP('Données projet'!$B$17,Paramètres!$A$1:$I$89,3,0)*0.475*44/12</f>
        <v>0</v>
      </c>
      <c r="GO12" s="23">
        <f t="shared" si="27"/>
        <v>0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4.615384615384615</v>
      </c>
      <c r="GU12" s="13">
        <f>IF('Données projet'!$A$270&gt;35,GU11+GT12-HC11,IF(A12&lt;'Données projet'!$A$270,$GR$205^A12,IF(A12='Données projet'!$A$270,'Données projet'!$B$270,GU11+GT12-HC11)))</f>
        <v>31.462056618400265</v>
      </c>
      <c r="GV12" s="18">
        <f>GU12*VLOOKUP('Données projet'!$B$18,Paramètres!$A$1:$I$89,3,0)*VLOOKUP('Données projet'!$B$18,Paramètres!$A$1:$I$89,5,0)</f>
        <v>21.104747579622899</v>
      </c>
      <c r="GW12" s="14">
        <f t="shared" si="51"/>
        <v>6.8198429896216215</v>
      </c>
      <c r="GX12" s="22">
        <f t="shared" si="28"/>
        <v>48.635328574767534</v>
      </c>
      <c r="GY12" s="62">
        <f t="shared" si="29"/>
        <v>316.30199524143421</v>
      </c>
      <c r="GZ12" s="62">
        <f ca="1">AVERAGE(OFFSET($GY$3,0,0,'Données projet'!$E$18+1,1))-AVERAGE(OFFSET($H$3,0,0,'Données projet'!$E$18+1,1))</f>
        <v>410.20186800287411</v>
      </c>
      <c r="HA12" s="62">
        <f t="shared" si="52"/>
        <v>321.99347958016057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>
        <f>EXP(-LN(2)/35)*HG11+(1-EXP(-LN(2)/35))/(LN(2)/35)*HC12*HD12*VLOOKUP('Données projet'!$B$18,Paramètres!$A$1:$I$89,3,0)*0.475*44/12</f>
        <v>0</v>
      </c>
      <c r="HH12" s="23">
        <f>EXP(-LN(2)/25)*HH11+(1-EXP(-LN(2)/25))/(LN(2)/25)*Calculateur!HC12*Calculateur!HE12*VLOOKUP('Données projet'!$B$18,Paramètres!$A$1:$I$89,3,0)*0.475*44/12</f>
        <v>0</v>
      </c>
      <c r="HI12" s="23">
        <f>EXP(-LN(2)/2)*HI11+(1-EXP(-LN(2)/2))/(LN(2)/2)*HC12*HF12*VLOOKUP('Données projet'!$B$18,Paramètres!$A$1:$I$89,3,0)*0.475*44/12</f>
        <v>0</v>
      </c>
      <c r="HJ12" s="24">
        <f t="shared" si="30"/>
        <v>0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3.65</v>
      </c>
      <c r="N13" s="14">
        <f>IF('Données projet'!$A$36&gt;35,N12+M13-V12,IF(A13&lt;'Données projet'!$A$36,$K$205^A13,IF(A13='Données projet'!$A$36,'Données projet'!$B$36,N12+M13-V12)))</f>
        <v>8.5440037453175322</v>
      </c>
      <c r="O13" s="14">
        <f>N13*VLOOKUP('Données projet'!$B$9,Paramètres!$A$1:$I$89,3,0)*VLOOKUP('Données projet'!$B$9,Paramètres!$A$1:$I$89,5,0)</f>
        <v>7.7306145887633031</v>
      </c>
      <c r="P13" s="14">
        <f t="shared" si="33"/>
        <v>2.8078763226288115</v>
      </c>
      <c r="Q13" s="22">
        <f t="shared" si="2"/>
        <v>18.354538337341264</v>
      </c>
      <c r="R13" s="62">
        <f t="shared" si="0"/>
        <v>287.2434272262301</v>
      </c>
      <c r="S13" s="62">
        <f ca="1">AVERAGE(OFFSET($R$3,0,0,'Données projet'!$E$9+1,1))-AVERAGE(OFFSET($H$3,0,0,'Données projet'!$E$9+1,1))</f>
        <v>509.56241660612449</v>
      </c>
      <c r="T13" s="62">
        <f t="shared" si="34"/>
        <v>278.21741231699929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3.65</v>
      </c>
      <c r="AI13" s="14">
        <f>IF('Données projet'!$A$62&gt;35,AI12+AH13-AQ12,IF(A13&lt;'Données projet'!$A$62,$AF$205^A13,IF(A13='Données projet'!$A$62,'Données projet'!$B$62,AI12+AH13-AQ12)))</f>
        <v>8.5440037453175322</v>
      </c>
      <c r="AJ13" s="14">
        <f>AI13*VLOOKUP('Données projet'!$B$10,Paramètres!$A$1:$I$89,3,0)*VLOOKUP('Données projet'!$B$10,Paramètres!$A$1:$I$89,5,0)</f>
        <v>8.6636197977519771</v>
      </c>
      <c r="AK13" s="14">
        <f t="shared" si="35"/>
        <v>3.1052976990698267</v>
      </c>
      <c r="AL13" s="22">
        <f t="shared" si="4"/>
        <v>20.497531306964643</v>
      </c>
      <c r="AM13" s="62">
        <f t="shared" si="5"/>
        <v>289.38642019585347</v>
      </c>
      <c r="AN13" s="62">
        <f ca="1">AVERAGE(OFFSET($AM$3,0,0,'Données projet'!$E$10+1,1))-AVERAGE(OFFSET($H$3,0,0,'Données projet'!$E$10+1,1))</f>
        <v>565.72091871734051</v>
      </c>
      <c r="AO13" s="62">
        <f t="shared" si="36"/>
        <v>306.61893266146666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>
        <f>VLOOKUP(A13,'Données projet'!$A$87:$I$107,2,0)</f>
        <v>11.1</v>
      </c>
      <c r="BB13" s="13">
        <f>VLOOKUP(A13,'Données projet'!$A$87:$I$107,9,0)</f>
        <v>1.1099999999999999</v>
      </c>
      <c r="BC13" s="13">
        <f t="array" ref="BC13">INDEX(BB:BB,MIN(IF(ISNUMBER(BB13:BB209),ROW(BB13:BB209),"")))</f>
        <v>1.1099999999999999</v>
      </c>
      <c r="BD13" s="13">
        <f>IF('Données projet'!$A$88&gt;35,BD12+BC13-BL12,IF(A13&lt;'Données projet'!$A$88,$BA$205^A13,IF(A13='Données projet'!$A$88,'Données projet'!$B$88,BD12+BC13-BL12)))</f>
        <v>11.1</v>
      </c>
      <c r="BE13" s="14">
        <f>BD13*VLOOKUP('Données projet'!$B$11,Paramètres!$A$1:$I$89,3,0)*VLOOKUP('Données projet'!$B$11,Paramètres!$A$1:$I$89,5,0)</f>
        <v>8.1385199999999998</v>
      </c>
      <c r="BF13" s="14">
        <f t="shared" si="37"/>
        <v>2.9383938833896224</v>
      </c>
      <c r="BG13" s="22">
        <f t="shared" si="7"/>
        <v>19.292291680236925</v>
      </c>
      <c r="BH13" s="62">
        <f t="shared" si="8"/>
        <v>288.18118056912579</v>
      </c>
      <c r="BI13" s="62">
        <f ca="1">AVERAGE(OFFSET($BH$3,0,0,'Données projet'!$E$11+1,1))-AVERAGE(OFFSET($H$3,0,0,'Données projet'!$E$11+1,1))</f>
        <v>344.26020118887629</v>
      </c>
      <c r="BJ13" s="62">
        <f t="shared" si="38"/>
        <v>376.41441893222185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3.65</v>
      </c>
      <c r="BY13" s="13">
        <f>IF('Données projet'!$A$114&gt;35,BY12+BX13-CG12,IF(A13&lt;'Données projet'!$A$114,$BV$205^A13,IF(A13='Données projet'!$A$114,'Données projet'!$B$114,BY12+BX13-CG12)))</f>
        <v>8.5440037453175322</v>
      </c>
      <c r="BZ13" s="14">
        <f>BY13*VLOOKUP('Données projet'!$B$12,Paramètres!$A$1:$I$89,3,0)*VLOOKUP('Données projet'!$B$12,Paramètres!$A$1:$I$89,5,0)</f>
        <v>7.1974687550554899</v>
      </c>
      <c r="CA13" s="14">
        <f t="shared" si="39"/>
        <v>2.6360650660630816</v>
      </c>
      <c r="CB13" s="22">
        <f t="shared" si="10"/>
        <v>17.126738071781514</v>
      </c>
      <c r="CC13" s="62">
        <f t="shared" si="11"/>
        <v>286.01562696067037</v>
      </c>
      <c r="CD13" s="62">
        <f ca="1">AVERAGE(OFFSET($CC$3,0,0,'Données projet'!$E$12+1,1))-AVERAGE(OFFSET($H$3,0,0,'Données projet'!$E$12+1,1))</f>
        <v>477.4105367901771</v>
      </c>
      <c r="CE13" s="62">
        <f t="shared" si="40"/>
        <v>261.95434270986397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3.4358974358974361</v>
      </c>
      <c r="CT13" s="13">
        <f>IF('Données projet'!$A$140&gt;35,CT12+CS13-DB12,IF(A13&lt;'Données projet'!$A$140,$CQ$205^A13,IF(A13='Données projet'!$A$140,'Données projet'!$B$140,CT12+CS13-DB12)))</f>
        <v>4.6887147848714186</v>
      </c>
      <c r="CU13" s="18">
        <f>CT13*VLOOKUP('Données projet'!$B$13,Paramètres!$A$1:$I$89,3,0)*VLOOKUP('Données projet'!$B$13,Paramètres!$A$1:$I$89,5,0)</f>
        <v>2.194318519319824</v>
      </c>
      <c r="CV13" s="14">
        <f t="shared" si="41"/>
        <v>0.9228358380932653</v>
      </c>
      <c r="CW13" s="22">
        <f t="shared" si="13"/>
        <v>5.4290438391611309</v>
      </c>
      <c r="CX13" s="62">
        <f t="shared" si="14"/>
        <v>274.31793272804998</v>
      </c>
      <c r="CY13" s="62">
        <f ca="1">AVERAGE(OFFSET($CX$3,0,0,'Données projet'!$E$13+1,1))-AVERAGE(OFFSET($H$3,0,0,'Données projet'!$E$13+1,1))</f>
        <v>246.64907095367749</v>
      </c>
      <c r="CZ13" s="62">
        <f t="shared" si="42"/>
        <v>145.34368562171613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>
        <f>VLOOKUP(A13,'Données projet'!$A$165:$I$185,2,0)</f>
        <v>11.1</v>
      </c>
      <c r="DM13" s="13">
        <f>VLOOKUP(A13,'Données projet'!$A$165:$I$185,9,0)</f>
        <v>1.1099999999999999</v>
      </c>
      <c r="DN13" s="13">
        <f t="array" ref="DN13">INDEX(DM:DM,MIN(IF(ISNUMBER(DM13:DM209),ROW(DM13:DM209),"")))</f>
        <v>1.1099999999999999</v>
      </c>
      <c r="DO13" s="13">
        <f>IF('Données projet'!$A$166&gt;35,DO12+DN13-DW12,IF(A13&lt;'Données projet'!$A$166,$DL$205^A13,IF(A13='Données projet'!$A$166,'Données projet'!$B$166,DO12+DN13-DW12)))</f>
        <v>11.1</v>
      </c>
      <c r="DP13" s="18">
        <f>DO13*VLOOKUP('Données projet'!$B$14,Paramètres!$A$1:$I$89,3,0)*VLOOKUP('Données projet'!$B$14,Paramètres!$A$1:$I$89,5,0)</f>
        <v>8.8311599999999988</v>
      </c>
      <c r="DQ13" s="14">
        <f t="shared" si="43"/>
        <v>3.1582997914189717</v>
      </c>
      <c r="DR13" s="22">
        <f t="shared" si="16"/>
        <v>20.881642470054704</v>
      </c>
      <c r="DS13" s="62">
        <f t="shared" si="17"/>
        <v>289.77053135894357</v>
      </c>
      <c r="DT13" s="62">
        <f ca="1">AVERAGE(OFFSET($DS$3,0,0,'Données projet'!$E$14+1,1))-AVERAGE(OFFSET($H$3,0,0,'Données projet'!$E$14+1,1))</f>
        <v>370.38521334472284</v>
      </c>
      <c r="DU13" s="62">
        <f t="shared" si="44"/>
        <v>404.61777090709171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0.16666666666666666</v>
      </c>
      <c r="EJ13" s="13">
        <f>IF('Données projet'!$A$192&gt;35,EJ12+EI13-ER12,IF(A13&lt;'Données projet'!$A$192,$EG$205^A13,IF(A13='Données projet'!$A$192,'Données projet'!$B$192,EJ12+EI13-ER12)))</f>
        <v>1.841057547098748</v>
      </c>
      <c r="EK13" s="18">
        <f>EJ13*VLOOKUP('Données projet'!$B$15,Paramètres!$A$1:$I$89,3,0)*VLOOKUP('Données projet'!$B$15,Paramètres!$A$1:$I$89,5,0)</f>
        <v>1.579627375410726</v>
      </c>
      <c r="EL13" s="14">
        <f t="shared" si="45"/>
        <v>0.69023178569884602</v>
      </c>
      <c r="EM13" s="22">
        <f t="shared" si="19"/>
        <v>3.9533380389325044</v>
      </c>
      <c r="EN13" s="62">
        <f t="shared" si="20"/>
        <v>272.84222692782134</v>
      </c>
      <c r="EO13" s="62">
        <f ca="1">AVERAGE(OFFSET($EN$3,0,0,'Données projet'!$E$15+1,1))-AVERAGE(OFFSET($H$3,0,0,'Données projet'!$E$15+1,1))</f>
        <v>445.81166342116865</v>
      </c>
      <c r="EP13" s="62">
        <f t="shared" si="46"/>
        <v>230.82970731138215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3.65</v>
      </c>
      <c r="FE13" s="13">
        <f>IF('Données projet'!$A$218&gt;35,FE12+FD13-FM12,IF(A13&lt;'Données projet'!$A$218,$FB$205^A13,IF(A13='Données projet'!$A$218,'Données projet'!$B$218,FE12+FD13-FM12)))</f>
        <v>8.5440037453175322</v>
      </c>
      <c r="FF13" s="18">
        <f>FE13*VLOOKUP('Données projet'!$B$16,Paramètres!$A$1:$I$89,3,0)*VLOOKUP('Données projet'!$B$16,Paramètres!$A$1:$I$89,5,0)</f>
        <v>8.2637604224711172</v>
      </c>
      <c r="FG13" s="14">
        <f t="shared" si="47"/>
        <v>2.9783127206856603</v>
      </c>
      <c r="FH13" s="22">
        <f t="shared" si="22"/>
        <v>19.579944057664719</v>
      </c>
      <c r="FI13" s="62">
        <f t="shared" si="23"/>
        <v>288.46883294655356</v>
      </c>
      <c r="FJ13" s="62">
        <f ca="1">AVERAGE(OFFSET($FI$3,0,0,'Données projet'!$E$16+1,1))-AVERAGE(OFFSET($H$3,0,0,'Données projet'!$E$16+1,1))</f>
        <v>541.66888676162716</v>
      </c>
      <c r="FK13" s="62">
        <f t="shared" si="48"/>
        <v>294.45557293177131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>
        <f>EXP(-LN(2)/35)*FQ12+(1-EXP(-LN(2)/35))/(LN(2)/35)*FM13*FN13*VLOOKUP('Données projet'!$B$16,Paramètres!$A$1:$I$89,3,0)*0.475*44/12</f>
        <v>0</v>
      </c>
      <c r="FR13" s="23">
        <f>EXP(-LN(2)/25)*FR12+(1-EXP(-LN(2)/25))/(LN(2)/25)*Calculateur!FM13*Calculateur!FO13*VLOOKUP('Données projet'!$B$16,Paramètres!$A$1:$I$89,3,0)*0.475*44/12</f>
        <v>0</v>
      </c>
      <c r="FS13" s="23">
        <f>EXP(-LN(2)/2)*FS12+(1-EXP(-LN(2)/2))/(LN(2)/2)*FM13*FP13*VLOOKUP('Données projet'!$B$16,Paramètres!$A$1:$I$89,3,0)*0.475*44/12</f>
        <v>0</v>
      </c>
      <c r="FT13" s="24">
        <f t="shared" si="24"/>
        <v>0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2.6666666666666665</v>
      </c>
      <c r="FZ13" s="13">
        <f>IF('Données projet'!$A$244&gt;35,FZ12+FY13-GH12,IF(A13&lt;'Données projet'!$A$244,$FW$205^A13,IF(A13='Données projet'!$A$244,'Données projet'!$B$244,FZ12+FY13-GH12)))</f>
        <v>11.696070952851455</v>
      </c>
      <c r="GA13" s="18">
        <f>FZ13*VLOOKUP('Données projet'!$B$17,Paramètres!$A$1:$I$89,3,0)*VLOOKUP('Données projet'!$B$17,Paramètres!$A$1:$I$89,5,0)</f>
        <v>9.1229353432241354</v>
      </c>
      <c r="GB13" s="14">
        <f t="shared" si="49"/>
        <v>3.2503265450485803</v>
      </c>
      <c r="GC13" s="22">
        <f t="shared" si="25"/>
        <v>21.550097788741649</v>
      </c>
      <c r="GD13" s="62">
        <f t="shared" si="26"/>
        <v>290.43898667763051</v>
      </c>
      <c r="GE13" s="62">
        <f ca="1">AVERAGE(OFFSET($GD$3,0,0,'Données projet'!$E$17+1,1))-AVERAGE(OFFSET($H$3,0,0,'Données projet'!$E$17+1,1))</f>
        <v>292.57482726862594</v>
      </c>
      <c r="GF13" s="62">
        <f t="shared" si="50"/>
        <v>283.48738729114024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>
        <f>EXP(-LN(2)/35)*GL12+(1-EXP(-LN(2)/35))/(LN(2)/35)*GH13*GI13*VLOOKUP('Données projet'!$B$17,Paramètres!$A$1:$I$89,3,0)*0.475*44/12</f>
        <v>0</v>
      </c>
      <c r="GM13" s="23">
        <f>EXP(-LN(2)/25)*GM12+(1-EXP(-LN(2)/25))/(LN(2)/25)*Calculateur!GH13*Calculateur!GJ13*VLOOKUP('Données projet'!$B$17,Paramètres!$A$1:$I$89,3,0)*0.475*44/12</f>
        <v>0</v>
      </c>
      <c r="GN13" s="23">
        <f>EXP(-LN(2)/2)*GN12+(1-EXP(-LN(2)/2))/(LN(2)/2)*GH13*GK13*VLOOKUP('Données projet'!$B$17,Paramètres!$A$1:$I$89,3,0)*0.475*44/12</f>
        <v>0</v>
      </c>
      <c r="GO13" s="23">
        <f t="shared" si="27"/>
        <v>0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>
        <f>VLOOKUP(A13,'Données projet'!$A$269:$I$289,2,0)</f>
        <v>46.153846153846153</v>
      </c>
      <c r="GS13" s="13">
        <f>VLOOKUP(A13,'Données projet'!$A$269:$I$289,9,0)</f>
        <v>4.615384615384615</v>
      </c>
      <c r="GT13" s="13">
        <f t="array" ref="GT13">INDEX(GS:GS,MIN(IF(ISNUMBER(GS13:GS209),ROW(GS13:GS209),"")))</f>
        <v>4.615384615384615</v>
      </c>
      <c r="GU13" s="13">
        <f>IF('Données projet'!$A$270&gt;35,GU12+GT13-HC12,IF(A13&lt;'Données projet'!$A$270,$GR$205^A13,IF(A13='Données projet'!$A$270,'Données projet'!$B$270,GU12+GT13-HC12)))</f>
        <v>46.153846153846153</v>
      </c>
      <c r="GV13" s="18">
        <f>GU13*VLOOKUP('Données projet'!$B$18,Paramètres!$A$1:$I$89,3,0)*VLOOKUP('Données projet'!$B$18,Paramètres!$A$1:$I$89,5,0)</f>
        <v>30.96</v>
      </c>
      <c r="GW13" s="14">
        <f t="shared" si="51"/>
        <v>9.5680577090117094</v>
      </c>
      <c r="GX13" s="22">
        <f t="shared" si="28"/>
        <v>70.586367176528725</v>
      </c>
      <c r="GY13" s="62">
        <f t="shared" si="29"/>
        <v>339.47525606541757</v>
      </c>
      <c r="GZ13" s="62">
        <f ca="1">AVERAGE(OFFSET($GY$3,0,0,'Données projet'!$E$18+1,1))-AVERAGE(OFFSET($H$3,0,0,'Données projet'!$E$18+1,1))</f>
        <v>410.20186800287411</v>
      </c>
      <c r="HA13" s="62">
        <f t="shared" si="52"/>
        <v>321.99347958016057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>
        <f>EXP(-LN(2)/35)*HG12+(1-EXP(-LN(2)/35))/(LN(2)/35)*HC13*HD13*VLOOKUP('Données projet'!$B$18,Paramètres!$A$1:$I$89,3,0)*0.475*44/12</f>
        <v>0</v>
      </c>
      <c r="HH13" s="23">
        <f>EXP(-LN(2)/25)*HH12+(1-EXP(-LN(2)/25))/(LN(2)/25)*Calculateur!HC13*Calculateur!HE13*VLOOKUP('Données projet'!$B$18,Paramètres!$A$1:$I$89,3,0)*0.475*44/12</f>
        <v>0</v>
      </c>
      <c r="HI13" s="23">
        <f>EXP(-LN(2)/2)*HI12+(1-EXP(-LN(2)/2))/(LN(2)/2)*HC13*HF13*VLOOKUP('Données projet'!$B$18,Paramètres!$A$1:$I$89,3,0)*0.475*44/12</f>
        <v>0</v>
      </c>
      <c r="HJ13" s="24">
        <f t="shared" si="30"/>
        <v>0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3.65</v>
      </c>
      <c r="N14" s="14">
        <f>IF('Données projet'!$A$36&gt;35,N13+M14-V13,IF(A14&lt;'Données projet'!$A$36,$K$205^A14,IF(A14='Données projet'!$A$36,'Données projet'!$B$36,N13+M14-V13)))</f>
        <v>10.588332555950936</v>
      </c>
      <c r="O14" s="14">
        <f>N14*VLOOKUP('Données projet'!$B$9,Paramètres!$A$1:$I$89,3,0)*VLOOKUP('Données projet'!$B$9,Paramètres!$A$1:$I$89,5,0)</f>
        <v>9.5803232966244067</v>
      </c>
      <c r="P14" s="14">
        <f t="shared" si="33"/>
        <v>3.3939041949894282</v>
      </c>
      <c r="Q14" s="22">
        <f t="shared" si="2"/>
        <v>22.596779547894098</v>
      </c>
      <c r="R14" s="62">
        <f t="shared" si="0"/>
        <v>292.70789065900522</v>
      </c>
      <c r="S14" s="62">
        <f ca="1">AVERAGE(OFFSET($R$3,0,0,'Données projet'!$E$9+1,1))-AVERAGE(OFFSET($H$3,0,0,'Données projet'!$E$9+1,1))</f>
        <v>509.56241660612449</v>
      </c>
      <c r="T14" s="62">
        <f t="shared" si="34"/>
        <v>278.21741231699929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3.65</v>
      </c>
      <c r="AI14" s="14">
        <f>IF('Données projet'!$A$62&gt;35,AI13+AH14-AQ13,IF(A14&lt;'Données projet'!$A$62,$AF$205^A14,IF(A14='Données projet'!$A$62,'Données projet'!$B$62,AI13+AH14-AQ13)))</f>
        <v>10.588332555950936</v>
      </c>
      <c r="AJ14" s="14">
        <f>AI14*VLOOKUP('Données projet'!$B$10,Paramètres!$A$1:$I$89,3,0)*VLOOKUP('Données projet'!$B$10,Paramètres!$A$1:$I$89,5,0)</f>
        <v>10.736569211734251</v>
      </c>
      <c r="AK14" s="14">
        <f t="shared" si="35"/>
        <v>3.7533999637480915</v>
      </c>
      <c r="AL14" s="22">
        <f t="shared" si="4"/>
        <v>25.23669631396508</v>
      </c>
      <c r="AM14" s="62">
        <f t="shared" si="5"/>
        <v>295.34780742507621</v>
      </c>
      <c r="AN14" s="62">
        <f ca="1">AVERAGE(OFFSET($AM$3,0,0,'Données projet'!$E$10+1,1))-AVERAGE(OFFSET($H$3,0,0,'Données projet'!$E$10+1,1))</f>
        <v>565.72091871734051</v>
      </c>
      <c r="AO14" s="62">
        <f t="shared" si="36"/>
        <v>306.61893266146666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10.68</v>
      </c>
      <c r="BD14" s="13">
        <f>IF('Données projet'!$A$88&gt;35,BD13+BC14-BL13,IF(A14&lt;'Données projet'!$A$88,$BA$205^A14,IF(A14='Données projet'!$A$88,'Données projet'!$B$88,BD13+BC14-BL13)))</f>
        <v>21.78</v>
      </c>
      <c r="BE14" s="14">
        <f>BD14*VLOOKUP('Données projet'!$B$11,Paramètres!$A$1:$I$89,3,0)*VLOOKUP('Données projet'!$B$11,Paramètres!$A$1:$I$89,5,0)</f>
        <v>15.969095999999999</v>
      </c>
      <c r="BF14" s="14">
        <f t="shared" si="37"/>
        <v>5.3305321367080518</v>
      </c>
      <c r="BG14" s="22">
        <f t="shared" si="7"/>
        <v>37.096852338099858</v>
      </c>
      <c r="BH14" s="62">
        <f t="shared" si="8"/>
        <v>307.20796344921098</v>
      </c>
      <c r="BI14" s="62">
        <f ca="1">AVERAGE(OFFSET($BH$3,0,0,'Données projet'!$E$11+1,1))-AVERAGE(OFFSET($H$3,0,0,'Données projet'!$E$11+1,1))</f>
        <v>344.26020118887629</v>
      </c>
      <c r="BJ14" s="62">
        <f t="shared" si="38"/>
        <v>376.41441893222185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3.65</v>
      </c>
      <c r="BY14" s="13">
        <f>IF('Données projet'!$A$114&gt;35,BY13+BX14-CG13,IF(A14&lt;'Données projet'!$A$114,$BV$205^A14,IF(A14='Données projet'!$A$114,'Données projet'!$B$114,BY13+BX14-CG13)))</f>
        <v>10.588332555950936</v>
      </c>
      <c r="BZ14" s="14">
        <f>BY14*VLOOKUP('Données projet'!$B$12,Paramètres!$A$1:$I$89,3,0)*VLOOKUP('Données projet'!$B$12,Paramètres!$A$1:$I$89,5,0)</f>
        <v>8.9196113451330703</v>
      </c>
      <c r="CA14" s="14">
        <f t="shared" si="39"/>
        <v>3.186234455512118</v>
      </c>
      <c r="CB14" s="22">
        <f t="shared" si="10"/>
        <v>21.084348102790369</v>
      </c>
      <c r="CC14" s="62">
        <f t="shared" si="11"/>
        <v>291.19545921390153</v>
      </c>
      <c r="CD14" s="62">
        <f ca="1">AVERAGE(OFFSET($CC$3,0,0,'Données projet'!$E$12+1,1))-AVERAGE(OFFSET($H$3,0,0,'Données projet'!$E$12+1,1))</f>
        <v>477.4105367901771</v>
      </c>
      <c r="CE14" s="62">
        <f t="shared" si="40"/>
        <v>261.95434270986397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3.4358974358974361</v>
      </c>
      <c r="CT14" s="13">
        <f>IF('Données projet'!$A$140&gt;35,CT13+CS14-DB13,IF(A14&lt;'Données projet'!$A$140,$CQ$205^A14,IF(A14='Données projet'!$A$140,'Données projet'!$B$140,CT13+CS14-DB13)))</f>
        <v>5.472165162174039</v>
      </c>
      <c r="CU14" s="18">
        <f>CT14*VLOOKUP('Données projet'!$B$13,Paramètres!$A$1:$I$89,3,0)*VLOOKUP('Données projet'!$B$13,Paramètres!$A$1:$I$89,5,0)</f>
        <v>2.5609732958974503</v>
      </c>
      <c r="CV14" s="14">
        <f t="shared" si="41"/>
        <v>1.0578370334547251</v>
      </c>
      <c r="CW14" s="22">
        <f t="shared" si="13"/>
        <v>6.3027613236217057</v>
      </c>
      <c r="CX14" s="62">
        <f t="shared" si="14"/>
        <v>276.41387243473287</v>
      </c>
      <c r="CY14" s="62">
        <f ca="1">AVERAGE(OFFSET($CX$3,0,0,'Données projet'!$E$13+1,1))-AVERAGE(OFFSET($H$3,0,0,'Données projet'!$E$13+1,1))</f>
        <v>246.64907095367749</v>
      </c>
      <c r="CZ14" s="62">
        <f t="shared" si="42"/>
        <v>145.34368562171613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10.68</v>
      </c>
      <c r="DO14" s="13">
        <f>IF('Données projet'!$A$166&gt;35,DO13+DN14-DW13,IF(A14&lt;'Données projet'!$A$166,$DL$205^A14,IF(A14='Données projet'!$A$166,'Données projet'!$B$166,DO13+DN14-DW13)))</f>
        <v>21.78</v>
      </c>
      <c r="DP14" s="18">
        <f>DO14*VLOOKUP('Données projet'!$B$14,Paramètres!$A$1:$I$89,3,0)*VLOOKUP('Données projet'!$B$14,Paramètres!$A$1:$I$89,5,0)</f>
        <v>17.328168000000002</v>
      </c>
      <c r="DQ14" s="14">
        <f t="shared" si="43"/>
        <v>5.7294628302508057</v>
      </c>
      <c r="DR14" s="22">
        <f t="shared" si="16"/>
        <v>40.158707029353486</v>
      </c>
      <c r="DS14" s="62">
        <f t="shared" si="17"/>
        <v>310.26981814046462</v>
      </c>
      <c r="DT14" s="62">
        <f ca="1">AVERAGE(OFFSET($DS$3,0,0,'Données projet'!$E$14+1,1))-AVERAGE(OFFSET($H$3,0,0,'Données projet'!$E$14+1,1))</f>
        <v>370.38521334472284</v>
      </c>
      <c r="DU14" s="62">
        <f t="shared" si="44"/>
        <v>404.61777090709171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0.16666666666666666</v>
      </c>
      <c r="EJ14" s="13">
        <f>IF('Données projet'!$A$192&gt;35,EJ13+EI14-ER13,IF(A14&lt;'Données projet'!$A$192,$EG$205^A14,IF(A14='Données projet'!$A$192,'Données projet'!$B$192,EJ13+EI14-ER13)))</f>
        <v>1.9569246334562107</v>
      </c>
      <c r="EK14" s="18">
        <f>EJ14*VLOOKUP('Données projet'!$B$15,Paramètres!$A$1:$I$89,3,0)*VLOOKUP('Données projet'!$B$15,Paramètres!$A$1:$I$89,5,0)</f>
        <v>1.679041335505429</v>
      </c>
      <c r="EL14" s="14">
        <f t="shared" si="45"/>
        <v>0.72847777629559418</v>
      </c>
      <c r="EM14" s="22">
        <f t="shared" si="19"/>
        <v>4.1930957863867819</v>
      </c>
      <c r="EN14" s="62">
        <f t="shared" si="20"/>
        <v>274.30420689749792</v>
      </c>
      <c r="EO14" s="62">
        <f ca="1">AVERAGE(OFFSET($EN$3,0,0,'Données projet'!$E$15+1,1))-AVERAGE(OFFSET($H$3,0,0,'Données projet'!$E$15+1,1))</f>
        <v>445.81166342116865</v>
      </c>
      <c r="EP14" s="62">
        <f t="shared" si="46"/>
        <v>230.82970731138215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3.65</v>
      </c>
      <c r="FE14" s="13">
        <f>IF('Données projet'!$A$218&gt;35,FE13+FD14-FM13,IF(A14&lt;'Données projet'!$A$218,$FB$205^A14,IF(A14='Données projet'!$A$218,'Données projet'!$B$218,FE13+FD14-FM13)))</f>
        <v>10.588332555950936</v>
      </c>
      <c r="FF14" s="18">
        <f>FE14*VLOOKUP('Données projet'!$B$16,Paramètres!$A$1:$I$89,3,0)*VLOOKUP('Données projet'!$B$16,Paramètres!$A$1:$I$89,5,0)</f>
        <v>10.241035248115747</v>
      </c>
      <c r="FG14" s="14">
        <f t="shared" si="47"/>
        <v>3.5999121311945652</v>
      </c>
      <c r="FH14" s="22">
        <f t="shared" si="22"/>
        <v>24.106316685632123</v>
      </c>
      <c r="FI14" s="62">
        <f t="shared" si="23"/>
        <v>294.21742779674327</v>
      </c>
      <c r="FJ14" s="62">
        <f ca="1">AVERAGE(OFFSET($FI$3,0,0,'Données projet'!$E$16+1,1))-AVERAGE(OFFSET($H$3,0,0,'Données projet'!$E$16+1,1))</f>
        <v>541.66888676162716</v>
      </c>
      <c r="FK14" s="62">
        <f t="shared" si="48"/>
        <v>294.45557293177131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>
        <f>EXP(-LN(2)/35)*FQ13+(1-EXP(-LN(2)/35))/(LN(2)/35)*FM14*FN14*VLOOKUP('Données projet'!$B$16,Paramètres!$A$1:$I$89,3,0)*0.475*44/12</f>
        <v>0</v>
      </c>
      <c r="FR14" s="23">
        <f>EXP(-LN(2)/25)*FR13+(1-EXP(-LN(2)/25))/(LN(2)/25)*Calculateur!FM14*Calculateur!FO14*VLOOKUP('Données projet'!$B$16,Paramètres!$A$1:$I$89,3,0)*0.475*44/12</f>
        <v>0</v>
      </c>
      <c r="FS14" s="23">
        <f>EXP(-LN(2)/2)*FS13+(1-EXP(-LN(2)/2))/(LN(2)/2)*FM14*FP14*VLOOKUP('Données projet'!$B$16,Paramètres!$A$1:$I$89,3,0)*0.475*44/12</f>
        <v>0</v>
      </c>
      <c r="FT14" s="24">
        <f t="shared" si="24"/>
        <v>0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2.6666666666666665</v>
      </c>
      <c r="FZ14" s="13">
        <f>IF('Données projet'!$A$244&gt;35,FZ13+FY14-GH13,IF(A14&lt;'Données projet'!$A$244,$FW$205^A14,IF(A14='Données projet'!$A$244,'Données projet'!$B$244,FZ13+FY14-GH13)))</f>
        <v>14.956982779612416</v>
      </c>
      <c r="GA14" s="18">
        <f>FZ14*VLOOKUP('Données projet'!$B$17,Paramètres!$A$1:$I$89,3,0)*VLOOKUP('Données projet'!$B$17,Paramètres!$A$1:$I$89,5,0)</f>
        <v>11.666446568097685</v>
      </c>
      <c r="GB14" s="14">
        <f t="shared" si="49"/>
        <v>4.0392339557111736</v>
      </c>
      <c r="GC14" s="22">
        <f t="shared" si="25"/>
        <v>27.354060245633761</v>
      </c>
      <c r="GD14" s="62">
        <f t="shared" si="26"/>
        <v>297.46517135674492</v>
      </c>
      <c r="GE14" s="62">
        <f ca="1">AVERAGE(OFFSET($GD$3,0,0,'Données projet'!$E$17+1,1))-AVERAGE(OFFSET($H$3,0,0,'Données projet'!$E$17+1,1))</f>
        <v>292.57482726862594</v>
      </c>
      <c r="GF14" s="62">
        <f t="shared" si="50"/>
        <v>283.48738729114024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>
        <f>EXP(-LN(2)/35)*GL13+(1-EXP(-LN(2)/35))/(LN(2)/35)*GH14*GI14*VLOOKUP('Données projet'!$B$17,Paramètres!$A$1:$I$89,3,0)*0.475*44/12</f>
        <v>0</v>
      </c>
      <c r="GM14" s="23">
        <f>EXP(-LN(2)/25)*GM13+(1-EXP(-LN(2)/25))/(LN(2)/25)*Calculateur!GH14*Calculateur!GJ14*VLOOKUP('Données projet'!$B$17,Paramètres!$A$1:$I$89,3,0)*0.475*44/12</f>
        <v>0</v>
      </c>
      <c r="GN14" s="23">
        <f>EXP(-LN(2)/2)*GN13+(1-EXP(-LN(2)/2))/(LN(2)/2)*GH14*GK14*VLOOKUP('Données projet'!$B$17,Paramètres!$A$1:$I$89,3,0)*0.475*44/12</f>
        <v>0</v>
      </c>
      <c r="GO14" s="23">
        <f t="shared" si="27"/>
        <v>0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10.897435897435896</v>
      </c>
      <c r="GU14" s="13">
        <f>IF('Données projet'!$A$270&gt;35,GU13+GT14-HC13,IF(A14&lt;'Données projet'!$A$270,$GR$205^A14,IF(A14='Données projet'!$A$270,'Données projet'!$B$270,GU13+GT14-HC13)))</f>
        <v>57.051282051282051</v>
      </c>
      <c r="GV14" s="18">
        <f>GU14*VLOOKUP('Données projet'!$B$18,Paramètres!$A$1:$I$89,3,0)*VLOOKUP('Données projet'!$B$18,Paramètres!$A$1:$I$89,5,0)</f>
        <v>38.270000000000003</v>
      </c>
      <c r="GW14" s="14">
        <f t="shared" si="51"/>
        <v>11.538936996892089</v>
      </c>
      <c r="GX14" s="22">
        <f t="shared" si="28"/>
        <v>86.750565269587057</v>
      </c>
      <c r="GY14" s="62">
        <f t="shared" si="29"/>
        <v>356.86167638069821</v>
      </c>
      <c r="GZ14" s="62">
        <f ca="1">AVERAGE(OFFSET($GY$3,0,0,'Données projet'!$E$18+1,1))-AVERAGE(OFFSET($H$3,0,0,'Données projet'!$E$18+1,1))</f>
        <v>410.20186800287411</v>
      </c>
      <c r="HA14" s="62">
        <f t="shared" si="52"/>
        <v>321.99347958016057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>
        <f>EXP(-LN(2)/35)*HG13+(1-EXP(-LN(2)/35))/(LN(2)/35)*HC14*HD14*VLOOKUP('Données projet'!$B$18,Paramètres!$A$1:$I$89,3,0)*0.475*44/12</f>
        <v>0</v>
      </c>
      <c r="HH14" s="23">
        <f>EXP(-LN(2)/25)*HH13+(1-EXP(-LN(2)/25))/(LN(2)/25)*Calculateur!HC14*Calculateur!HE14*VLOOKUP('Données projet'!$B$18,Paramètres!$A$1:$I$89,3,0)*0.475*44/12</f>
        <v>0</v>
      </c>
      <c r="HI14" s="23">
        <f>EXP(-LN(2)/2)*HI13+(1-EXP(-LN(2)/2))/(LN(2)/2)*HC14*HF14*VLOOKUP('Données projet'!$B$18,Paramètres!$A$1:$I$89,3,0)*0.475*44/12</f>
        <v>0</v>
      </c>
      <c r="HJ14" s="24">
        <f t="shared" si="30"/>
        <v>0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3.65</v>
      </c>
      <c r="N15" s="14">
        <f>IF('Données projet'!$A$36&gt;35,N14+M15-V14,IF(A15&lt;'Données projet'!$A$36,$K$205^A15,IF(A15='Données projet'!$A$36,'Données projet'!$B$36,N14+M15-V14)))</f>
        <v>13.121809125710287</v>
      </c>
      <c r="O15" s="14">
        <f>N15*VLOOKUP('Données projet'!$B$9,Paramètres!$A$1:$I$89,3,0)*VLOOKUP('Données projet'!$B$9,Paramètres!$A$1:$I$89,5,0)</f>
        <v>11.872612896942668</v>
      </c>
      <c r="P15" s="14">
        <f t="shared" si="33"/>
        <v>4.1022411108131784</v>
      </c>
      <c r="Q15" s="22">
        <f t="shared" si="2"/>
        <v>27.822870730174767</v>
      </c>
      <c r="R15" s="62">
        <f t="shared" si="0"/>
        <v>299.15620406350808</v>
      </c>
      <c r="S15" s="62">
        <f ca="1">AVERAGE(OFFSET($R$3,0,0,'Données projet'!$E$9+1,1))-AVERAGE(OFFSET($H$3,0,0,'Données projet'!$E$9+1,1))</f>
        <v>509.56241660612449</v>
      </c>
      <c r="T15" s="62">
        <f t="shared" si="34"/>
        <v>278.21741231699929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3.65</v>
      </c>
      <c r="AI15" s="14">
        <f>IF('Données projet'!$A$62&gt;35,AI14+AH15-AQ14,IF(A15&lt;'Données projet'!$A$62,$AF$205^A15,IF(A15='Données projet'!$A$62,'Données projet'!$B$62,AI14+AH15-AQ14)))</f>
        <v>13.121809125710287</v>
      </c>
      <c r="AJ15" s="14">
        <f>AI15*VLOOKUP('Données projet'!$B$10,Paramètres!$A$1:$I$89,3,0)*VLOOKUP('Données projet'!$B$10,Paramètres!$A$1:$I$89,5,0)</f>
        <v>13.305514453470233</v>
      </c>
      <c r="AK15" s="14">
        <f t="shared" si="35"/>
        <v>4.5367667299931158</v>
      </c>
      <c r="AL15" s="22">
        <f t="shared" si="4"/>
        <v>31.075306394532003</v>
      </c>
      <c r="AM15" s="62">
        <f t="shared" si="5"/>
        <v>302.40863972786531</v>
      </c>
      <c r="AN15" s="62">
        <f ca="1">AVERAGE(OFFSET($AM$3,0,0,'Données projet'!$E$10+1,1))-AVERAGE(OFFSET($H$3,0,0,'Données projet'!$E$10+1,1))</f>
        <v>565.72091871734051</v>
      </c>
      <c r="AO15" s="62">
        <f t="shared" si="36"/>
        <v>306.61893266146666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10.68</v>
      </c>
      <c r="BD15" s="13">
        <f>IF('Données projet'!$A$88&gt;35,BD14+BC15-BL14,IF(A15&lt;'Données projet'!$A$88,$BA$205^A15,IF(A15='Données projet'!$A$88,'Données projet'!$B$88,BD14+BC15-BL14)))</f>
        <v>32.46</v>
      </c>
      <c r="BE15" s="14">
        <f>BD15*VLOOKUP('Données projet'!$B$11,Paramètres!$A$1:$I$89,3,0)*VLOOKUP('Données projet'!$B$11,Paramètres!$A$1:$I$89,5,0)</f>
        <v>23.799672000000001</v>
      </c>
      <c r="BF15" s="14">
        <f t="shared" si="37"/>
        <v>7.5838577005088039</v>
      </c>
      <c r="BG15" s="22">
        <f t="shared" si="7"/>
        <v>54.659647561719503</v>
      </c>
      <c r="BH15" s="62">
        <f t="shared" si="8"/>
        <v>325.99298089505282</v>
      </c>
      <c r="BI15" s="62">
        <f ca="1">AVERAGE(OFFSET($BH$3,0,0,'Données projet'!$E$11+1,1))-AVERAGE(OFFSET($H$3,0,0,'Données projet'!$E$11+1,1))</f>
        <v>344.26020118887629</v>
      </c>
      <c r="BJ15" s="62">
        <f t="shared" si="38"/>
        <v>376.41441893222185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3.65</v>
      </c>
      <c r="BY15" s="13">
        <f>IF('Données projet'!$A$114&gt;35,BY14+BX15-CG14,IF(A15&lt;'Données projet'!$A$114,$BV$205^A15,IF(A15='Données projet'!$A$114,'Données projet'!$B$114,BY14+BX15-CG14)))</f>
        <v>13.121809125710287</v>
      </c>
      <c r="BZ15" s="14">
        <f>BY15*VLOOKUP('Données projet'!$B$12,Paramètres!$A$1:$I$89,3,0)*VLOOKUP('Données projet'!$B$12,Paramètres!$A$1:$I$89,5,0)</f>
        <v>11.053812007498347</v>
      </c>
      <c r="CA15" s="14">
        <f t="shared" si="39"/>
        <v>3.8512289154738402</v>
      </c>
      <c r="CB15" s="22">
        <f t="shared" si="10"/>
        <v>25.959612940843225</v>
      </c>
      <c r="CC15" s="62">
        <f t="shared" si="11"/>
        <v>297.29294627417653</v>
      </c>
      <c r="CD15" s="62">
        <f ca="1">AVERAGE(OFFSET($CC$3,0,0,'Données projet'!$E$12+1,1))-AVERAGE(OFFSET($H$3,0,0,'Données projet'!$E$12+1,1))</f>
        <v>477.4105367901771</v>
      </c>
      <c r="CE15" s="62">
        <f t="shared" si="40"/>
        <v>261.95434270986397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3.4358974358974361</v>
      </c>
      <c r="CT15" s="13">
        <f>IF('Données projet'!$A$140&gt;35,CT14+CS15-DB14,IF(A15&lt;'Données projet'!$A$140,$CQ$205^A15,IF(A15='Données projet'!$A$140,'Données projet'!$B$140,CT14+CS15-DB14)))</f>
        <v>6.3865244392195226</v>
      </c>
      <c r="CU15" s="18">
        <f>CT15*VLOOKUP('Données projet'!$B$13,Paramètres!$A$1:$I$89,3,0)*VLOOKUP('Données projet'!$B$13,Paramètres!$A$1:$I$89,5,0)</f>
        <v>2.9888934375547365</v>
      </c>
      <c r="CV15" s="14">
        <f t="shared" si="41"/>
        <v>1.2125874864812094</v>
      </c>
      <c r="CW15" s="22">
        <f t="shared" si="13"/>
        <v>7.3175792760292708</v>
      </c>
      <c r="CX15" s="62">
        <f t="shared" si="14"/>
        <v>278.65091260936259</v>
      </c>
      <c r="CY15" s="62">
        <f ca="1">AVERAGE(OFFSET($CX$3,0,0,'Données projet'!$E$13+1,1))-AVERAGE(OFFSET($H$3,0,0,'Données projet'!$E$13+1,1))</f>
        <v>246.64907095367749</v>
      </c>
      <c r="CZ15" s="62">
        <f t="shared" si="42"/>
        <v>145.34368562171613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10.68</v>
      </c>
      <c r="DO15" s="13">
        <f>IF('Données projet'!$A$166&gt;35,DO14+DN15-DW14,IF(A15&lt;'Données projet'!$A$166,$DL$205^A15,IF(A15='Données projet'!$A$166,'Données projet'!$B$166,DO14+DN15-DW14)))</f>
        <v>32.46</v>
      </c>
      <c r="DP15" s="18">
        <f>DO15*VLOOKUP('Données projet'!$B$14,Paramètres!$A$1:$I$89,3,0)*VLOOKUP('Données projet'!$B$14,Paramètres!$A$1:$I$89,5,0)</f>
        <v>25.825176000000003</v>
      </c>
      <c r="DQ15" s="14">
        <f t="shared" si="43"/>
        <v>8.1514246027621944</v>
      </c>
      <c r="DR15" s="22">
        <f t="shared" si="16"/>
        <v>59.175912716477491</v>
      </c>
      <c r="DS15" s="62">
        <f t="shared" si="17"/>
        <v>330.50924604981083</v>
      </c>
      <c r="DT15" s="62">
        <f ca="1">AVERAGE(OFFSET($DS$3,0,0,'Données projet'!$E$14+1,1))-AVERAGE(OFFSET($H$3,0,0,'Données projet'!$E$14+1,1))</f>
        <v>370.38521334472284</v>
      </c>
      <c r="DU15" s="62">
        <f t="shared" si="44"/>
        <v>404.61777090709171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0.16666666666666666</v>
      </c>
      <c r="EJ15" s="13">
        <f>IF('Données projet'!$A$192&gt;35,EJ14+EI15-ER14,IF(A15&lt;'Données projet'!$A$192,$EG$205^A15,IF(A15='Données projet'!$A$192,'Données projet'!$B$192,EJ14+EI15-ER14)))</f>
        <v>2.0800838230519041</v>
      </c>
      <c r="EK15" s="18">
        <f>EJ15*VLOOKUP('Données projet'!$B$15,Paramètres!$A$1:$I$89,3,0)*VLOOKUP('Données projet'!$B$15,Paramètres!$A$1:$I$89,5,0)</f>
        <v>1.784711920178534</v>
      </c>
      <c r="EL15" s="14">
        <f t="shared" si="45"/>
        <v>0.76884299093712538</v>
      </c>
      <c r="EM15" s="22">
        <f t="shared" si="19"/>
        <v>4.4474414701931062</v>
      </c>
      <c r="EN15" s="62">
        <f t="shared" si="20"/>
        <v>275.78077480352641</v>
      </c>
      <c r="EO15" s="62">
        <f ca="1">AVERAGE(OFFSET($EN$3,0,0,'Données projet'!$E$15+1,1))-AVERAGE(OFFSET($H$3,0,0,'Données projet'!$E$15+1,1))</f>
        <v>445.81166342116865</v>
      </c>
      <c r="EP15" s="62">
        <f t="shared" si="46"/>
        <v>230.82970731138215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3.65</v>
      </c>
      <c r="FE15" s="13">
        <f>IF('Données projet'!$A$218&gt;35,FE14+FD15-FM14,IF(A15&lt;'Données projet'!$A$218,$FB$205^A15,IF(A15='Données projet'!$A$218,'Données projet'!$B$218,FE14+FD15-FM14)))</f>
        <v>13.121809125710287</v>
      </c>
      <c r="FF15" s="18">
        <f>FE15*VLOOKUP('Données projet'!$B$16,Paramètres!$A$1:$I$89,3,0)*VLOOKUP('Données projet'!$B$16,Paramètres!$A$1:$I$89,5,0)</f>
        <v>12.69141378638699</v>
      </c>
      <c r="FG15" s="14">
        <f t="shared" si="47"/>
        <v>4.3512446702837533</v>
      </c>
      <c r="FH15" s="22">
        <f t="shared" si="22"/>
        <v>29.682630145368211</v>
      </c>
      <c r="FI15" s="62">
        <f t="shared" si="23"/>
        <v>301.01596347870151</v>
      </c>
      <c r="FJ15" s="62">
        <f ca="1">AVERAGE(OFFSET($FI$3,0,0,'Données projet'!$E$16+1,1))-AVERAGE(OFFSET($H$3,0,0,'Données projet'!$E$16+1,1))</f>
        <v>541.66888676162716</v>
      </c>
      <c r="FK15" s="62">
        <f t="shared" si="48"/>
        <v>294.45557293177131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>
        <f>EXP(-LN(2)/35)*FQ14+(1-EXP(-LN(2)/35))/(LN(2)/35)*FM15*FN15*VLOOKUP('Données projet'!$B$16,Paramètres!$A$1:$I$89,3,0)*0.475*44/12</f>
        <v>0</v>
      </c>
      <c r="FR15" s="23">
        <f>EXP(-LN(2)/25)*FR14+(1-EXP(-LN(2)/25))/(LN(2)/25)*Calculateur!FM15*Calculateur!FO15*VLOOKUP('Données projet'!$B$16,Paramètres!$A$1:$I$89,3,0)*0.475*44/12</f>
        <v>0</v>
      </c>
      <c r="FS15" s="23">
        <f>EXP(-LN(2)/2)*FS14+(1-EXP(-LN(2)/2))/(LN(2)/2)*FM15*FP15*VLOOKUP('Données projet'!$B$16,Paramètres!$A$1:$I$89,3,0)*0.475*44/12</f>
        <v>0</v>
      </c>
      <c r="FT15" s="24">
        <f t="shared" si="24"/>
        <v>0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2.6666666666666665</v>
      </c>
      <c r="FZ15" s="13">
        <f>IF('Données projet'!$A$244&gt;35,FZ14+FY15-GH14,IF(A15&lt;'Données projet'!$A$244,$FW$205^A15,IF(A15='Données projet'!$A$244,'Données projet'!$B$244,FZ14+FY15-GH14)))</f>
        <v>19.127049995800721</v>
      </c>
      <c r="GA15" s="18">
        <f>FZ15*VLOOKUP('Données projet'!$B$17,Paramètres!$A$1:$I$89,3,0)*VLOOKUP('Données projet'!$B$17,Paramètres!$A$1:$I$89,5,0)</f>
        <v>14.919098996724562</v>
      </c>
      <c r="GB15" s="14">
        <f t="shared" si="49"/>
        <v>5.019622097301081</v>
      </c>
      <c r="GC15" s="22">
        <f t="shared" si="25"/>
        <v>34.726605905427995</v>
      </c>
      <c r="GD15" s="62">
        <f t="shared" si="26"/>
        <v>306.05993923876133</v>
      </c>
      <c r="GE15" s="62">
        <f ca="1">AVERAGE(OFFSET($GD$3,0,0,'Données projet'!$E$17+1,1))-AVERAGE(OFFSET($H$3,0,0,'Données projet'!$E$17+1,1))</f>
        <v>292.57482726862594</v>
      </c>
      <c r="GF15" s="62">
        <f t="shared" si="50"/>
        <v>283.48738729114024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>
        <f>EXP(-LN(2)/35)*GL14+(1-EXP(-LN(2)/35))/(LN(2)/35)*GH15*GI15*VLOOKUP('Données projet'!$B$17,Paramètres!$A$1:$I$89,3,0)*0.475*44/12</f>
        <v>0</v>
      </c>
      <c r="GM15" s="23">
        <f>EXP(-LN(2)/25)*GM14+(1-EXP(-LN(2)/25))/(LN(2)/25)*Calculateur!GH15*Calculateur!GJ15*VLOOKUP('Données projet'!$B$17,Paramètres!$A$1:$I$89,3,0)*0.475*44/12</f>
        <v>0</v>
      </c>
      <c r="GN15" s="23">
        <f>EXP(-LN(2)/2)*GN14+(1-EXP(-LN(2)/2))/(LN(2)/2)*GH15*GK15*VLOOKUP('Données projet'!$B$17,Paramètres!$A$1:$I$89,3,0)*0.475*44/12</f>
        <v>0</v>
      </c>
      <c r="GO15" s="23">
        <f t="shared" si="27"/>
        <v>0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10.897435897435896</v>
      </c>
      <c r="GU15" s="13">
        <f>IF('Données projet'!$A$270&gt;35,GU14+GT15-HC14,IF(A15&lt;'Données projet'!$A$270,$GR$205^A15,IF(A15='Données projet'!$A$270,'Données projet'!$B$270,GU14+GT15-HC14)))</f>
        <v>67.948717948717942</v>
      </c>
      <c r="GV15" s="18">
        <f>GU15*VLOOKUP('Données projet'!$B$18,Paramètres!$A$1:$I$89,3,0)*VLOOKUP('Données projet'!$B$18,Paramètres!$A$1:$I$89,5,0)</f>
        <v>45.58</v>
      </c>
      <c r="GW15" s="14">
        <f t="shared" si="51"/>
        <v>13.466199827793883</v>
      </c>
      <c r="GX15" s="22">
        <f t="shared" si="28"/>
        <v>102.83879803340767</v>
      </c>
      <c r="GY15" s="62">
        <f t="shared" si="29"/>
        <v>374.17213136674098</v>
      </c>
      <c r="GZ15" s="62">
        <f ca="1">AVERAGE(OFFSET($GY$3,0,0,'Données projet'!$E$18+1,1))-AVERAGE(OFFSET($H$3,0,0,'Données projet'!$E$18+1,1))</f>
        <v>410.20186800287411</v>
      </c>
      <c r="HA15" s="62">
        <f t="shared" si="52"/>
        <v>321.99347958016057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>
        <f>EXP(-LN(2)/35)*HG14+(1-EXP(-LN(2)/35))/(LN(2)/35)*HC15*HD15*VLOOKUP('Données projet'!$B$18,Paramètres!$A$1:$I$89,3,0)*0.475*44/12</f>
        <v>0</v>
      </c>
      <c r="HH15" s="23">
        <f>EXP(-LN(2)/25)*HH14+(1-EXP(-LN(2)/25))/(LN(2)/25)*Calculateur!HC15*Calculateur!HE15*VLOOKUP('Données projet'!$B$18,Paramètres!$A$1:$I$89,3,0)*0.475*44/12</f>
        <v>0</v>
      </c>
      <c r="HI15" s="23">
        <f>EXP(-LN(2)/2)*HI14+(1-EXP(-LN(2)/2))/(LN(2)/2)*HC15*HF15*VLOOKUP('Données projet'!$B$18,Paramètres!$A$1:$I$89,3,0)*0.475*44/12</f>
        <v>0</v>
      </c>
      <c r="HJ15" s="24">
        <f t="shared" si="30"/>
        <v>0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3.65</v>
      </c>
      <c r="N16" s="14">
        <f>IF('Données projet'!$A$36&gt;35,N15+M16-V15,IF(A16&lt;'Données projet'!$A$36,$K$205^A16,IF(A16='Données projet'!$A$36,'Données projet'!$B$36,N15+M16-V15)))</f>
        <v>16.261472127148366</v>
      </c>
      <c r="O16" s="14">
        <f>N16*VLOOKUP('Données projet'!$B$9,Paramètres!$A$1:$I$89,3,0)*VLOOKUP('Données projet'!$B$9,Paramètres!$A$1:$I$89,5,0)</f>
        <v>14.713379980643843</v>
      </c>
      <c r="P16" s="14">
        <f t="shared" si="33"/>
        <v>4.9584140165447881</v>
      </c>
      <c r="Q16" s="22">
        <f t="shared" si="2"/>
        <v>34.261707878436859</v>
      </c>
      <c r="R16" s="62">
        <f t="shared" si="0"/>
        <v>306.81726343399242</v>
      </c>
      <c r="S16" s="62">
        <f ca="1">AVERAGE(OFFSET($R$3,0,0,'Données projet'!$E$9+1,1))-AVERAGE(OFFSET($H$3,0,0,'Données projet'!$E$9+1,1))</f>
        <v>509.56241660612449</v>
      </c>
      <c r="T16" s="62">
        <f t="shared" si="34"/>
        <v>278.21741231699929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3.65</v>
      </c>
      <c r="AI16" s="14">
        <f>IF('Données projet'!$A$62&gt;35,AI15+AH16-AQ15,IF(A16&lt;'Données projet'!$A$62,$AF$205^A16,IF(A16='Données projet'!$A$62,'Données projet'!$B$62,AI15+AH16-AQ15)))</f>
        <v>16.261472127148366</v>
      </c>
      <c r="AJ16" s="14">
        <f>AI16*VLOOKUP('Données projet'!$B$10,Paramètres!$A$1:$I$89,3,0)*VLOOKUP('Données projet'!$B$10,Paramètres!$A$1:$I$89,5,0)</f>
        <v>16.489132736928447</v>
      </c>
      <c r="AK16" s="14">
        <f t="shared" si="35"/>
        <v>5.4836288594779292</v>
      </c>
      <c r="AL16" s="22">
        <f t="shared" si="4"/>
        <v>38.269226447074438</v>
      </c>
      <c r="AM16" s="62">
        <f t="shared" si="5"/>
        <v>310.82478200263</v>
      </c>
      <c r="AN16" s="62">
        <f ca="1">AVERAGE(OFFSET($AM$3,0,0,'Données projet'!$E$10+1,1))-AVERAGE(OFFSET($H$3,0,0,'Données projet'!$E$10+1,1))</f>
        <v>565.72091871734051</v>
      </c>
      <c r="AO16" s="62">
        <f t="shared" si="36"/>
        <v>306.61893266146666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10.68</v>
      </c>
      <c r="BD16" s="13">
        <f>IF('Données projet'!$A$88&gt;35,BD15+BC16-BL15,IF(A16&lt;'Données projet'!$A$88,$BA$205^A16,IF(A16='Données projet'!$A$88,'Données projet'!$B$88,BD15+BC16-BL15)))</f>
        <v>43.14</v>
      </c>
      <c r="BE16" s="14">
        <f>BD16*VLOOKUP('Données projet'!$B$11,Paramètres!$A$1:$I$89,3,0)*VLOOKUP('Données projet'!$B$11,Paramètres!$A$1:$I$89,5,0)</f>
        <v>31.630248000000002</v>
      </c>
      <c r="BF16" s="14">
        <f t="shared" si="37"/>
        <v>9.7508554785621282</v>
      </c>
      <c r="BG16" s="22">
        <f t="shared" si="7"/>
        <v>72.072088558495707</v>
      </c>
      <c r="BH16" s="62">
        <f t="shared" si="8"/>
        <v>344.62764411405124</v>
      </c>
      <c r="BI16" s="62">
        <f ca="1">AVERAGE(OFFSET($BH$3,0,0,'Données projet'!$E$11+1,1))-AVERAGE(OFFSET($H$3,0,0,'Données projet'!$E$11+1,1))</f>
        <v>344.26020118887629</v>
      </c>
      <c r="BJ16" s="62">
        <f t="shared" si="38"/>
        <v>376.41441893222185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3.65</v>
      </c>
      <c r="BY16" s="13">
        <f>IF('Données projet'!$A$114&gt;35,BY15+BX16-CG15,IF(A16&lt;'Données projet'!$A$114,$BV$205^A16,IF(A16='Données projet'!$A$114,'Données projet'!$B$114,BY15+BX16-CG15)))</f>
        <v>16.261472127148366</v>
      </c>
      <c r="BZ16" s="14">
        <f>BY16*VLOOKUP('Données projet'!$B$12,Paramètres!$A$1:$I$89,3,0)*VLOOKUP('Données projet'!$B$12,Paramètres!$A$1:$I$89,5,0)</f>
        <v>13.698664119909786</v>
      </c>
      <c r="CA16" s="14">
        <f t="shared" si="39"/>
        <v>4.6550134230463893</v>
      </c>
      <c r="CB16" s="22">
        <f t="shared" si="10"/>
        <v>31.965988387315338</v>
      </c>
      <c r="CC16" s="62">
        <f t="shared" si="11"/>
        <v>304.52154394287089</v>
      </c>
      <c r="CD16" s="62">
        <f ca="1">AVERAGE(OFFSET($CC$3,0,0,'Données projet'!$E$12+1,1))-AVERAGE(OFFSET($H$3,0,0,'Données projet'!$E$12+1,1))</f>
        <v>477.4105367901771</v>
      </c>
      <c r="CE16" s="62">
        <f t="shared" si="40"/>
        <v>261.95434270986397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3.4358974358974361</v>
      </c>
      <c r="CT16" s="13">
        <f>IF('Données projet'!$A$140&gt;35,CT15+CS16-DB15,IF(A16&lt;'Données projet'!$A$140,$CQ$205^A16,IF(A16='Données projet'!$A$140,'Données projet'!$B$140,CT15+CS16-DB15)))</f>
        <v>7.4536665476931043</v>
      </c>
      <c r="CU16" s="18">
        <f>CT16*VLOOKUP('Données projet'!$B$13,Paramètres!$A$1:$I$89,3,0)*VLOOKUP('Données projet'!$B$13,Paramètres!$A$1:$I$89,5,0)</f>
        <v>3.4883159443203726</v>
      </c>
      <c r="CV16" s="14">
        <f t="shared" si="41"/>
        <v>1.3899763062452366</v>
      </c>
      <c r="CW16" s="22">
        <f t="shared" si="13"/>
        <v>8.4963590030684362</v>
      </c>
      <c r="CX16" s="62">
        <f t="shared" si="14"/>
        <v>281.05191455862399</v>
      </c>
      <c r="CY16" s="62">
        <f ca="1">AVERAGE(OFFSET($CX$3,0,0,'Données projet'!$E$13+1,1))-AVERAGE(OFFSET($H$3,0,0,'Données projet'!$E$13+1,1))</f>
        <v>246.64907095367749</v>
      </c>
      <c r="CZ16" s="62">
        <f t="shared" si="42"/>
        <v>145.34368562171613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10.68</v>
      </c>
      <c r="DO16" s="13">
        <f>IF('Données projet'!$A$166&gt;35,DO15+DN16-DW15,IF(A16&lt;'Données projet'!$A$166,$DL$205^A16,IF(A16='Données projet'!$A$166,'Données projet'!$B$166,DO15+DN16-DW15)))</f>
        <v>43.14</v>
      </c>
      <c r="DP16" s="18">
        <f>DO16*VLOOKUP('Données projet'!$B$14,Paramètres!$A$1:$I$89,3,0)*VLOOKUP('Données projet'!$B$14,Paramètres!$A$1:$I$89,5,0)</f>
        <v>34.322184</v>
      </c>
      <c r="DQ16" s="14">
        <f t="shared" si="43"/>
        <v>10.480597920580347</v>
      </c>
      <c r="DR16" s="22">
        <f t="shared" si="16"/>
        <v>78.031511845010769</v>
      </c>
      <c r="DS16" s="62">
        <f t="shared" si="17"/>
        <v>350.5870674005663</v>
      </c>
      <c r="DT16" s="62">
        <f ca="1">AVERAGE(OFFSET($DS$3,0,0,'Données projet'!$E$14+1,1))-AVERAGE(OFFSET($H$3,0,0,'Données projet'!$E$14+1,1))</f>
        <v>370.38521334472284</v>
      </c>
      <c r="DU16" s="62">
        <f t="shared" si="44"/>
        <v>404.61777090709171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0.16666666666666666</v>
      </c>
      <c r="EJ16" s="13">
        <f>IF('Données projet'!$A$192&gt;35,EJ15+EI16-ER15,IF(A16&lt;'Données projet'!$A$192,$EG$205^A16,IF(A16='Données projet'!$A$192,'Données projet'!$B$192,EJ15+EI16-ER15)))</f>
        <v>2.2109940449165704</v>
      </c>
      <c r="EK16" s="18">
        <f>EJ16*VLOOKUP('Données projet'!$B$15,Paramètres!$A$1:$I$89,3,0)*VLOOKUP('Données projet'!$B$15,Paramètres!$A$1:$I$89,5,0)</f>
        <v>1.8970328905384175</v>
      </c>
      <c r="EL16" s="14">
        <f t="shared" si="45"/>
        <v>0.81144485658720511</v>
      </c>
      <c r="EM16" s="22">
        <f t="shared" si="19"/>
        <v>4.7172654095771263</v>
      </c>
      <c r="EN16" s="62">
        <f t="shared" si="20"/>
        <v>277.27282096513267</v>
      </c>
      <c r="EO16" s="62">
        <f ca="1">AVERAGE(OFFSET($EN$3,0,0,'Données projet'!$E$15+1,1))-AVERAGE(OFFSET($H$3,0,0,'Données projet'!$E$15+1,1))</f>
        <v>445.81166342116865</v>
      </c>
      <c r="EP16" s="62">
        <f t="shared" si="46"/>
        <v>230.82970731138215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3.65</v>
      </c>
      <c r="FE16" s="13">
        <f>IF('Données projet'!$A$218&gt;35,FE15+FD16-FM15,IF(A16&lt;'Données projet'!$A$218,$FB$205^A16,IF(A16='Données projet'!$A$218,'Données projet'!$B$218,FE15+FD16-FM15)))</f>
        <v>16.261472127148366</v>
      </c>
      <c r="FF16" s="18">
        <f>FE16*VLOOKUP('Données projet'!$B$16,Paramètres!$A$1:$I$89,3,0)*VLOOKUP('Données projet'!$B$16,Paramètres!$A$1:$I$89,5,0)</f>
        <v>15.728095841377899</v>
      </c>
      <c r="FG16" s="14">
        <f t="shared" si="47"/>
        <v>5.2593867546400634</v>
      </c>
      <c r="FH16" s="22">
        <f t="shared" si="22"/>
        <v>36.553198854731285</v>
      </c>
      <c r="FI16" s="62">
        <f t="shared" si="23"/>
        <v>309.10875441028685</v>
      </c>
      <c r="FJ16" s="62">
        <f ca="1">AVERAGE(OFFSET($FI$3,0,0,'Données projet'!$E$16+1,1))-AVERAGE(OFFSET($H$3,0,0,'Données projet'!$E$16+1,1))</f>
        <v>541.66888676162716</v>
      </c>
      <c r="FK16" s="62">
        <f t="shared" si="48"/>
        <v>294.45557293177131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>
        <f>EXP(-LN(2)/35)*FQ15+(1-EXP(-LN(2)/35))/(LN(2)/35)*FM16*FN16*VLOOKUP('Données projet'!$B$16,Paramètres!$A$1:$I$89,3,0)*0.475*44/12</f>
        <v>0</v>
      </c>
      <c r="FR16" s="23">
        <f>EXP(-LN(2)/25)*FR15+(1-EXP(-LN(2)/25))/(LN(2)/25)*Calculateur!FM16*Calculateur!FO16*VLOOKUP('Données projet'!$B$16,Paramètres!$A$1:$I$89,3,0)*0.475*44/12</f>
        <v>0</v>
      </c>
      <c r="FS16" s="23">
        <f>EXP(-LN(2)/2)*FS15+(1-EXP(-LN(2)/2))/(LN(2)/2)*FM16*FP16*VLOOKUP('Données projet'!$B$16,Paramètres!$A$1:$I$89,3,0)*0.475*44/12</f>
        <v>0</v>
      </c>
      <c r="FT16" s="24">
        <f t="shared" si="24"/>
        <v>0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2.6666666666666665</v>
      </c>
      <c r="FZ16" s="13">
        <f>IF('Données projet'!$A$244&gt;35,FZ15+FY16-GH15,IF(A16&lt;'Données projet'!$A$244,$FW$205^A16,IF(A16='Données projet'!$A$244,'Données projet'!$B$244,FZ15+FY16-GH15)))</f>
        <v>24.459748796430759</v>
      </c>
      <c r="GA16" s="18">
        <f>FZ16*VLOOKUP('Données projet'!$B$17,Paramètres!$A$1:$I$89,3,0)*VLOOKUP('Données projet'!$B$17,Paramètres!$A$1:$I$89,5,0)</f>
        <v>19.078604061215994</v>
      </c>
      <c r="GB16" s="14">
        <f t="shared" si="49"/>
        <v>6.2379664748280286</v>
      </c>
      <c r="GC16" s="22">
        <f t="shared" si="25"/>
        <v>44.093027016943331</v>
      </c>
      <c r="GD16" s="62">
        <f t="shared" si="26"/>
        <v>316.64858257249887</v>
      </c>
      <c r="GE16" s="62">
        <f ca="1">AVERAGE(OFFSET($GD$3,0,0,'Données projet'!$E$17+1,1))-AVERAGE(OFFSET($H$3,0,0,'Données projet'!$E$17+1,1))</f>
        <v>292.57482726862594</v>
      </c>
      <c r="GF16" s="62">
        <f t="shared" si="50"/>
        <v>283.48738729114024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>
        <f>EXP(-LN(2)/35)*GL15+(1-EXP(-LN(2)/35))/(LN(2)/35)*GH16*GI16*VLOOKUP('Données projet'!$B$17,Paramètres!$A$1:$I$89,3,0)*0.475*44/12</f>
        <v>0</v>
      </c>
      <c r="GM16" s="23">
        <f>EXP(-LN(2)/25)*GM15+(1-EXP(-LN(2)/25))/(LN(2)/25)*Calculateur!GH16*Calculateur!GJ16*VLOOKUP('Données projet'!$B$17,Paramètres!$A$1:$I$89,3,0)*0.475*44/12</f>
        <v>0</v>
      </c>
      <c r="GN16" s="23">
        <f>EXP(-LN(2)/2)*GN15+(1-EXP(-LN(2)/2))/(LN(2)/2)*GH16*GK16*VLOOKUP('Données projet'!$B$17,Paramètres!$A$1:$I$89,3,0)*0.475*44/12</f>
        <v>0</v>
      </c>
      <c r="GO16" s="23">
        <f t="shared" si="27"/>
        <v>0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10.897435897435896</v>
      </c>
      <c r="GU16" s="13">
        <f>IF('Données projet'!$A$270&gt;35,GU15+GT16-HC15,IF(A16&lt;'Données projet'!$A$270,$GR$205^A16,IF(A16='Données projet'!$A$270,'Données projet'!$B$270,GU15+GT16-HC15)))</f>
        <v>78.84615384615384</v>
      </c>
      <c r="GV16" s="18">
        <f>GU16*VLOOKUP('Données projet'!$B$18,Paramètres!$A$1:$I$89,3,0)*VLOOKUP('Données projet'!$B$18,Paramètres!$A$1:$I$89,5,0)</f>
        <v>52.89</v>
      </c>
      <c r="GW16" s="14">
        <f t="shared" si="51"/>
        <v>15.357656466675607</v>
      </c>
      <c r="GX16" s="22">
        <f t="shared" si="28"/>
        <v>118.86466834612668</v>
      </c>
      <c r="GY16" s="62">
        <f t="shared" si="29"/>
        <v>391.42022390168222</v>
      </c>
      <c r="GZ16" s="62">
        <f ca="1">AVERAGE(OFFSET($GY$3,0,0,'Données projet'!$E$18+1,1))-AVERAGE(OFFSET($H$3,0,0,'Données projet'!$E$18+1,1))</f>
        <v>410.20186800287411</v>
      </c>
      <c r="HA16" s="62">
        <f t="shared" si="52"/>
        <v>321.99347958016057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>
        <f>EXP(-LN(2)/35)*HG15+(1-EXP(-LN(2)/35))/(LN(2)/35)*HC16*HD16*VLOOKUP('Données projet'!$B$18,Paramètres!$A$1:$I$89,3,0)*0.475*44/12</f>
        <v>0</v>
      </c>
      <c r="HH16" s="23">
        <f>EXP(-LN(2)/25)*HH15+(1-EXP(-LN(2)/25))/(LN(2)/25)*Calculateur!HC16*Calculateur!HE16*VLOOKUP('Données projet'!$B$18,Paramètres!$A$1:$I$89,3,0)*0.475*44/12</f>
        <v>0</v>
      </c>
      <c r="HI16" s="23">
        <f>EXP(-LN(2)/2)*HI15+(1-EXP(-LN(2)/2))/(LN(2)/2)*HC16*HF16*VLOOKUP('Données projet'!$B$18,Paramètres!$A$1:$I$89,3,0)*0.475*44/12</f>
        <v>0</v>
      </c>
      <c r="HJ16" s="24">
        <f t="shared" si="30"/>
        <v>0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3.65</v>
      </c>
      <c r="N17" s="14">
        <f>IF('Données projet'!$A$36&gt;35,N16+M17-V16,IF(A17&lt;'Données projet'!$A$36,$K$205^A17,IF(A17='Données projet'!$A$36,'Données projet'!$B$36,N16+M17-V16)))</f>
        <v>20.152364144963837</v>
      </c>
      <c r="O17" s="14">
        <f>N17*VLOOKUP('Données projet'!$B$9,Paramètres!$A$1:$I$89,3,0)*VLOOKUP('Données projet'!$B$9,Paramètres!$A$1:$I$89,5,0)</f>
        <v>18.233859078363277</v>
      </c>
      <c r="P17" s="14">
        <f t="shared" si="33"/>
        <v>5.9932775513027368</v>
      </c>
      <c r="Q17" s="22">
        <f t="shared" si="2"/>
        <v>42.195596296668306</v>
      </c>
      <c r="R17" s="62">
        <f t="shared" si="0"/>
        <v>315.9733740744461</v>
      </c>
      <c r="S17" s="62">
        <f ca="1">AVERAGE(OFFSET($R$3,0,0,'Données projet'!$E$9+1,1))-AVERAGE(OFFSET($H$3,0,0,'Données projet'!$E$9+1,1))</f>
        <v>509.56241660612449</v>
      </c>
      <c r="T17" s="62">
        <f t="shared" si="34"/>
        <v>278.21741231699929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3.65</v>
      </c>
      <c r="AI17" s="14">
        <f>IF('Données projet'!$A$62&gt;35,AI16+AH17-AQ16,IF(A17&lt;'Données projet'!$A$62,$AF$205^A17,IF(A17='Données projet'!$A$62,'Données projet'!$B$62,AI16+AH17-AQ16)))</f>
        <v>20.152364144963837</v>
      </c>
      <c r="AJ17" s="14">
        <f>AI17*VLOOKUP('Données projet'!$B$10,Paramètres!$A$1:$I$89,3,0)*VLOOKUP('Données projet'!$B$10,Paramètres!$A$1:$I$89,5,0)</f>
        <v>20.434497242993334</v>
      </c>
      <c r="AK17" s="14">
        <f t="shared" si="35"/>
        <v>6.6281092368495731</v>
      </c>
      <c r="AL17" s="22">
        <f t="shared" si="4"/>
        <v>47.134039619059727</v>
      </c>
      <c r="AM17" s="62">
        <f t="shared" si="5"/>
        <v>320.91181739683748</v>
      </c>
      <c r="AN17" s="62">
        <f ca="1">AVERAGE(OFFSET($AM$3,0,0,'Données projet'!$E$10+1,1))-AVERAGE(OFFSET($H$3,0,0,'Données projet'!$E$10+1,1))</f>
        <v>565.72091871734051</v>
      </c>
      <c r="AO17" s="62">
        <f t="shared" si="36"/>
        <v>306.61893266146666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10.68</v>
      </c>
      <c r="BD17" s="13">
        <f>IF('Données projet'!$A$88&gt;35,BD16+BC17-BL16,IF(A17&lt;'Données projet'!$A$88,$BA$205^A17,IF(A17='Données projet'!$A$88,'Données projet'!$B$88,BD16+BC17-BL16)))</f>
        <v>53.82</v>
      </c>
      <c r="BE17" s="14">
        <f>BD17*VLOOKUP('Données projet'!$B$11,Paramètres!$A$1:$I$89,3,0)*VLOOKUP('Données projet'!$B$11,Paramètres!$A$1:$I$89,5,0)</f>
        <v>39.460823999999995</v>
      </c>
      <c r="BF17" s="14">
        <f t="shared" si="37"/>
        <v>11.85562557008577</v>
      </c>
      <c r="BG17" s="22">
        <f t="shared" si="7"/>
        <v>89.376149667899369</v>
      </c>
      <c r="BH17" s="62">
        <f t="shared" si="8"/>
        <v>363.15392744567714</v>
      </c>
      <c r="BI17" s="62">
        <f ca="1">AVERAGE(OFFSET($BH$3,0,0,'Données projet'!$E$11+1,1))-AVERAGE(OFFSET($H$3,0,0,'Données projet'!$E$11+1,1))</f>
        <v>344.26020118887629</v>
      </c>
      <c r="BJ17" s="62">
        <f t="shared" si="38"/>
        <v>376.41441893222185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3.65</v>
      </c>
      <c r="BY17" s="13">
        <f>IF('Données projet'!$A$114&gt;35,BY16+BX17-CG16,IF(A17&lt;'Données projet'!$A$114,$BV$205^A17,IF(A17='Données projet'!$A$114,'Données projet'!$B$114,BY16+BX17-CG16)))</f>
        <v>20.152364144963837</v>
      </c>
      <c r="BZ17" s="14">
        <f>BY17*VLOOKUP('Données projet'!$B$12,Paramètres!$A$1:$I$89,3,0)*VLOOKUP('Données projet'!$B$12,Paramètres!$A$1:$I$89,5,0)</f>
        <v>16.976351555717539</v>
      </c>
      <c r="CA17" s="14">
        <f t="shared" si="39"/>
        <v>5.6265546516016363</v>
      </c>
      <c r="CB17" s="22">
        <f t="shared" si="10"/>
        <v>39.366728311080898</v>
      </c>
      <c r="CC17" s="62">
        <f t="shared" si="11"/>
        <v>313.14450608885869</v>
      </c>
      <c r="CD17" s="62">
        <f ca="1">AVERAGE(OFFSET($CC$3,0,0,'Données projet'!$E$12+1,1))-AVERAGE(OFFSET($H$3,0,0,'Données projet'!$E$12+1,1))</f>
        <v>477.4105367901771</v>
      </c>
      <c r="CE17" s="62">
        <f t="shared" si="40"/>
        <v>261.95434270986397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3.4358974358974361</v>
      </c>
      <c r="CT17" s="13">
        <f>IF('Données projet'!$A$140&gt;35,CT16+CS17-DB16,IF(A17&lt;'Données projet'!$A$140,$CQ$205^A17,IF(A17='Données projet'!$A$140,'Données projet'!$B$140,CT16+CS17-DB16)))</f>
        <v>8.6991203952847798</v>
      </c>
      <c r="CU17" s="18">
        <f>CT17*VLOOKUP('Données projet'!$B$13,Paramètres!$A$1:$I$89,3,0)*VLOOKUP('Données projet'!$B$13,Paramètres!$A$1:$I$89,5,0)</f>
        <v>4.0711883449932769</v>
      </c>
      <c r="CV17" s="14">
        <f t="shared" si="41"/>
        <v>1.5933152481473272</v>
      </c>
      <c r="CW17" s="22">
        <f t="shared" si="13"/>
        <v>9.8656770913865515</v>
      </c>
      <c r="CX17" s="62">
        <f t="shared" si="14"/>
        <v>283.64345486916432</v>
      </c>
      <c r="CY17" s="62">
        <f ca="1">AVERAGE(OFFSET($CX$3,0,0,'Données projet'!$E$13+1,1))-AVERAGE(OFFSET($H$3,0,0,'Données projet'!$E$13+1,1))</f>
        <v>246.64907095367749</v>
      </c>
      <c r="CZ17" s="62">
        <f t="shared" si="42"/>
        <v>145.34368562171613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10.68</v>
      </c>
      <c r="DO17" s="13">
        <f>IF('Données projet'!$A$166&gt;35,DO16+DN17-DW16,IF(A17&lt;'Données projet'!$A$166,$DL$205^A17,IF(A17='Données projet'!$A$166,'Données projet'!$B$166,DO16+DN17-DW16)))</f>
        <v>53.82</v>
      </c>
      <c r="DP17" s="18">
        <f>DO17*VLOOKUP('Données projet'!$B$14,Paramètres!$A$1:$I$89,3,0)*VLOOKUP('Données projet'!$B$14,Paramètres!$A$1:$I$89,5,0)</f>
        <v>42.819192000000001</v>
      </c>
      <c r="DQ17" s="14">
        <f t="shared" si="43"/>
        <v>12.742886505722554</v>
      </c>
      <c r="DR17" s="22">
        <f t="shared" si="16"/>
        <v>96.770620064133439</v>
      </c>
      <c r="DS17" s="62">
        <f t="shared" si="17"/>
        <v>370.5483978419112</v>
      </c>
      <c r="DT17" s="62">
        <f ca="1">AVERAGE(OFFSET($DS$3,0,0,'Données projet'!$E$14+1,1))-AVERAGE(OFFSET($H$3,0,0,'Données projet'!$E$14+1,1))</f>
        <v>370.38521334472284</v>
      </c>
      <c r="DU17" s="62">
        <f t="shared" si="44"/>
        <v>404.61777090709171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0.16666666666666666</v>
      </c>
      <c r="EJ17" s="13">
        <f>IF('Données projet'!$A$192&gt;35,EJ16+EI17-ER16,IF(A17&lt;'Données projet'!$A$192,$EG$205^A17,IF(A17='Données projet'!$A$192,'Données projet'!$B$192,EJ16+EI17-ER16)))</f>
        <v>2.3501431108118167</v>
      </c>
      <c r="EK17" s="18">
        <f>EJ17*VLOOKUP('Données projet'!$B$15,Paramètres!$A$1:$I$89,3,0)*VLOOKUP('Données projet'!$B$15,Paramètres!$A$1:$I$89,5,0)</f>
        <v>2.0164227890765387</v>
      </c>
      <c r="EL17" s="14">
        <f t="shared" si="45"/>
        <v>0.85640730687974276</v>
      </c>
      <c r="EM17" s="22">
        <f t="shared" si="19"/>
        <v>5.003512417123857</v>
      </c>
      <c r="EN17" s="62">
        <f t="shared" si="20"/>
        <v>278.7812901949016</v>
      </c>
      <c r="EO17" s="62">
        <f ca="1">AVERAGE(OFFSET($EN$3,0,0,'Données projet'!$E$15+1,1))-AVERAGE(OFFSET($H$3,0,0,'Données projet'!$E$15+1,1))</f>
        <v>445.81166342116865</v>
      </c>
      <c r="EP17" s="62">
        <f t="shared" si="46"/>
        <v>230.82970731138215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3.65</v>
      </c>
      <c r="FE17" s="13">
        <f>IF('Données projet'!$A$218&gt;35,FE16+FD17-FM16,IF(A17&lt;'Données projet'!$A$218,$FB$205^A17,IF(A17='Données projet'!$A$218,'Données projet'!$B$218,FE16+FD17-FM16)))</f>
        <v>20.152364144963837</v>
      </c>
      <c r="FF17" s="18">
        <f>FE17*VLOOKUP('Données projet'!$B$16,Paramètres!$A$1:$I$89,3,0)*VLOOKUP('Données projet'!$B$16,Paramètres!$A$1:$I$89,5,0)</f>
        <v>19.491366601009023</v>
      </c>
      <c r="FG17" s="14">
        <f t="shared" si="47"/>
        <v>6.3570658813537859</v>
      </c>
      <c r="FH17" s="22">
        <f t="shared" si="22"/>
        <v>45.01935324011523</v>
      </c>
      <c r="FI17" s="62">
        <f t="shared" si="23"/>
        <v>318.79713101789298</v>
      </c>
      <c r="FJ17" s="62">
        <f ca="1">AVERAGE(OFFSET($FI$3,0,0,'Données projet'!$E$16+1,1))-AVERAGE(OFFSET($H$3,0,0,'Données projet'!$E$16+1,1))</f>
        <v>541.66888676162716</v>
      </c>
      <c r="FK17" s="62">
        <f t="shared" si="48"/>
        <v>294.45557293177131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>
        <f>EXP(-LN(2)/35)*FQ16+(1-EXP(-LN(2)/35))/(LN(2)/35)*FM17*FN17*VLOOKUP('Données projet'!$B$16,Paramètres!$A$1:$I$89,3,0)*0.475*44/12</f>
        <v>0</v>
      </c>
      <c r="FR17" s="23">
        <f>EXP(-LN(2)/25)*FR16+(1-EXP(-LN(2)/25))/(LN(2)/25)*Calculateur!FM17*Calculateur!FO17*VLOOKUP('Données projet'!$B$16,Paramètres!$A$1:$I$89,3,0)*0.475*44/12</f>
        <v>0</v>
      </c>
      <c r="FS17" s="23">
        <f>EXP(-LN(2)/2)*FS16+(1-EXP(-LN(2)/2))/(LN(2)/2)*FM17*FP17*VLOOKUP('Données projet'!$B$16,Paramètres!$A$1:$I$89,3,0)*0.475*44/12</f>
        <v>0</v>
      </c>
      <c r="FT17" s="24">
        <f t="shared" si="24"/>
        <v>0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2.6666666666666665</v>
      </c>
      <c r="FZ17" s="13">
        <f>IF('Données projet'!$A$244&gt;35,FZ16+FY17-GH16,IF(A17&lt;'Données projet'!$A$244,$FW$205^A17,IF(A17='Données projet'!$A$244,'Données projet'!$B$244,FZ16+FY17-GH16)))</f>
        <v>31.279225563578599</v>
      </c>
      <c r="GA17" s="18">
        <f>FZ17*VLOOKUP('Données projet'!$B$17,Paramètres!$A$1:$I$89,3,0)*VLOOKUP('Données projet'!$B$17,Paramètres!$A$1:$I$89,5,0)</f>
        <v>24.397795939591308</v>
      </c>
      <c r="GB17" s="14">
        <f t="shared" si="49"/>
        <v>7.75202295846145</v>
      </c>
      <c r="GC17" s="22">
        <f t="shared" si="25"/>
        <v>55.994267914108548</v>
      </c>
      <c r="GD17" s="62">
        <f t="shared" si="26"/>
        <v>329.77204569188632</v>
      </c>
      <c r="GE17" s="62">
        <f ca="1">AVERAGE(OFFSET($GD$3,0,0,'Données projet'!$E$17+1,1))-AVERAGE(OFFSET($H$3,0,0,'Données projet'!$E$17+1,1))</f>
        <v>292.57482726862594</v>
      </c>
      <c r="GF17" s="62">
        <f t="shared" si="50"/>
        <v>283.48738729114024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>
        <f>EXP(-LN(2)/35)*GL16+(1-EXP(-LN(2)/35))/(LN(2)/35)*GH17*GI17*VLOOKUP('Données projet'!$B$17,Paramètres!$A$1:$I$89,3,0)*0.475*44/12</f>
        <v>0</v>
      </c>
      <c r="GM17" s="23">
        <f>EXP(-LN(2)/25)*GM16+(1-EXP(-LN(2)/25))/(LN(2)/25)*Calculateur!GH17*Calculateur!GJ17*VLOOKUP('Données projet'!$B$17,Paramètres!$A$1:$I$89,3,0)*0.475*44/12</f>
        <v>0</v>
      </c>
      <c r="GN17" s="23">
        <f>EXP(-LN(2)/2)*GN16+(1-EXP(-LN(2)/2))/(LN(2)/2)*GH17*GK17*VLOOKUP('Données projet'!$B$17,Paramètres!$A$1:$I$89,3,0)*0.475*44/12</f>
        <v>0</v>
      </c>
      <c r="GO17" s="23">
        <f t="shared" si="27"/>
        <v>0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10.897435897435896</v>
      </c>
      <c r="GU17" s="13">
        <f>IF('Données projet'!$A$270&gt;35,GU16+GT17-HC16,IF(A17&lt;'Données projet'!$A$270,$GR$205^A17,IF(A17='Données projet'!$A$270,'Données projet'!$B$270,GU16+GT17-HC16)))</f>
        <v>89.743589743589737</v>
      </c>
      <c r="GV17" s="18">
        <f>GU17*VLOOKUP('Données projet'!$B$18,Paramètres!$A$1:$I$89,3,0)*VLOOKUP('Données projet'!$B$18,Paramètres!$A$1:$I$89,5,0)</f>
        <v>60.199999999999996</v>
      </c>
      <c r="GW17" s="14">
        <f t="shared" si="51"/>
        <v>17.21882548978526</v>
      </c>
      <c r="GX17" s="22">
        <f t="shared" si="28"/>
        <v>134.83778772804266</v>
      </c>
      <c r="GY17" s="62">
        <f t="shared" si="29"/>
        <v>408.61556550582043</v>
      </c>
      <c r="GZ17" s="62">
        <f ca="1">AVERAGE(OFFSET($GY$3,0,0,'Données projet'!$E$18+1,1))-AVERAGE(OFFSET($H$3,0,0,'Données projet'!$E$18+1,1))</f>
        <v>410.20186800287411</v>
      </c>
      <c r="HA17" s="62">
        <f t="shared" si="52"/>
        <v>321.99347958016057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>
        <f>EXP(-LN(2)/35)*HG16+(1-EXP(-LN(2)/35))/(LN(2)/35)*HC17*HD17*VLOOKUP('Données projet'!$B$18,Paramètres!$A$1:$I$89,3,0)*0.475*44/12</f>
        <v>0</v>
      </c>
      <c r="HH17" s="23">
        <f>EXP(-LN(2)/25)*HH16+(1-EXP(-LN(2)/25))/(LN(2)/25)*Calculateur!HC17*Calculateur!HE17*VLOOKUP('Données projet'!$B$18,Paramètres!$A$1:$I$89,3,0)*0.475*44/12</f>
        <v>0</v>
      </c>
      <c r="HI17" s="23">
        <f>EXP(-LN(2)/2)*HI16+(1-EXP(-LN(2)/2))/(LN(2)/2)*HC17*HF17*VLOOKUP('Données projet'!$B$18,Paramètres!$A$1:$I$89,3,0)*0.475*44/12</f>
        <v>0</v>
      </c>
      <c r="HJ17" s="24">
        <f t="shared" si="30"/>
        <v>0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3.65</v>
      </c>
      <c r="N18" s="14">
        <f>IF('Données projet'!$A$36&gt;35,N17+M18-V17,IF(A18&lt;'Données projet'!$A$36,$K$205^A18,IF(A18='Données projet'!$A$36,'Données projet'!$B$36,N17+M18-V17)))</f>
        <v>24.974232188561476</v>
      </c>
      <c r="O18" s="14">
        <f>N18*VLOOKUP('Données projet'!$B$9,Paramètres!$A$1:$I$89,3,0)*VLOOKUP('Données projet'!$B$9,Paramètres!$A$1:$I$89,5,0)</f>
        <v>22.596685284210423</v>
      </c>
      <c r="P18" s="14">
        <f t="shared" si="33"/>
        <v>7.2441259820371586</v>
      </c>
      <c r="Q18" s="22">
        <f t="shared" si="2"/>
        <v>51.972746288714539</v>
      </c>
      <c r="R18" s="62">
        <f t="shared" si="0"/>
        <v>326.97274628871452</v>
      </c>
      <c r="S18" s="62">
        <f ca="1">AVERAGE(OFFSET($R$3,0,0,'Données projet'!$E$9+1,1))-AVERAGE(OFFSET($H$3,0,0,'Données projet'!$E$9+1,1))</f>
        <v>509.56241660612449</v>
      </c>
      <c r="T18" s="62">
        <f t="shared" si="34"/>
        <v>278.21741231699929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3.65</v>
      </c>
      <c r="AI18" s="14">
        <f>IF('Données projet'!$A$62&gt;35,AI17+AH18-AQ17,IF(A18&lt;'Données projet'!$A$62,$AF$205^A18,IF(A18='Données projet'!$A$62,'Données projet'!$B$62,AI17+AH18-AQ17)))</f>
        <v>24.974232188561476</v>
      </c>
      <c r="AJ18" s="14">
        <f>AI18*VLOOKUP('Données projet'!$B$10,Paramètres!$A$1:$I$89,3,0)*VLOOKUP('Données projet'!$B$10,Paramètres!$A$1:$I$89,5,0)</f>
        <v>25.323871439201337</v>
      </c>
      <c r="AK18" s="14">
        <f t="shared" si="35"/>
        <v>8.0114524854610902</v>
      </c>
      <c r="AL18" s="22">
        <f t="shared" si="4"/>
        <v>58.059022502120392</v>
      </c>
      <c r="AM18" s="62">
        <f t="shared" si="5"/>
        <v>333.0590225021204</v>
      </c>
      <c r="AN18" s="62">
        <f ca="1">AVERAGE(OFFSET($AM$3,0,0,'Données projet'!$E$10+1,1))-AVERAGE(OFFSET($H$3,0,0,'Données projet'!$E$10+1,1))</f>
        <v>565.72091871734051</v>
      </c>
      <c r="AO18" s="62">
        <f t="shared" si="36"/>
        <v>306.61893266146666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>
        <f>VLOOKUP(A18,'Données projet'!$A$87:$I$107,2,0)</f>
        <v>64.5</v>
      </c>
      <c r="BB18" s="13">
        <f>VLOOKUP(A18,'Données projet'!$A$87:$I$107,9,0)</f>
        <v>10.68</v>
      </c>
      <c r="BC18" s="13">
        <f t="array" ref="BC18">INDEX(BB:BB,MIN(IF(ISNUMBER(BB18:BB214),ROW(BB18:BB214),"")))</f>
        <v>10.68</v>
      </c>
      <c r="BD18" s="13">
        <f>IF('Données projet'!$A$88&gt;35,BD17+BC18-BL17,IF(A18&lt;'Données projet'!$A$88,$BA$205^A18,IF(A18='Données projet'!$A$88,'Données projet'!$B$88,BD17+BC18-BL17)))</f>
        <v>64.5</v>
      </c>
      <c r="BE18" s="14">
        <f>BD18*VLOOKUP('Données projet'!$B$11,Paramètres!$A$1:$I$89,3,0)*VLOOKUP('Données projet'!$B$11,Paramètres!$A$1:$I$89,5,0)</f>
        <v>47.291399999999996</v>
      </c>
      <c r="BF18" s="14">
        <f t="shared" si="37"/>
        <v>13.91200070808976</v>
      </c>
      <c r="BG18" s="22">
        <f t="shared" si="7"/>
        <v>106.595922899923</v>
      </c>
      <c r="BH18" s="62">
        <f t="shared" si="8"/>
        <v>381.59592289992298</v>
      </c>
      <c r="BI18" s="62">
        <f ca="1">AVERAGE(OFFSET($BH$3,0,0,'Données projet'!$E$11+1,1))-AVERAGE(OFFSET($H$3,0,0,'Données projet'!$E$11+1,1))</f>
        <v>344.26020118887629</v>
      </c>
      <c r="BJ18" s="62">
        <f t="shared" si="38"/>
        <v>376.41441893222185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3.65</v>
      </c>
      <c r="BY18" s="13">
        <f>IF('Données projet'!$A$114&gt;35,BY17+BX18-CG17,IF(A18&lt;'Données projet'!$A$114,$BV$205^A18,IF(A18='Données projet'!$A$114,'Données projet'!$B$114,BY17+BX18-CG17)))</f>
        <v>24.974232188561476</v>
      </c>
      <c r="BZ18" s="14">
        <f>BY18*VLOOKUP('Données projet'!$B$12,Paramètres!$A$1:$I$89,3,0)*VLOOKUP('Données projet'!$B$12,Paramètres!$A$1:$I$89,5,0)</f>
        <v>21.03829319564419</v>
      </c>
      <c r="CA18" s="14">
        <f t="shared" si="39"/>
        <v>6.8008648676982615</v>
      </c>
      <c r="CB18" s="22">
        <f t="shared" si="10"/>
        <v>48.486533626988098</v>
      </c>
      <c r="CC18" s="62">
        <f t="shared" si="11"/>
        <v>323.48653362698809</v>
      </c>
      <c r="CD18" s="62">
        <f ca="1">AVERAGE(OFFSET($CC$3,0,0,'Données projet'!$E$12+1,1))-AVERAGE(OFFSET($H$3,0,0,'Données projet'!$E$12+1,1))</f>
        <v>477.4105367901771</v>
      </c>
      <c r="CE18" s="62">
        <f t="shared" si="40"/>
        <v>261.95434270986397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3.4358974358974361</v>
      </c>
      <c r="CT18" s="13">
        <f>IF('Données projet'!$A$140&gt;35,CT17+CS18-DB17,IF(A18&lt;'Données projet'!$A$140,$CQ$205^A18,IF(A18='Données projet'!$A$140,'Données projet'!$B$140,CT17+CS18-DB17)))</f>
        <v>10.152680585782415</v>
      </c>
      <c r="CU18" s="18">
        <f>CT18*VLOOKUP('Données projet'!$B$13,Paramètres!$A$1:$I$89,3,0)*VLOOKUP('Données projet'!$B$13,Paramètres!$A$1:$I$89,5,0)</f>
        <v>4.7514545141461699</v>
      </c>
      <c r="CV18" s="14">
        <f t="shared" si="41"/>
        <v>1.8264005426369321</v>
      </c>
      <c r="CW18" s="22">
        <f t="shared" si="13"/>
        <v>11.456430890563903</v>
      </c>
      <c r="CX18" s="62">
        <f t="shared" si="14"/>
        <v>286.45643089056392</v>
      </c>
      <c r="CY18" s="62">
        <f ca="1">AVERAGE(OFFSET($CX$3,0,0,'Données projet'!$E$13+1,1))-AVERAGE(OFFSET($H$3,0,0,'Données projet'!$E$13+1,1))</f>
        <v>246.64907095367749</v>
      </c>
      <c r="CZ18" s="62">
        <f t="shared" si="42"/>
        <v>145.34368562171613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>
        <f>VLOOKUP(A18,'Données projet'!$A$165:$I$185,2,0)</f>
        <v>64.5</v>
      </c>
      <c r="DM18" s="13">
        <f>VLOOKUP(A18,'Données projet'!$A$165:$I$185,9,0)</f>
        <v>10.68</v>
      </c>
      <c r="DN18" s="13">
        <f t="array" ref="DN18">INDEX(DM:DM,MIN(IF(ISNUMBER(DM18:DM214),ROW(DM18:DM214),"")))</f>
        <v>10.68</v>
      </c>
      <c r="DO18" s="13">
        <f>IF('Données projet'!$A$166&gt;35,DO17+DN18-DW17,IF(A18&lt;'Données projet'!$A$166,$DL$205^A18,IF(A18='Données projet'!$A$166,'Données projet'!$B$166,DO17+DN18-DW17)))</f>
        <v>64.5</v>
      </c>
      <c r="DP18" s="18">
        <f>DO18*VLOOKUP('Données projet'!$B$14,Paramètres!$A$1:$I$89,3,0)*VLOOKUP('Données projet'!$B$14,Paramètres!$A$1:$I$89,5,0)</f>
        <v>51.316200000000009</v>
      </c>
      <c r="DQ18" s="14">
        <f t="shared" si="43"/>
        <v>14.953158316506878</v>
      </c>
      <c r="DR18" s="22">
        <f t="shared" si="16"/>
        <v>115.41913240124948</v>
      </c>
      <c r="DS18" s="62">
        <f t="shared" si="17"/>
        <v>390.4191324012495</v>
      </c>
      <c r="DT18" s="62">
        <f ca="1">AVERAGE(OFFSET($DS$3,0,0,'Données projet'!$E$14+1,1))-AVERAGE(OFFSET($H$3,0,0,'Données projet'!$E$14+1,1))</f>
        <v>370.38521334472284</v>
      </c>
      <c r="DU18" s="62">
        <f t="shared" si="44"/>
        <v>404.61777090709171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0.16666666666666666</v>
      </c>
      <c r="EJ18" s="13">
        <f>IF('Données projet'!$A$192&gt;35,EJ17+EI18-ER17,IF(A18&lt;'Données projet'!$A$192,$EG$205^A18,IF(A18='Données projet'!$A$192,'Données projet'!$B$192,EJ17+EI18-ER17)))</f>
        <v>2.4980495329668129</v>
      </c>
      <c r="EK18" s="18">
        <f>EJ18*VLOOKUP('Données projet'!$B$15,Paramètres!$A$1:$I$89,3,0)*VLOOKUP('Données projet'!$B$15,Paramètres!$A$1:$I$89,5,0)</f>
        <v>2.1433264992855254</v>
      </c>
      <c r="EL18" s="14">
        <f t="shared" si="45"/>
        <v>0.90386114265571504</v>
      </c>
      <c r="EM18" s="22">
        <f t="shared" si="19"/>
        <v>5.3071851430476604</v>
      </c>
      <c r="EN18" s="62">
        <f t="shared" si="20"/>
        <v>280.30718514304766</v>
      </c>
      <c r="EO18" s="62">
        <f ca="1">AVERAGE(OFFSET($EN$3,0,0,'Données projet'!$E$15+1,1))-AVERAGE(OFFSET($H$3,0,0,'Données projet'!$E$15+1,1))</f>
        <v>445.81166342116865</v>
      </c>
      <c r="EP18" s="62">
        <f t="shared" si="46"/>
        <v>230.82970731138215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3.65</v>
      </c>
      <c r="FE18" s="13">
        <f>IF('Données projet'!$A$218&gt;35,FE17+FD18-FM17,IF(A18&lt;'Données projet'!$A$218,$FB$205^A18,IF(A18='Données projet'!$A$218,'Données projet'!$B$218,FE17+FD18-FM17)))</f>
        <v>24.974232188561476</v>
      </c>
      <c r="FF18" s="18">
        <f>FE18*VLOOKUP('Données projet'!$B$16,Paramètres!$A$1:$I$89,3,0)*VLOOKUP('Données projet'!$B$16,Paramètres!$A$1:$I$89,5,0)</f>
        <v>24.155077372776663</v>
      </c>
      <c r="FG18" s="14">
        <f t="shared" si="47"/>
        <v>7.6838400568695304</v>
      </c>
      <c r="FH18" s="22">
        <f t="shared" si="22"/>
        <v>55.452781189967119</v>
      </c>
      <c r="FI18" s="62">
        <f t="shared" si="23"/>
        <v>330.45278118996714</v>
      </c>
      <c r="FJ18" s="62">
        <f ca="1">AVERAGE(OFFSET($FI$3,0,0,'Données projet'!$E$16+1,1))-AVERAGE(OFFSET($H$3,0,0,'Données projet'!$E$16+1,1))</f>
        <v>541.66888676162716</v>
      </c>
      <c r="FK18" s="62">
        <f t="shared" si="48"/>
        <v>294.45557293177131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>
        <f>EXP(-LN(2)/35)*FQ17+(1-EXP(-LN(2)/35))/(LN(2)/35)*FM18*FN18*VLOOKUP('Données projet'!$B$16,Paramètres!$A$1:$I$89,3,0)*0.475*44/12</f>
        <v>0</v>
      </c>
      <c r="FR18" s="23">
        <f>EXP(-LN(2)/25)*FR17+(1-EXP(-LN(2)/25))/(LN(2)/25)*Calculateur!FM18*Calculateur!FO18*VLOOKUP('Données projet'!$B$16,Paramètres!$A$1:$I$89,3,0)*0.475*44/12</f>
        <v>0</v>
      </c>
      <c r="FS18" s="23">
        <f>EXP(-LN(2)/2)*FS17+(1-EXP(-LN(2)/2))/(LN(2)/2)*FM18*FP18*VLOOKUP('Données projet'!$B$16,Paramètres!$A$1:$I$89,3,0)*0.475*44/12</f>
        <v>0</v>
      </c>
      <c r="FT18" s="24">
        <f t="shared" si="24"/>
        <v>0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>
        <f>VLOOKUP(A18,'Données projet'!$A$243:$I$263,2,0)</f>
        <v>40</v>
      </c>
      <c r="FX18" s="13">
        <f>VLOOKUP(A18,'Données projet'!$A$243:$I$263,9,0)</f>
        <v>2.6666666666666665</v>
      </c>
      <c r="FY18" s="13">
        <f t="array" ref="FY18">INDEX(FX:FX,MIN(IF(ISNUMBER(FX18:FX214),ROW(FX18:FX214),"")))</f>
        <v>2.6666666666666665</v>
      </c>
      <c r="FZ18" s="13">
        <f>IF('Données projet'!$A$244&gt;35,FZ17+FY18-GH17,IF(A18&lt;'Données projet'!$A$244,$FW$205^A18,IF(A18='Données projet'!$A$244,'Données projet'!$B$244,FZ17+FY18-GH17)))</f>
        <v>40</v>
      </c>
      <c r="GA18" s="18">
        <f>FZ18*VLOOKUP('Données projet'!$B$17,Paramètres!$A$1:$I$89,3,0)*VLOOKUP('Données projet'!$B$17,Paramètres!$A$1:$I$89,5,0)</f>
        <v>31.200000000000003</v>
      </c>
      <c r="GB18" s="14">
        <f t="shared" si="49"/>
        <v>9.6335657126419925</v>
      </c>
      <c r="GC18" s="22">
        <f t="shared" si="25"/>
        <v>71.118460282851473</v>
      </c>
      <c r="GD18" s="62">
        <f t="shared" si="26"/>
        <v>346.11846028285146</v>
      </c>
      <c r="GE18" s="62">
        <f ca="1">AVERAGE(OFFSET($GD$3,0,0,'Données projet'!$E$17+1,1))-AVERAGE(OFFSET($H$3,0,0,'Données projet'!$E$17+1,1))</f>
        <v>292.57482726862594</v>
      </c>
      <c r="GF18" s="62">
        <f t="shared" si="50"/>
        <v>283.48738729114024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>
        <f>EXP(-LN(2)/35)*GL17+(1-EXP(-LN(2)/35))/(LN(2)/35)*GH18*GI18*VLOOKUP('Données projet'!$B$17,Paramètres!$A$1:$I$89,3,0)*0.475*44/12</f>
        <v>0</v>
      </c>
      <c r="GM18" s="23">
        <f>EXP(-LN(2)/25)*GM17+(1-EXP(-LN(2)/25))/(LN(2)/25)*Calculateur!GH18*Calculateur!GJ18*VLOOKUP('Données projet'!$B$17,Paramètres!$A$1:$I$89,3,0)*0.475*44/12</f>
        <v>0</v>
      </c>
      <c r="GN18" s="23">
        <f>EXP(-LN(2)/2)*GN17+(1-EXP(-LN(2)/2))/(LN(2)/2)*GH18*GK18*VLOOKUP('Données projet'!$B$17,Paramètres!$A$1:$I$89,3,0)*0.475*44/12</f>
        <v>0</v>
      </c>
      <c r="GO18" s="23">
        <f t="shared" si="27"/>
        <v>0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>
        <f>VLOOKUP(A18,'Données projet'!$A$269:$I$289,2,0)</f>
        <v>100.64102564102564</v>
      </c>
      <c r="GS18" s="13">
        <f>VLOOKUP(A18,'Données projet'!$A$269:$I$289,9,0)</f>
        <v>10.897435897435896</v>
      </c>
      <c r="GT18" s="13">
        <f t="array" ref="GT18">INDEX(GS:GS,MIN(IF(ISNUMBER(GS18:GS214),ROW(GS18:GS214),"")))</f>
        <v>10.897435897435896</v>
      </c>
      <c r="GU18" s="13">
        <f>IF('Données projet'!$A$270&gt;35,GU17+GT18-HC17,IF(A18&lt;'Données projet'!$A$270,$GR$205^A18,IF(A18='Données projet'!$A$270,'Données projet'!$B$270,GU17+GT18-HC17)))</f>
        <v>100.64102564102564</v>
      </c>
      <c r="GV18" s="18">
        <f>GU18*VLOOKUP('Données projet'!$B$18,Paramètres!$A$1:$I$89,3,0)*VLOOKUP('Données projet'!$B$18,Paramètres!$A$1:$I$89,5,0)</f>
        <v>67.509999999999991</v>
      </c>
      <c r="GW18" s="14">
        <f t="shared" si="51"/>
        <v>19.053805387418848</v>
      </c>
      <c r="GX18" s="22">
        <f t="shared" si="28"/>
        <v>150.76529438308779</v>
      </c>
      <c r="GY18" s="62">
        <f t="shared" si="29"/>
        <v>425.76529438308779</v>
      </c>
      <c r="GZ18" s="62">
        <f ca="1">AVERAGE(OFFSET($GY$3,0,0,'Données projet'!$E$18+1,1))-AVERAGE(OFFSET($H$3,0,0,'Données projet'!$E$18+1,1))</f>
        <v>410.20186800287411</v>
      </c>
      <c r="HA18" s="62">
        <f t="shared" si="52"/>
        <v>321.99347958016057</v>
      </c>
      <c r="HB18" s="16">
        <f>IF(ISNA(VLOOKUP(A18,'Données projet'!$A$269:$I$289,3,0)),0,VLOOKUP(A18,'Données projet'!$A$269:$I$289,3,0))</f>
        <v>1</v>
      </c>
      <c r="HC18" s="16">
        <f>IF(ISNA(VLOOKUP(A18,'Données projet'!$A$269:$I$289,4,0)),0,VLOOKUP(A18,'Données projet'!$A$269:$I$289,4,0))</f>
        <v>27.564102564102562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>
        <f>EXP(-LN(2)/35)*HG17+(1-EXP(-LN(2)/35))/(LN(2)/35)*HC18*HD18*VLOOKUP('Données projet'!$B$18,Paramètres!$A$1:$I$89,3,0)*0.475*44/12</f>
        <v>0</v>
      </c>
      <c r="HH18" s="23">
        <f>EXP(-LN(2)/25)*HH17+(1-EXP(-LN(2)/25))/(LN(2)/25)*Calculateur!HC18*Calculateur!HE18*VLOOKUP('Données projet'!$B$18,Paramètres!$A$1:$I$89,3,0)*0.475*44/12</f>
        <v>0</v>
      </c>
      <c r="HI18" s="23">
        <f>EXP(-LN(2)/2)*HI17+(1-EXP(-LN(2)/2))/(LN(2)/2)*HC18*HF18*VLOOKUP('Données projet'!$B$18,Paramètres!$A$1:$I$89,3,0)*0.475*44/12</f>
        <v>0</v>
      </c>
      <c r="HJ18" s="24">
        <f t="shared" si="30"/>
        <v>0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3.65</v>
      </c>
      <c r="N19" s="14">
        <f>IF('Données projet'!$A$36&gt;35,N18+M19-V18,IF(A19&lt;'Données projet'!$A$36,$K$205^A19,IF(A19='Données projet'!$A$36,'Données projet'!$B$36,N18+M19-V18)))</f>
        <v>30.949831440200953</v>
      </c>
      <c r="O19" s="14">
        <f>N19*VLOOKUP('Données projet'!$B$9,Paramètres!$A$1:$I$89,3,0)*VLOOKUP('Données projet'!$B$9,Paramètres!$A$1:$I$89,5,0)</f>
        <v>28.003407487093821</v>
      </c>
      <c r="P19" s="14">
        <f t="shared" si="33"/>
        <v>8.7560372090925433</v>
      </c>
      <c r="Q19" s="22">
        <f t="shared" si="2"/>
        <v>64.022699512524582</v>
      </c>
      <c r="R19" s="62">
        <f t="shared" si="0"/>
        <v>340.24492173474681</v>
      </c>
      <c r="S19" s="62">
        <f ca="1">AVERAGE(OFFSET($R$3,0,0,'Données projet'!$E$9+1,1))-AVERAGE(OFFSET($H$3,0,0,'Données projet'!$E$9+1,1))</f>
        <v>509.56241660612449</v>
      </c>
      <c r="T19" s="62">
        <f t="shared" si="34"/>
        <v>278.21741231699929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3.65</v>
      </c>
      <c r="AI19" s="14">
        <f>IF('Données projet'!$A$62&gt;35,AI18+AH19-AQ18,IF(A19&lt;'Données projet'!$A$62,$AF$205^A19,IF(A19='Données projet'!$A$62,'Données projet'!$B$62,AI18+AH19-AQ18)))</f>
        <v>30.949831440200953</v>
      </c>
      <c r="AJ19" s="14">
        <f>AI19*VLOOKUP('Données projet'!$B$10,Paramètres!$A$1:$I$89,3,0)*VLOOKUP('Données projet'!$B$10,Paramètres!$A$1:$I$89,5,0)</f>
        <v>31.383129080363769</v>
      </c>
      <c r="AK19" s="14">
        <f t="shared" si="35"/>
        <v>9.6835113353243223</v>
      </c>
      <c r="AL19" s="22">
        <f t="shared" si="4"/>
        <v>71.524398723990075</v>
      </c>
      <c r="AM19" s="62">
        <f t="shared" si="5"/>
        <v>347.74662094621232</v>
      </c>
      <c r="AN19" s="62">
        <f ca="1">AVERAGE(OFFSET($AM$3,0,0,'Données projet'!$E$10+1,1))-AVERAGE(OFFSET($H$3,0,0,'Données projet'!$E$10+1,1))</f>
        <v>565.72091871734051</v>
      </c>
      <c r="AO19" s="62">
        <f t="shared" si="36"/>
        <v>306.61893266146666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13.760000000000002</v>
      </c>
      <c r="BD19" s="13">
        <f>IF('Données projet'!$A$88&gt;35,BD18+BC19-BL18,IF(A19&lt;'Données projet'!$A$88,$BA$205^A19,IF(A19='Données projet'!$A$88,'Données projet'!$B$88,BD18+BC19-BL18)))</f>
        <v>78.260000000000005</v>
      </c>
      <c r="BE19" s="14">
        <f>BD19*VLOOKUP('Données projet'!$B$11,Paramètres!$A$1:$I$89,3,0)*VLOOKUP('Données projet'!$B$11,Paramètres!$A$1:$I$89,5,0)</f>
        <v>57.380232000000007</v>
      </c>
      <c r="BF19" s="14">
        <f t="shared" si="37"/>
        <v>16.504198297054995</v>
      </c>
      <c r="BG19" s="22">
        <f t="shared" si="7"/>
        <v>128.68204943403745</v>
      </c>
      <c r="BH19" s="62">
        <f t="shared" si="8"/>
        <v>404.90427165625965</v>
      </c>
      <c r="BI19" s="62">
        <f ca="1">AVERAGE(OFFSET($BH$3,0,0,'Données projet'!$E$11+1,1))-AVERAGE(OFFSET($H$3,0,0,'Données projet'!$E$11+1,1))</f>
        <v>344.26020118887629</v>
      </c>
      <c r="BJ19" s="62">
        <f t="shared" si="38"/>
        <v>376.41441893222185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3.65</v>
      </c>
      <c r="BY19" s="13">
        <f>IF('Données projet'!$A$114&gt;35,BY18+BX19-CG18,IF(A19&lt;'Données projet'!$A$114,$BV$205^A19,IF(A19='Données projet'!$A$114,'Données projet'!$B$114,BY18+BX19-CG18)))</f>
        <v>30.949831440200953</v>
      </c>
      <c r="BZ19" s="14">
        <f>BY19*VLOOKUP('Données projet'!$B$12,Paramètres!$A$1:$I$89,3,0)*VLOOKUP('Données projet'!$B$12,Paramètres!$A$1:$I$89,5,0)</f>
        <v>26.072138005225284</v>
      </c>
      <c r="CA19" s="14">
        <f t="shared" si="39"/>
        <v>8.2202636982343371</v>
      </c>
      <c r="CB19" s="22">
        <f t="shared" si="10"/>
        <v>59.725932966858835</v>
      </c>
      <c r="CC19" s="62">
        <f t="shared" si="11"/>
        <v>335.94815518908104</v>
      </c>
      <c r="CD19" s="62">
        <f ca="1">AVERAGE(OFFSET($CC$3,0,0,'Données projet'!$E$12+1,1))-AVERAGE(OFFSET($H$3,0,0,'Données projet'!$E$12+1,1))</f>
        <v>477.4105367901771</v>
      </c>
      <c r="CE19" s="62">
        <f t="shared" si="40"/>
        <v>261.95434270986397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3.4358974358974361</v>
      </c>
      <c r="CT19" s="13">
        <f>IF('Données projet'!$A$140&gt;35,CT18+CS19-DB18,IF(A19&lt;'Données projet'!$A$140,$CQ$205^A19,IF(A19='Données projet'!$A$140,'Données projet'!$B$140,CT18+CS19-DB18)))</f>
        <v>11.849120186081615</v>
      </c>
      <c r="CU19" s="18">
        <f>CT19*VLOOKUP('Données projet'!$B$13,Paramètres!$A$1:$I$89,3,0)*VLOOKUP('Données projet'!$B$13,Paramètres!$A$1:$I$89,5,0)</f>
        <v>5.545388247086195</v>
      </c>
      <c r="CV19" s="14">
        <f t="shared" si="41"/>
        <v>2.0935837688261665</v>
      </c>
      <c r="CW19" s="22">
        <f t="shared" si="13"/>
        <v>13.304542927714031</v>
      </c>
      <c r="CX19" s="62">
        <f t="shared" si="14"/>
        <v>289.52676514993624</v>
      </c>
      <c r="CY19" s="62">
        <f ca="1">AVERAGE(OFFSET($CX$3,0,0,'Données projet'!$E$13+1,1))-AVERAGE(OFFSET($H$3,0,0,'Données projet'!$E$13+1,1))</f>
        <v>246.64907095367749</v>
      </c>
      <c r="CZ19" s="62">
        <f t="shared" si="42"/>
        <v>145.34368562171613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13.760000000000002</v>
      </c>
      <c r="DO19" s="13">
        <f>IF('Données projet'!$A$166&gt;35,DO18+DN19-DW18,IF(A19&lt;'Données projet'!$A$166,$DL$205^A19,IF(A19='Données projet'!$A$166,'Données projet'!$B$166,DO18+DN19-DW18)))</f>
        <v>78.260000000000005</v>
      </c>
      <c r="DP19" s="18">
        <f>DO19*VLOOKUP('Données projet'!$B$14,Paramètres!$A$1:$I$89,3,0)*VLOOKUP('Données projet'!$B$14,Paramètres!$A$1:$I$89,5,0)</f>
        <v>62.263656000000012</v>
      </c>
      <c r="DQ19" s="14">
        <f t="shared" si="43"/>
        <v>17.739352894036266</v>
      </c>
      <c r="DR19" s="22">
        <f t="shared" si="16"/>
        <v>139.33857382377983</v>
      </c>
      <c r="DS19" s="62">
        <f t="shared" si="17"/>
        <v>415.56079604600205</v>
      </c>
      <c r="DT19" s="62">
        <f ca="1">AVERAGE(OFFSET($DS$3,0,0,'Données projet'!$E$14+1,1))-AVERAGE(OFFSET($H$3,0,0,'Données projet'!$E$14+1,1))</f>
        <v>370.38521334472284</v>
      </c>
      <c r="DU19" s="62">
        <f t="shared" si="44"/>
        <v>404.61777090709171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0.16666666666666666</v>
      </c>
      <c r="EJ19" s="13">
        <f>IF('Données projet'!$A$192&gt;35,EJ18+EI19-ER18,IF(A19&lt;'Données projet'!$A$192,$EG$205^A19,IF(A19='Données projet'!$A$192,'Données projet'!$B$192,EJ18+EI19-ER18)))</f>
        <v>2.6552644562143808</v>
      </c>
      <c r="EK19" s="18">
        <f>EJ19*VLOOKUP('Données projet'!$B$15,Paramètres!$A$1:$I$89,3,0)*VLOOKUP('Données projet'!$B$15,Paramètres!$A$1:$I$89,5,0)</f>
        <v>2.2782169034319391</v>
      </c>
      <c r="EL19" s="14">
        <f t="shared" si="45"/>
        <v>0.95394441247757078</v>
      </c>
      <c r="EM19" s="22">
        <f t="shared" si="19"/>
        <v>5.6293476252090633</v>
      </c>
      <c r="EN19" s="62">
        <f t="shared" si="20"/>
        <v>281.85156984743128</v>
      </c>
      <c r="EO19" s="62">
        <f ca="1">AVERAGE(OFFSET($EN$3,0,0,'Données projet'!$E$15+1,1))-AVERAGE(OFFSET($H$3,0,0,'Données projet'!$E$15+1,1))</f>
        <v>445.81166342116865</v>
      </c>
      <c r="EP19" s="62">
        <f t="shared" si="46"/>
        <v>230.82970731138215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3.65</v>
      </c>
      <c r="FE19" s="13">
        <f>IF('Données projet'!$A$218&gt;35,FE18+FD19-FM18,IF(A19&lt;'Données projet'!$A$218,$FB$205^A19,IF(A19='Données projet'!$A$218,'Données projet'!$B$218,FE18+FD19-FM18)))</f>
        <v>30.949831440200953</v>
      </c>
      <c r="FF19" s="18">
        <f>FE19*VLOOKUP('Données projet'!$B$16,Paramètres!$A$1:$I$89,3,0)*VLOOKUP('Données projet'!$B$16,Paramètres!$A$1:$I$89,5,0)</f>
        <v>29.934676968962361</v>
      </c>
      <c r="FG19" s="14">
        <f t="shared" si="47"/>
        <v>9.2875233828754098</v>
      </c>
      <c r="FH19" s="22">
        <f t="shared" si="22"/>
        <v>68.311998946117441</v>
      </c>
      <c r="FI19" s="62">
        <f t="shared" si="23"/>
        <v>344.53422116833968</v>
      </c>
      <c r="FJ19" s="62">
        <f ca="1">AVERAGE(OFFSET($FI$3,0,0,'Données projet'!$E$16+1,1))-AVERAGE(OFFSET($H$3,0,0,'Données projet'!$E$16+1,1))</f>
        <v>541.66888676162716</v>
      </c>
      <c r="FK19" s="62">
        <f t="shared" si="48"/>
        <v>294.45557293177131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>
        <f>EXP(-LN(2)/35)*FQ18+(1-EXP(-LN(2)/35))/(LN(2)/35)*FM19*FN19*VLOOKUP('Données projet'!$B$16,Paramètres!$A$1:$I$89,3,0)*0.475*44/12</f>
        <v>0</v>
      </c>
      <c r="FR19" s="23">
        <f>EXP(-LN(2)/25)*FR18+(1-EXP(-LN(2)/25))/(LN(2)/25)*Calculateur!FM19*Calculateur!FO19*VLOOKUP('Données projet'!$B$16,Paramètres!$A$1:$I$89,3,0)*0.475*44/12</f>
        <v>0</v>
      </c>
      <c r="FS19" s="23">
        <f>EXP(-LN(2)/2)*FS18+(1-EXP(-LN(2)/2))/(LN(2)/2)*FM19*FP19*VLOOKUP('Données projet'!$B$16,Paramètres!$A$1:$I$89,3,0)*0.475*44/12</f>
        <v>0</v>
      </c>
      <c r="FT19" s="24">
        <f t="shared" si="24"/>
        <v>0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9.6</v>
      </c>
      <c r="FZ19" s="13">
        <f>IF('Données projet'!$A$244&gt;35,FZ18+FY19-GH18,IF(A19&lt;'Données projet'!$A$244,$FW$205^A19,IF(A19='Données projet'!$A$244,'Données projet'!$B$244,FZ18+FY19-GH18)))</f>
        <v>49.6</v>
      </c>
      <c r="GA19" s="18">
        <f>FZ19*VLOOKUP('Données projet'!$B$17,Paramètres!$A$1:$I$89,3,0)*VLOOKUP('Données projet'!$B$17,Paramètres!$A$1:$I$89,5,0)</f>
        <v>38.688000000000002</v>
      </c>
      <c r="GB19" s="14">
        <f t="shared" si="49"/>
        <v>11.650229083154354</v>
      </c>
      <c r="GC19" s="22">
        <f t="shared" si="25"/>
        <v>87.672415653160499</v>
      </c>
      <c r="GD19" s="62">
        <f t="shared" si="26"/>
        <v>363.89463787538273</v>
      </c>
      <c r="GE19" s="62">
        <f ca="1">AVERAGE(OFFSET($GD$3,0,0,'Données projet'!$E$17+1,1))-AVERAGE(OFFSET($H$3,0,0,'Données projet'!$E$17+1,1))</f>
        <v>292.57482726862594</v>
      </c>
      <c r="GF19" s="62">
        <f t="shared" si="50"/>
        <v>283.48738729114024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>
        <f>EXP(-LN(2)/35)*GL18+(1-EXP(-LN(2)/35))/(LN(2)/35)*GH19*GI19*VLOOKUP('Données projet'!$B$17,Paramètres!$A$1:$I$89,3,0)*0.475*44/12</f>
        <v>0</v>
      </c>
      <c r="GM19" s="23">
        <f>EXP(-LN(2)/25)*GM18+(1-EXP(-LN(2)/25))/(LN(2)/25)*Calculateur!GH19*Calculateur!GJ19*VLOOKUP('Données projet'!$B$17,Paramètres!$A$1:$I$89,3,0)*0.475*44/12</f>
        <v>0</v>
      </c>
      <c r="GN19" s="23">
        <f>EXP(-LN(2)/2)*GN18+(1-EXP(-LN(2)/2))/(LN(2)/2)*GH19*GK19*VLOOKUP('Données projet'!$B$17,Paramètres!$A$1:$I$89,3,0)*0.475*44/12</f>
        <v>0</v>
      </c>
      <c r="GO19" s="23">
        <f t="shared" si="27"/>
        <v>0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11.538461538461542</v>
      </c>
      <c r="GU19" s="13">
        <f>IF('Données projet'!$A$270&gt;35,GU18+GT19-HC18,IF(A19&lt;'Données projet'!$A$270,$GR$205^A19,IF(A19='Données projet'!$A$270,'Données projet'!$B$270,GU18+GT19-HC18)))</f>
        <v>84.615384615384613</v>
      </c>
      <c r="GV19" s="18">
        <f>GU19*VLOOKUP('Données projet'!$B$18,Paramètres!$A$1:$I$89,3,0)*VLOOKUP('Données projet'!$B$18,Paramètres!$A$1:$I$89,5,0)</f>
        <v>56.759999999999991</v>
      </c>
      <c r="GW19" s="14">
        <f t="shared" si="51"/>
        <v>16.346467593680529</v>
      </c>
      <c r="GX19" s="22">
        <f t="shared" si="28"/>
        <v>127.32709772566022</v>
      </c>
      <c r="GY19" s="62">
        <f t="shared" si="29"/>
        <v>403.54931994788245</v>
      </c>
      <c r="GZ19" s="62">
        <f ca="1">AVERAGE(OFFSET($GY$3,0,0,'Données projet'!$E$18+1,1))-AVERAGE(OFFSET($H$3,0,0,'Données projet'!$E$18+1,1))</f>
        <v>410.20186800287411</v>
      </c>
      <c r="HA19" s="62">
        <f t="shared" si="52"/>
        <v>321.99347958016057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>
        <f>EXP(-LN(2)/35)*HG18+(1-EXP(-LN(2)/35))/(LN(2)/35)*HC19*HD19*VLOOKUP('Données projet'!$B$18,Paramètres!$A$1:$I$89,3,0)*0.475*44/12</f>
        <v>0</v>
      </c>
      <c r="HH19" s="23">
        <f>EXP(-LN(2)/25)*HH18+(1-EXP(-LN(2)/25))/(LN(2)/25)*Calculateur!HC19*Calculateur!HE19*VLOOKUP('Données projet'!$B$18,Paramètres!$A$1:$I$89,3,0)*0.475*44/12</f>
        <v>0</v>
      </c>
      <c r="HI19" s="23">
        <f>EXP(-LN(2)/2)*HI18+(1-EXP(-LN(2)/2))/(LN(2)/2)*HC19*HF19*VLOOKUP('Données projet'!$B$18,Paramètres!$A$1:$I$89,3,0)*0.475*44/12</f>
        <v>0</v>
      </c>
      <c r="HJ19" s="24">
        <f t="shared" si="30"/>
        <v>0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3.65</v>
      </c>
      <c r="N20" s="14">
        <f>IF('Données projet'!$A$36&gt;35,N19+M20-V19,IF(A20&lt;'Données projet'!$A$36,$K$205^A20,IF(A20='Données projet'!$A$36,'Données projet'!$B$36,N19+M20-V19)))</f>
        <v>38.355215845858055</v>
      </c>
      <c r="O20" s="14">
        <f>N20*VLOOKUP('Données projet'!$B$9,Paramètres!$A$1:$I$89,3,0)*VLOOKUP('Données projet'!$B$9,Paramètres!$A$1:$I$89,5,0)</f>
        <v>34.703799297332367</v>
      </c>
      <c r="P20" s="14">
        <f t="shared" si="33"/>
        <v>10.583497277259243</v>
      </c>
      <c r="Q20" s="22">
        <f t="shared" si="2"/>
        <v>78.875374867413711</v>
      </c>
      <c r="R20" s="62">
        <f t="shared" si="0"/>
        <v>356.31981931185817</v>
      </c>
      <c r="S20" s="62">
        <f ca="1">AVERAGE(OFFSET($R$3,0,0,'Données projet'!$E$9+1,1))-AVERAGE(OFFSET($H$3,0,0,'Données projet'!$E$9+1,1))</f>
        <v>509.56241660612449</v>
      </c>
      <c r="T20" s="62">
        <f t="shared" si="34"/>
        <v>278.21741231699929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3.65</v>
      </c>
      <c r="AI20" s="14">
        <f>IF('Données projet'!$A$62&gt;35,AI19+AH20-AQ19,IF(A20&lt;'Données projet'!$A$62,$AF$205^A20,IF(A20='Données projet'!$A$62,'Données projet'!$B$62,AI19+AH20-AQ19)))</f>
        <v>38.355215845858055</v>
      </c>
      <c r="AJ20" s="14">
        <f>AI20*VLOOKUP('Données projet'!$B$10,Paramètres!$A$1:$I$89,3,0)*VLOOKUP('Données projet'!$B$10,Paramètres!$A$1:$I$89,5,0)</f>
        <v>38.892188867700071</v>
      </c>
      <c r="AK20" s="14">
        <f t="shared" si="35"/>
        <v>11.704543208803392</v>
      </c>
      <c r="AL20" s="22">
        <f t="shared" si="4"/>
        <v>88.122641699910204</v>
      </c>
      <c r="AM20" s="62">
        <f t="shared" si="5"/>
        <v>365.56708614435468</v>
      </c>
      <c r="AN20" s="62">
        <f ca="1">AVERAGE(OFFSET($AM$3,0,0,'Données projet'!$E$10+1,1))-AVERAGE(OFFSET($H$3,0,0,'Données projet'!$E$10+1,1))</f>
        <v>565.72091871734051</v>
      </c>
      <c r="AO20" s="62">
        <f t="shared" si="36"/>
        <v>306.61893266146666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13.760000000000002</v>
      </c>
      <c r="BD20" s="13">
        <f>IF('Données projet'!$A$88&gt;35,BD19+BC20-BL19,IF(A20&lt;'Données projet'!$A$88,$BA$205^A20,IF(A20='Données projet'!$A$88,'Données projet'!$B$88,BD19+BC20-BL19)))</f>
        <v>92.02000000000001</v>
      </c>
      <c r="BE20" s="14">
        <f>BD20*VLOOKUP('Données projet'!$B$11,Paramètres!$A$1:$I$89,3,0)*VLOOKUP('Données projet'!$B$11,Paramètres!$A$1:$I$89,5,0)</f>
        <v>67.469064000000003</v>
      </c>
      <c r="BF20" s="14">
        <f t="shared" si="37"/>
        <v>19.043596226295445</v>
      </c>
      <c r="BG20" s="22">
        <f t="shared" si="7"/>
        <v>150.67621656079791</v>
      </c>
      <c r="BH20" s="62">
        <f t="shared" si="8"/>
        <v>428.12066100524237</v>
      </c>
      <c r="BI20" s="62">
        <f ca="1">AVERAGE(OFFSET($BH$3,0,0,'Données projet'!$E$11+1,1))-AVERAGE(OFFSET($H$3,0,0,'Données projet'!$E$11+1,1))</f>
        <v>344.26020118887629</v>
      </c>
      <c r="BJ20" s="62">
        <f t="shared" si="38"/>
        <v>376.41441893222185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3.65</v>
      </c>
      <c r="BY20" s="13">
        <f>IF('Données projet'!$A$114&gt;35,BY19+BX20-CG19,IF(A20&lt;'Données projet'!$A$114,$BV$205^A20,IF(A20='Données projet'!$A$114,'Données projet'!$B$114,BY19+BX20-CG19)))</f>
        <v>38.355215845858055</v>
      </c>
      <c r="BZ20" s="14">
        <f>BY20*VLOOKUP('Données projet'!$B$12,Paramètres!$A$1:$I$89,3,0)*VLOOKUP('Données projet'!$B$12,Paramètres!$A$1:$I$89,5,0)</f>
        <v>32.310433828550828</v>
      </c>
      <c r="CA20" s="14">
        <f t="shared" si="39"/>
        <v>9.9359032392271498</v>
      </c>
      <c r="CB20" s="22">
        <f t="shared" si="10"/>
        <v>73.579037059713301</v>
      </c>
      <c r="CC20" s="62">
        <f t="shared" si="11"/>
        <v>351.02348150415776</v>
      </c>
      <c r="CD20" s="62">
        <f ca="1">AVERAGE(OFFSET($CC$3,0,0,'Données projet'!$E$12+1,1))-AVERAGE(OFFSET($H$3,0,0,'Données projet'!$E$12+1,1))</f>
        <v>477.4105367901771</v>
      </c>
      <c r="CE20" s="62">
        <f t="shared" si="40"/>
        <v>261.95434270986397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3.4358974358974361</v>
      </c>
      <c r="CT20" s="13">
        <f>IF('Données projet'!$A$140&gt;35,CT19+CS20-DB19,IF(A20&lt;'Données projet'!$A$140,$CQ$205^A20,IF(A20='Données projet'!$A$140,'Données projet'!$B$140,CT19+CS20-DB19)))</f>
        <v>13.82902259141513</v>
      </c>
      <c r="CU20" s="18">
        <f>CT20*VLOOKUP('Données projet'!$B$13,Paramètres!$A$1:$I$89,3,0)*VLOOKUP('Données projet'!$B$13,Paramètres!$A$1:$I$89,5,0)</f>
        <v>6.4719825727822808</v>
      </c>
      <c r="CV20" s="14">
        <f t="shared" si="41"/>
        <v>2.399853096169215</v>
      </c>
      <c r="CW20" s="22">
        <f t="shared" si="13"/>
        <v>15.45178045675719</v>
      </c>
      <c r="CX20" s="62">
        <f t="shared" si="14"/>
        <v>292.89622490120166</v>
      </c>
      <c r="CY20" s="62">
        <f ca="1">AVERAGE(OFFSET($CX$3,0,0,'Données projet'!$E$13+1,1))-AVERAGE(OFFSET($H$3,0,0,'Données projet'!$E$13+1,1))</f>
        <v>246.64907095367749</v>
      </c>
      <c r="CZ20" s="62">
        <f t="shared" si="42"/>
        <v>145.34368562171613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13.760000000000002</v>
      </c>
      <c r="DO20" s="13">
        <f>IF('Données projet'!$A$166&gt;35,DO19+DN20-DW19,IF(A20&lt;'Données projet'!$A$166,$DL$205^A20,IF(A20='Données projet'!$A$166,'Données projet'!$B$166,DO19+DN20-DW19)))</f>
        <v>92.02000000000001</v>
      </c>
      <c r="DP20" s="18">
        <f>DO20*VLOOKUP('Données projet'!$B$14,Paramètres!$A$1:$I$89,3,0)*VLOOKUP('Données projet'!$B$14,Paramètres!$A$1:$I$89,5,0)</f>
        <v>73.211112000000014</v>
      </c>
      <c r="DQ20" s="14">
        <f t="shared" si="43"/>
        <v>20.468796348022103</v>
      </c>
      <c r="DR20" s="22">
        <f t="shared" si="16"/>
        <v>163.15917370613849</v>
      </c>
      <c r="DS20" s="62">
        <f t="shared" si="17"/>
        <v>440.60361815058297</v>
      </c>
      <c r="DT20" s="62">
        <f ca="1">AVERAGE(OFFSET($DS$3,0,0,'Données projet'!$E$14+1,1))-AVERAGE(OFFSET($H$3,0,0,'Données projet'!$E$14+1,1))</f>
        <v>370.38521334472284</v>
      </c>
      <c r="DU20" s="62">
        <f t="shared" si="44"/>
        <v>404.61777090709171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0.16666666666666666</v>
      </c>
      <c r="EJ20" s="13">
        <f>IF('Données projet'!$A$192&gt;35,EJ19+EI20-ER19,IF(A20&lt;'Données projet'!$A$192,$EG$205^A20,IF(A20='Données projet'!$A$192,'Données projet'!$B$192,EJ19+EI20-ER19)))</f>
        <v>2.8223737117262027</v>
      </c>
      <c r="EK20" s="18">
        <f>EJ20*VLOOKUP('Données projet'!$B$15,Paramètres!$A$1:$I$89,3,0)*VLOOKUP('Données projet'!$B$15,Paramètres!$A$1:$I$89,5,0)</f>
        <v>2.4215966446610819</v>
      </c>
      <c r="EL20" s="14">
        <f t="shared" si="45"/>
        <v>1.0068028142280749</v>
      </c>
      <c r="EM20" s="22">
        <f t="shared" si="19"/>
        <v>5.9711290575652809</v>
      </c>
      <c r="EN20" s="62">
        <f t="shared" si="20"/>
        <v>283.41557350200975</v>
      </c>
      <c r="EO20" s="62">
        <f ca="1">AVERAGE(OFFSET($EN$3,0,0,'Données projet'!$E$15+1,1))-AVERAGE(OFFSET($H$3,0,0,'Données projet'!$E$15+1,1))</f>
        <v>445.81166342116865</v>
      </c>
      <c r="EP20" s="62">
        <f t="shared" si="46"/>
        <v>230.82970731138215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3.65</v>
      </c>
      <c r="FE20" s="13">
        <f>IF('Données projet'!$A$218&gt;35,FE19+FD20-FM19,IF(A20&lt;'Données projet'!$A$218,$FB$205^A20,IF(A20='Données projet'!$A$218,'Données projet'!$B$218,FE19+FD20-FM19)))</f>
        <v>38.355215845858055</v>
      </c>
      <c r="FF20" s="18">
        <f>FE20*VLOOKUP('Données projet'!$B$16,Paramètres!$A$1:$I$89,3,0)*VLOOKUP('Données projet'!$B$16,Paramètres!$A$1:$I$89,5,0)</f>
        <v>37.097164766113913</v>
      </c>
      <c r="FG20" s="14">
        <f t="shared" si="47"/>
        <v>11.225909174194843</v>
      </c>
      <c r="FH20" s="22">
        <f t="shared" si="22"/>
        <v>84.162687112704418</v>
      </c>
      <c r="FI20" s="62">
        <f t="shared" si="23"/>
        <v>361.60713155714888</v>
      </c>
      <c r="FJ20" s="62">
        <f ca="1">AVERAGE(OFFSET($FI$3,0,0,'Données projet'!$E$16+1,1))-AVERAGE(OFFSET($H$3,0,0,'Données projet'!$E$16+1,1))</f>
        <v>541.66888676162716</v>
      </c>
      <c r="FK20" s="62">
        <f t="shared" si="48"/>
        <v>294.45557293177131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>
        <f>EXP(-LN(2)/35)*FQ19+(1-EXP(-LN(2)/35))/(LN(2)/35)*FM20*FN20*VLOOKUP('Données projet'!$B$16,Paramètres!$A$1:$I$89,3,0)*0.475*44/12</f>
        <v>0</v>
      </c>
      <c r="FR20" s="23">
        <f>EXP(-LN(2)/25)*FR19+(1-EXP(-LN(2)/25))/(LN(2)/25)*Calculateur!FM20*Calculateur!FO20*VLOOKUP('Données projet'!$B$16,Paramètres!$A$1:$I$89,3,0)*0.475*44/12</f>
        <v>0</v>
      </c>
      <c r="FS20" s="23">
        <f>EXP(-LN(2)/2)*FS19+(1-EXP(-LN(2)/2))/(LN(2)/2)*FM20*FP20*VLOOKUP('Données projet'!$B$16,Paramètres!$A$1:$I$89,3,0)*0.475*44/12</f>
        <v>0</v>
      </c>
      <c r="FT20" s="24">
        <f t="shared" si="24"/>
        <v>0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9.6</v>
      </c>
      <c r="FZ20" s="13">
        <f>IF('Données projet'!$A$244&gt;35,FZ19+FY20-GH19,IF(A20&lt;'Données projet'!$A$244,$FW$205^A20,IF(A20='Données projet'!$A$244,'Données projet'!$B$244,FZ19+FY20-GH19)))</f>
        <v>59.2</v>
      </c>
      <c r="GA20" s="18">
        <f>FZ20*VLOOKUP('Données projet'!$B$17,Paramètres!$A$1:$I$89,3,0)*VLOOKUP('Données projet'!$B$17,Paramètres!$A$1:$I$89,5,0)</f>
        <v>46.176000000000002</v>
      </c>
      <c r="GB20" s="14">
        <f t="shared" si="49"/>
        <v>13.621668778540489</v>
      </c>
      <c r="GC20" s="22">
        <f t="shared" si="25"/>
        <v>104.14760645595801</v>
      </c>
      <c r="GD20" s="62">
        <f t="shared" si="26"/>
        <v>381.59205090040246</v>
      </c>
      <c r="GE20" s="62">
        <f ca="1">AVERAGE(OFFSET($GD$3,0,0,'Données projet'!$E$17+1,1))-AVERAGE(OFFSET($H$3,0,0,'Données projet'!$E$17+1,1))</f>
        <v>292.57482726862594</v>
      </c>
      <c r="GF20" s="62">
        <f t="shared" si="50"/>
        <v>283.48738729114024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>
        <f>EXP(-LN(2)/35)*GL19+(1-EXP(-LN(2)/35))/(LN(2)/35)*GH20*GI20*VLOOKUP('Données projet'!$B$17,Paramètres!$A$1:$I$89,3,0)*0.475*44/12</f>
        <v>0</v>
      </c>
      <c r="GM20" s="23">
        <f>EXP(-LN(2)/25)*GM19+(1-EXP(-LN(2)/25))/(LN(2)/25)*Calculateur!GH20*Calculateur!GJ20*VLOOKUP('Données projet'!$B$17,Paramètres!$A$1:$I$89,3,0)*0.475*44/12</f>
        <v>0</v>
      </c>
      <c r="GN20" s="23">
        <f>EXP(-LN(2)/2)*GN19+(1-EXP(-LN(2)/2))/(LN(2)/2)*GH20*GK20*VLOOKUP('Données projet'!$B$17,Paramètres!$A$1:$I$89,3,0)*0.475*44/12</f>
        <v>0</v>
      </c>
      <c r="GO20" s="23">
        <f t="shared" si="27"/>
        <v>0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11.538461538461542</v>
      </c>
      <c r="GU20" s="13">
        <f>IF('Données projet'!$A$270&gt;35,GU19+GT20-HC19,IF(A20&lt;'Données projet'!$A$270,$GR$205^A20,IF(A20='Données projet'!$A$270,'Données projet'!$B$270,GU19+GT20-HC19)))</f>
        <v>96.15384615384616</v>
      </c>
      <c r="GV20" s="18">
        <f>GU20*VLOOKUP('Données projet'!$B$18,Paramètres!$A$1:$I$89,3,0)*VLOOKUP('Données projet'!$B$18,Paramètres!$A$1:$I$89,5,0)</f>
        <v>64.5</v>
      </c>
      <c r="GW20" s="14">
        <f t="shared" si="51"/>
        <v>18.301177311709043</v>
      </c>
      <c r="GX20" s="22">
        <f t="shared" si="28"/>
        <v>144.21205048455991</v>
      </c>
      <c r="GY20" s="62">
        <f t="shared" si="29"/>
        <v>421.65649492900434</v>
      </c>
      <c r="GZ20" s="62">
        <f ca="1">AVERAGE(OFFSET($GY$3,0,0,'Données projet'!$E$18+1,1))-AVERAGE(OFFSET($H$3,0,0,'Données projet'!$E$18+1,1))</f>
        <v>410.20186800287411</v>
      </c>
      <c r="HA20" s="62">
        <f t="shared" si="52"/>
        <v>321.99347958016057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>
        <f>EXP(-LN(2)/35)*HG19+(1-EXP(-LN(2)/35))/(LN(2)/35)*HC20*HD20*VLOOKUP('Données projet'!$B$18,Paramètres!$A$1:$I$89,3,0)*0.475*44/12</f>
        <v>0</v>
      </c>
      <c r="HH20" s="23">
        <f>EXP(-LN(2)/25)*HH19+(1-EXP(-LN(2)/25))/(LN(2)/25)*Calculateur!HC20*Calculateur!HE20*VLOOKUP('Données projet'!$B$18,Paramètres!$A$1:$I$89,3,0)*0.475*44/12</f>
        <v>0</v>
      </c>
      <c r="HI20" s="23">
        <f>EXP(-LN(2)/2)*HI19+(1-EXP(-LN(2)/2))/(LN(2)/2)*HC20*HF20*VLOOKUP('Données projet'!$B$18,Paramètres!$A$1:$I$89,3,0)*0.475*44/12</f>
        <v>0</v>
      </c>
      <c r="HJ20" s="24">
        <f t="shared" si="30"/>
        <v>0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3.65</v>
      </c>
      <c r="N21" s="14">
        <f>IF('Données projet'!$A$36&gt;35,N20+M21-V20,IF(A21&lt;'Données projet'!$A$36,$K$205^A21,IF(A21='Données projet'!$A$36,'Données projet'!$B$36,N20+M21-V20)))</f>
        <v>47.532490941824946</v>
      </c>
      <c r="O21" s="14">
        <f>N21*VLOOKUP('Données projet'!$B$9,Paramètres!$A$1:$I$89,3,0)*VLOOKUP('Données projet'!$B$9,Paramètres!$A$1:$I$89,5,0)</f>
        <v>43.007397804163212</v>
      </c>
      <c r="P21" s="14">
        <f t="shared" si="33"/>
        <v>12.792363936215189</v>
      </c>
      <c r="Q21" s="22">
        <f t="shared" si="2"/>
        <v>97.184585031159045</v>
      </c>
      <c r="R21" s="62">
        <f t="shared" si="0"/>
        <v>375.85125169782572</v>
      </c>
      <c r="S21" s="62">
        <f ca="1">AVERAGE(OFFSET($R$3,0,0,'Données projet'!$E$9+1,1))-AVERAGE(OFFSET($H$3,0,0,'Données projet'!$E$9+1,1))</f>
        <v>509.56241660612449</v>
      </c>
      <c r="T21" s="62">
        <f t="shared" si="34"/>
        <v>278.21741231699929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3.65</v>
      </c>
      <c r="AI21" s="14">
        <f>IF('Données projet'!$A$62&gt;35,AI20+AH21-AQ20,IF(A21&lt;'Données projet'!$A$62,$AF$205^A21,IF(A21='Données projet'!$A$62,'Données projet'!$B$62,AI20+AH21-AQ20)))</f>
        <v>47.532490941824946</v>
      </c>
      <c r="AJ21" s="14">
        <f>AI21*VLOOKUP('Données projet'!$B$10,Paramètres!$A$1:$I$89,3,0)*VLOOKUP('Données projet'!$B$10,Paramètres!$A$1:$I$89,5,0)</f>
        <v>48.197945815010499</v>
      </c>
      <c r="AK21" s="14">
        <f t="shared" si="35"/>
        <v>14.147381769152156</v>
      </c>
      <c r="AL21" s="22">
        <f t="shared" si="4"/>
        <v>108.58477887574996</v>
      </c>
      <c r="AM21" s="62">
        <f t="shared" si="5"/>
        <v>387.25144554241666</v>
      </c>
      <c r="AN21" s="62">
        <f ca="1">AVERAGE(OFFSET($AM$3,0,0,'Données projet'!$E$10+1,1))-AVERAGE(OFFSET($H$3,0,0,'Données projet'!$E$10+1,1))</f>
        <v>565.72091871734051</v>
      </c>
      <c r="AO21" s="62">
        <f t="shared" si="36"/>
        <v>306.61893266146666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13.760000000000002</v>
      </c>
      <c r="BD21" s="13">
        <f>IF('Données projet'!$A$88&gt;35,BD20+BC21-BL20,IF(A21&lt;'Données projet'!$A$88,$BA$205^A21,IF(A21='Données projet'!$A$88,'Données projet'!$B$88,BD20+BC21-BL20)))</f>
        <v>105.78000000000002</v>
      </c>
      <c r="BE21" s="14">
        <f>BD21*VLOOKUP('Données projet'!$B$11,Paramètres!$A$1:$I$89,3,0)*VLOOKUP('Données projet'!$B$11,Paramètres!$A$1:$I$89,5,0)</f>
        <v>77.557896000000014</v>
      </c>
      <c r="BF21" s="14">
        <f t="shared" si="37"/>
        <v>21.539003916671845</v>
      </c>
      <c r="BG21" s="22">
        <f t="shared" si="7"/>
        <v>172.59376735487015</v>
      </c>
      <c r="BH21" s="62">
        <f t="shared" si="8"/>
        <v>451.26043402153687</v>
      </c>
      <c r="BI21" s="62">
        <f ca="1">AVERAGE(OFFSET($BH$3,0,0,'Données projet'!$E$11+1,1))-AVERAGE(OFFSET($H$3,0,0,'Données projet'!$E$11+1,1))</f>
        <v>344.26020118887629</v>
      </c>
      <c r="BJ21" s="62">
        <f t="shared" si="38"/>
        <v>376.41441893222185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3.65</v>
      </c>
      <c r="BY21" s="13">
        <f>IF('Données projet'!$A$114&gt;35,BY20+BX21-CG20,IF(A21&lt;'Données projet'!$A$114,$BV$205^A21,IF(A21='Données projet'!$A$114,'Données projet'!$B$114,BY20+BX21-CG20)))</f>
        <v>47.532490941824946</v>
      </c>
      <c r="BZ21" s="14">
        <f>BY21*VLOOKUP('Données projet'!$B$12,Paramètres!$A$1:$I$89,3,0)*VLOOKUP('Données projet'!$B$12,Paramètres!$A$1:$I$89,5,0)</f>
        <v>40.041370369393334</v>
      </c>
      <c r="CA21" s="14">
        <f t="shared" si="39"/>
        <v>12.009611467876571</v>
      </c>
      <c r="CB21" s="22">
        <f t="shared" si="10"/>
        <v>90.655460033245092</v>
      </c>
      <c r="CC21" s="62">
        <f t="shared" si="11"/>
        <v>369.32212669991179</v>
      </c>
      <c r="CD21" s="62">
        <f ca="1">AVERAGE(OFFSET($CC$3,0,0,'Données projet'!$E$12+1,1))-AVERAGE(OFFSET($H$3,0,0,'Données projet'!$E$12+1,1))</f>
        <v>477.4105367901771</v>
      </c>
      <c r="CE21" s="62">
        <f t="shared" si="40"/>
        <v>261.95434270986397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3.4358974358974361</v>
      </c>
      <c r="CT21" s="13">
        <f>IF('Données projet'!$A$140&gt;35,CT20+CS21-DB20,IF(A21&lt;'Données projet'!$A$140,$CQ$205^A21,IF(A21='Données projet'!$A$140,'Données projet'!$B$140,CT20+CS21-DB20)))</f>
        <v>16.139752389254127</v>
      </c>
      <c r="CU21" s="18">
        <f>CT21*VLOOKUP('Données projet'!$B$13,Paramètres!$A$1:$I$89,3,0)*VLOOKUP('Données projet'!$B$13,Paramètres!$A$1:$I$89,5,0)</f>
        <v>7.5534041181709313</v>
      </c>
      <c r="CV21" s="14">
        <f t="shared" si="41"/>
        <v>2.7509264109465743</v>
      </c>
      <c r="CW21" s="22">
        <f t="shared" si="13"/>
        <v>17.946709004879654</v>
      </c>
      <c r="CX21" s="62">
        <f t="shared" si="14"/>
        <v>296.61337567154635</v>
      </c>
      <c r="CY21" s="62">
        <f ca="1">AVERAGE(OFFSET($CX$3,0,0,'Données projet'!$E$13+1,1))-AVERAGE(OFFSET($H$3,0,0,'Données projet'!$E$13+1,1))</f>
        <v>246.64907095367749</v>
      </c>
      <c r="CZ21" s="62">
        <f t="shared" si="42"/>
        <v>145.34368562171613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13.760000000000002</v>
      </c>
      <c r="DO21" s="13">
        <f>IF('Données projet'!$A$166&gt;35,DO20+DN21-DW20,IF(A21&lt;'Données projet'!$A$166,$DL$205^A21,IF(A21='Données projet'!$A$166,'Données projet'!$B$166,DO20+DN21-DW20)))</f>
        <v>105.78000000000002</v>
      </c>
      <c r="DP21" s="18">
        <f>DO21*VLOOKUP('Données projet'!$B$14,Paramètres!$A$1:$I$89,3,0)*VLOOKUP('Données projet'!$B$14,Paramètres!$A$1:$I$89,5,0)</f>
        <v>84.158568000000017</v>
      </c>
      <c r="DQ21" s="14">
        <f t="shared" si="43"/>
        <v>23.15095738591862</v>
      </c>
      <c r="DR21" s="22">
        <f t="shared" si="16"/>
        <v>186.89742338047495</v>
      </c>
      <c r="DS21" s="62">
        <f t="shared" si="17"/>
        <v>465.56409004714163</v>
      </c>
      <c r="DT21" s="62">
        <f ca="1">AVERAGE(OFFSET($DS$3,0,0,'Données projet'!$E$14+1,1))-AVERAGE(OFFSET($H$3,0,0,'Données projet'!$E$14+1,1))</f>
        <v>370.38521334472284</v>
      </c>
      <c r="DU21" s="62">
        <f t="shared" si="44"/>
        <v>404.61777090709171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>
        <f>VLOOKUP(A21,'Données projet'!$A$191:$I$211,2,0)</f>
        <v>3</v>
      </c>
      <c r="EH21" s="13">
        <f>VLOOKUP(A21,'Données projet'!$A$191:$I$211,9,0)</f>
        <v>0.16666666666666666</v>
      </c>
      <c r="EI21" s="13">
        <f t="array" ref="EI21">INDEX(EH:EH,MIN(IF(ISNUMBER(EH21:EH217),ROW(EH21:EH217),"")))</f>
        <v>0.16666666666666666</v>
      </c>
      <c r="EJ21" s="13">
        <f>IF('Données projet'!$A$192&gt;35,EJ20+EI21-ER20,IF(A21&lt;'Données projet'!$A$192,$EG$205^A21,IF(A21='Données projet'!$A$192,'Données projet'!$B$192,EJ20+EI21-ER20)))</f>
        <v>3</v>
      </c>
      <c r="EK21" s="18">
        <f>EJ21*VLOOKUP('Données projet'!$B$15,Paramètres!$A$1:$I$89,3,0)*VLOOKUP('Données projet'!$B$15,Paramètres!$A$1:$I$89,5,0)</f>
        <v>2.5740000000000003</v>
      </c>
      <c r="EL21" s="14">
        <f t="shared" si="45"/>
        <v>1.0625901189618896</v>
      </c>
      <c r="EM21" s="22">
        <f t="shared" si="19"/>
        <v>6.333727790525292</v>
      </c>
      <c r="EN21" s="62">
        <f t="shared" si="20"/>
        <v>285.00039445719199</v>
      </c>
      <c r="EO21" s="62">
        <f ca="1">AVERAGE(OFFSET($EN$3,0,0,'Données projet'!$E$15+1,1))-AVERAGE(OFFSET($H$3,0,0,'Données projet'!$E$15+1,1))</f>
        <v>445.81166342116865</v>
      </c>
      <c r="EP21" s="62">
        <f t="shared" si="46"/>
        <v>230.82970731138215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3.65</v>
      </c>
      <c r="FE21" s="13">
        <f>IF('Données projet'!$A$218&gt;35,FE20+FD21-FM20,IF(A21&lt;'Données projet'!$A$218,$FB$205^A21,IF(A21='Données projet'!$A$218,'Données projet'!$B$218,FE20+FD21-FM20)))</f>
        <v>47.532490941824946</v>
      </c>
      <c r="FF21" s="18">
        <f>FE21*VLOOKUP('Données projet'!$B$16,Paramètres!$A$1:$I$89,3,0)*VLOOKUP('Données projet'!$B$16,Paramètres!$A$1:$I$89,5,0)</f>
        <v>45.973425238933089</v>
      </c>
      <c r="FG21" s="14">
        <f t="shared" si="47"/>
        <v>13.56885270616201</v>
      </c>
      <c r="FH21" s="22">
        <f t="shared" si="22"/>
        <v>103.70280075437397</v>
      </c>
      <c r="FI21" s="62">
        <f t="shared" si="23"/>
        <v>382.36946742104067</v>
      </c>
      <c r="FJ21" s="62">
        <f ca="1">AVERAGE(OFFSET($FI$3,0,0,'Données projet'!$E$16+1,1))-AVERAGE(OFFSET($H$3,0,0,'Données projet'!$E$16+1,1))</f>
        <v>541.66888676162716</v>
      </c>
      <c r="FK21" s="62">
        <f t="shared" si="48"/>
        <v>294.45557293177131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>
        <f>EXP(-LN(2)/35)*FQ20+(1-EXP(-LN(2)/35))/(LN(2)/35)*FM21*FN21*VLOOKUP('Données projet'!$B$16,Paramètres!$A$1:$I$89,3,0)*0.475*44/12</f>
        <v>0</v>
      </c>
      <c r="FR21" s="23">
        <f>EXP(-LN(2)/25)*FR20+(1-EXP(-LN(2)/25))/(LN(2)/25)*Calculateur!FM21*Calculateur!FO21*VLOOKUP('Données projet'!$B$16,Paramètres!$A$1:$I$89,3,0)*0.475*44/12</f>
        <v>0</v>
      </c>
      <c r="FS21" s="23">
        <f>EXP(-LN(2)/2)*FS20+(1-EXP(-LN(2)/2))/(LN(2)/2)*FM21*FP21*VLOOKUP('Données projet'!$B$16,Paramètres!$A$1:$I$89,3,0)*0.475*44/12</f>
        <v>0</v>
      </c>
      <c r="FT21" s="24">
        <f t="shared" si="24"/>
        <v>0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9.6</v>
      </c>
      <c r="FZ21" s="13">
        <f>IF('Données projet'!$A$244&gt;35,FZ20+FY21-GH20,IF(A21&lt;'Données projet'!$A$244,$FW$205^A21,IF(A21='Données projet'!$A$244,'Données projet'!$B$244,FZ20+FY21-GH20)))</f>
        <v>68.8</v>
      </c>
      <c r="GA21" s="18">
        <f>FZ21*VLOOKUP('Données projet'!$B$17,Paramètres!$A$1:$I$89,3,0)*VLOOKUP('Données projet'!$B$17,Paramètres!$A$1:$I$89,5,0)</f>
        <v>53.664000000000001</v>
      </c>
      <c r="GB21" s="14">
        <f t="shared" si="49"/>
        <v>15.556073979202782</v>
      </c>
      <c r="GC21" s="22">
        <f t="shared" si="25"/>
        <v>120.55829551377816</v>
      </c>
      <c r="GD21" s="62">
        <f t="shared" si="26"/>
        <v>399.22496218044483</v>
      </c>
      <c r="GE21" s="62">
        <f ca="1">AVERAGE(OFFSET($GD$3,0,0,'Données projet'!$E$17+1,1))-AVERAGE(OFFSET($H$3,0,0,'Données projet'!$E$17+1,1))</f>
        <v>292.57482726862594</v>
      </c>
      <c r="GF21" s="62">
        <f t="shared" si="50"/>
        <v>283.48738729114024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>
        <f>EXP(-LN(2)/35)*GL20+(1-EXP(-LN(2)/35))/(LN(2)/35)*GH21*GI21*VLOOKUP('Données projet'!$B$17,Paramètres!$A$1:$I$89,3,0)*0.475*44/12</f>
        <v>0</v>
      </c>
      <c r="GM21" s="23">
        <f>EXP(-LN(2)/25)*GM20+(1-EXP(-LN(2)/25))/(LN(2)/25)*Calculateur!GH21*Calculateur!GJ21*VLOOKUP('Données projet'!$B$17,Paramètres!$A$1:$I$89,3,0)*0.475*44/12</f>
        <v>0</v>
      </c>
      <c r="GN21" s="23">
        <f>EXP(-LN(2)/2)*GN20+(1-EXP(-LN(2)/2))/(LN(2)/2)*GH21*GK21*VLOOKUP('Données projet'!$B$17,Paramètres!$A$1:$I$89,3,0)*0.475*44/12</f>
        <v>0</v>
      </c>
      <c r="GO21" s="23">
        <f t="shared" si="27"/>
        <v>0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11.538461538461542</v>
      </c>
      <c r="GU21" s="13">
        <f>IF('Données projet'!$A$270&gt;35,GU20+GT21-HC20,IF(A21&lt;'Données projet'!$A$270,$GR$205^A21,IF(A21='Données projet'!$A$270,'Données projet'!$B$270,GU20+GT21-HC20)))</f>
        <v>107.69230769230771</v>
      </c>
      <c r="GV21" s="18">
        <f>GU21*VLOOKUP('Données projet'!$B$18,Paramètres!$A$1:$I$89,3,0)*VLOOKUP('Données projet'!$B$18,Paramètres!$A$1:$I$89,5,0)</f>
        <v>72.240000000000009</v>
      </c>
      <c r="GW21" s="14">
        <f t="shared" si="51"/>
        <v>20.228704652038434</v>
      </c>
      <c r="GX21" s="22">
        <f t="shared" si="28"/>
        <v>161.04966060230029</v>
      </c>
      <c r="GY21" s="62">
        <f t="shared" si="29"/>
        <v>439.71632726896701</v>
      </c>
      <c r="GZ21" s="62">
        <f ca="1">AVERAGE(OFFSET($GY$3,0,0,'Données projet'!$E$18+1,1))-AVERAGE(OFFSET($H$3,0,0,'Données projet'!$E$18+1,1))</f>
        <v>410.20186800287411</v>
      </c>
      <c r="HA21" s="62">
        <f t="shared" si="52"/>
        <v>321.99347958016057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>
        <f>EXP(-LN(2)/35)*HG20+(1-EXP(-LN(2)/35))/(LN(2)/35)*HC21*HD21*VLOOKUP('Données projet'!$B$18,Paramètres!$A$1:$I$89,3,0)*0.475*44/12</f>
        <v>0</v>
      </c>
      <c r="HH21" s="23">
        <f>EXP(-LN(2)/25)*HH20+(1-EXP(-LN(2)/25))/(LN(2)/25)*Calculateur!HC21*Calculateur!HE21*VLOOKUP('Données projet'!$B$18,Paramètres!$A$1:$I$89,3,0)*0.475*44/12</f>
        <v>0</v>
      </c>
      <c r="HI21" s="23">
        <f>EXP(-LN(2)/2)*HI20+(1-EXP(-LN(2)/2))/(LN(2)/2)*HC21*HF21*VLOOKUP('Données projet'!$B$18,Paramètres!$A$1:$I$89,3,0)*0.475*44/12</f>
        <v>0</v>
      </c>
      <c r="HJ21" s="24">
        <f t="shared" si="30"/>
        <v>0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3.65</v>
      </c>
      <c r="N22" s="14">
        <f>IF('Données projet'!$A$36&gt;35,N21+M22-V21,IF(A22&lt;'Données projet'!$A$36,$K$205^A22,IF(A22='Données projet'!$A$36,'Données projet'!$B$36,N21+M22-V21)))</f>
        <v>58.90561805764559</v>
      </c>
      <c r="O22" s="14">
        <f>N22*VLOOKUP('Données projet'!$B$9,Paramètres!$A$1:$I$89,3,0)*VLOOKUP('Données projet'!$B$9,Paramètres!$A$1:$I$89,5,0)</f>
        <v>53.297803218557732</v>
      </c>
      <c r="P22" s="14">
        <f t="shared" si="33"/>
        <v>15.462240012873817</v>
      </c>
      <c r="Q22" s="22">
        <f t="shared" si="2"/>
        <v>119.75707529474329</v>
      </c>
      <c r="R22" s="62">
        <f t="shared" si="0"/>
        <v>399.64596418363215</v>
      </c>
      <c r="S22" s="62">
        <f ca="1">AVERAGE(OFFSET($R$3,0,0,'Données projet'!$E$9+1,1))-AVERAGE(OFFSET($H$3,0,0,'Données projet'!$E$9+1,1))</f>
        <v>509.56241660612449</v>
      </c>
      <c r="T22" s="62">
        <f t="shared" si="34"/>
        <v>278.21741231699929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3.65</v>
      </c>
      <c r="AI22" s="14">
        <f>IF('Données projet'!$A$62&gt;35,AI21+AH22-AQ21,IF(A22&lt;'Données projet'!$A$62,$AF$205^A22,IF(A22='Données projet'!$A$62,'Données projet'!$B$62,AI21+AH22-AQ21)))</f>
        <v>58.90561805764559</v>
      </c>
      <c r="AJ22" s="14">
        <f>AI22*VLOOKUP('Données projet'!$B$10,Paramètres!$A$1:$I$89,3,0)*VLOOKUP('Données projet'!$B$10,Paramètres!$A$1:$I$89,5,0)</f>
        <v>59.730296710452635</v>
      </c>
      <c r="AK22" s="14">
        <f t="shared" si="35"/>
        <v>17.100061689857345</v>
      </c>
      <c r="AL22" s="22">
        <f t="shared" si="4"/>
        <v>133.81287421387319</v>
      </c>
      <c r="AM22" s="62">
        <f t="shared" si="5"/>
        <v>413.70176310276202</v>
      </c>
      <c r="AN22" s="62">
        <f ca="1">AVERAGE(OFFSET($AM$3,0,0,'Données projet'!$E$10+1,1))-AVERAGE(OFFSET($H$3,0,0,'Données projet'!$E$10+1,1))</f>
        <v>565.72091871734051</v>
      </c>
      <c r="AO22" s="62">
        <f t="shared" si="36"/>
        <v>306.61893266146666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13.760000000000002</v>
      </c>
      <c r="BD22" s="13">
        <f>IF('Données projet'!$A$88&gt;35,BD21+BC22-BL21,IF(A22&lt;'Données projet'!$A$88,$BA$205^A22,IF(A22='Données projet'!$A$88,'Données projet'!$B$88,BD21+BC22-BL21)))</f>
        <v>119.54000000000002</v>
      </c>
      <c r="BE22" s="14">
        <f>BD22*VLOOKUP('Données projet'!$B$11,Paramètres!$A$1:$I$89,3,0)*VLOOKUP('Données projet'!$B$11,Paramètres!$A$1:$I$89,5,0)</f>
        <v>87.64672800000001</v>
      </c>
      <c r="BF22" s="14">
        <f t="shared" si="37"/>
        <v>23.996800240409819</v>
      </c>
      <c r="BG22" s="22">
        <f t="shared" si="7"/>
        <v>194.44581168538045</v>
      </c>
      <c r="BH22" s="62">
        <f t="shared" si="8"/>
        <v>474.33470057426928</v>
      </c>
      <c r="BI22" s="62">
        <f ca="1">AVERAGE(OFFSET($BH$3,0,0,'Données projet'!$E$11+1,1))-AVERAGE(OFFSET($H$3,0,0,'Données projet'!$E$11+1,1))</f>
        <v>344.26020118887629</v>
      </c>
      <c r="BJ22" s="62">
        <f t="shared" si="38"/>
        <v>376.41441893222185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3.65</v>
      </c>
      <c r="BY22" s="13">
        <f>IF('Données projet'!$A$114&gt;35,BY21+BX22-CG21,IF(A22&lt;'Données projet'!$A$114,$BV$205^A22,IF(A22='Données projet'!$A$114,'Données projet'!$B$114,BY21+BX22-CG21)))</f>
        <v>58.90561805764559</v>
      </c>
      <c r="BZ22" s="14">
        <f>BY22*VLOOKUP('Données projet'!$B$12,Paramètres!$A$1:$I$89,3,0)*VLOOKUP('Données projet'!$B$12,Paramètres!$A$1:$I$89,5,0)</f>
        <v>49.622092651760646</v>
      </c>
      <c r="CA22" s="14">
        <f t="shared" si="39"/>
        <v>14.516120390537463</v>
      </c>
      <c r="CB22" s="22">
        <f t="shared" si="10"/>
        <v>111.70738771533587</v>
      </c>
      <c r="CC22" s="62">
        <f t="shared" si="11"/>
        <v>391.59627660422473</v>
      </c>
      <c r="CD22" s="62">
        <f ca="1">AVERAGE(OFFSET($CC$3,0,0,'Données projet'!$E$12+1,1))-AVERAGE(OFFSET($H$3,0,0,'Données projet'!$E$12+1,1))</f>
        <v>477.4105367901771</v>
      </c>
      <c r="CE22" s="62">
        <f t="shared" si="40"/>
        <v>261.95434270986397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3.4358974358974361</v>
      </c>
      <c r="CT22" s="13">
        <f>IF('Données projet'!$A$140&gt;35,CT21+CS22-DB21,IF(A22&lt;'Données projet'!$A$140,$CQ$205^A22,IF(A22='Données projet'!$A$140,'Données projet'!$B$140,CT21+CS22-DB21)))</f>
        <v>18.836588447555499</v>
      </c>
      <c r="CU22" s="18">
        <f>CT22*VLOOKUP('Données projet'!$B$13,Paramètres!$A$1:$I$89,3,0)*VLOOKUP('Données projet'!$B$13,Paramètres!$A$1:$I$89,5,0)</f>
        <v>8.8155233934559742</v>
      </c>
      <c r="CV22" s="14">
        <f t="shared" si="41"/>
        <v>3.153358066176315</v>
      </c>
      <c r="CW22" s="22">
        <f t="shared" si="13"/>
        <v>20.845801875526238</v>
      </c>
      <c r="CX22" s="62">
        <f t="shared" si="14"/>
        <v>300.73469076441512</v>
      </c>
      <c r="CY22" s="62">
        <f ca="1">AVERAGE(OFFSET($CX$3,0,0,'Données projet'!$E$13+1,1))-AVERAGE(OFFSET($H$3,0,0,'Données projet'!$E$13+1,1))</f>
        <v>246.64907095367749</v>
      </c>
      <c r="CZ22" s="62">
        <f t="shared" si="42"/>
        <v>145.34368562171613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13.760000000000002</v>
      </c>
      <c r="DO22" s="13">
        <f>IF('Données projet'!$A$166&gt;35,DO21+DN22-DW21,IF(A22&lt;'Données projet'!$A$166,$DL$205^A22,IF(A22='Données projet'!$A$166,'Données projet'!$B$166,DO21+DN22-DW21)))</f>
        <v>119.54000000000002</v>
      </c>
      <c r="DP22" s="18">
        <f>DO22*VLOOKUP('Données projet'!$B$14,Paramètres!$A$1:$I$89,3,0)*VLOOKUP('Données projet'!$B$14,Paramètres!$A$1:$I$89,5,0)</f>
        <v>95.106024000000019</v>
      </c>
      <c r="DQ22" s="14">
        <f t="shared" si="43"/>
        <v>25.792692267172022</v>
      </c>
      <c r="DR22" s="22">
        <f t="shared" si="16"/>
        <v>210.56526416532461</v>
      </c>
      <c r="DS22" s="62">
        <f t="shared" si="17"/>
        <v>490.45415305421346</v>
      </c>
      <c r="DT22" s="62">
        <f ca="1">AVERAGE(OFFSET($DS$3,0,0,'Données projet'!$E$14+1,1))-AVERAGE(OFFSET($H$3,0,0,'Données projet'!$E$14+1,1))</f>
        <v>370.38521334472284</v>
      </c>
      <c r="DU22" s="62">
        <f t="shared" si="44"/>
        <v>404.61777090709171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4.333333333333333</v>
      </c>
      <c r="EJ22" s="13">
        <f>IF('Données projet'!$A$192&gt;35,EJ21+EI22-ER21,IF(A22&lt;'Données projet'!$A$192,$EG$205^A22,IF(A22='Données projet'!$A$192,'Données projet'!$B$192,EJ21+EI22-ER21)))</f>
        <v>7.333333333333333</v>
      </c>
      <c r="EK22" s="18">
        <f>EJ22*VLOOKUP('Données projet'!$B$15,Paramètres!$A$1:$I$89,3,0)*VLOOKUP('Données projet'!$B$15,Paramètres!$A$1:$I$89,5,0)</f>
        <v>6.2919999999999998</v>
      </c>
      <c r="EL22" s="14">
        <f t="shared" si="45"/>
        <v>2.3407863298509932</v>
      </c>
      <c r="EM22" s="22">
        <f t="shared" si="19"/>
        <v>15.035436191157146</v>
      </c>
      <c r="EN22" s="62">
        <f t="shared" si="20"/>
        <v>294.924325080046</v>
      </c>
      <c r="EO22" s="62">
        <f ca="1">AVERAGE(OFFSET($EN$3,0,0,'Données projet'!$E$15+1,1))-AVERAGE(OFFSET($H$3,0,0,'Données projet'!$E$15+1,1))</f>
        <v>445.81166342116865</v>
      </c>
      <c r="EP22" s="62">
        <f t="shared" si="46"/>
        <v>230.82970731138215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3.65</v>
      </c>
      <c r="FE22" s="13">
        <f>IF('Données projet'!$A$218&gt;35,FE21+FD22-FM21,IF(A22&lt;'Données projet'!$A$218,$FB$205^A22,IF(A22='Données projet'!$A$218,'Données projet'!$B$218,FE21+FD22-FM21)))</f>
        <v>58.90561805764559</v>
      </c>
      <c r="FF22" s="18">
        <f>FE22*VLOOKUP('Données projet'!$B$16,Paramètres!$A$1:$I$89,3,0)*VLOOKUP('Données projet'!$B$16,Paramètres!$A$1:$I$89,5,0)</f>
        <v>56.973513785354818</v>
      </c>
      <c r="FG22" s="14">
        <f t="shared" si="47"/>
        <v>16.400788649238766</v>
      </c>
      <c r="FH22" s="22">
        <f t="shared" si="22"/>
        <v>127.7935767402505</v>
      </c>
      <c r="FI22" s="62">
        <f t="shared" si="23"/>
        <v>407.68246562913936</v>
      </c>
      <c r="FJ22" s="62">
        <f ca="1">AVERAGE(OFFSET($FI$3,0,0,'Données projet'!$E$16+1,1))-AVERAGE(OFFSET($H$3,0,0,'Données projet'!$E$16+1,1))</f>
        <v>541.66888676162716</v>
      </c>
      <c r="FK22" s="62">
        <f t="shared" si="48"/>
        <v>294.45557293177131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>
        <f>EXP(-LN(2)/35)*FQ21+(1-EXP(-LN(2)/35))/(LN(2)/35)*FM22*FN22*VLOOKUP('Données projet'!$B$16,Paramètres!$A$1:$I$89,3,0)*0.475*44/12</f>
        <v>0</v>
      </c>
      <c r="FR22" s="23">
        <f>EXP(-LN(2)/25)*FR21+(1-EXP(-LN(2)/25))/(LN(2)/25)*Calculateur!FM22*Calculateur!FO22*VLOOKUP('Données projet'!$B$16,Paramètres!$A$1:$I$89,3,0)*0.475*44/12</f>
        <v>0</v>
      </c>
      <c r="FS22" s="23">
        <f>EXP(-LN(2)/2)*FS21+(1-EXP(-LN(2)/2))/(LN(2)/2)*FM22*FP22*VLOOKUP('Données projet'!$B$16,Paramètres!$A$1:$I$89,3,0)*0.475*44/12</f>
        <v>0</v>
      </c>
      <c r="FT22" s="24">
        <f t="shared" si="24"/>
        <v>0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9.6</v>
      </c>
      <c r="FZ22" s="13">
        <f>IF('Données projet'!$A$244&gt;35,FZ21+FY22-GH21,IF(A22&lt;'Données projet'!$A$244,$FW$205^A22,IF(A22='Données projet'!$A$244,'Données projet'!$B$244,FZ21+FY22-GH21)))</f>
        <v>78.399999999999991</v>
      </c>
      <c r="GA22" s="18">
        <f>FZ22*VLOOKUP('Données projet'!$B$17,Paramètres!$A$1:$I$89,3,0)*VLOOKUP('Données projet'!$B$17,Paramètres!$A$1:$I$89,5,0)</f>
        <v>61.151999999999994</v>
      </c>
      <c r="GB22" s="14">
        <f t="shared" si="49"/>
        <v>17.459207591071255</v>
      </c>
      <c r="GC22" s="22">
        <f t="shared" si="25"/>
        <v>136.9145198877824</v>
      </c>
      <c r="GD22" s="62">
        <f t="shared" si="26"/>
        <v>416.80340877667129</v>
      </c>
      <c r="GE22" s="62">
        <f ca="1">AVERAGE(OFFSET($GD$3,0,0,'Données projet'!$E$17+1,1))-AVERAGE(OFFSET($H$3,0,0,'Données projet'!$E$17+1,1))</f>
        <v>292.57482726862594</v>
      </c>
      <c r="GF22" s="62">
        <f t="shared" si="50"/>
        <v>283.48738729114024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>
        <f>EXP(-LN(2)/35)*GL21+(1-EXP(-LN(2)/35))/(LN(2)/35)*GH22*GI22*VLOOKUP('Données projet'!$B$17,Paramètres!$A$1:$I$89,3,0)*0.475*44/12</f>
        <v>0</v>
      </c>
      <c r="GM22" s="23">
        <f>EXP(-LN(2)/25)*GM21+(1-EXP(-LN(2)/25))/(LN(2)/25)*Calculateur!GH22*Calculateur!GJ22*VLOOKUP('Données projet'!$B$17,Paramètres!$A$1:$I$89,3,0)*0.475*44/12</f>
        <v>0</v>
      </c>
      <c r="GN22" s="23">
        <f>EXP(-LN(2)/2)*GN21+(1-EXP(-LN(2)/2))/(LN(2)/2)*GH22*GK22*VLOOKUP('Données projet'!$B$17,Paramètres!$A$1:$I$89,3,0)*0.475*44/12</f>
        <v>0</v>
      </c>
      <c r="GO22" s="23">
        <f t="shared" si="27"/>
        <v>0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11.538461538461542</v>
      </c>
      <c r="GU22" s="13">
        <f>IF('Données projet'!$A$270&gt;35,GU21+GT22-HC21,IF(A22&lt;'Données projet'!$A$270,$GR$205^A22,IF(A22='Données projet'!$A$270,'Données projet'!$B$270,GU21+GT22-HC21)))</f>
        <v>119.23076923076925</v>
      </c>
      <c r="GV22" s="18">
        <f>GU22*VLOOKUP('Données projet'!$B$18,Paramètres!$A$1:$I$89,3,0)*VLOOKUP('Données projet'!$B$18,Paramètres!$A$1:$I$89,5,0)</f>
        <v>79.980000000000018</v>
      </c>
      <c r="GW22" s="14">
        <f t="shared" si="51"/>
        <v>22.1322939535297</v>
      </c>
      <c r="GX22" s="22">
        <f t="shared" si="28"/>
        <v>177.84557863573093</v>
      </c>
      <c r="GY22" s="62">
        <f t="shared" si="29"/>
        <v>457.73446752461979</v>
      </c>
      <c r="GZ22" s="62">
        <f ca="1">AVERAGE(OFFSET($GY$3,0,0,'Données projet'!$E$18+1,1))-AVERAGE(OFFSET($H$3,0,0,'Données projet'!$E$18+1,1))</f>
        <v>410.20186800287411</v>
      </c>
      <c r="HA22" s="62">
        <f t="shared" si="52"/>
        <v>321.99347958016057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>
        <f>EXP(-LN(2)/35)*HG21+(1-EXP(-LN(2)/35))/(LN(2)/35)*HC22*HD22*VLOOKUP('Données projet'!$B$18,Paramètres!$A$1:$I$89,3,0)*0.475*44/12</f>
        <v>0</v>
      </c>
      <c r="HH22" s="23">
        <f>EXP(-LN(2)/25)*HH21+(1-EXP(-LN(2)/25))/(LN(2)/25)*Calculateur!HC22*Calculateur!HE22*VLOOKUP('Données projet'!$B$18,Paramètres!$A$1:$I$89,3,0)*0.475*44/12</f>
        <v>0</v>
      </c>
      <c r="HI22" s="23">
        <f>EXP(-LN(2)/2)*HI21+(1-EXP(-LN(2)/2))/(LN(2)/2)*HC22*HF22*VLOOKUP('Données projet'!$B$18,Paramètres!$A$1:$I$89,3,0)*0.475*44/12</f>
        <v>0</v>
      </c>
      <c r="HJ22" s="24">
        <f t="shared" si="30"/>
        <v>0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73</v>
      </c>
      <c r="L23" s="13">
        <f>VLOOKUP(A23,'Données projet'!$A$35:$I$55,9,0)</f>
        <v>3.65</v>
      </c>
      <c r="M23" s="13">
        <f t="array" ref="M23">INDEX(L:L,MIN(IF(ISNUMBER(L23:L219),ROW(L23:L219),"")))</f>
        <v>3.65</v>
      </c>
      <c r="N23" s="14">
        <f>IF('Données projet'!$A$36&gt;35,N22+M23-V22,IF(A23&lt;'Données projet'!$A$36,$K$205^A23,IF(A23='Données projet'!$A$36,'Données projet'!$B$36,N22+M23-V22)))</f>
        <v>73</v>
      </c>
      <c r="O23" s="14">
        <f>N23*VLOOKUP('Données projet'!$B$9,Paramètres!$A$1:$I$89,3,0)*VLOOKUP('Données projet'!$B$9,Paramètres!$A$1:$I$89,5,0)</f>
        <v>66.050399999999996</v>
      </c>
      <c r="P23" s="14">
        <f t="shared" si="33"/>
        <v>18.689342126897891</v>
      </c>
      <c r="Q23" s="22">
        <f t="shared" si="2"/>
        <v>147.58838420434714</v>
      </c>
      <c r="R23" s="62">
        <f t="shared" si="0"/>
        <v>428.69949531545831</v>
      </c>
      <c r="S23" s="62">
        <f ca="1">AVERAGE(OFFSET($R$3,0,0,'Données projet'!$E$9+1,1))-AVERAGE(OFFSET($H$3,0,0,'Données projet'!$E$9+1,1))</f>
        <v>509.56241660612449</v>
      </c>
      <c r="T23" s="62">
        <f t="shared" si="34"/>
        <v>278.21741231699929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73</v>
      </c>
      <c r="AG23" s="13">
        <f>VLOOKUP(A23,'Données projet'!$A$61:$I$81,9,0)</f>
        <v>3.65</v>
      </c>
      <c r="AH23" s="13">
        <f t="array" ref="AH23">INDEX(AG:AG,MIN(IF(ISNUMBER(AG23:AG219),ROW(AG23:AG219),"")))</f>
        <v>3.65</v>
      </c>
      <c r="AI23" s="14">
        <f>IF('Données projet'!$A$62&gt;35,AI22+AH23-AQ22,IF(A23&lt;'Données projet'!$A$62,$AF$205^A23,IF(A23='Données projet'!$A$62,'Données projet'!$B$62,AI22+AH23-AQ22)))</f>
        <v>73</v>
      </c>
      <c r="AJ23" s="14">
        <f>AI23*VLOOKUP('Données projet'!$B$10,Paramètres!$A$1:$I$89,3,0)*VLOOKUP('Données projet'!$B$10,Paramètres!$A$1:$I$89,5,0)</f>
        <v>74.022000000000006</v>
      </c>
      <c r="AK23" s="14">
        <f t="shared" si="35"/>
        <v>20.668991235856851</v>
      </c>
      <c r="AL23" s="22">
        <f t="shared" si="4"/>
        <v>164.92014306911736</v>
      </c>
      <c r="AM23" s="62">
        <f t="shared" si="5"/>
        <v>446.03125418022853</v>
      </c>
      <c r="AN23" s="62">
        <f ca="1">AVERAGE(OFFSET($AM$3,0,0,'Données projet'!$E$10+1,1))-AVERAGE(OFFSET($H$3,0,0,'Données projet'!$E$10+1,1))</f>
        <v>565.72091871734051</v>
      </c>
      <c r="AO23" s="62">
        <f t="shared" si="36"/>
        <v>306.61893266146666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133.30000000000001</v>
      </c>
      <c r="BB23" s="13">
        <f>VLOOKUP(A23,'Données projet'!$A$87:$I$107,9,0)</f>
        <v>13.760000000000002</v>
      </c>
      <c r="BC23" s="13">
        <f t="array" ref="BC23">INDEX(BB:BB,MIN(IF(ISNUMBER(BB23:BB219),ROW(BB23:BB219),"")))</f>
        <v>13.760000000000002</v>
      </c>
      <c r="BD23" s="13">
        <f>IF('Données projet'!$A$88&gt;35,BD22+BC23-BL22,IF(A23&lt;'Données projet'!$A$88,$BA$205^A23,IF(A23='Données projet'!$A$88,'Données projet'!$B$88,BD22+BC23-BL22)))</f>
        <v>133.30000000000001</v>
      </c>
      <c r="BE23" s="14">
        <f>BD23*VLOOKUP('Données projet'!$B$11,Paramètres!$A$1:$I$89,3,0)*VLOOKUP('Données projet'!$B$11,Paramètres!$A$1:$I$89,5,0)</f>
        <v>97.735560000000007</v>
      </c>
      <c r="BF23" s="14">
        <f t="shared" si="37"/>
        <v>26.421808908404628</v>
      </c>
      <c r="BG23" s="22">
        <f t="shared" si="7"/>
        <v>216.24075084880474</v>
      </c>
      <c r="BH23" s="62">
        <f t="shared" si="8"/>
        <v>497.35186195991588</v>
      </c>
      <c r="BI23" s="62">
        <f ca="1">AVERAGE(OFFSET($BH$3,0,0,'Données projet'!$E$11+1,1))-AVERAGE(OFFSET($H$3,0,0,'Données projet'!$E$11+1,1))</f>
        <v>344.26020118887629</v>
      </c>
      <c r="BJ23" s="62">
        <f t="shared" si="38"/>
        <v>376.41441893222185</v>
      </c>
      <c r="BK23" s="16">
        <f>IF(ISNA(VLOOKUP(A23,'Données projet'!$A$87:$I$107,3,0)),0,VLOOKUP(A23,'Données projet'!$A$87:$I$107,3,0))</f>
        <v>1</v>
      </c>
      <c r="BL23" s="16">
        <f>IF(ISNA(VLOOKUP(A23,'Données projet'!$A$87:$I$107,4,0)),0,VLOOKUP(A23,'Données projet'!$A$87:$I$107,4,0))</f>
        <v>66.5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73</v>
      </c>
      <c r="BW23" s="13">
        <f>VLOOKUP(A23,'Données projet'!$A$113:$I$133,9,0)</f>
        <v>3.65</v>
      </c>
      <c r="BX23" s="13">
        <f t="array" ref="BX23">INDEX(BW:BW,MIN(IF(ISNUMBER(BW23:BW219),ROW(BW23:BW219),"")))</f>
        <v>3.65</v>
      </c>
      <c r="BY23" s="13">
        <f>IF('Données projet'!$A$114&gt;35,BY22+BX23-CG22,IF(A23&lt;'Données projet'!$A$114,$BV$205^A23,IF(A23='Données projet'!$A$114,'Données projet'!$B$114,BY22+BX23-CG22)))</f>
        <v>73</v>
      </c>
      <c r="BZ23" s="14">
        <f>BY23*VLOOKUP('Données projet'!$B$12,Paramètres!$A$1:$I$89,3,0)*VLOOKUP('Données projet'!$B$12,Paramètres!$A$1:$I$89,5,0)</f>
        <v>61.495200000000004</v>
      </c>
      <c r="CA23" s="14">
        <f t="shared" si="39"/>
        <v>17.545759224285259</v>
      </c>
      <c r="CB23" s="22">
        <f t="shared" si="10"/>
        <v>137.66300398229683</v>
      </c>
      <c r="CC23" s="62">
        <f t="shared" si="11"/>
        <v>418.774115093408</v>
      </c>
      <c r="CD23" s="62">
        <f ca="1">AVERAGE(OFFSET($CC$3,0,0,'Données projet'!$E$12+1,1))-AVERAGE(OFFSET($H$3,0,0,'Données projet'!$E$12+1,1))</f>
        <v>477.4105367901771</v>
      </c>
      <c r="CE23" s="62">
        <f t="shared" si="40"/>
        <v>261.95434270986397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3.4358974358974361</v>
      </c>
      <c r="CT23" s="13">
        <f>IF('Données projet'!$A$140&gt;35,CT22+CS23-DB22,IF(A23&lt;'Données projet'!$A$140,$CQ$205^A23,IF(A23='Données projet'!$A$140,'Données projet'!$B$140,CT22+CS23-DB22)))</f>
        <v>21.984046333871831</v>
      </c>
      <c r="CU23" s="18">
        <f>CT23*VLOOKUP('Données projet'!$B$13,Paramètres!$A$1:$I$89,3,0)*VLOOKUP('Données projet'!$B$13,Paramètres!$A$1:$I$89,5,0)</f>
        <v>10.288533684252016</v>
      </c>
      <c r="CV23" s="14">
        <f t="shared" si="41"/>
        <v>3.6146612479167253</v>
      </c>
      <c r="CW23" s="22">
        <f t="shared" si="13"/>
        <v>24.214731173527223</v>
      </c>
      <c r="CX23" s="62">
        <f t="shared" si="14"/>
        <v>305.32584228463838</v>
      </c>
      <c r="CY23" s="62">
        <f ca="1">AVERAGE(OFFSET($CX$3,0,0,'Données projet'!$E$13+1,1))-AVERAGE(OFFSET($H$3,0,0,'Données projet'!$E$13+1,1))</f>
        <v>246.64907095367749</v>
      </c>
      <c r="CZ23" s="62">
        <f t="shared" si="42"/>
        <v>145.34368562171613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projet'!$A$165:$I$185,2,0)</f>
        <v>133.30000000000001</v>
      </c>
      <c r="DM23" s="13">
        <f>VLOOKUP(A23,'Données projet'!$A$165:$I$185,9,0)</f>
        <v>13.760000000000002</v>
      </c>
      <c r="DN23" s="13">
        <f t="array" ref="DN23">INDEX(DM:DM,MIN(IF(ISNUMBER(DM23:DM219),ROW(DM23:DM219),"")))</f>
        <v>13.760000000000002</v>
      </c>
      <c r="DO23" s="13">
        <f>IF('Données projet'!$A$166&gt;35,DO22+DN23-DW22,IF(A23&lt;'Données projet'!$A$166,$DL$205^A23,IF(A23='Données projet'!$A$166,'Données projet'!$B$166,DO22+DN23-DW22)))</f>
        <v>133.30000000000001</v>
      </c>
      <c r="DP23" s="18">
        <f>DO23*VLOOKUP('Données projet'!$B$14,Paramètres!$A$1:$I$89,3,0)*VLOOKUP('Données projet'!$B$14,Paramètres!$A$1:$I$89,5,0)</f>
        <v>106.05348000000001</v>
      </c>
      <c r="DQ23" s="14">
        <f t="shared" si="43"/>
        <v>28.39918570347135</v>
      </c>
      <c r="DR23" s="22">
        <f t="shared" si="16"/>
        <v>234.1717261002126</v>
      </c>
      <c r="DS23" s="62">
        <f t="shared" si="17"/>
        <v>515.28283721132379</v>
      </c>
      <c r="DT23" s="62">
        <f ca="1">AVERAGE(OFFSET($DS$3,0,0,'Données projet'!$E$14+1,1))-AVERAGE(OFFSET($H$3,0,0,'Données projet'!$E$14+1,1))</f>
        <v>370.38521334472284</v>
      </c>
      <c r="DU23" s="62">
        <f t="shared" si="44"/>
        <v>404.61777090709171</v>
      </c>
      <c r="DV23" s="16">
        <f>IF(ISNA(VLOOKUP(A23,'Données projet'!$A$165:$I$185,3,0)),0,VLOOKUP(A23,'Données projet'!$A$165:$I$185,3,0))</f>
        <v>1</v>
      </c>
      <c r="DW23" s="16">
        <f>IF(ISNA(VLOOKUP(A23,'Données projet'!$A$165:$I$185,4,0)),0,VLOOKUP(A23,'Données projet'!$A$165:$I$185,4,0))</f>
        <v>66.5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4.333333333333333</v>
      </c>
      <c r="EJ23" s="13">
        <f>IF('Données projet'!$A$192&gt;35,EJ22+EI23-ER22,IF(A23&lt;'Données projet'!$A$192,$EG$205^A23,IF(A23='Données projet'!$A$192,'Données projet'!$B$192,EJ22+EI23-ER22)))</f>
        <v>11.666666666666666</v>
      </c>
      <c r="EK23" s="18">
        <f>EJ23*VLOOKUP('Données projet'!$B$15,Paramètres!$A$1:$I$89,3,0)*VLOOKUP('Données projet'!$B$15,Paramètres!$A$1:$I$89,5,0)</f>
        <v>10.010000000000002</v>
      </c>
      <c r="EL23" s="14">
        <f t="shared" si="45"/>
        <v>3.5280571841195489</v>
      </c>
      <c r="EM23" s="22">
        <f t="shared" si="19"/>
        <v>23.578782929008216</v>
      </c>
      <c r="EN23" s="62">
        <f t="shared" si="20"/>
        <v>304.68989404011938</v>
      </c>
      <c r="EO23" s="62">
        <f ca="1">AVERAGE(OFFSET($EN$3,0,0,'Données projet'!$E$15+1,1))-AVERAGE(OFFSET($H$3,0,0,'Données projet'!$E$15+1,1))</f>
        <v>445.81166342116865</v>
      </c>
      <c r="EP23" s="62">
        <f t="shared" si="46"/>
        <v>230.82970731138215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>
        <f>VLOOKUP(A23,'Données projet'!$A$217:$I$237,2,0)</f>
        <v>73</v>
      </c>
      <c r="FC23" s="13">
        <f>VLOOKUP(A23,'Données projet'!$A$217:$I$237,9,0)</f>
        <v>3.65</v>
      </c>
      <c r="FD23" s="13">
        <f t="array" ref="FD23">INDEX(FC:FC,MIN(IF(ISNUMBER(FC23:FC219),ROW(FC23:FC219),"")))</f>
        <v>3.65</v>
      </c>
      <c r="FE23" s="13">
        <f>IF('Données projet'!$A$218&gt;35,FE22+FD23-FM22,IF(A23&lt;'Données projet'!$A$218,$FB$205^A23,IF(A23='Données projet'!$A$218,'Données projet'!$B$218,FE22+FD23-FM22)))</f>
        <v>73</v>
      </c>
      <c r="FF23" s="18">
        <f>FE23*VLOOKUP('Données projet'!$B$16,Paramètres!$A$1:$I$89,3,0)*VLOOKUP('Données projet'!$B$16,Paramètres!$A$1:$I$89,5,0)</f>
        <v>70.605599999999995</v>
      </c>
      <c r="FG23" s="14">
        <f t="shared" si="47"/>
        <v>19.823773913828742</v>
      </c>
      <c r="FH23" s="22">
        <f t="shared" si="22"/>
        <v>157.49782623325171</v>
      </c>
      <c r="FI23" s="62">
        <f t="shared" si="23"/>
        <v>438.60893734436286</v>
      </c>
      <c r="FJ23" s="62">
        <f ca="1">AVERAGE(OFFSET($FI$3,0,0,'Données projet'!$E$16+1,1))-AVERAGE(OFFSET($H$3,0,0,'Données projet'!$E$16+1,1))</f>
        <v>541.66888676162716</v>
      </c>
      <c r="FK23" s="62">
        <f t="shared" si="48"/>
        <v>294.45557293177131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>
        <f>EXP(-LN(2)/35)*FQ22+(1-EXP(-LN(2)/35))/(LN(2)/35)*FM23*FN23*VLOOKUP('Données projet'!$B$16,Paramètres!$A$1:$I$89,3,0)*0.475*44/12</f>
        <v>0</v>
      </c>
      <c r="FR23" s="23">
        <f>EXP(-LN(2)/25)*FR22+(1-EXP(-LN(2)/25))/(LN(2)/25)*Calculateur!FM23*Calculateur!FO23*VLOOKUP('Données projet'!$B$16,Paramètres!$A$1:$I$89,3,0)*0.475*44/12</f>
        <v>0</v>
      </c>
      <c r="FS23" s="23">
        <f>EXP(-LN(2)/2)*FS22+(1-EXP(-LN(2)/2))/(LN(2)/2)*FM23*FP23*VLOOKUP('Données projet'!$B$16,Paramètres!$A$1:$I$89,3,0)*0.475*44/12</f>
        <v>0</v>
      </c>
      <c r="FT23" s="24">
        <f t="shared" si="24"/>
        <v>0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>
        <f>VLOOKUP(A23,'Données projet'!$A$243:$I$263,2,0)</f>
        <v>88</v>
      </c>
      <c r="FX23" s="13">
        <f>VLOOKUP(A23,'Données projet'!$A$243:$I$263,9,0)</f>
        <v>9.6</v>
      </c>
      <c r="FY23" s="13">
        <f t="array" ref="FY23">INDEX(FX:FX,MIN(IF(ISNUMBER(FX23:FX219),ROW(FX23:FX219),"")))</f>
        <v>9.6</v>
      </c>
      <c r="FZ23" s="13">
        <f>IF('Données projet'!$A$244&gt;35,FZ22+FY23-GH22,IF(A23&lt;'Données projet'!$A$244,$FW$205^A23,IF(A23='Données projet'!$A$244,'Données projet'!$B$244,FZ22+FY23-GH22)))</f>
        <v>87.999999999999986</v>
      </c>
      <c r="GA23" s="18">
        <f>FZ23*VLOOKUP('Données projet'!$B$17,Paramètres!$A$1:$I$89,3,0)*VLOOKUP('Données projet'!$B$17,Paramètres!$A$1:$I$89,5,0)</f>
        <v>68.639999999999986</v>
      </c>
      <c r="GB23" s="14">
        <f t="shared" si="49"/>
        <v>19.335336956640202</v>
      </c>
      <c r="GC23" s="22">
        <f t="shared" si="25"/>
        <v>153.22371186614834</v>
      </c>
      <c r="GD23" s="62">
        <f t="shared" si="26"/>
        <v>434.33482297725948</v>
      </c>
      <c r="GE23" s="62">
        <f ca="1">AVERAGE(OFFSET($GD$3,0,0,'Données projet'!$E$17+1,1))-AVERAGE(OFFSET($H$3,0,0,'Données projet'!$E$17+1,1))</f>
        <v>292.57482726862594</v>
      </c>
      <c r="GF23" s="62">
        <f t="shared" si="50"/>
        <v>283.48738729114024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>
        <f>EXP(-LN(2)/35)*GL22+(1-EXP(-LN(2)/35))/(LN(2)/35)*GH23*GI23*VLOOKUP('Données projet'!$B$17,Paramètres!$A$1:$I$89,3,0)*0.475*44/12</f>
        <v>0</v>
      </c>
      <c r="GM23" s="23">
        <f>EXP(-LN(2)/25)*GM22+(1-EXP(-LN(2)/25))/(LN(2)/25)*Calculateur!GH23*Calculateur!GJ23*VLOOKUP('Données projet'!$B$17,Paramètres!$A$1:$I$89,3,0)*0.475*44/12</f>
        <v>0</v>
      </c>
      <c r="GN23" s="23">
        <f>EXP(-LN(2)/2)*GN22+(1-EXP(-LN(2)/2))/(LN(2)/2)*GH23*GK23*VLOOKUP('Données projet'!$B$17,Paramètres!$A$1:$I$89,3,0)*0.475*44/12</f>
        <v>0</v>
      </c>
      <c r="GO23" s="23">
        <f t="shared" si="27"/>
        <v>0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>
        <f>VLOOKUP(A23,'Données projet'!$A$269:$I$289,2,0)</f>
        <v>130.76923076923077</v>
      </c>
      <c r="GS23" s="13">
        <f>VLOOKUP(A23,'Données projet'!$A$269:$I$289,9,0)</f>
        <v>11.538461538461542</v>
      </c>
      <c r="GT23" s="13">
        <f t="array" ref="GT23">INDEX(GS:GS,MIN(IF(ISNUMBER(GS23:GS219),ROW(GS23:GS219),"")))</f>
        <v>11.538461538461542</v>
      </c>
      <c r="GU23" s="13">
        <f>IF('Données projet'!$A$270&gt;35,GU22+GT23-HC22,IF(A23&lt;'Données projet'!$A$270,$GR$205^A23,IF(A23='Données projet'!$A$270,'Données projet'!$B$270,GU22+GT23-HC22)))</f>
        <v>130.7692307692308</v>
      </c>
      <c r="GV23" s="18">
        <f>GU23*VLOOKUP('Données projet'!$B$18,Paramètres!$A$1:$I$89,3,0)*VLOOKUP('Données projet'!$B$18,Paramètres!$A$1:$I$89,5,0)</f>
        <v>87.720000000000013</v>
      </c>
      <c r="GW23" s="14">
        <f t="shared" si="51"/>
        <v>24.014525404210836</v>
      </c>
      <c r="GX23" s="22">
        <f t="shared" si="28"/>
        <v>194.60429841233386</v>
      </c>
      <c r="GY23" s="62">
        <f t="shared" si="29"/>
        <v>475.71540952344503</v>
      </c>
      <c r="GZ23" s="62">
        <f ca="1">AVERAGE(OFFSET($GY$3,0,0,'Données projet'!$E$18+1,1))-AVERAGE(OFFSET($H$3,0,0,'Données projet'!$E$18+1,1))</f>
        <v>410.20186800287411</v>
      </c>
      <c r="HA23" s="62">
        <f t="shared" si="52"/>
        <v>321.99347958016057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>
        <f>EXP(-LN(2)/35)*HG22+(1-EXP(-LN(2)/35))/(LN(2)/35)*HC23*HD23*VLOOKUP('Données projet'!$B$18,Paramètres!$A$1:$I$89,3,0)*0.475*44/12</f>
        <v>0</v>
      </c>
      <c r="HH23" s="23">
        <f>EXP(-LN(2)/25)*HH22+(1-EXP(-LN(2)/25))/(LN(2)/25)*Calculateur!HC23*Calculateur!HE23*VLOOKUP('Données projet'!$B$18,Paramètres!$A$1:$I$89,3,0)*0.475*44/12</f>
        <v>0</v>
      </c>
      <c r="HI23" s="23">
        <f>EXP(-LN(2)/2)*HI22+(1-EXP(-LN(2)/2))/(LN(2)/2)*HC23*HF23*VLOOKUP('Données projet'!$B$18,Paramètres!$A$1:$I$89,3,0)*0.475*44/12</f>
        <v>0</v>
      </c>
      <c r="HJ23" s="24">
        <f t="shared" si="30"/>
        <v>0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7.2</v>
      </c>
      <c r="N24" s="14">
        <f>IF('Données projet'!$A$36&gt;35,N23+M24-V23,IF(A24&lt;'Données projet'!$A$36,$K$205^A24,IF(A24='Données projet'!$A$36,'Données projet'!$B$36,N23+M24-V23)))</f>
        <v>80.2</v>
      </c>
      <c r="O24" s="14">
        <f>N24*VLOOKUP('Données projet'!$B$9,Paramètres!$A$1:$I$89,3,0)*VLOOKUP('Données projet'!$B$9,Paramètres!$A$1:$I$89,5,0)</f>
        <v>72.564959999999999</v>
      </c>
      <c r="P24" s="14">
        <f t="shared" si="33"/>
        <v>20.30908732150932</v>
      </c>
      <c r="Q24" s="22">
        <f t="shared" si="2"/>
        <v>161.75563241829539</v>
      </c>
      <c r="R24" s="62">
        <f t="shared" si="0"/>
        <v>444.08896575162873</v>
      </c>
      <c r="S24" s="62">
        <f ca="1">AVERAGE(OFFSET($R$3,0,0,'Données projet'!$E$9+1,1))-AVERAGE(OFFSET($H$3,0,0,'Données projet'!$E$9+1,1))</f>
        <v>509.56241660612449</v>
      </c>
      <c r="T24" s="62">
        <f t="shared" si="34"/>
        <v>278.21741231699929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7.2</v>
      </c>
      <c r="AI24" s="14">
        <f>IF('Données projet'!$A$62&gt;35,AI23+AH24-AQ23,IF(A24&lt;'Données projet'!$A$62,$AF$205^A24,IF(A24='Données projet'!$A$62,'Données projet'!$B$62,AI23+AH24-AQ23)))</f>
        <v>80.2</v>
      </c>
      <c r="AJ24" s="14">
        <f>AI24*VLOOKUP('Données projet'!$B$10,Paramètres!$A$1:$I$89,3,0)*VLOOKUP('Données projet'!$B$10,Paramètres!$A$1:$I$89,5,0)</f>
        <v>81.322800000000001</v>
      </c>
      <c r="AK24" s="14">
        <f t="shared" si="35"/>
        <v>22.460306254032997</v>
      </c>
      <c r="AL24" s="22">
        <f t="shared" si="4"/>
        <v>180.75557672577415</v>
      </c>
      <c r="AM24" s="62">
        <f t="shared" si="5"/>
        <v>463.08891005910743</v>
      </c>
      <c r="AN24" s="62">
        <f ca="1">AVERAGE(OFFSET($AM$3,0,0,'Données projet'!$E$10+1,1))-AVERAGE(OFFSET($H$3,0,0,'Données projet'!$E$10+1,1))</f>
        <v>565.72091871734051</v>
      </c>
      <c r="AO24" s="62">
        <f t="shared" si="36"/>
        <v>306.61893266146666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14.739999999999998</v>
      </c>
      <c r="BD24" s="13">
        <f>IF('Données projet'!$A$88&gt;35,BD23+BC24-BL23,IF(A24&lt;'Données projet'!$A$88,$BA$205^A24,IF(A24='Données projet'!$A$88,'Données projet'!$B$88,BD23+BC24-BL23)))</f>
        <v>81.54000000000002</v>
      </c>
      <c r="BE24" s="14">
        <f>BD24*VLOOKUP('Données projet'!$B$11,Paramètres!$A$1:$I$89,3,0)*VLOOKUP('Données projet'!$B$11,Paramètres!$A$1:$I$89,5,0)</f>
        <v>59.785128000000007</v>
      </c>
      <c r="BF24" s="14">
        <f t="shared" si="37"/>
        <v>17.113931291149598</v>
      </c>
      <c r="BG24" s="22">
        <f t="shared" si="7"/>
        <v>133.93252826541888</v>
      </c>
      <c r="BH24" s="62">
        <f t="shared" si="8"/>
        <v>416.26586159875217</v>
      </c>
      <c r="BI24" s="62">
        <f ca="1">AVERAGE(OFFSET($BH$3,0,0,'Données projet'!$E$11+1,1))-AVERAGE(OFFSET($H$3,0,0,'Données projet'!$E$11+1,1))</f>
        <v>344.26020118887629</v>
      </c>
      <c r="BJ24" s="62">
        <f t="shared" si="38"/>
        <v>376.41441893222185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7.2</v>
      </c>
      <c r="BY24" s="13">
        <f>IF('Données projet'!$A$114&gt;35,BY23+BX24-CG23,IF(A24&lt;'Données projet'!$A$114,$BV$205^A24,IF(A24='Données projet'!$A$114,'Données projet'!$B$114,BY23+BX24-CG23)))</f>
        <v>80.2</v>
      </c>
      <c r="BZ24" s="14">
        <f>BY24*VLOOKUP('Données projet'!$B$12,Paramètres!$A$1:$I$89,3,0)*VLOOKUP('Données projet'!$B$12,Paramètres!$A$1:$I$89,5,0)</f>
        <v>67.560480000000013</v>
      </c>
      <c r="CA24" s="14">
        <f t="shared" si="39"/>
        <v>19.066393765425332</v>
      </c>
      <c r="CB24" s="22">
        <f t="shared" si="10"/>
        <v>150.87513847478246</v>
      </c>
      <c r="CC24" s="62">
        <f t="shared" si="11"/>
        <v>433.20847180811575</v>
      </c>
      <c r="CD24" s="62">
        <f ca="1">AVERAGE(OFFSET($CC$3,0,0,'Données projet'!$E$12+1,1))-AVERAGE(OFFSET($H$3,0,0,'Données projet'!$E$12+1,1))</f>
        <v>477.4105367901771</v>
      </c>
      <c r="CE24" s="62">
        <f t="shared" si="40"/>
        <v>261.95434270986397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3.4358974358974361</v>
      </c>
      <c r="CT24" s="13">
        <f>IF('Données projet'!$A$140&gt;35,CT23+CS24-DB23,IF(A24&lt;'Données projet'!$A$140,$CQ$205^A24,IF(A24='Données projet'!$A$140,'Données projet'!$B$140,CT23+CS24-DB23)))</f>
        <v>25.657421701143715</v>
      </c>
      <c r="CU24" s="18">
        <f>CT24*VLOOKUP('Données projet'!$B$13,Paramètres!$A$1:$I$89,3,0)*VLOOKUP('Données projet'!$B$13,Paramètres!$A$1:$I$89,5,0)</f>
        <v>12.007673356135259</v>
      </c>
      <c r="CV24" s="14">
        <f t="shared" si="41"/>
        <v>4.1434482424744576</v>
      </c>
      <c r="CW24" s="22">
        <f t="shared" si="13"/>
        <v>28.129870117578587</v>
      </c>
      <c r="CX24" s="62">
        <f t="shared" si="14"/>
        <v>310.46320345091192</v>
      </c>
      <c r="CY24" s="62">
        <f ca="1">AVERAGE(OFFSET($CX$3,0,0,'Données projet'!$E$13+1,1))-AVERAGE(OFFSET($H$3,0,0,'Données projet'!$E$13+1,1))</f>
        <v>246.64907095367749</v>
      </c>
      <c r="CZ24" s="62">
        <f t="shared" si="42"/>
        <v>145.34368562171613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14.739999999999998</v>
      </c>
      <c r="DO24" s="13">
        <f>IF('Données projet'!$A$166&gt;35,DO23+DN24-DW23,IF(A24&lt;'Données projet'!$A$166,$DL$205^A24,IF(A24='Données projet'!$A$166,'Données projet'!$B$166,DO23+DN24-DW23)))</f>
        <v>81.54000000000002</v>
      </c>
      <c r="DP24" s="18">
        <f>DO24*VLOOKUP('Données projet'!$B$14,Paramètres!$A$1:$I$89,3,0)*VLOOKUP('Données projet'!$B$14,Paramètres!$A$1:$I$89,5,0)</f>
        <v>64.873224000000022</v>
      </c>
      <c r="DQ24" s="14">
        <f t="shared" si="43"/>
        <v>18.39471758117234</v>
      </c>
      <c r="DR24" s="22">
        <f t="shared" si="16"/>
        <v>145.0249982538752</v>
      </c>
      <c r="DS24" s="62">
        <f t="shared" si="17"/>
        <v>427.35833158720851</v>
      </c>
      <c r="DT24" s="62">
        <f ca="1">AVERAGE(OFFSET($DS$3,0,0,'Données projet'!$E$14+1,1))-AVERAGE(OFFSET($H$3,0,0,'Données projet'!$E$14+1,1))</f>
        <v>370.38521334472284</v>
      </c>
      <c r="DU24" s="62">
        <f t="shared" si="44"/>
        <v>404.61777090709171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>
        <f>VLOOKUP(A24,'Données projet'!$A$191:$I$211,2,0)</f>
        <v>16</v>
      </c>
      <c r="EH24" s="13">
        <f>VLOOKUP(A24,'Données projet'!$A$191:$I$211,9,0)</f>
        <v>4.333333333333333</v>
      </c>
      <c r="EI24" s="13">
        <f t="array" ref="EI24">INDEX(EH:EH,MIN(IF(ISNUMBER(EH24:EH220),ROW(EH24:EH220),"")))</f>
        <v>4.333333333333333</v>
      </c>
      <c r="EJ24" s="13">
        <f>IF('Données projet'!$A$192&gt;35,EJ23+EI24-ER23,IF(A24&lt;'Données projet'!$A$192,$EG$205^A24,IF(A24='Données projet'!$A$192,'Données projet'!$B$192,EJ23+EI24-ER23)))</f>
        <v>16</v>
      </c>
      <c r="EK24" s="18">
        <f>EJ24*VLOOKUP('Données projet'!$B$15,Paramètres!$A$1:$I$89,3,0)*VLOOKUP('Données projet'!$B$15,Paramètres!$A$1:$I$89,5,0)</f>
        <v>13.728000000000002</v>
      </c>
      <c r="EL24" s="14">
        <f t="shared" si="45"/>
        <v>4.6638207366437312</v>
      </c>
      <c r="EM24" s="22">
        <f t="shared" si="19"/>
        <v>32.032421116321167</v>
      </c>
      <c r="EN24" s="62">
        <f t="shared" si="20"/>
        <v>314.3657544496545</v>
      </c>
      <c r="EO24" s="62">
        <f ca="1">AVERAGE(OFFSET($EN$3,0,0,'Données projet'!$E$15+1,1))-AVERAGE(OFFSET($H$3,0,0,'Données projet'!$E$15+1,1))</f>
        <v>445.81166342116865</v>
      </c>
      <c r="EP24" s="62">
        <f t="shared" si="46"/>
        <v>230.82970731138215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7.2</v>
      </c>
      <c r="FE24" s="13">
        <f>IF('Données projet'!$A$218&gt;35,FE23+FD24-FM23,IF(A24&lt;'Données projet'!$A$218,$FB$205^A24,IF(A24='Données projet'!$A$218,'Données projet'!$B$218,FE23+FD24-FM23)))</f>
        <v>80.2</v>
      </c>
      <c r="FF24" s="18">
        <f>FE24*VLOOKUP('Données projet'!$B$16,Paramètres!$A$1:$I$89,3,0)*VLOOKUP('Données projet'!$B$16,Paramètres!$A$1:$I$89,5,0)</f>
        <v>77.569440000000014</v>
      </c>
      <c r="FG24" s="14">
        <f t="shared" si="47"/>
        <v>21.541836664136856</v>
      </c>
      <c r="FH24" s="22">
        <f t="shared" si="22"/>
        <v>172.61880685670505</v>
      </c>
      <c r="FI24" s="62">
        <f t="shared" si="23"/>
        <v>454.95214019003834</v>
      </c>
      <c r="FJ24" s="62">
        <f ca="1">AVERAGE(OFFSET($FI$3,0,0,'Données projet'!$E$16+1,1))-AVERAGE(OFFSET($H$3,0,0,'Données projet'!$E$16+1,1))</f>
        <v>541.66888676162716</v>
      </c>
      <c r="FK24" s="62">
        <f t="shared" si="48"/>
        <v>294.45557293177131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>
        <f>EXP(-LN(2)/35)*FQ23+(1-EXP(-LN(2)/35))/(LN(2)/35)*FM24*FN24*VLOOKUP('Données projet'!$B$16,Paramètres!$A$1:$I$89,3,0)*0.475*44/12</f>
        <v>0</v>
      </c>
      <c r="FR24" s="23">
        <f>EXP(-LN(2)/25)*FR23+(1-EXP(-LN(2)/25))/(LN(2)/25)*Calculateur!FM24*Calculateur!FO24*VLOOKUP('Données projet'!$B$16,Paramètres!$A$1:$I$89,3,0)*0.475*44/12</f>
        <v>0</v>
      </c>
      <c r="FS24" s="23">
        <f>EXP(-LN(2)/2)*FS23+(1-EXP(-LN(2)/2))/(LN(2)/2)*FM24*FP24*VLOOKUP('Données projet'!$B$16,Paramètres!$A$1:$I$89,3,0)*0.475*44/12</f>
        <v>0</v>
      </c>
      <c r="FT24" s="24">
        <f t="shared" si="24"/>
        <v>0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10.6</v>
      </c>
      <c r="FZ24" s="13">
        <f>IF('Données projet'!$A$244&gt;35,FZ23+FY24-GH23,IF(A24&lt;'Données projet'!$A$244,$FW$205^A24,IF(A24='Données projet'!$A$244,'Données projet'!$B$244,FZ23+FY24-GH23)))</f>
        <v>98.59999999999998</v>
      </c>
      <c r="GA24" s="18">
        <f>FZ24*VLOOKUP('Données projet'!$B$17,Paramètres!$A$1:$I$89,3,0)*VLOOKUP('Données projet'!$B$17,Paramètres!$A$1:$I$89,5,0)</f>
        <v>76.907999999999987</v>
      </c>
      <c r="GB24" s="14">
        <f t="shared" si="49"/>
        <v>21.379448490435635</v>
      </c>
      <c r="GC24" s="22">
        <f t="shared" si="25"/>
        <v>171.18397278750868</v>
      </c>
      <c r="GD24" s="62">
        <f t="shared" si="26"/>
        <v>453.51730612084202</v>
      </c>
      <c r="GE24" s="62">
        <f ca="1">AVERAGE(OFFSET($GD$3,0,0,'Données projet'!$E$17+1,1))-AVERAGE(OFFSET($H$3,0,0,'Données projet'!$E$17+1,1))</f>
        <v>292.57482726862594</v>
      </c>
      <c r="GF24" s="62">
        <f t="shared" si="50"/>
        <v>283.48738729114024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>
        <f>EXP(-LN(2)/35)*GL23+(1-EXP(-LN(2)/35))/(LN(2)/35)*GH24*GI24*VLOOKUP('Données projet'!$B$17,Paramètres!$A$1:$I$89,3,0)*0.475*44/12</f>
        <v>0</v>
      </c>
      <c r="GM24" s="23">
        <f>EXP(-LN(2)/25)*GM23+(1-EXP(-LN(2)/25))/(LN(2)/25)*Calculateur!GH24*Calculateur!GJ24*VLOOKUP('Données projet'!$B$17,Paramètres!$A$1:$I$89,3,0)*0.475*44/12</f>
        <v>0</v>
      </c>
      <c r="GN24" s="23">
        <f>EXP(-LN(2)/2)*GN23+(1-EXP(-LN(2)/2))/(LN(2)/2)*GH24*GK24*VLOOKUP('Données projet'!$B$17,Paramètres!$A$1:$I$89,3,0)*0.475*44/12</f>
        <v>0</v>
      </c>
      <c r="GO24" s="23">
        <f t="shared" si="27"/>
        <v>0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11.025641025641022</v>
      </c>
      <c r="GU24" s="13">
        <f>IF('Données projet'!$A$270&gt;35,GU23+GT24-HC23,IF(A24&lt;'Données projet'!$A$270,$GR$205^A24,IF(A24='Données projet'!$A$270,'Données projet'!$B$270,GU23+GT24-HC23)))</f>
        <v>141.79487179487182</v>
      </c>
      <c r="GV24" s="18">
        <f>GU24*VLOOKUP('Données projet'!$B$18,Paramètres!$A$1:$I$89,3,0)*VLOOKUP('Données projet'!$B$18,Paramètres!$A$1:$I$89,5,0)</f>
        <v>95.116000000000028</v>
      </c>
      <c r="GW24" s="14">
        <f t="shared" si="51"/>
        <v>25.795082818908316</v>
      </c>
      <c r="GX24" s="22">
        <f t="shared" si="28"/>
        <v>210.58680257626534</v>
      </c>
      <c r="GY24" s="62">
        <f t="shared" si="29"/>
        <v>492.92013590959868</v>
      </c>
      <c r="GZ24" s="62">
        <f ca="1">AVERAGE(OFFSET($GY$3,0,0,'Données projet'!$E$18+1,1))-AVERAGE(OFFSET($H$3,0,0,'Données projet'!$E$18+1,1))</f>
        <v>410.20186800287411</v>
      </c>
      <c r="HA24" s="62">
        <f t="shared" si="52"/>
        <v>321.99347958016057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>
        <f>EXP(-LN(2)/35)*HG23+(1-EXP(-LN(2)/35))/(LN(2)/35)*HC24*HD24*VLOOKUP('Données projet'!$B$18,Paramètres!$A$1:$I$89,3,0)*0.475*44/12</f>
        <v>0</v>
      </c>
      <c r="HH24" s="23">
        <f>EXP(-LN(2)/25)*HH23+(1-EXP(-LN(2)/25))/(LN(2)/25)*Calculateur!HC24*Calculateur!HE24*VLOOKUP('Données projet'!$B$18,Paramètres!$A$1:$I$89,3,0)*0.475*44/12</f>
        <v>0</v>
      </c>
      <c r="HI24" s="23">
        <f>EXP(-LN(2)/2)*HI23+(1-EXP(-LN(2)/2))/(LN(2)/2)*HC24*HF24*VLOOKUP('Données projet'!$B$18,Paramètres!$A$1:$I$89,3,0)*0.475*44/12</f>
        <v>0</v>
      </c>
      <c r="HJ24" s="24">
        <f t="shared" si="30"/>
        <v>0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7.2</v>
      </c>
      <c r="N25" s="14">
        <f>IF('Données projet'!$A$36&gt;35,N24+M25-V24,IF(A25&lt;'Données projet'!$A$36,$K$205^A25,IF(A25='Données projet'!$A$36,'Données projet'!$B$36,N24+M25-V24)))</f>
        <v>87.4</v>
      </c>
      <c r="O25" s="14">
        <f>N25*VLOOKUP('Données projet'!$B$9,Paramètres!$A$1:$I$89,3,0)*VLOOKUP('Données projet'!$B$9,Paramètres!$A$1:$I$89,5,0)</f>
        <v>79.079520000000002</v>
      </c>
      <c r="P25" s="14">
        <f t="shared" si="33"/>
        <v>21.911970621402002</v>
      </c>
      <c r="Q25" s="22">
        <f t="shared" si="2"/>
        <v>175.89351283227515</v>
      </c>
      <c r="R25" s="62">
        <f t="shared" si="0"/>
        <v>459.44906838783072</v>
      </c>
      <c r="S25" s="62">
        <f ca="1">AVERAGE(OFFSET($R$3,0,0,'Données projet'!$E$9+1,1))-AVERAGE(OFFSET($H$3,0,0,'Données projet'!$E$9+1,1))</f>
        <v>509.56241660612449</v>
      </c>
      <c r="T25" s="62">
        <f t="shared" si="34"/>
        <v>278.21741231699929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7.2</v>
      </c>
      <c r="AI25" s="14">
        <f>IF('Données projet'!$A$62&gt;35,AI24+AH25-AQ24,IF(A25&lt;'Données projet'!$A$62,$AF$205^A25,IF(A25='Données projet'!$A$62,'Données projet'!$B$62,AI24+AH25-AQ24)))</f>
        <v>87.4</v>
      </c>
      <c r="AJ25" s="14">
        <f>AI25*VLOOKUP('Données projet'!$B$10,Paramètres!$A$1:$I$89,3,0)*VLOOKUP('Données projet'!$B$10,Paramètres!$A$1:$I$89,5,0)</f>
        <v>88.62360000000001</v>
      </c>
      <c r="AK25" s="14">
        <f t="shared" si="35"/>
        <v>24.232973298845781</v>
      </c>
      <c r="AL25" s="22">
        <f t="shared" si="4"/>
        <v>196.55853182882308</v>
      </c>
      <c r="AM25" s="62">
        <f t="shared" si="5"/>
        <v>480.11408738437865</v>
      </c>
      <c r="AN25" s="62">
        <f ca="1">AVERAGE(OFFSET($AM$3,0,0,'Données projet'!$E$10+1,1))-AVERAGE(OFFSET($H$3,0,0,'Données projet'!$E$10+1,1))</f>
        <v>565.72091871734051</v>
      </c>
      <c r="AO25" s="62">
        <f t="shared" si="36"/>
        <v>306.61893266146666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14.739999999999998</v>
      </c>
      <c r="BD25" s="13">
        <f>IF('Données projet'!$A$88&gt;35,BD24+BC25-BL24,IF(A25&lt;'Données projet'!$A$88,$BA$205^A25,IF(A25='Données projet'!$A$88,'Données projet'!$B$88,BD24+BC25-BL24)))</f>
        <v>96.280000000000015</v>
      </c>
      <c r="BE25" s="14">
        <f>BD25*VLOOKUP('Données projet'!$B$11,Paramètres!$A$1:$I$89,3,0)*VLOOKUP('Données projet'!$B$11,Paramètres!$A$1:$I$89,5,0)</f>
        <v>70.592496000000011</v>
      </c>
      <c r="BF25" s="14">
        <f t="shared" si="37"/>
        <v>19.82052295498838</v>
      </c>
      <c r="BG25" s="22">
        <f t="shared" si="7"/>
        <v>157.46934134660478</v>
      </c>
      <c r="BH25" s="62">
        <f t="shared" si="8"/>
        <v>441.02489690216032</v>
      </c>
      <c r="BI25" s="62">
        <f ca="1">AVERAGE(OFFSET($BH$3,0,0,'Données projet'!$E$11+1,1))-AVERAGE(OFFSET($H$3,0,0,'Données projet'!$E$11+1,1))</f>
        <v>344.26020118887629</v>
      </c>
      <c r="BJ25" s="62">
        <f t="shared" si="38"/>
        <v>376.41441893222185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7.2</v>
      </c>
      <c r="BY25" s="13">
        <f>IF('Données projet'!$A$114&gt;35,BY24+BX25-CG24,IF(A25&lt;'Données projet'!$A$114,$BV$205^A25,IF(A25='Données projet'!$A$114,'Données projet'!$B$114,BY24+BX25-CG24)))</f>
        <v>87.4</v>
      </c>
      <c r="BZ25" s="14">
        <f>BY25*VLOOKUP('Données projet'!$B$12,Paramètres!$A$1:$I$89,3,0)*VLOOKUP('Données projet'!$B$12,Paramètres!$A$1:$I$89,5,0)</f>
        <v>73.625760000000014</v>
      </c>
      <c r="CA25" s="14">
        <f t="shared" si="39"/>
        <v>20.571198174996731</v>
      </c>
      <c r="CB25" s="22">
        <f t="shared" si="10"/>
        <v>164.05970215478601</v>
      </c>
      <c r="CC25" s="62">
        <f t="shared" si="11"/>
        <v>447.61525771034155</v>
      </c>
      <c r="CD25" s="62">
        <f ca="1">AVERAGE(OFFSET($CC$3,0,0,'Données projet'!$E$12+1,1))-AVERAGE(OFFSET($H$3,0,0,'Données projet'!$E$12+1,1))</f>
        <v>477.4105367901771</v>
      </c>
      <c r="CE25" s="62">
        <f t="shared" si="40"/>
        <v>261.95434270986397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3.4358974358974361</v>
      </c>
      <c r="CT25" s="13">
        <f>IF('Données projet'!$A$140&gt;35,CT24+CS25-DB24,IF(A25&lt;'Données projet'!$A$140,$CQ$205^A25,IF(A25='Données projet'!$A$140,'Données projet'!$B$140,CT24+CS25-DB24)))</f>
        <v>29.944591562111224</v>
      </c>
      <c r="CU25" s="18">
        <f>CT25*VLOOKUP('Données projet'!$B$13,Paramètres!$A$1:$I$89,3,0)*VLOOKUP('Données projet'!$B$13,Paramètres!$A$1:$I$89,5,0)</f>
        <v>14.014068851068053</v>
      </c>
      <c r="CV25" s="14">
        <f t="shared" si="41"/>
        <v>4.749591223232712</v>
      </c>
      <c r="CW25" s="22">
        <f t="shared" si="13"/>
        <v>32.680041296073831</v>
      </c>
      <c r="CX25" s="62">
        <f t="shared" si="14"/>
        <v>316.2355968516294</v>
      </c>
      <c r="CY25" s="62">
        <f ca="1">AVERAGE(OFFSET($CX$3,0,0,'Données projet'!$E$13+1,1))-AVERAGE(OFFSET($H$3,0,0,'Données projet'!$E$13+1,1))</f>
        <v>246.64907095367749</v>
      </c>
      <c r="CZ25" s="62">
        <f t="shared" si="42"/>
        <v>145.34368562171613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14.739999999999998</v>
      </c>
      <c r="DO25" s="13">
        <f>IF('Données projet'!$A$166&gt;35,DO24+DN25-DW24,IF(A25&lt;'Données projet'!$A$166,$DL$205^A25,IF(A25='Données projet'!$A$166,'Données projet'!$B$166,DO24+DN25-DW24)))</f>
        <v>96.280000000000015</v>
      </c>
      <c r="DP25" s="18">
        <f>DO25*VLOOKUP('Données projet'!$B$14,Paramètres!$A$1:$I$89,3,0)*VLOOKUP('Données projet'!$B$14,Paramètres!$A$1:$I$89,5,0)</f>
        <v>76.600368000000017</v>
      </c>
      <c r="DQ25" s="14">
        <f t="shared" si="43"/>
        <v>21.30386735026233</v>
      </c>
      <c r="DR25" s="22">
        <f t="shared" si="16"/>
        <v>170.51654323504027</v>
      </c>
      <c r="DS25" s="62">
        <f t="shared" si="17"/>
        <v>454.07209879059582</v>
      </c>
      <c r="DT25" s="62">
        <f ca="1">AVERAGE(OFFSET($DS$3,0,0,'Données projet'!$E$14+1,1))-AVERAGE(OFFSET($H$3,0,0,'Données projet'!$E$14+1,1))</f>
        <v>370.38521334472284</v>
      </c>
      <c r="DU25" s="62">
        <f t="shared" si="44"/>
        <v>404.61777090709171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10.166666666666666</v>
      </c>
      <c r="EJ25" s="13">
        <f>IF('Données projet'!$A$192&gt;35,EJ24+EI25-ER24,IF(A25&lt;'Données projet'!$A$192,$EG$205^A25,IF(A25='Données projet'!$A$192,'Données projet'!$B$192,EJ24+EI25-ER24)))</f>
        <v>26.166666666666664</v>
      </c>
      <c r="EK25" s="18">
        <f>EJ25*VLOOKUP('Données projet'!$B$15,Paramètres!$A$1:$I$89,3,0)*VLOOKUP('Données projet'!$B$15,Paramètres!$A$1:$I$89,5,0)</f>
        <v>22.451000000000001</v>
      </c>
      <c r="EL25" s="14">
        <f t="shared" si="45"/>
        <v>7.2028425332472539</v>
      </c>
      <c r="EM25" s="22">
        <f t="shared" si="19"/>
        <v>51.647109078738964</v>
      </c>
      <c r="EN25" s="62">
        <f t="shared" si="20"/>
        <v>335.20266463429448</v>
      </c>
      <c r="EO25" s="62">
        <f ca="1">AVERAGE(OFFSET($EN$3,0,0,'Données projet'!$E$15+1,1))-AVERAGE(OFFSET($H$3,0,0,'Données projet'!$E$15+1,1))</f>
        <v>445.81166342116865</v>
      </c>
      <c r="EP25" s="62">
        <f t="shared" si="46"/>
        <v>230.82970731138215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7.2</v>
      </c>
      <c r="FE25" s="13">
        <f>IF('Données projet'!$A$218&gt;35,FE24+FD25-FM24,IF(A25&lt;'Données projet'!$A$218,$FB$205^A25,IF(A25='Données projet'!$A$218,'Données projet'!$B$218,FE24+FD25-FM24)))</f>
        <v>87.4</v>
      </c>
      <c r="FF25" s="18">
        <f>FE25*VLOOKUP('Données projet'!$B$16,Paramètres!$A$1:$I$89,3,0)*VLOOKUP('Données projet'!$B$16,Paramètres!$A$1:$I$89,5,0)</f>
        <v>84.533280000000005</v>
      </c>
      <c r="FG25" s="14">
        <f t="shared" si="47"/>
        <v>23.242014012893971</v>
      </c>
      <c r="FH25" s="22">
        <f t="shared" si="22"/>
        <v>187.70863707245701</v>
      </c>
      <c r="FI25" s="62">
        <f t="shared" si="23"/>
        <v>471.26419262801255</v>
      </c>
      <c r="FJ25" s="62">
        <f ca="1">AVERAGE(OFFSET($FI$3,0,0,'Données projet'!$E$16+1,1))-AVERAGE(OFFSET($H$3,0,0,'Données projet'!$E$16+1,1))</f>
        <v>541.66888676162716</v>
      </c>
      <c r="FK25" s="62">
        <f t="shared" si="48"/>
        <v>294.45557293177131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>
        <f>EXP(-LN(2)/35)*FQ24+(1-EXP(-LN(2)/35))/(LN(2)/35)*FM25*FN25*VLOOKUP('Données projet'!$B$16,Paramètres!$A$1:$I$89,3,0)*0.475*44/12</f>
        <v>0</v>
      </c>
      <c r="FR25" s="23">
        <f>EXP(-LN(2)/25)*FR24+(1-EXP(-LN(2)/25))/(LN(2)/25)*Calculateur!FM25*Calculateur!FO25*VLOOKUP('Données projet'!$B$16,Paramètres!$A$1:$I$89,3,0)*0.475*44/12</f>
        <v>0</v>
      </c>
      <c r="FS25" s="23">
        <f>EXP(-LN(2)/2)*FS24+(1-EXP(-LN(2)/2))/(LN(2)/2)*FM25*FP25*VLOOKUP('Données projet'!$B$16,Paramètres!$A$1:$I$89,3,0)*0.475*44/12</f>
        <v>0</v>
      </c>
      <c r="FT25" s="24">
        <f t="shared" si="24"/>
        <v>0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10.6</v>
      </c>
      <c r="FZ25" s="13">
        <f>IF('Données projet'!$A$244&gt;35,FZ24+FY25-GH24,IF(A25&lt;'Données projet'!$A$244,$FW$205^A25,IF(A25='Données projet'!$A$244,'Données projet'!$B$244,FZ24+FY25-GH24)))</f>
        <v>109.19999999999997</v>
      </c>
      <c r="GA25" s="18">
        <f>FZ25*VLOOKUP('Données projet'!$B$17,Paramètres!$A$1:$I$89,3,0)*VLOOKUP('Données projet'!$B$17,Paramètres!$A$1:$I$89,5,0)</f>
        <v>85.175999999999988</v>
      </c>
      <c r="GB25" s="14">
        <f t="shared" si="49"/>
        <v>23.398088487656434</v>
      </c>
      <c r="GC25" s="22">
        <f t="shared" si="25"/>
        <v>189.09987078266826</v>
      </c>
      <c r="GD25" s="62">
        <f t="shared" si="26"/>
        <v>472.65542633822383</v>
      </c>
      <c r="GE25" s="62">
        <f ca="1">AVERAGE(OFFSET($GD$3,0,0,'Données projet'!$E$17+1,1))-AVERAGE(OFFSET($H$3,0,0,'Données projet'!$E$17+1,1))</f>
        <v>292.57482726862594</v>
      </c>
      <c r="GF25" s="62">
        <f t="shared" si="50"/>
        <v>283.48738729114024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>
        <f>EXP(-LN(2)/35)*GL24+(1-EXP(-LN(2)/35))/(LN(2)/35)*GH25*GI25*VLOOKUP('Données projet'!$B$17,Paramètres!$A$1:$I$89,3,0)*0.475*44/12</f>
        <v>0</v>
      </c>
      <c r="GM25" s="23">
        <f>EXP(-LN(2)/25)*GM24+(1-EXP(-LN(2)/25))/(LN(2)/25)*Calculateur!GH25*Calculateur!GJ25*VLOOKUP('Données projet'!$B$17,Paramètres!$A$1:$I$89,3,0)*0.475*44/12</f>
        <v>0</v>
      </c>
      <c r="GN25" s="23">
        <f>EXP(-LN(2)/2)*GN24+(1-EXP(-LN(2)/2))/(LN(2)/2)*GH25*GK25*VLOOKUP('Données projet'!$B$17,Paramètres!$A$1:$I$89,3,0)*0.475*44/12</f>
        <v>0</v>
      </c>
      <c r="GO25" s="23">
        <f t="shared" si="27"/>
        <v>0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11.025641025641022</v>
      </c>
      <c r="GU25" s="13">
        <f>IF('Données projet'!$A$270&gt;35,GU24+GT25-HC24,IF(A25&lt;'Données projet'!$A$270,$GR$205^A25,IF(A25='Données projet'!$A$270,'Données projet'!$B$270,GU24+GT25-HC24)))</f>
        <v>152.82051282051285</v>
      </c>
      <c r="GV25" s="18">
        <f>GU25*VLOOKUP('Données projet'!$B$18,Paramètres!$A$1:$I$89,3,0)*VLOOKUP('Données projet'!$B$18,Paramètres!$A$1:$I$89,5,0)</f>
        <v>102.51200000000003</v>
      </c>
      <c r="GW25" s="14">
        <f t="shared" si="51"/>
        <v>27.559580057072086</v>
      </c>
      <c r="GX25" s="22">
        <f t="shared" si="28"/>
        <v>226.54133526606725</v>
      </c>
      <c r="GY25" s="62">
        <f t="shared" si="29"/>
        <v>510.09689082162276</v>
      </c>
      <c r="GZ25" s="62">
        <f ca="1">AVERAGE(OFFSET($GY$3,0,0,'Données projet'!$E$18+1,1))-AVERAGE(OFFSET($H$3,0,0,'Données projet'!$E$18+1,1))</f>
        <v>410.20186800287411</v>
      </c>
      <c r="HA25" s="62">
        <f t="shared" si="52"/>
        <v>321.99347958016057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>
        <f>EXP(-LN(2)/35)*HG24+(1-EXP(-LN(2)/35))/(LN(2)/35)*HC25*HD25*VLOOKUP('Données projet'!$B$18,Paramètres!$A$1:$I$89,3,0)*0.475*44/12</f>
        <v>0</v>
      </c>
      <c r="HH25" s="23">
        <f>EXP(-LN(2)/25)*HH24+(1-EXP(-LN(2)/25))/(LN(2)/25)*Calculateur!HC25*Calculateur!HE25*VLOOKUP('Données projet'!$B$18,Paramètres!$A$1:$I$89,3,0)*0.475*44/12</f>
        <v>0</v>
      </c>
      <c r="HI25" s="23">
        <f>EXP(-LN(2)/2)*HI24+(1-EXP(-LN(2)/2))/(LN(2)/2)*HC25*HF25*VLOOKUP('Données projet'!$B$18,Paramètres!$A$1:$I$89,3,0)*0.475*44/12</f>
        <v>0</v>
      </c>
      <c r="HJ25" s="24">
        <f t="shared" si="30"/>
        <v>0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7.2</v>
      </c>
      <c r="N26" s="14">
        <f>IF('Données projet'!$A$36&gt;35,N25+M26-V25,IF(A26&lt;'Données projet'!$A$36,$K$205^A26,IF(A26='Données projet'!$A$36,'Données projet'!$B$36,N25+M26-V25)))</f>
        <v>94.600000000000009</v>
      </c>
      <c r="O26" s="14">
        <f>N26*VLOOKUP('Données projet'!$B$9,Paramètres!$A$1:$I$89,3,0)*VLOOKUP('Données projet'!$B$9,Paramètres!$A$1:$I$89,5,0)</f>
        <v>85.594080000000005</v>
      </c>
      <c r="P26" s="14">
        <f t="shared" si="33"/>
        <v>23.499539031833248</v>
      </c>
      <c r="Q26" s="22">
        <f t="shared" si="2"/>
        <v>190.00471981377623</v>
      </c>
      <c r="R26" s="62">
        <f t="shared" si="0"/>
        <v>474.78249759155403</v>
      </c>
      <c r="S26" s="62">
        <f ca="1">AVERAGE(OFFSET($R$3,0,0,'Données projet'!$E$9+1,1))-AVERAGE(OFFSET($H$3,0,0,'Données projet'!$E$9+1,1))</f>
        <v>509.56241660612449</v>
      </c>
      <c r="T26" s="62">
        <f t="shared" si="34"/>
        <v>278.21741231699929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7.2</v>
      </c>
      <c r="AI26" s="14">
        <f>IF('Données projet'!$A$62&gt;35,AI25+AH26-AQ25,IF(A26&lt;'Données projet'!$A$62,$AF$205^A26,IF(A26='Données projet'!$A$62,'Données projet'!$B$62,AI25+AH26-AQ25)))</f>
        <v>94.600000000000009</v>
      </c>
      <c r="AJ26" s="14">
        <f>AI26*VLOOKUP('Données projet'!$B$10,Paramètres!$A$1:$I$89,3,0)*VLOOKUP('Données projet'!$B$10,Paramètres!$A$1:$I$89,5,0)</f>
        <v>95.92440000000002</v>
      </c>
      <c r="AK26" s="14">
        <f t="shared" si="35"/>
        <v>25.988703240473907</v>
      </c>
      <c r="AL26" s="22">
        <f t="shared" si="4"/>
        <v>212.33198814382544</v>
      </c>
      <c r="AM26" s="62">
        <f t="shared" si="5"/>
        <v>497.10976592160318</v>
      </c>
      <c r="AN26" s="62">
        <f ca="1">AVERAGE(OFFSET($AM$3,0,0,'Données projet'!$E$10+1,1))-AVERAGE(OFFSET($H$3,0,0,'Données projet'!$E$10+1,1))</f>
        <v>565.72091871734051</v>
      </c>
      <c r="AO26" s="62">
        <f t="shared" si="36"/>
        <v>306.61893266146666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14.739999999999998</v>
      </c>
      <c r="BD26" s="13">
        <f>IF('Données projet'!$A$88&gt;35,BD25+BC26-BL25,IF(A26&lt;'Données projet'!$A$88,$BA$205^A26,IF(A26='Données projet'!$A$88,'Données projet'!$B$88,BD25+BC26-BL25)))</f>
        <v>111.02000000000001</v>
      </c>
      <c r="BE26" s="14">
        <f>BD26*VLOOKUP('Données projet'!$B$11,Paramètres!$A$1:$I$89,3,0)*VLOOKUP('Données projet'!$B$11,Paramètres!$A$1:$I$89,5,0)</f>
        <v>81.399864000000008</v>
      </c>
      <c r="BF26" s="14">
        <f t="shared" si="37"/>
        <v>22.479111830915393</v>
      </c>
      <c r="BG26" s="22">
        <f t="shared" si="7"/>
        <v>180.92254957217764</v>
      </c>
      <c r="BH26" s="62">
        <f t="shared" si="8"/>
        <v>465.70032734995539</v>
      </c>
      <c r="BI26" s="62">
        <f ca="1">AVERAGE(OFFSET($BH$3,0,0,'Données projet'!$E$11+1,1))-AVERAGE(OFFSET($H$3,0,0,'Données projet'!$E$11+1,1))</f>
        <v>344.26020118887629</v>
      </c>
      <c r="BJ26" s="62">
        <f t="shared" si="38"/>
        <v>376.41441893222185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7.2</v>
      </c>
      <c r="BY26" s="13">
        <f>IF('Données projet'!$A$114&gt;35,BY25+BX26-CG25,IF(A26&lt;'Données projet'!$A$114,$BV$205^A26,IF(A26='Données projet'!$A$114,'Données projet'!$B$114,BY25+BX26-CG25)))</f>
        <v>94.600000000000009</v>
      </c>
      <c r="BZ26" s="14">
        <f>BY26*VLOOKUP('Données projet'!$B$12,Paramètres!$A$1:$I$89,3,0)*VLOOKUP('Données projet'!$B$12,Paramètres!$A$1:$I$89,5,0)</f>
        <v>79.691040000000015</v>
      </c>
      <c r="CA26" s="14">
        <f t="shared" si="39"/>
        <v>22.061624798490286</v>
      </c>
      <c r="CB26" s="22">
        <f t="shared" si="10"/>
        <v>177.21922452403726</v>
      </c>
      <c r="CC26" s="62">
        <f t="shared" si="11"/>
        <v>461.99700230181503</v>
      </c>
      <c r="CD26" s="62">
        <f ca="1">AVERAGE(OFFSET($CC$3,0,0,'Données projet'!$E$12+1,1))-AVERAGE(OFFSET($H$3,0,0,'Données projet'!$E$12+1,1))</f>
        <v>477.4105367901771</v>
      </c>
      <c r="CE26" s="62">
        <f t="shared" si="40"/>
        <v>261.95434270986397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3.4358974358974361</v>
      </c>
      <c r="CT26" s="13">
        <f>IF('Données projet'!$A$140&gt;35,CT25+CS26-DB25,IF(A26&lt;'Données projet'!$A$140,$CQ$205^A26,IF(A26='Données projet'!$A$140,'Données projet'!$B$140,CT25+CS26-DB25)))</f>
        <v>34.948116543670167</v>
      </c>
      <c r="CU26" s="18">
        <f>CT26*VLOOKUP('Données projet'!$B$13,Paramètres!$A$1:$I$89,3,0)*VLOOKUP('Données projet'!$B$13,Paramètres!$A$1:$I$89,5,0)</f>
        <v>16.355718542437639</v>
      </c>
      <c r="CV26" s="14">
        <f t="shared" si="41"/>
        <v>5.4444065589044843</v>
      </c>
      <c r="CW26" s="22">
        <f t="shared" si="13"/>
        <v>37.968551218170866</v>
      </c>
      <c r="CX26" s="62">
        <f t="shared" si="14"/>
        <v>322.74632899594866</v>
      </c>
      <c r="CY26" s="62">
        <f ca="1">AVERAGE(OFFSET($CX$3,0,0,'Données projet'!$E$13+1,1))-AVERAGE(OFFSET($H$3,0,0,'Données projet'!$E$13+1,1))</f>
        <v>246.64907095367749</v>
      </c>
      <c r="CZ26" s="62">
        <f t="shared" si="42"/>
        <v>145.34368562171613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14.739999999999998</v>
      </c>
      <c r="DO26" s="13">
        <f>IF('Données projet'!$A$166&gt;35,DO25+DN26-DW25,IF(A26&lt;'Données projet'!$A$166,$DL$205^A26,IF(A26='Données projet'!$A$166,'Données projet'!$B$166,DO25+DN26-DW25)))</f>
        <v>111.02000000000001</v>
      </c>
      <c r="DP26" s="18">
        <f>DO26*VLOOKUP('Données projet'!$B$14,Paramètres!$A$1:$I$89,3,0)*VLOOKUP('Données projet'!$B$14,Paramètres!$A$1:$I$89,5,0)</f>
        <v>88.327512000000013</v>
      </c>
      <c r="DQ26" s="14">
        <f t="shared" si="43"/>
        <v>24.161421859810599</v>
      </c>
      <c r="DR26" s="22">
        <f t="shared" si="16"/>
        <v>195.91822647250351</v>
      </c>
      <c r="DS26" s="62">
        <f t="shared" si="17"/>
        <v>480.69600425028125</v>
      </c>
      <c r="DT26" s="62">
        <f ca="1">AVERAGE(OFFSET($DS$3,0,0,'Données projet'!$E$14+1,1))-AVERAGE(OFFSET($H$3,0,0,'Données projet'!$E$14+1,1))</f>
        <v>370.38521334472284</v>
      </c>
      <c r="DU26" s="62">
        <f t="shared" si="44"/>
        <v>404.61777090709171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10.166666666666666</v>
      </c>
      <c r="EJ26" s="13">
        <f>IF('Données projet'!$A$192&gt;35,EJ25+EI26-ER25,IF(A26&lt;'Données projet'!$A$192,$EG$205^A26,IF(A26='Données projet'!$A$192,'Données projet'!$B$192,EJ25+EI26-ER25)))</f>
        <v>36.333333333333329</v>
      </c>
      <c r="EK26" s="18">
        <f>EJ26*VLOOKUP('Données projet'!$B$15,Paramètres!$A$1:$I$89,3,0)*VLOOKUP('Données projet'!$B$15,Paramètres!$A$1:$I$89,5,0)</f>
        <v>31.173999999999996</v>
      </c>
      <c r="EL26" s="14">
        <f t="shared" si="45"/>
        <v>9.6264718529466755</v>
      </c>
      <c r="EM26" s="22">
        <f t="shared" si="19"/>
        <v>71.060821810548774</v>
      </c>
      <c r="EN26" s="62">
        <f t="shared" si="20"/>
        <v>355.83859958832653</v>
      </c>
      <c r="EO26" s="62">
        <f ca="1">AVERAGE(OFFSET($EN$3,0,0,'Données projet'!$E$15+1,1))-AVERAGE(OFFSET($H$3,0,0,'Données projet'!$E$15+1,1))</f>
        <v>445.81166342116865</v>
      </c>
      <c r="EP26" s="62">
        <f t="shared" si="46"/>
        <v>230.82970731138215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7.2</v>
      </c>
      <c r="FE26" s="13">
        <f>IF('Données projet'!$A$218&gt;35,FE25+FD26-FM25,IF(A26&lt;'Données projet'!$A$218,$FB$205^A26,IF(A26='Données projet'!$A$218,'Données projet'!$B$218,FE25+FD26-FM25)))</f>
        <v>94.600000000000009</v>
      </c>
      <c r="FF26" s="18">
        <f>FE26*VLOOKUP('Données projet'!$B$16,Paramètres!$A$1:$I$89,3,0)*VLOOKUP('Données projet'!$B$16,Paramètres!$A$1:$I$89,5,0)</f>
        <v>91.49712000000001</v>
      </c>
      <c r="FG26" s="14">
        <f t="shared" si="47"/>
        <v>24.925946867642839</v>
      </c>
      <c r="FH26" s="22">
        <f t="shared" si="22"/>
        <v>202.77017479447795</v>
      </c>
      <c r="FI26" s="62">
        <f t="shared" si="23"/>
        <v>487.54795257225572</v>
      </c>
      <c r="FJ26" s="62">
        <f ca="1">AVERAGE(OFFSET($FI$3,0,0,'Données projet'!$E$16+1,1))-AVERAGE(OFFSET($H$3,0,0,'Données projet'!$E$16+1,1))</f>
        <v>541.66888676162716</v>
      </c>
      <c r="FK26" s="62">
        <f t="shared" si="48"/>
        <v>294.45557293177131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>
        <f>EXP(-LN(2)/35)*FQ25+(1-EXP(-LN(2)/35))/(LN(2)/35)*FM26*FN26*VLOOKUP('Données projet'!$B$16,Paramètres!$A$1:$I$89,3,0)*0.475*44/12</f>
        <v>0</v>
      </c>
      <c r="FR26" s="23">
        <f>EXP(-LN(2)/25)*FR25+(1-EXP(-LN(2)/25))/(LN(2)/25)*Calculateur!FM26*Calculateur!FO26*VLOOKUP('Données projet'!$B$16,Paramètres!$A$1:$I$89,3,0)*0.475*44/12</f>
        <v>0</v>
      </c>
      <c r="FS26" s="23">
        <f>EXP(-LN(2)/2)*FS25+(1-EXP(-LN(2)/2))/(LN(2)/2)*FM26*FP26*VLOOKUP('Données projet'!$B$16,Paramètres!$A$1:$I$89,3,0)*0.475*44/12</f>
        <v>0</v>
      </c>
      <c r="FT26" s="24">
        <f t="shared" si="24"/>
        <v>0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10.6</v>
      </c>
      <c r="FZ26" s="13">
        <f>IF('Données projet'!$A$244&gt;35,FZ25+FY26-GH25,IF(A26&lt;'Données projet'!$A$244,$FW$205^A26,IF(A26='Données projet'!$A$244,'Données projet'!$B$244,FZ25+FY26-GH25)))</f>
        <v>119.79999999999997</v>
      </c>
      <c r="GA26" s="18">
        <f>FZ26*VLOOKUP('Données projet'!$B$17,Paramètres!$A$1:$I$89,3,0)*VLOOKUP('Données projet'!$B$17,Paramètres!$A$1:$I$89,5,0)</f>
        <v>93.443999999999974</v>
      </c>
      <c r="GB26" s="14">
        <f t="shared" si="49"/>
        <v>25.394010816431489</v>
      </c>
      <c r="GC26" s="22">
        <f t="shared" si="25"/>
        <v>206.97620217195148</v>
      </c>
      <c r="GD26" s="62">
        <f t="shared" si="26"/>
        <v>491.75397994972923</v>
      </c>
      <c r="GE26" s="62">
        <f ca="1">AVERAGE(OFFSET($GD$3,0,0,'Données projet'!$E$17+1,1))-AVERAGE(OFFSET($H$3,0,0,'Données projet'!$E$17+1,1))</f>
        <v>292.57482726862594</v>
      </c>
      <c r="GF26" s="62">
        <f t="shared" si="50"/>
        <v>283.48738729114024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>
        <f>EXP(-LN(2)/35)*GL25+(1-EXP(-LN(2)/35))/(LN(2)/35)*GH26*GI26*VLOOKUP('Données projet'!$B$17,Paramètres!$A$1:$I$89,3,0)*0.475*44/12</f>
        <v>0</v>
      </c>
      <c r="GM26" s="23">
        <f>EXP(-LN(2)/25)*GM25+(1-EXP(-LN(2)/25))/(LN(2)/25)*Calculateur!GH26*Calculateur!GJ26*VLOOKUP('Données projet'!$B$17,Paramètres!$A$1:$I$89,3,0)*0.475*44/12</f>
        <v>0</v>
      </c>
      <c r="GN26" s="23">
        <f>EXP(-LN(2)/2)*GN25+(1-EXP(-LN(2)/2))/(LN(2)/2)*GH26*GK26*VLOOKUP('Données projet'!$B$17,Paramètres!$A$1:$I$89,3,0)*0.475*44/12</f>
        <v>0</v>
      </c>
      <c r="GO26" s="23">
        <f t="shared" si="27"/>
        <v>0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11.025641025641022</v>
      </c>
      <c r="GU26" s="13">
        <f>IF('Données projet'!$A$270&gt;35,GU25+GT26-HC25,IF(A26&lt;'Données projet'!$A$270,$GR$205^A26,IF(A26='Données projet'!$A$270,'Données projet'!$B$270,GU25+GT26-HC25)))</f>
        <v>163.84615384615387</v>
      </c>
      <c r="GV26" s="18">
        <f>GU26*VLOOKUP('Données projet'!$B$18,Paramètres!$A$1:$I$89,3,0)*VLOOKUP('Données projet'!$B$18,Paramètres!$A$1:$I$89,5,0)</f>
        <v>109.90800000000002</v>
      </c>
      <c r="GW26" s="14">
        <f t="shared" si="51"/>
        <v>29.309307599552149</v>
      </c>
      <c r="GX26" s="22">
        <f t="shared" si="28"/>
        <v>242.47014406922003</v>
      </c>
      <c r="GY26" s="62">
        <f t="shared" si="29"/>
        <v>527.24792184699777</v>
      </c>
      <c r="GZ26" s="62">
        <f ca="1">AVERAGE(OFFSET($GY$3,0,0,'Données projet'!$E$18+1,1))-AVERAGE(OFFSET($H$3,0,0,'Données projet'!$E$18+1,1))</f>
        <v>410.20186800287411</v>
      </c>
      <c r="HA26" s="62">
        <f t="shared" si="52"/>
        <v>321.99347958016057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>
        <f>EXP(-LN(2)/35)*HG25+(1-EXP(-LN(2)/35))/(LN(2)/35)*HC26*HD26*VLOOKUP('Données projet'!$B$18,Paramètres!$A$1:$I$89,3,0)*0.475*44/12</f>
        <v>0</v>
      </c>
      <c r="HH26" s="23">
        <f>EXP(-LN(2)/25)*HH25+(1-EXP(-LN(2)/25))/(LN(2)/25)*Calculateur!HC26*Calculateur!HE26*VLOOKUP('Données projet'!$B$18,Paramètres!$A$1:$I$89,3,0)*0.475*44/12</f>
        <v>0</v>
      </c>
      <c r="HI26" s="23">
        <f>EXP(-LN(2)/2)*HI25+(1-EXP(-LN(2)/2))/(LN(2)/2)*HC26*HF26*VLOOKUP('Données projet'!$B$18,Paramètres!$A$1:$I$89,3,0)*0.475*44/12</f>
        <v>0</v>
      </c>
      <c r="HJ26" s="24">
        <f t="shared" si="30"/>
        <v>0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7.2</v>
      </c>
      <c r="N27" s="14">
        <f>IF('Données projet'!$A$36&gt;35,N26+M27-V26,IF(A27&lt;'Données projet'!$A$36,$K$205^A27,IF(A27='Données projet'!$A$36,'Données projet'!$B$36,N26+M27-V26)))</f>
        <v>101.80000000000001</v>
      </c>
      <c r="O27" s="14">
        <f>N27*VLOOKUP('Données projet'!$B$9,Paramètres!$A$1:$I$89,3,0)*VLOOKUP('Données projet'!$B$9,Paramètres!$A$1:$I$89,5,0)</f>
        <v>92.108640000000008</v>
      </c>
      <c r="P27" s="14">
        <f t="shared" si="33"/>
        <v>25.073090701604293</v>
      </c>
      <c r="Q27" s="22">
        <f t="shared" si="2"/>
        <v>204.09151430529414</v>
      </c>
      <c r="R27" s="62">
        <f t="shared" si="0"/>
        <v>490.09151430529414</v>
      </c>
      <c r="S27" s="62">
        <f ca="1">AVERAGE(OFFSET($R$3,0,0,'Données projet'!$E$9+1,1))-AVERAGE(OFFSET($H$3,0,0,'Données projet'!$E$9+1,1))</f>
        <v>509.56241660612449</v>
      </c>
      <c r="T27" s="62">
        <f t="shared" si="34"/>
        <v>278.21741231699929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7.2</v>
      </c>
      <c r="AI27" s="14">
        <f>IF('Données projet'!$A$62&gt;35,AI26+AH27-AQ26,IF(A27&lt;'Données projet'!$A$62,$AF$205^A27,IF(A27='Données projet'!$A$62,'Données projet'!$B$62,AI26+AH27-AQ26)))</f>
        <v>101.80000000000001</v>
      </c>
      <c r="AJ27" s="14">
        <f>AI27*VLOOKUP('Données projet'!$B$10,Paramètres!$A$1:$I$89,3,0)*VLOOKUP('Données projet'!$B$10,Paramètres!$A$1:$I$89,5,0)</f>
        <v>103.22520000000003</v>
      </c>
      <c r="AK27" s="14">
        <f t="shared" si="35"/>
        <v>27.728931732779014</v>
      </c>
      <c r="AL27" s="22">
        <f t="shared" si="4"/>
        <v>228.07844610125684</v>
      </c>
      <c r="AM27" s="62">
        <f t="shared" si="5"/>
        <v>514.07844610125687</v>
      </c>
      <c r="AN27" s="62">
        <f ca="1">AVERAGE(OFFSET($AM$3,0,0,'Données projet'!$E$10+1,1))-AVERAGE(OFFSET($H$3,0,0,'Données projet'!$E$10+1,1))</f>
        <v>565.72091871734051</v>
      </c>
      <c r="AO27" s="62">
        <f t="shared" si="36"/>
        <v>306.61893266146666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14.739999999999998</v>
      </c>
      <c r="BD27" s="13">
        <f>IF('Données projet'!$A$88&gt;35,BD26+BC27-BL26,IF(A27&lt;'Données projet'!$A$88,$BA$205^A27,IF(A27='Données projet'!$A$88,'Données projet'!$B$88,BD26+BC27-BL26)))</f>
        <v>125.76</v>
      </c>
      <c r="BE27" s="14">
        <f>BD27*VLOOKUP('Données projet'!$B$11,Paramètres!$A$1:$I$89,3,0)*VLOOKUP('Données projet'!$B$11,Paramètres!$A$1:$I$89,5,0)</f>
        <v>92.207232000000005</v>
      </c>
      <c r="BF27" s="14">
        <f t="shared" si="37"/>
        <v>25.096803228719384</v>
      </c>
      <c r="BG27" s="22">
        <f t="shared" si="7"/>
        <v>204.3045280233529</v>
      </c>
      <c r="BH27" s="62">
        <f t="shared" si="8"/>
        <v>490.30452802335287</v>
      </c>
      <c r="BI27" s="62">
        <f ca="1">AVERAGE(OFFSET($BH$3,0,0,'Données projet'!$E$11+1,1))-AVERAGE(OFFSET($H$3,0,0,'Données projet'!$E$11+1,1))</f>
        <v>344.26020118887629</v>
      </c>
      <c r="BJ27" s="62">
        <f t="shared" si="38"/>
        <v>376.41441893222185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7.2</v>
      </c>
      <c r="BY27" s="13">
        <f>IF('Données projet'!$A$114&gt;35,BY26+BX27-CG26,IF(A27&lt;'Données projet'!$A$114,$BV$205^A27,IF(A27='Données projet'!$A$114,'Données projet'!$B$114,BY26+BX27-CG26)))</f>
        <v>101.80000000000001</v>
      </c>
      <c r="BZ27" s="14">
        <f>BY27*VLOOKUP('Données projet'!$B$12,Paramètres!$A$1:$I$89,3,0)*VLOOKUP('Données projet'!$B$12,Paramètres!$A$1:$I$89,5,0)</f>
        <v>85.756320000000017</v>
      </c>
      <c r="CA27" s="14">
        <f t="shared" si="39"/>
        <v>23.538892352228263</v>
      </c>
      <c r="CB27" s="22">
        <f t="shared" si="10"/>
        <v>190.35582818013089</v>
      </c>
      <c r="CC27" s="62">
        <f t="shared" si="11"/>
        <v>476.35582818013086</v>
      </c>
      <c r="CD27" s="62">
        <f ca="1">AVERAGE(OFFSET($CC$3,0,0,'Données projet'!$E$12+1,1))-AVERAGE(OFFSET($H$3,0,0,'Données projet'!$E$12+1,1))</f>
        <v>477.4105367901771</v>
      </c>
      <c r="CE27" s="62">
        <f t="shared" si="40"/>
        <v>261.95434270986397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3.4358974358974361</v>
      </c>
      <c r="CT27" s="13">
        <f>IF('Données projet'!$A$140&gt;35,CT26+CS27-DB26,IF(A27&lt;'Données projet'!$A$140,$CQ$205^A27,IF(A27='Données projet'!$A$140,'Données projet'!$B$140,CT26+CS27-DB26)))</f>
        <v>40.787694412748245</v>
      </c>
      <c r="CU27" s="18">
        <f>CT27*VLOOKUP('Données projet'!$B$13,Paramètres!$A$1:$I$89,3,0)*VLOOKUP('Données projet'!$B$13,Paramètres!$A$1:$I$89,5,0)</f>
        <v>19.08864098516618</v>
      </c>
      <c r="CV27" s="14">
        <f t="shared" si="41"/>
        <v>6.2408660841484478</v>
      </c>
      <c r="CW27" s="22">
        <f t="shared" si="13"/>
        <v>44.115558145722979</v>
      </c>
      <c r="CX27" s="62">
        <f t="shared" si="14"/>
        <v>330.11555814572296</v>
      </c>
      <c r="CY27" s="62">
        <f ca="1">AVERAGE(OFFSET($CX$3,0,0,'Données projet'!$E$13+1,1))-AVERAGE(OFFSET($H$3,0,0,'Données projet'!$E$13+1,1))</f>
        <v>246.64907095367749</v>
      </c>
      <c r="CZ27" s="62">
        <f t="shared" si="42"/>
        <v>145.34368562171613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14.739999999999998</v>
      </c>
      <c r="DO27" s="13">
        <f>IF('Données projet'!$A$166&gt;35,DO26+DN27-DW26,IF(A27&lt;'Données projet'!$A$166,$DL$205^A27,IF(A27='Données projet'!$A$166,'Données projet'!$B$166,DO26+DN27-DW26)))</f>
        <v>125.76</v>
      </c>
      <c r="DP27" s="18">
        <f>DO27*VLOOKUP('Données projet'!$B$14,Paramètres!$A$1:$I$89,3,0)*VLOOKUP('Données projet'!$B$14,Paramètres!$A$1:$I$89,5,0)</f>
        <v>100.05465600000001</v>
      </c>
      <c r="DQ27" s="14">
        <f t="shared" si="43"/>
        <v>26.97501817255089</v>
      </c>
      <c r="DR27" s="22">
        <f t="shared" si="16"/>
        <v>221.24334918385946</v>
      </c>
      <c r="DS27" s="62">
        <f t="shared" si="17"/>
        <v>507.24334918385944</v>
      </c>
      <c r="DT27" s="62">
        <f ca="1">AVERAGE(OFFSET($DS$3,0,0,'Données projet'!$E$14+1,1))-AVERAGE(OFFSET($H$3,0,0,'Données projet'!$E$14+1,1))</f>
        <v>370.38521334472284</v>
      </c>
      <c r="DU27" s="62">
        <f t="shared" si="44"/>
        <v>404.61777090709171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10.166666666666666</v>
      </c>
      <c r="EJ27" s="13">
        <f>IF('Données projet'!$A$192&gt;35,EJ26+EI27-ER26,IF(A27&lt;'Données projet'!$A$192,$EG$205^A27,IF(A27='Données projet'!$A$192,'Données projet'!$B$192,EJ26+EI27-ER26)))</f>
        <v>46.499999999999993</v>
      </c>
      <c r="EK27" s="18">
        <f>EJ27*VLOOKUP('Données projet'!$B$15,Paramètres!$A$1:$I$89,3,0)*VLOOKUP('Données projet'!$B$15,Paramètres!$A$1:$I$89,5,0)</f>
        <v>39.896999999999998</v>
      </c>
      <c r="EL27" s="14">
        <f t="shared" si="45"/>
        <v>11.971342650084589</v>
      </c>
      <c r="EM27" s="22">
        <f t="shared" si="19"/>
        <v>90.337363448897307</v>
      </c>
      <c r="EN27" s="62">
        <f t="shared" si="20"/>
        <v>376.33736344889729</v>
      </c>
      <c r="EO27" s="62">
        <f ca="1">AVERAGE(OFFSET($EN$3,0,0,'Données projet'!$E$15+1,1))-AVERAGE(OFFSET($H$3,0,0,'Données projet'!$E$15+1,1))</f>
        <v>445.81166342116865</v>
      </c>
      <c r="EP27" s="62">
        <f t="shared" si="46"/>
        <v>230.82970731138215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7.2</v>
      </c>
      <c r="FE27" s="13">
        <f>IF('Données projet'!$A$218&gt;35,FE26+FD27-FM26,IF(A27&lt;'Données projet'!$A$218,$FB$205^A27,IF(A27='Données projet'!$A$218,'Données projet'!$B$218,FE26+FD27-FM26)))</f>
        <v>101.80000000000001</v>
      </c>
      <c r="FF27" s="18">
        <f>FE27*VLOOKUP('Données projet'!$B$16,Paramètres!$A$1:$I$89,3,0)*VLOOKUP('Données projet'!$B$16,Paramètres!$A$1:$I$89,5,0)</f>
        <v>98.460960000000014</v>
      </c>
      <c r="FG27" s="14">
        <f t="shared" si="47"/>
        <v>26.595012174033403</v>
      </c>
      <c r="FH27" s="22">
        <f t="shared" si="22"/>
        <v>217.80581820310817</v>
      </c>
      <c r="FI27" s="62">
        <f t="shared" si="23"/>
        <v>503.80581820310817</v>
      </c>
      <c r="FJ27" s="62">
        <f ca="1">AVERAGE(OFFSET($FI$3,0,0,'Données projet'!$E$16+1,1))-AVERAGE(OFFSET($H$3,0,0,'Données projet'!$E$16+1,1))</f>
        <v>541.66888676162716</v>
      </c>
      <c r="FK27" s="62">
        <f t="shared" si="48"/>
        <v>294.45557293177131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>
        <f>EXP(-LN(2)/35)*FQ26+(1-EXP(-LN(2)/35))/(LN(2)/35)*FM27*FN27*VLOOKUP('Données projet'!$B$16,Paramètres!$A$1:$I$89,3,0)*0.475*44/12</f>
        <v>0</v>
      </c>
      <c r="FR27" s="23">
        <f>EXP(-LN(2)/25)*FR26+(1-EXP(-LN(2)/25))/(LN(2)/25)*Calculateur!FM27*Calculateur!FO27*VLOOKUP('Données projet'!$B$16,Paramètres!$A$1:$I$89,3,0)*0.475*44/12</f>
        <v>0</v>
      </c>
      <c r="FS27" s="23">
        <f>EXP(-LN(2)/2)*FS26+(1-EXP(-LN(2)/2))/(LN(2)/2)*FM27*FP27*VLOOKUP('Données projet'!$B$16,Paramètres!$A$1:$I$89,3,0)*0.475*44/12</f>
        <v>0</v>
      </c>
      <c r="FT27" s="24">
        <f t="shared" si="24"/>
        <v>0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10.6</v>
      </c>
      <c r="FZ27" s="13">
        <f>IF('Données projet'!$A$244&gt;35,FZ26+FY27-GH26,IF(A27&lt;'Données projet'!$A$244,$FW$205^A27,IF(A27='Données projet'!$A$244,'Données projet'!$B$244,FZ26+FY27-GH26)))</f>
        <v>130.39999999999998</v>
      </c>
      <c r="GA27" s="18">
        <f>FZ27*VLOOKUP('Données projet'!$B$17,Paramètres!$A$1:$I$89,3,0)*VLOOKUP('Données projet'!$B$17,Paramètres!$A$1:$I$89,5,0)</f>
        <v>101.71199999999999</v>
      </c>
      <c r="GB27" s="14">
        <f t="shared" si="49"/>
        <v>27.369454120725656</v>
      </c>
      <c r="GC27" s="22">
        <f t="shared" si="25"/>
        <v>224.81686592693052</v>
      </c>
      <c r="GD27" s="62">
        <f t="shared" si="26"/>
        <v>510.81686592693052</v>
      </c>
      <c r="GE27" s="62">
        <f ca="1">AVERAGE(OFFSET($GD$3,0,0,'Données projet'!$E$17+1,1))-AVERAGE(OFFSET($H$3,0,0,'Données projet'!$E$17+1,1))</f>
        <v>292.57482726862594</v>
      </c>
      <c r="GF27" s="62">
        <f t="shared" si="50"/>
        <v>283.48738729114024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>
        <f>EXP(-LN(2)/35)*GL26+(1-EXP(-LN(2)/35))/(LN(2)/35)*GH27*GI27*VLOOKUP('Données projet'!$B$17,Paramètres!$A$1:$I$89,3,0)*0.475*44/12</f>
        <v>0</v>
      </c>
      <c r="GM27" s="23">
        <f>EXP(-LN(2)/25)*GM26+(1-EXP(-LN(2)/25))/(LN(2)/25)*Calculateur!GH27*Calculateur!GJ27*VLOOKUP('Données projet'!$B$17,Paramètres!$A$1:$I$89,3,0)*0.475*44/12</f>
        <v>0</v>
      </c>
      <c r="GN27" s="23">
        <f>EXP(-LN(2)/2)*GN26+(1-EXP(-LN(2)/2))/(LN(2)/2)*GH27*GK27*VLOOKUP('Données projet'!$B$17,Paramètres!$A$1:$I$89,3,0)*0.475*44/12</f>
        <v>0</v>
      </c>
      <c r="GO27" s="23">
        <f t="shared" si="27"/>
        <v>0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11.025641025641022</v>
      </c>
      <c r="GU27" s="13">
        <f>IF('Données projet'!$A$270&gt;35,GU26+GT27-HC26,IF(A27&lt;'Données projet'!$A$270,$GR$205^A27,IF(A27='Données projet'!$A$270,'Données projet'!$B$270,GU26+GT27-HC26)))</f>
        <v>174.87179487179489</v>
      </c>
      <c r="GV27" s="18">
        <f>GU27*VLOOKUP('Données projet'!$B$18,Paramètres!$A$1:$I$89,3,0)*VLOOKUP('Données projet'!$B$18,Paramètres!$A$1:$I$89,5,0)</f>
        <v>117.30400000000002</v>
      </c>
      <c r="GW27" s="14">
        <f t="shared" si="51"/>
        <v>31.045372419835079</v>
      </c>
      <c r="GX27" s="22">
        <f t="shared" si="28"/>
        <v>258.37515696454608</v>
      </c>
      <c r="GY27" s="62">
        <f t="shared" si="29"/>
        <v>544.37515696454602</v>
      </c>
      <c r="GZ27" s="62">
        <f ca="1">AVERAGE(OFFSET($GY$3,0,0,'Données projet'!$E$18+1,1))-AVERAGE(OFFSET($H$3,0,0,'Données projet'!$E$18+1,1))</f>
        <v>410.20186800287411</v>
      </c>
      <c r="HA27" s="62">
        <f t="shared" si="52"/>
        <v>321.99347958016057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>
        <f>EXP(-LN(2)/35)*HG26+(1-EXP(-LN(2)/35))/(LN(2)/35)*HC27*HD27*VLOOKUP('Données projet'!$B$18,Paramètres!$A$1:$I$89,3,0)*0.475*44/12</f>
        <v>0</v>
      </c>
      <c r="HH27" s="23">
        <f>EXP(-LN(2)/25)*HH26+(1-EXP(-LN(2)/25))/(LN(2)/25)*Calculateur!HC27*Calculateur!HE27*VLOOKUP('Données projet'!$B$18,Paramètres!$A$1:$I$89,3,0)*0.475*44/12</f>
        <v>0</v>
      </c>
      <c r="HI27" s="23">
        <f>EXP(-LN(2)/2)*HI26+(1-EXP(-LN(2)/2))/(LN(2)/2)*HC27*HF27*VLOOKUP('Données projet'!$B$18,Paramètres!$A$1:$I$89,3,0)*0.475*44/12</f>
        <v>0</v>
      </c>
      <c r="HJ27" s="24">
        <f t="shared" si="30"/>
        <v>0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109</v>
      </c>
      <c r="L28" s="13">
        <f>VLOOKUP(A28,'Données projet'!$A$35:$I$55,9,0)</f>
        <v>7.2</v>
      </c>
      <c r="M28" s="13">
        <f t="array" ref="M28">INDEX(L:L,MIN(IF(ISNUMBER(L28:L224),ROW(L28:L224),"")))</f>
        <v>7.2</v>
      </c>
      <c r="N28" s="14">
        <f>IF('Données projet'!$A$36&gt;35,N27+M28-V27,IF(A28&lt;'Données projet'!$A$36,$K$205^A28,IF(A28='Données projet'!$A$36,'Données projet'!$B$36,N27+M28-V27)))</f>
        <v>109.00000000000001</v>
      </c>
      <c r="O28" s="14">
        <f>N28*VLOOKUP('Données projet'!$B$9,Paramètres!$A$1:$I$89,3,0)*VLOOKUP('Données projet'!$B$9,Paramètres!$A$1:$I$89,5,0)</f>
        <v>98.623200000000011</v>
      </c>
      <c r="P28" s="14">
        <f t="shared" si="33"/>
        <v>26.633729748944933</v>
      </c>
      <c r="Q28" s="22">
        <f t="shared" si="2"/>
        <v>218.15581931274576</v>
      </c>
      <c r="R28" s="62">
        <f t="shared" si="0"/>
        <v>505.37804153496802</v>
      </c>
      <c r="S28" s="62">
        <f ca="1">AVERAGE(OFFSET($R$3,0,0,'Données projet'!$E$9+1,1))-AVERAGE(OFFSET($H$3,0,0,'Données projet'!$E$9+1,1))</f>
        <v>509.56241660612449</v>
      </c>
      <c r="T28" s="62">
        <f t="shared" si="34"/>
        <v>278.21741231699929</v>
      </c>
      <c r="U28" s="16">
        <f>IF(ISNA(VLOOKUP(A28,'Données projet'!$A$35:$I$55,3,0)),0,VLOOKUP(A28,'Données projet'!$A$35:$I$55,3,0))</f>
        <v>1</v>
      </c>
      <c r="V28" s="16">
        <f>IF(ISNA(VLOOKUP(A28,'Données projet'!$A$35:$I$55,4,0)),0,VLOOKUP(A28,'Données projet'!$A$35:$I$55,4,0))</f>
        <v>34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109</v>
      </c>
      <c r="AG28" s="13">
        <f>VLOOKUP(A28,'Données projet'!$A$61:$I$81,9,0)</f>
        <v>7.2</v>
      </c>
      <c r="AH28" s="13">
        <f t="array" ref="AH28">INDEX(AG:AG,MIN(IF(ISNUMBER(AG28:AG224),ROW(AG28:AG224),"")))</f>
        <v>7.2</v>
      </c>
      <c r="AI28" s="14">
        <f>IF('Données projet'!$A$62&gt;35,AI27+AH28-AQ27,IF(A28&lt;'Données projet'!$A$62,$AF$205^A28,IF(A28='Données projet'!$A$62,'Données projet'!$B$62,AI27+AH28-AQ27)))</f>
        <v>109.00000000000001</v>
      </c>
      <c r="AJ28" s="14">
        <f>AI28*VLOOKUP('Données projet'!$B$10,Paramètres!$A$1:$I$89,3,0)*VLOOKUP('Données projet'!$B$10,Paramètres!$A$1:$I$89,5,0)</f>
        <v>110.52600000000001</v>
      </c>
      <c r="AK28" s="14">
        <f t="shared" si="35"/>
        <v>29.454879846564946</v>
      </c>
      <c r="AL28" s="22">
        <f t="shared" si="4"/>
        <v>243.80003239943395</v>
      </c>
      <c r="AM28" s="62">
        <f t="shared" si="5"/>
        <v>531.0222546216562</v>
      </c>
      <c r="AN28" s="62">
        <f ca="1">AVERAGE(OFFSET($AM$3,0,0,'Données projet'!$E$10+1,1))-AVERAGE(OFFSET($H$3,0,0,'Données projet'!$E$10+1,1))</f>
        <v>565.72091871734051</v>
      </c>
      <c r="AO28" s="62">
        <f t="shared" si="36"/>
        <v>306.61893266146666</v>
      </c>
      <c r="AP28" s="16">
        <f>IF(ISNA(VLOOKUP(A28,'Données projet'!$A$61:$I$81,3,0)),0,VLOOKUP(A28,'Données projet'!$A$61:$I$81,3,0))</f>
        <v>1</v>
      </c>
      <c r="AQ28" s="16">
        <f>IF(ISNA(VLOOKUP(A28,'Données projet'!$A$61:$I$81,4,0)),0,VLOOKUP(A28,'Données projet'!$A$61:$I$81,4,0))</f>
        <v>34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140.5</v>
      </c>
      <c r="BB28" s="13">
        <f>VLOOKUP(A28,'Données projet'!$A$87:$I$107,9,0)</f>
        <v>14.739999999999998</v>
      </c>
      <c r="BC28" s="13">
        <f t="array" ref="BC28">INDEX(BB:BB,MIN(IF(ISNUMBER(BB28:BB224),ROW(BB28:BB224),"")))</f>
        <v>14.739999999999998</v>
      </c>
      <c r="BD28" s="13">
        <f>IF('Données projet'!$A$88&gt;35,BD27+BC28-BL27,IF(A28&lt;'Données projet'!$A$88,$BA$205^A28,IF(A28='Données projet'!$A$88,'Données projet'!$B$88,BD27+BC28-BL27)))</f>
        <v>140.5</v>
      </c>
      <c r="BE28" s="14">
        <f>BD28*VLOOKUP('Données projet'!$B$11,Paramètres!$A$1:$I$89,3,0)*VLOOKUP('Données projet'!$B$11,Paramètres!$A$1:$I$89,5,0)</f>
        <v>103.0146</v>
      </c>
      <c r="BF28" s="14">
        <f t="shared" si="37"/>
        <v>27.678938285581953</v>
      </c>
      <c r="BG28" s="22">
        <f t="shared" si="7"/>
        <v>227.62457918072189</v>
      </c>
      <c r="BH28" s="62">
        <f t="shared" si="8"/>
        <v>514.84680140294415</v>
      </c>
      <c r="BI28" s="62">
        <f ca="1">AVERAGE(OFFSET($BH$3,0,0,'Données projet'!$E$11+1,1))-AVERAGE(OFFSET($H$3,0,0,'Données projet'!$E$11+1,1))</f>
        <v>344.26020118887629</v>
      </c>
      <c r="BJ28" s="62">
        <f t="shared" si="38"/>
        <v>376.41441893222185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109</v>
      </c>
      <c r="BW28" s="13">
        <f>VLOOKUP(A28,'Données projet'!$A$113:$I$133,9,0)</f>
        <v>7.2</v>
      </c>
      <c r="BX28" s="13">
        <f t="array" ref="BX28">INDEX(BW:BW,MIN(IF(ISNUMBER(BW28:BW224),ROW(BW28:BW224),"")))</f>
        <v>7.2</v>
      </c>
      <c r="BY28" s="13">
        <f>IF('Données projet'!$A$114&gt;35,BY27+BX28-CG27,IF(A28&lt;'Données projet'!$A$114,$BV$205^A28,IF(A28='Données projet'!$A$114,'Données projet'!$B$114,BY27+BX28-CG27)))</f>
        <v>109.00000000000001</v>
      </c>
      <c r="BZ28" s="14">
        <f>BY28*VLOOKUP('Données projet'!$B$12,Paramètres!$A$1:$I$89,3,0)*VLOOKUP('Données projet'!$B$12,Paramètres!$A$1:$I$89,5,0)</f>
        <v>91.821600000000018</v>
      </c>
      <c r="CA28" s="14">
        <f t="shared" si="39"/>
        <v>25.004037394505982</v>
      </c>
      <c r="CB28" s="22">
        <f t="shared" si="10"/>
        <v>203.47131846209797</v>
      </c>
      <c r="CC28" s="62">
        <f t="shared" si="11"/>
        <v>490.69354068432017</v>
      </c>
      <c r="CD28" s="62">
        <f ca="1">AVERAGE(OFFSET($CC$3,0,0,'Données projet'!$E$12+1,1))-AVERAGE(OFFSET($H$3,0,0,'Données projet'!$E$12+1,1))</f>
        <v>477.4105367901771</v>
      </c>
      <c r="CE28" s="62">
        <f t="shared" si="40"/>
        <v>261.95434270986397</v>
      </c>
      <c r="CF28" s="16">
        <f>IF(ISNA(VLOOKUP(A28,'Données projet'!$A$113:$I$133,3,0)),0,VLOOKUP(A28,'Données projet'!$A$113:$I$133,3,0))</f>
        <v>1</v>
      </c>
      <c r="CG28" s="16">
        <f>IF(ISNA(VLOOKUP(A28,'Données projet'!$A$113:$I$133,4,0)),0,VLOOKUP(A28,'Données projet'!$A$113:$I$133,4,0))</f>
        <v>34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3.4358974358974361</v>
      </c>
      <c r="CT28" s="13">
        <f>IF('Données projet'!$A$140&gt;35,CT27+CS28-DB27,IF(A28&lt;'Données projet'!$A$140,$CQ$205^A28,IF(A28='Données projet'!$A$140,'Données projet'!$B$140,CT27+CS28-DB27)))</f>
        <v>47.603023568635017</v>
      </c>
      <c r="CU28" s="18">
        <f>CT28*VLOOKUP('Données projet'!$B$13,Paramètres!$A$1:$I$89,3,0)*VLOOKUP('Données projet'!$B$13,Paramètres!$A$1:$I$89,5,0)</f>
        <v>22.278215030121189</v>
      </c>
      <c r="CV28" s="14">
        <f t="shared" si="41"/>
        <v>7.1538392768580321</v>
      </c>
      <c r="CW28" s="22">
        <f t="shared" si="13"/>
        <v>51.260827917988813</v>
      </c>
      <c r="CX28" s="62">
        <f t="shared" si="14"/>
        <v>338.48305014021105</v>
      </c>
      <c r="CY28" s="62">
        <f ca="1">AVERAGE(OFFSET($CX$3,0,0,'Données projet'!$E$13+1,1))-AVERAGE(OFFSET($H$3,0,0,'Données projet'!$E$13+1,1))</f>
        <v>246.64907095367749</v>
      </c>
      <c r="CZ28" s="62">
        <f t="shared" si="42"/>
        <v>145.34368562171613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projet'!$A$165:$I$185,2,0)</f>
        <v>140.5</v>
      </c>
      <c r="DM28" s="13">
        <f>VLOOKUP(A28,'Données projet'!$A$165:$I$185,9,0)</f>
        <v>14.739999999999998</v>
      </c>
      <c r="DN28" s="13">
        <f t="array" ref="DN28">INDEX(DM:DM,MIN(IF(ISNUMBER(DM28:DM224),ROW(DM28:DM224),"")))</f>
        <v>14.739999999999998</v>
      </c>
      <c r="DO28" s="13">
        <f>IF('Données projet'!$A$166&gt;35,DO27+DN28-DW27,IF(A28&lt;'Données projet'!$A$166,$DL$205^A28,IF(A28='Données projet'!$A$166,'Données projet'!$B$166,DO27+DN28-DW27)))</f>
        <v>140.5</v>
      </c>
      <c r="DP28" s="18">
        <f>DO28*VLOOKUP('Données projet'!$B$14,Paramètres!$A$1:$I$89,3,0)*VLOOKUP('Données projet'!$B$14,Paramètres!$A$1:$I$89,5,0)</f>
        <v>111.7818</v>
      </c>
      <c r="DQ28" s="14">
        <f t="shared" si="43"/>
        <v>29.750397150027219</v>
      </c>
      <c r="DR28" s="22">
        <f t="shared" si="16"/>
        <v>246.5019100362974</v>
      </c>
      <c r="DS28" s="62">
        <f t="shared" si="17"/>
        <v>533.7241322585196</v>
      </c>
      <c r="DT28" s="62">
        <f ca="1">AVERAGE(OFFSET($DS$3,0,0,'Données projet'!$E$14+1,1))-AVERAGE(OFFSET($H$3,0,0,'Données projet'!$E$14+1,1))</f>
        <v>370.38521334472284</v>
      </c>
      <c r="DU28" s="62">
        <f t="shared" si="44"/>
        <v>404.61777090709171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10.166666666666666</v>
      </c>
      <c r="EJ28" s="13">
        <f>IF('Données projet'!$A$192&gt;35,EJ27+EI28-ER27,IF(A28&lt;'Données projet'!$A$192,$EG$205^A28,IF(A28='Données projet'!$A$192,'Données projet'!$B$192,EJ27+EI28-ER27)))</f>
        <v>56.666666666666657</v>
      </c>
      <c r="EK28" s="18">
        <f>EJ28*VLOOKUP('Données projet'!$B$15,Paramètres!$A$1:$I$89,3,0)*VLOOKUP('Données projet'!$B$15,Paramètres!$A$1:$I$89,5,0)</f>
        <v>48.62</v>
      </c>
      <c r="EL28" s="14">
        <f t="shared" si="45"/>
        <v>14.256790200344732</v>
      </c>
      <c r="EM28" s="22">
        <f t="shared" si="19"/>
        <v>109.51040959893373</v>
      </c>
      <c r="EN28" s="62">
        <f t="shared" si="20"/>
        <v>396.73263182115596</v>
      </c>
      <c r="EO28" s="62">
        <f ca="1">AVERAGE(OFFSET($EN$3,0,0,'Données projet'!$E$15+1,1))-AVERAGE(OFFSET($H$3,0,0,'Données projet'!$E$15+1,1))</f>
        <v>445.81166342116865</v>
      </c>
      <c r="EP28" s="62">
        <f t="shared" si="46"/>
        <v>230.82970731138215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>
        <f>VLOOKUP(A28,'Données projet'!$A$217:$I$237,2,0)</f>
        <v>109</v>
      </c>
      <c r="FC28" s="13">
        <f>VLOOKUP(A28,'Données projet'!$A$217:$I$237,9,0)</f>
        <v>7.2</v>
      </c>
      <c r="FD28" s="13">
        <f t="array" ref="FD28">INDEX(FC:FC,MIN(IF(ISNUMBER(FC28:FC224),ROW(FC28:FC224),"")))</f>
        <v>7.2</v>
      </c>
      <c r="FE28" s="13">
        <f>IF('Données projet'!$A$218&gt;35,FE27+FD28-FM27,IF(A28&lt;'Données projet'!$A$218,$FB$205^A28,IF(A28='Données projet'!$A$218,'Données projet'!$B$218,FE27+FD28-FM27)))</f>
        <v>109.00000000000001</v>
      </c>
      <c r="FF28" s="18">
        <f>FE28*VLOOKUP('Données projet'!$B$16,Paramètres!$A$1:$I$89,3,0)*VLOOKUP('Données projet'!$B$16,Paramètres!$A$1:$I$89,5,0)</f>
        <v>105.42480000000002</v>
      </c>
      <c r="FG28" s="14">
        <f t="shared" si="47"/>
        <v>28.250381069605584</v>
      </c>
      <c r="FH28" s="22">
        <f t="shared" si="22"/>
        <v>232.81760702956308</v>
      </c>
      <c r="FI28" s="62">
        <f t="shared" si="23"/>
        <v>520.03982925178525</v>
      </c>
      <c r="FJ28" s="62">
        <f ca="1">AVERAGE(OFFSET($FI$3,0,0,'Données projet'!$E$16+1,1))-AVERAGE(OFFSET($H$3,0,0,'Données projet'!$E$16+1,1))</f>
        <v>541.66888676162716</v>
      </c>
      <c r="FK28" s="62">
        <f t="shared" si="48"/>
        <v>294.45557293177131</v>
      </c>
      <c r="FL28" s="16">
        <f>IF(ISNA(VLOOKUP(A28,'Données projet'!$A$217:$I$237,3,0)),0,VLOOKUP(A28,'Données projet'!$A$217:$I$237,3,0))</f>
        <v>1</v>
      </c>
      <c r="FM28" s="16">
        <f>IF(ISNA(VLOOKUP(A28,'Données projet'!$A$217:$I$237,4,0)),0,VLOOKUP(A28,'Données projet'!$A$217:$I$237,4,0))</f>
        <v>34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>
        <f>EXP(-LN(2)/35)*FQ27+(1-EXP(-LN(2)/35))/(LN(2)/35)*FM28*FN28*VLOOKUP('Données projet'!$B$16,Paramètres!$A$1:$I$89,3,0)*0.475*44/12</f>
        <v>0</v>
      </c>
      <c r="FR28" s="23">
        <f>EXP(-LN(2)/25)*FR27+(1-EXP(-LN(2)/25))/(LN(2)/25)*Calculateur!FM28*Calculateur!FO28*VLOOKUP('Données projet'!$B$16,Paramètres!$A$1:$I$89,3,0)*0.475*44/12</f>
        <v>0</v>
      </c>
      <c r="FS28" s="23">
        <f>EXP(-LN(2)/2)*FS27+(1-EXP(-LN(2)/2))/(LN(2)/2)*FM28*FP28*VLOOKUP('Données projet'!$B$16,Paramètres!$A$1:$I$89,3,0)*0.475*44/12</f>
        <v>0</v>
      </c>
      <c r="FT28" s="24">
        <f t="shared" si="24"/>
        <v>0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>
        <f>VLOOKUP(A28,'Données projet'!$A$243:$I$263,2,0)</f>
        <v>141</v>
      </c>
      <c r="FX28" s="13">
        <f>VLOOKUP(A28,'Données projet'!$A$243:$I$263,9,0)</f>
        <v>10.6</v>
      </c>
      <c r="FY28" s="13">
        <f t="array" ref="FY28">INDEX(FX:FX,MIN(IF(ISNUMBER(FX28:FX224),ROW(FX28:FX224),"")))</f>
        <v>10.6</v>
      </c>
      <c r="FZ28" s="13">
        <f>IF('Données projet'!$A$244&gt;35,FZ27+FY28-GH27,IF(A28&lt;'Données projet'!$A$244,$FW$205^A28,IF(A28='Données projet'!$A$244,'Données projet'!$B$244,FZ27+FY28-GH27)))</f>
        <v>140.99999999999997</v>
      </c>
      <c r="GA28" s="18">
        <f>FZ28*VLOOKUP('Données projet'!$B$17,Paramètres!$A$1:$I$89,3,0)*VLOOKUP('Données projet'!$B$17,Paramètres!$A$1:$I$89,5,0)</f>
        <v>109.97999999999998</v>
      </c>
      <c r="GB28" s="14">
        <f t="shared" si="49"/>
        <v>29.326272366698234</v>
      </c>
      <c r="GC28" s="22">
        <f t="shared" si="25"/>
        <v>242.62509103866606</v>
      </c>
      <c r="GD28" s="62">
        <f t="shared" si="26"/>
        <v>529.84731326088831</v>
      </c>
      <c r="GE28" s="62">
        <f ca="1">AVERAGE(OFFSET($GD$3,0,0,'Données projet'!$E$17+1,1))-AVERAGE(OFFSET($H$3,0,0,'Données projet'!$E$17+1,1))</f>
        <v>292.57482726862594</v>
      </c>
      <c r="GF28" s="62">
        <f t="shared" si="50"/>
        <v>283.48738729114024</v>
      </c>
      <c r="GG28" s="16">
        <f>IF(ISNA(VLOOKUP(A28,'Données projet'!$A$243:$I$263,3,0)),0,VLOOKUP(A28,'Données projet'!$A$243:$I$263,3,0))</f>
        <v>1</v>
      </c>
      <c r="GH28" s="16">
        <f>IF(ISNA(VLOOKUP(A28,'Données projet'!$A$243:$I$263,4,0)),0,VLOOKUP(A28,'Données projet'!$A$243:$I$263,4,0))</f>
        <v>55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>
        <f>EXP(-LN(2)/35)*GL27+(1-EXP(-LN(2)/35))/(LN(2)/35)*GH28*GI28*VLOOKUP('Données projet'!$B$17,Paramètres!$A$1:$I$89,3,0)*0.475*44/12</f>
        <v>0</v>
      </c>
      <c r="GM28" s="23">
        <f>EXP(-LN(2)/25)*GM27+(1-EXP(-LN(2)/25))/(LN(2)/25)*Calculateur!GH28*Calculateur!GJ28*VLOOKUP('Données projet'!$B$17,Paramètres!$A$1:$I$89,3,0)*0.475*44/12</f>
        <v>0</v>
      </c>
      <c r="GN28" s="23">
        <f>EXP(-LN(2)/2)*GN27+(1-EXP(-LN(2)/2))/(LN(2)/2)*GH28*GK28*VLOOKUP('Données projet'!$B$17,Paramètres!$A$1:$I$89,3,0)*0.475*44/12</f>
        <v>0</v>
      </c>
      <c r="GO28" s="23">
        <f t="shared" si="27"/>
        <v>0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>
        <f>VLOOKUP(A28,'Données projet'!$A$269:$I$289,2,0)</f>
        <v>185.89743589743588</v>
      </c>
      <c r="GS28" s="13">
        <f>VLOOKUP(A28,'Données projet'!$A$269:$I$289,9,0)</f>
        <v>11.025641025641022</v>
      </c>
      <c r="GT28" s="13">
        <f t="array" ref="GT28">INDEX(GS:GS,MIN(IF(ISNUMBER(GS28:GS224),ROW(GS28:GS224),"")))</f>
        <v>11.025641025641022</v>
      </c>
      <c r="GU28" s="13">
        <f>IF('Données projet'!$A$270&gt;35,GU27+GT28-HC27,IF(A28&lt;'Données projet'!$A$270,$GR$205^A28,IF(A28='Données projet'!$A$270,'Données projet'!$B$270,GU27+GT28-HC27)))</f>
        <v>185.89743589743591</v>
      </c>
      <c r="GV28" s="18">
        <f>GU28*VLOOKUP('Données projet'!$B$18,Paramètres!$A$1:$I$89,3,0)*VLOOKUP('Données projet'!$B$18,Paramètres!$A$1:$I$89,5,0)</f>
        <v>124.70000000000002</v>
      </c>
      <c r="GW28" s="14">
        <f t="shared" si="51"/>
        <v>32.768734011954976</v>
      </c>
      <c r="GX28" s="22">
        <f t="shared" si="28"/>
        <v>274.25804507082165</v>
      </c>
      <c r="GY28" s="62">
        <f t="shared" si="29"/>
        <v>561.48026729304388</v>
      </c>
      <c r="GZ28" s="62">
        <f ca="1">AVERAGE(OFFSET($GY$3,0,0,'Données projet'!$E$18+1,1))-AVERAGE(OFFSET($H$3,0,0,'Données projet'!$E$18+1,1))</f>
        <v>410.20186800287411</v>
      </c>
      <c r="HA28" s="62">
        <f t="shared" si="52"/>
        <v>321.99347958016057</v>
      </c>
      <c r="HB28" s="16">
        <f>IF(ISNA(VLOOKUP(A28,'Données projet'!$A$269:$I$289,3,0)),0,VLOOKUP(A28,'Données projet'!$A$269:$I$289,3,0))</f>
        <v>2</v>
      </c>
      <c r="HC28" s="16">
        <f>IF(ISNA(VLOOKUP(A28,'Données projet'!$A$269:$I$289,4,0)),0,VLOOKUP(A28,'Données projet'!$A$269:$I$289,4,0))</f>
        <v>43.589743589743591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>
        <f>EXP(-LN(2)/35)*HG27+(1-EXP(-LN(2)/35))/(LN(2)/35)*HC28*HD28*VLOOKUP('Données projet'!$B$18,Paramètres!$A$1:$I$89,3,0)*0.475*44/12</f>
        <v>0</v>
      </c>
      <c r="HH28" s="23">
        <f>EXP(-LN(2)/25)*HH27+(1-EXP(-LN(2)/25))/(LN(2)/25)*Calculateur!HC28*Calculateur!HE28*VLOOKUP('Données projet'!$B$18,Paramètres!$A$1:$I$89,3,0)*0.475*44/12</f>
        <v>0</v>
      </c>
      <c r="HI28" s="23">
        <f>EXP(-LN(2)/2)*HI27+(1-EXP(-LN(2)/2))/(LN(2)/2)*HC28*HF28*VLOOKUP('Données projet'!$B$18,Paramètres!$A$1:$I$89,3,0)*0.475*44/12</f>
        <v>0</v>
      </c>
      <c r="HJ28" s="24">
        <f t="shared" si="30"/>
        <v>0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9.1999999999999993</v>
      </c>
      <c r="N29" s="14">
        <f>IF('Données projet'!$A$36&gt;35,N28+M29-V28,IF(A29&lt;'Données projet'!$A$36,$K$205^A29,IF(A29='Données projet'!$A$36,'Données projet'!$B$36,N28+M29-V28)))</f>
        <v>84.200000000000017</v>
      </c>
      <c r="O29" s="14">
        <f>N29*VLOOKUP('Données projet'!$B$9,Paramètres!$A$1:$I$89,3,0)*VLOOKUP('Données projet'!$B$9,Paramètres!$A$1:$I$89,5,0)</f>
        <v>76.184160000000006</v>
      </c>
      <c r="P29" s="14">
        <f t="shared" si="33"/>
        <v>21.201554232857223</v>
      </c>
      <c r="Q29" s="22">
        <f t="shared" si="2"/>
        <v>169.613452288893</v>
      </c>
      <c r="R29" s="62">
        <f t="shared" si="0"/>
        <v>458.05789673333743</v>
      </c>
      <c r="S29" s="62">
        <f ca="1">AVERAGE(OFFSET($R$3,0,0,'Données projet'!$E$9+1,1))-AVERAGE(OFFSET($H$3,0,0,'Données projet'!$E$9+1,1))</f>
        <v>509.56241660612449</v>
      </c>
      <c r="T29" s="62">
        <f t="shared" si="34"/>
        <v>278.21741231699929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9.1999999999999993</v>
      </c>
      <c r="AI29" s="14">
        <f>IF('Données projet'!$A$62&gt;35,AI28+AH29-AQ28,IF(A29&lt;'Données projet'!$A$62,$AF$205^A29,IF(A29='Données projet'!$A$62,'Données projet'!$B$62,AI28+AH29-AQ28)))</f>
        <v>84.200000000000017</v>
      </c>
      <c r="AJ29" s="14">
        <f>AI29*VLOOKUP('Données projet'!$B$10,Paramètres!$A$1:$I$89,3,0)*VLOOKUP('Données projet'!$B$10,Paramètres!$A$1:$I$89,5,0)</f>
        <v>85.378800000000027</v>
      </c>
      <c r="AK29" s="14">
        <f t="shared" si="35"/>
        <v>23.447306793896516</v>
      </c>
      <c r="AL29" s="22">
        <f t="shared" si="4"/>
        <v>189.53880266603645</v>
      </c>
      <c r="AM29" s="62">
        <f t="shared" si="5"/>
        <v>477.98324711048087</v>
      </c>
      <c r="AN29" s="62">
        <f ca="1">AVERAGE(OFFSET($AM$3,0,0,'Données projet'!$E$10+1,1))-AVERAGE(OFFSET($H$3,0,0,'Données projet'!$E$10+1,1))</f>
        <v>565.72091871734051</v>
      </c>
      <c r="AO29" s="62">
        <f t="shared" si="36"/>
        <v>306.61893266146666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14.260000000000002</v>
      </c>
      <c r="BD29" s="13">
        <f>IF('Données projet'!$A$88&gt;35,BD28+BC29-BL28,IF(A29&lt;'Données projet'!$A$88,$BA$205^A29,IF(A29='Données projet'!$A$88,'Données projet'!$B$88,BD28+BC29-BL28)))</f>
        <v>154.76</v>
      </c>
      <c r="BE29" s="14">
        <f>BD29*VLOOKUP('Données projet'!$B$11,Paramètres!$A$1:$I$89,3,0)*VLOOKUP('Données projet'!$B$11,Paramètres!$A$1:$I$89,5,0)</f>
        <v>113.47003199999999</v>
      </c>
      <c r="BF29" s="14">
        <f t="shared" si="37"/>
        <v>30.147067487856493</v>
      </c>
      <c r="BG29" s="22">
        <f t="shared" si="7"/>
        <v>250.13311494134999</v>
      </c>
      <c r="BH29" s="62">
        <f t="shared" si="8"/>
        <v>538.57755938579442</v>
      </c>
      <c r="BI29" s="62">
        <f ca="1">AVERAGE(OFFSET($BH$3,0,0,'Données projet'!$E$11+1,1))-AVERAGE(OFFSET($H$3,0,0,'Données projet'!$E$11+1,1))</f>
        <v>344.26020118887629</v>
      </c>
      <c r="BJ29" s="62">
        <f t="shared" si="38"/>
        <v>376.41441893222185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9.1999999999999993</v>
      </c>
      <c r="BY29" s="13">
        <f>IF('Données projet'!$A$114&gt;35,BY28+BX29-CG28,IF(A29&lt;'Données projet'!$A$114,$BV$205^A29,IF(A29='Données projet'!$A$114,'Données projet'!$B$114,BY28+BX29-CG28)))</f>
        <v>84.200000000000017</v>
      </c>
      <c r="BZ29" s="14">
        <f>BY29*VLOOKUP('Données projet'!$B$12,Paramètres!$A$1:$I$89,3,0)*VLOOKUP('Données projet'!$B$12,Paramètres!$A$1:$I$89,5,0)</f>
        <v>70.930080000000018</v>
      </c>
      <c r="CA29" s="14">
        <f t="shared" si="39"/>
        <v>19.904251483253464</v>
      </c>
      <c r="CB29" s="22">
        <f t="shared" si="10"/>
        <v>158.20312733333313</v>
      </c>
      <c r="CC29" s="62">
        <f t="shared" si="11"/>
        <v>446.64757177777756</v>
      </c>
      <c r="CD29" s="62">
        <f ca="1">AVERAGE(OFFSET($CC$3,0,0,'Données projet'!$E$12+1,1))-AVERAGE(OFFSET($H$3,0,0,'Données projet'!$E$12+1,1))</f>
        <v>477.4105367901771</v>
      </c>
      <c r="CE29" s="62">
        <f t="shared" si="40"/>
        <v>261.95434270986397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3.4358974358974361</v>
      </c>
      <c r="CT29" s="13">
        <f>IF('Données projet'!$A$140&gt;35,CT28+CS29-DB28,IF(A29&lt;'Données projet'!$A$140,$CQ$205^A29,IF(A29='Données projet'!$A$140,'Données projet'!$B$140,CT28+CS29-DB28)))</f>
        <v>55.557145004199242</v>
      </c>
      <c r="CU29" s="18">
        <f>CT29*VLOOKUP('Données projet'!$B$13,Paramètres!$A$1:$I$89,3,0)*VLOOKUP('Données projet'!$B$13,Paramètres!$A$1:$I$89,5,0)</f>
        <v>26.000743861965244</v>
      </c>
      <c r="CV29" s="14">
        <f t="shared" si="41"/>
        <v>8.2003708634455794</v>
      </c>
      <c r="CW29" s="22">
        <f t="shared" si="13"/>
        <v>59.56694148009052</v>
      </c>
      <c r="CX29" s="62">
        <f t="shared" si="14"/>
        <v>348.01138592453498</v>
      </c>
      <c r="CY29" s="62">
        <f ca="1">AVERAGE(OFFSET($CX$3,0,0,'Données projet'!$E$13+1,1))-AVERAGE(OFFSET($H$3,0,0,'Données projet'!$E$13+1,1))</f>
        <v>246.64907095367749</v>
      </c>
      <c r="CZ29" s="62">
        <f t="shared" si="42"/>
        <v>145.34368562171613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14.260000000000002</v>
      </c>
      <c r="DO29" s="13">
        <f>IF('Données projet'!$A$166&gt;35,DO28+DN29-DW28,IF(A29&lt;'Données projet'!$A$166,$DL$205^A29,IF(A29='Données projet'!$A$166,'Données projet'!$B$166,DO28+DN29-DW28)))</f>
        <v>154.76</v>
      </c>
      <c r="DP29" s="18">
        <f>DO29*VLOOKUP('Données projet'!$B$14,Paramètres!$A$1:$I$89,3,0)*VLOOKUP('Données projet'!$B$14,Paramètres!$A$1:$I$89,5,0)</f>
        <v>123.127056</v>
      </c>
      <c r="DQ29" s="14">
        <f t="shared" si="43"/>
        <v>32.403238210173519</v>
      </c>
      <c r="DR29" s="22">
        <f t="shared" si="16"/>
        <v>270.88192908271884</v>
      </c>
      <c r="DS29" s="62">
        <f t="shared" si="17"/>
        <v>559.32637352716324</v>
      </c>
      <c r="DT29" s="62">
        <f ca="1">AVERAGE(OFFSET($DS$3,0,0,'Données projet'!$E$14+1,1))-AVERAGE(OFFSET($H$3,0,0,'Données projet'!$E$14+1,1))</f>
        <v>370.38521334472284</v>
      </c>
      <c r="DU29" s="62">
        <f t="shared" si="44"/>
        <v>404.61777090709171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10.166666666666666</v>
      </c>
      <c r="EJ29" s="13">
        <f>IF('Données projet'!$A$192&gt;35,EJ28+EI29-ER28,IF(A29&lt;'Données projet'!$A$192,$EG$205^A29,IF(A29='Données projet'!$A$192,'Données projet'!$B$192,EJ28+EI29-ER28)))</f>
        <v>66.833333333333329</v>
      </c>
      <c r="EK29" s="18">
        <f>EJ29*VLOOKUP('Données projet'!$B$15,Paramètres!$A$1:$I$89,3,0)*VLOOKUP('Données projet'!$B$15,Paramètres!$A$1:$I$89,5,0)</f>
        <v>57.343000000000004</v>
      </c>
      <c r="EL29" s="14">
        <f t="shared" si="45"/>
        <v>16.494735476368202</v>
      </c>
      <c r="EM29" s="22">
        <f t="shared" si="19"/>
        <v>128.6007226213413</v>
      </c>
      <c r="EN29" s="62">
        <f t="shared" si="20"/>
        <v>417.04516706578579</v>
      </c>
      <c r="EO29" s="62">
        <f ca="1">AVERAGE(OFFSET($EN$3,0,0,'Données projet'!$E$15+1,1))-AVERAGE(OFFSET($H$3,0,0,'Données projet'!$E$15+1,1))</f>
        <v>445.81166342116865</v>
      </c>
      <c r="EP29" s="62">
        <f t="shared" si="46"/>
        <v>230.82970731138215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9.1999999999999993</v>
      </c>
      <c r="FE29" s="13">
        <f>IF('Données projet'!$A$218&gt;35,FE28+FD29-FM28,IF(A29&lt;'Données projet'!$A$218,$FB$205^A29,IF(A29='Données projet'!$A$218,'Données projet'!$B$218,FE28+FD29-FM28)))</f>
        <v>84.200000000000017</v>
      </c>
      <c r="FF29" s="18">
        <f>FE29*VLOOKUP('Données projet'!$B$16,Paramètres!$A$1:$I$89,3,0)*VLOOKUP('Données projet'!$B$16,Paramètres!$A$1:$I$89,5,0)</f>
        <v>81.438240000000022</v>
      </c>
      <c r="FG29" s="14">
        <f t="shared" si="47"/>
        <v>22.488475778344696</v>
      </c>
      <c r="FH29" s="22">
        <f t="shared" si="22"/>
        <v>181.00569664728371</v>
      </c>
      <c r="FI29" s="62">
        <f t="shared" si="23"/>
        <v>469.45014109172814</v>
      </c>
      <c r="FJ29" s="62">
        <f ca="1">AVERAGE(OFFSET($FI$3,0,0,'Données projet'!$E$16+1,1))-AVERAGE(OFFSET($H$3,0,0,'Données projet'!$E$16+1,1))</f>
        <v>541.66888676162716</v>
      </c>
      <c r="FK29" s="62">
        <f t="shared" si="48"/>
        <v>294.45557293177131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>
        <f>EXP(-LN(2)/35)*FQ28+(1-EXP(-LN(2)/35))/(LN(2)/35)*FM29*FN29*VLOOKUP('Données projet'!$B$16,Paramètres!$A$1:$I$89,3,0)*0.475*44/12</f>
        <v>0</v>
      </c>
      <c r="FR29" s="23">
        <f>EXP(-LN(2)/25)*FR28+(1-EXP(-LN(2)/25))/(LN(2)/25)*Calculateur!FM29*Calculateur!FO29*VLOOKUP('Données projet'!$B$16,Paramètres!$A$1:$I$89,3,0)*0.475*44/12</f>
        <v>0</v>
      </c>
      <c r="FS29" s="23">
        <f>EXP(-LN(2)/2)*FS28+(1-EXP(-LN(2)/2))/(LN(2)/2)*FM29*FP29*VLOOKUP('Données projet'!$B$16,Paramètres!$A$1:$I$89,3,0)*0.475*44/12</f>
        <v>0</v>
      </c>
      <c r="FT29" s="24">
        <f t="shared" si="24"/>
        <v>0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11.5</v>
      </c>
      <c r="FZ29" s="13">
        <f>IF('Données projet'!$A$244&gt;35,FZ28+FY29-GH28,IF(A29&lt;'Données projet'!$A$244,$FW$205^A29,IF(A29='Données projet'!$A$244,'Données projet'!$B$244,FZ28+FY29-GH28)))</f>
        <v>97.499999999999972</v>
      </c>
      <c r="GA29" s="18">
        <f>FZ29*VLOOKUP('Données projet'!$B$17,Paramètres!$A$1:$I$89,3,0)*VLOOKUP('Données projet'!$B$17,Paramètres!$A$1:$I$89,5,0)</f>
        <v>76.049999999999983</v>
      </c>
      <c r="GB29" s="14">
        <f t="shared" si="49"/>
        <v>21.168560890749262</v>
      </c>
      <c r="GC29" s="22">
        <f t="shared" si="25"/>
        <v>169.32232688472158</v>
      </c>
      <c r="GD29" s="62">
        <f t="shared" si="26"/>
        <v>457.76677132916603</v>
      </c>
      <c r="GE29" s="62">
        <f ca="1">AVERAGE(OFFSET($GD$3,0,0,'Données projet'!$E$17+1,1))-AVERAGE(OFFSET($H$3,0,0,'Données projet'!$E$17+1,1))</f>
        <v>292.57482726862594</v>
      </c>
      <c r="GF29" s="62">
        <f t="shared" si="50"/>
        <v>283.48738729114024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>
        <f>EXP(-LN(2)/35)*GL28+(1-EXP(-LN(2)/35))/(LN(2)/35)*GH29*GI29*VLOOKUP('Données projet'!$B$17,Paramètres!$A$1:$I$89,3,0)*0.475*44/12</f>
        <v>0</v>
      </c>
      <c r="GM29" s="23">
        <f>EXP(-LN(2)/25)*GM28+(1-EXP(-LN(2)/25))/(LN(2)/25)*Calculateur!GH29*Calculateur!GJ29*VLOOKUP('Données projet'!$B$17,Paramètres!$A$1:$I$89,3,0)*0.475*44/12</f>
        <v>0</v>
      </c>
      <c r="GN29" s="23">
        <f>EXP(-LN(2)/2)*GN28+(1-EXP(-LN(2)/2))/(LN(2)/2)*GH29*GK29*VLOOKUP('Données projet'!$B$17,Paramètres!$A$1:$I$89,3,0)*0.475*44/12</f>
        <v>0</v>
      </c>
      <c r="GO29" s="23">
        <f t="shared" si="27"/>
        <v>0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10.256410256410259</v>
      </c>
      <c r="GU29" s="13">
        <f>IF('Données projet'!$A$270&gt;35,GU28+GT29-HC28,IF(A29&lt;'Données projet'!$A$270,$GR$205^A29,IF(A29='Données projet'!$A$270,'Données projet'!$B$270,GU28+GT29-HC28)))</f>
        <v>152.56410256410257</v>
      </c>
      <c r="GV29" s="18">
        <f>GU29*VLOOKUP('Données projet'!$B$18,Paramètres!$A$1:$I$89,3,0)*VLOOKUP('Données projet'!$B$18,Paramètres!$A$1:$I$89,5,0)</f>
        <v>102.34</v>
      </c>
      <c r="GW29" s="14">
        <f t="shared" si="51"/>
        <v>27.51871760004666</v>
      </c>
      <c r="GX29" s="22">
        <f t="shared" si="28"/>
        <v>226.17059982008129</v>
      </c>
      <c r="GY29" s="62">
        <f t="shared" si="29"/>
        <v>514.61504426452575</v>
      </c>
      <c r="GZ29" s="62">
        <f ca="1">AVERAGE(OFFSET($GY$3,0,0,'Données projet'!$E$18+1,1))-AVERAGE(OFFSET($H$3,0,0,'Données projet'!$E$18+1,1))</f>
        <v>410.20186800287411</v>
      </c>
      <c r="HA29" s="62">
        <f t="shared" si="52"/>
        <v>321.99347958016057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>
        <f>EXP(-LN(2)/35)*HG28+(1-EXP(-LN(2)/35))/(LN(2)/35)*HC29*HD29*VLOOKUP('Données projet'!$B$18,Paramètres!$A$1:$I$89,3,0)*0.475*44/12</f>
        <v>0</v>
      </c>
      <c r="HH29" s="23">
        <f>EXP(-LN(2)/25)*HH28+(1-EXP(-LN(2)/25))/(LN(2)/25)*Calculateur!HC29*Calculateur!HE29*VLOOKUP('Données projet'!$B$18,Paramètres!$A$1:$I$89,3,0)*0.475*44/12</f>
        <v>0</v>
      </c>
      <c r="HI29" s="23">
        <f>EXP(-LN(2)/2)*HI28+(1-EXP(-LN(2)/2))/(LN(2)/2)*HC29*HF29*VLOOKUP('Données projet'!$B$18,Paramètres!$A$1:$I$89,3,0)*0.475*44/12</f>
        <v>0</v>
      </c>
      <c r="HJ29" s="24">
        <f t="shared" si="30"/>
        <v>0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9.1999999999999993</v>
      </c>
      <c r="N30" s="14">
        <f>IF('Données projet'!$A$36&gt;35,N29+M30-V29,IF(A30&lt;'Données projet'!$A$36,$K$205^A30,IF(A30='Données projet'!$A$36,'Données projet'!$B$36,N29+M30-V29)))</f>
        <v>93.40000000000002</v>
      </c>
      <c r="O30" s="14">
        <f>N30*VLOOKUP('Données projet'!$B$9,Paramètres!$A$1:$I$89,3,0)*VLOOKUP('Données projet'!$B$9,Paramètres!$A$1:$I$89,5,0)</f>
        <v>84.508320000000026</v>
      </c>
      <c r="P30" s="14">
        <f t="shared" si="33"/>
        <v>23.235950088324714</v>
      </c>
      <c r="Q30" s="22">
        <f t="shared" si="2"/>
        <v>187.65460373716556</v>
      </c>
      <c r="R30" s="62">
        <f t="shared" si="0"/>
        <v>477.32127040383227</v>
      </c>
      <c r="S30" s="62">
        <f ca="1">AVERAGE(OFFSET($R$3,0,0,'Données projet'!$E$9+1,1))-AVERAGE(OFFSET($H$3,0,0,'Données projet'!$E$9+1,1))</f>
        <v>509.56241660612449</v>
      </c>
      <c r="T30" s="62">
        <f t="shared" si="34"/>
        <v>278.21741231699929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9.1999999999999993</v>
      </c>
      <c r="AI30" s="14">
        <f>IF('Données projet'!$A$62&gt;35,AI29+AH30-AQ29,IF(A30&lt;'Données projet'!$A$62,$AF$205^A30,IF(A30='Données projet'!$A$62,'Données projet'!$B$62,AI29+AH30-AQ29)))</f>
        <v>93.40000000000002</v>
      </c>
      <c r="AJ30" s="14">
        <f>AI30*VLOOKUP('Données projet'!$B$10,Paramètres!$A$1:$I$89,3,0)*VLOOKUP('Données projet'!$B$10,Paramètres!$A$1:$I$89,5,0)</f>
        <v>94.707600000000028</v>
      </c>
      <c r="AK30" s="14">
        <f t="shared" si="35"/>
        <v>25.697193912523566</v>
      </c>
      <c r="AL30" s="22">
        <f t="shared" si="4"/>
        <v>209.70501606431188</v>
      </c>
      <c r="AM30" s="62">
        <f t="shared" si="5"/>
        <v>499.37168273097859</v>
      </c>
      <c r="AN30" s="62">
        <f ca="1">AVERAGE(OFFSET($AM$3,0,0,'Données projet'!$E$10+1,1))-AVERAGE(OFFSET($H$3,0,0,'Données projet'!$E$10+1,1))</f>
        <v>565.72091871734051</v>
      </c>
      <c r="AO30" s="62">
        <f t="shared" si="36"/>
        <v>306.61893266146666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14.260000000000002</v>
      </c>
      <c r="BD30" s="13">
        <f>IF('Données projet'!$A$88&gt;35,BD29+BC30-BL29,IF(A30&lt;'Données projet'!$A$88,$BA$205^A30,IF(A30='Données projet'!$A$88,'Données projet'!$B$88,BD29+BC30-BL29)))</f>
        <v>169.01999999999998</v>
      </c>
      <c r="BE30" s="14">
        <f>BD30*VLOOKUP('Données projet'!$B$11,Paramètres!$A$1:$I$89,3,0)*VLOOKUP('Données projet'!$B$11,Paramètres!$A$1:$I$89,5,0)</f>
        <v>123.92546399999999</v>
      </c>
      <c r="BF30" s="14">
        <f t="shared" si="37"/>
        <v>32.58882709773377</v>
      </c>
      <c r="BG30" s="22">
        <f t="shared" si="7"/>
        <v>272.59572366188627</v>
      </c>
      <c r="BH30" s="62">
        <f t="shared" si="8"/>
        <v>562.26239032855301</v>
      </c>
      <c r="BI30" s="62">
        <f ca="1">AVERAGE(OFFSET($BH$3,0,0,'Données projet'!$E$11+1,1))-AVERAGE(OFFSET($H$3,0,0,'Données projet'!$E$11+1,1))</f>
        <v>344.26020118887629</v>
      </c>
      <c r="BJ30" s="62">
        <f t="shared" si="38"/>
        <v>376.41441893222185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9.1999999999999993</v>
      </c>
      <c r="BY30" s="13">
        <f>IF('Données projet'!$A$114&gt;35,BY29+BX30-CG29,IF(A30&lt;'Données projet'!$A$114,$BV$205^A30,IF(A30='Données projet'!$A$114,'Données projet'!$B$114,BY29+BX30-CG29)))</f>
        <v>93.40000000000002</v>
      </c>
      <c r="BZ30" s="14">
        <f>BY30*VLOOKUP('Données projet'!$B$12,Paramètres!$A$1:$I$89,3,0)*VLOOKUP('Données projet'!$B$12,Paramètres!$A$1:$I$89,5,0)</f>
        <v>78.680160000000029</v>
      </c>
      <c r="CA30" s="14">
        <f t="shared" si="39"/>
        <v>21.814164609384523</v>
      </c>
      <c r="CB30" s="22">
        <f t="shared" si="10"/>
        <v>175.02761536134474</v>
      </c>
      <c r="CC30" s="62">
        <f t="shared" si="11"/>
        <v>464.69428202801146</v>
      </c>
      <c r="CD30" s="62">
        <f ca="1">AVERAGE(OFFSET($CC$3,0,0,'Données projet'!$E$12+1,1))-AVERAGE(OFFSET($H$3,0,0,'Données projet'!$E$12+1,1))</f>
        <v>477.4105367901771</v>
      </c>
      <c r="CE30" s="62">
        <f t="shared" si="40"/>
        <v>261.95434270986397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3.4358974358974361</v>
      </c>
      <c r="CT30" s="13">
        <f>IF('Données projet'!$A$140&gt;35,CT29+CS30-DB29,IF(A30&lt;'Données projet'!$A$140,$CQ$205^A30,IF(A30='Données projet'!$A$140,'Données projet'!$B$140,CT29+CS30-DB29)))</f>
        <v>64.840342684688977</v>
      </c>
      <c r="CU30" s="18">
        <f>CT30*VLOOKUP('Données projet'!$B$13,Paramètres!$A$1:$I$89,3,0)*VLOOKUP('Données projet'!$B$13,Paramètres!$A$1:$I$89,5,0)</f>
        <v>30.345280376434442</v>
      </c>
      <c r="CV30" s="14">
        <f t="shared" si="41"/>
        <v>9.3999990348653313</v>
      </c>
      <c r="CW30" s="22">
        <f t="shared" si="13"/>
        <v>69.223028308013781</v>
      </c>
      <c r="CX30" s="62">
        <f t="shared" si="14"/>
        <v>358.88969497468048</v>
      </c>
      <c r="CY30" s="62">
        <f ca="1">AVERAGE(OFFSET($CX$3,0,0,'Données projet'!$E$13+1,1))-AVERAGE(OFFSET($H$3,0,0,'Données projet'!$E$13+1,1))</f>
        <v>246.64907095367749</v>
      </c>
      <c r="CZ30" s="62">
        <f t="shared" si="42"/>
        <v>145.34368562171613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14.260000000000002</v>
      </c>
      <c r="DO30" s="13">
        <f>IF('Données projet'!$A$166&gt;35,DO29+DN30-DW29,IF(A30&lt;'Données projet'!$A$166,$DL$205^A30,IF(A30='Données projet'!$A$166,'Données projet'!$B$166,DO29+DN30-DW29)))</f>
        <v>169.01999999999998</v>
      </c>
      <c r="DP30" s="18">
        <f>DO30*VLOOKUP('Données projet'!$B$14,Paramètres!$A$1:$I$89,3,0)*VLOOKUP('Données projet'!$B$14,Paramètres!$A$1:$I$89,5,0)</f>
        <v>134.47231199999999</v>
      </c>
      <c r="DQ30" s="14">
        <f t="shared" si="43"/>
        <v>35.027736208949172</v>
      </c>
      <c r="DR30" s="22">
        <f t="shared" si="16"/>
        <v>295.21258396391971</v>
      </c>
      <c r="DS30" s="62">
        <f t="shared" si="17"/>
        <v>584.8792506305864</v>
      </c>
      <c r="DT30" s="62">
        <f ca="1">AVERAGE(OFFSET($DS$3,0,0,'Données projet'!$E$14+1,1))-AVERAGE(OFFSET($H$3,0,0,'Données projet'!$E$14+1,1))</f>
        <v>370.38521334472284</v>
      </c>
      <c r="DU30" s="62">
        <f t="shared" si="44"/>
        <v>404.61777090709171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>
        <f>VLOOKUP(A30,'Données projet'!$A$191:$I$211,2,0)</f>
        <v>77</v>
      </c>
      <c r="EH30" s="13">
        <f>VLOOKUP(A30,'Données projet'!$A$191:$I$211,9,0)</f>
        <v>10.166666666666666</v>
      </c>
      <c r="EI30" s="13">
        <f t="array" ref="EI30">INDEX(EH:EH,MIN(IF(ISNUMBER(EH30:EH226),ROW(EH30:EH226),"")))</f>
        <v>10.166666666666666</v>
      </c>
      <c r="EJ30" s="13">
        <f>IF('Données projet'!$A$192&gt;35,EJ29+EI30-ER29,IF(A30&lt;'Données projet'!$A$192,$EG$205^A30,IF(A30='Données projet'!$A$192,'Données projet'!$B$192,EJ29+EI30-ER29)))</f>
        <v>77</v>
      </c>
      <c r="EK30" s="18">
        <f>EJ30*VLOOKUP('Données projet'!$B$15,Paramètres!$A$1:$I$89,3,0)*VLOOKUP('Données projet'!$B$15,Paramètres!$A$1:$I$89,5,0)</f>
        <v>66.066000000000003</v>
      </c>
      <c r="EL30" s="14">
        <f t="shared" si="45"/>
        <v>18.69324238096624</v>
      </c>
      <c r="EM30" s="22">
        <f t="shared" si="19"/>
        <v>147.62234714684953</v>
      </c>
      <c r="EN30" s="62">
        <f t="shared" si="20"/>
        <v>437.28901381351625</v>
      </c>
      <c r="EO30" s="62">
        <f ca="1">AVERAGE(OFFSET($EN$3,0,0,'Données projet'!$E$15+1,1))-AVERAGE(OFFSET($H$3,0,0,'Données projet'!$E$15+1,1))</f>
        <v>445.81166342116865</v>
      </c>
      <c r="EP30" s="62">
        <f t="shared" si="46"/>
        <v>230.82970731138215</v>
      </c>
      <c r="EQ30" s="16">
        <f>IF(ISNA(VLOOKUP(A30,'Données projet'!$A$191:$I$211,3,0)),0,VLOOKUP(A30,'Données projet'!$A$191:$I$211,3,0))</f>
        <v>1</v>
      </c>
      <c r="ER30" s="16">
        <f>IF(ISNA(VLOOKUP(A30,'Données projet'!$A$191:$I$211,4,0)),0,VLOOKUP(A30,'Données projet'!$A$191:$I$211,4,0))</f>
        <v>12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9.1999999999999993</v>
      </c>
      <c r="FE30" s="13">
        <f>IF('Données projet'!$A$218&gt;35,FE29+FD30-FM29,IF(A30&lt;'Données projet'!$A$218,$FB$205^A30,IF(A30='Données projet'!$A$218,'Données projet'!$B$218,FE29+FD30-FM29)))</f>
        <v>93.40000000000002</v>
      </c>
      <c r="FF30" s="18">
        <f>FE30*VLOOKUP('Données projet'!$B$16,Paramètres!$A$1:$I$89,3,0)*VLOOKUP('Données projet'!$B$16,Paramètres!$A$1:$I$89,5,0)</f>
        <v>90.336480000000023</v>
      </c>
      <c r="FG30" s="14">
        <f t="shared" si="47"/>
        <v>24.646358234355564</v>
      </c>
      <c r="FH30" s="22">
        <f t="shared" si="22"/>
        <v>200.26177659150264</v>
      </c>
      <c r="FI30" s="62">
        <f t="shared" si="23"/>
        <v>489.9284432581693</v>
      </c>
      <c r="FJ30" s="62">
        <f ca="1">AVERAGE(OFFSET($FI$3,0,0,'Données projet'!$E$16+1,1))-AVERAGE(OFFSET($H$3,0,0,'Données projet'!$E$16+1,1))</f>
        <v>541.66888676162716</v>
      </c>
      <c r="FK30" s="62">
        <f t="shared" si="48"/>
        <v>294.45557293177131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>
        <f>EXP(-LN(2)/35)*FQ29+(1-EXP(-LN(2)/35))/(LN(2)/35)*FM30*FN30*VLOOKUP('Données projet'!$B$16,Paramètres!$A$1:$I$89,3,0)*0.475*44/12</f>
        <v>0</v>
      </c>
      <c r="FR30" s="23">
        <f>EXP(-LN(2)/25)*FR29+(1-EXP(-LN(2)/25))/(LN(2)/25)*Calculateur!FM30*Calculateur!FO30*VLOOKUP('Données projet'!$B$16,Paramètres!$A$1:$I$89,3,0)*0.475*44/12</f>
        <v>0</v>
      </c>
      <c r="FS30" s="23">
        <f>EXP(-LN(2)/2)*FS29+(1-EXP(-LN(2)/2))/(LN(2)/2)*FM30*FP30*VLOOKUP('Données projet'!$B$16,Paramètres!$A$1:$I$89,3,0)*0.475*44/12</f>
        <v>0</v>
      </c>
      <c r="FT30" s="24">
        <f t="shared" si="24"/>
        <v>0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11.5</v>
      </c>
      <c r="FZ30" s="13">
        <f>IF('Données projet'!$A$244&gt;35,FZ29+FY30-GH29,IF(A30&lt;'Données projet'!$A$244,$FW$205^A30,IF(A30='Données projet'!$A$244,'Données projet'!$B$244,FZ29+FY30-GH29)))</f>
        <v>108.99999999999997</v>
      </c>
      <c r="GA30" s="18">
        <f>FZ30*VLOOKUP('Données projet'!$B$17,Paramètres!$A$1:$I$89,3,0)*VLOOKUP('Données projet'!$B$17,Paramètres!$A$1:$I$89,5,0)</f>
        <v>85.019999999999982</v>
      </c>
      <c r="GB30" s="14">
        <f t="shared" si="49"/>
        <v>23.360218970693108</v>
      </c>
      <c r="GC30" s="22">
        <f t="shared" si="25"/>
        <v>188.76221470729047</v>
      </c>
      <c r="GD30" s="62">
        <f t="shared" si="26"/>
        <v>478.42888137395715</v>
      </c>
      <c r="GE30" s="62">
        <f ca="1">AVERAGE(OFFSET($GD$3,0,0,'Données projet'!$E$17+1,1))-AVERAGE(OFFSET($H$3,0,0,'Données projet'!$E$17+1,1))</f>
        <v>292.57482726862594</v>
      </c>
      <c r="GF30" s="62">
        <f t="shared" si="50"/>
        <v>283.48738729114024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>
        <f>EXP(-LN(2)/35)*GL29+(1-EXP(-LN(2)/35))/(LN(2)/35)*GH30*GI30*VLOOKUP('Données projet'!$B$17,Paramètres!$A$1:$I$89,3,0)*0.475*44/12</f>
        <v>0</v>
      </c>
      <c r="GM30" s="23">
        <f>EXP(-LN(2)/25)*GM29+(1-EXP(-LN(2)/25))/(LN(2)/25)*Calculateur!GH30*Calculateur!GJ30*VLOOKUP('Données projet'!$B$17,Paramètres!$A$1:$I$89,3,0)*0.475*44/12</f>
        <v>0</v>
      </c>
      <c r="GN30" s="23">
        <f>EXP(-LN(2)/2)*GN29+(1-EXP(-LN(2)/2))/(LN(2)/2)*GH30*GK30*VLOOKUP('Données projet'!$B$17,Paramètres!$A$1:$I$89,3,0)*0.475*44/12</f>
        <v>0</v>
      </c>
      <c r="GO30" s="23">
        <f t="shared" si="27"/>
        <v>0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10.256410256410259</v>
      </c>
      <c r="GU30" s="13">
        <f>IF('Données projet'!$A$270&gt;35,GU29+GT30-HC29,IF(A30&lt;'Données projet'!$A$270,$GR$205^A30,IF(A30='Données projet'!$A$270,'Données projet'!$B$270,GU29+GT30-HC29)))</f>
        <v>162.82051282051282</v>
      </c>
      <c r="GV30" s="18">
        <f>GU30*VLOOKUP('Données projet'!$B$18,Paramètres!$A$1:$I$89,3,0)*VLOOKUP('Données projet'!$B$18,Paramètres!$A$1:$I$89,5,0)</f>
        <v>109.22</v>
      </c>
      <c r="GW30" s="14">
        <f t="shared" si="51"/>
        <v>29.147134446007001</v>
      </c>
      <c r="GX30" s="22">
        <f t="shared" si="28"/>
        <v>240.98942582679555</v>
      </c>
      <c r="GY30" s="62">
        <f t="shared" si="29"/>
        <v>530.65609249346221</v>
      </c>
      <c r="GZ30" s="62">
        <f ca="1">AVERAGE(OFFSET($GY$3,0,0,'Données projet'!$E$18+1,1))-AVERAGE(OFFSET($H$3,0,0,'Données projet'!$E$18+1,1))</f>
        <v>410.20186800287411</v>
      </c>
      <c r="HA30" s="62">
        <f t="shared" si="52"/>
        <v>321.99347958016057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>
        <f>EXP(-LN(2)/35)*HG29+(1-EXP(-LN(2)/35))/(LN(2)/35)*HC30*HD30*VLOOKUP('Données projet'!$B$18,Paramètres!$A$1:$I$89,3,0)*0.475*44/12</f>
        <v>0</v>
      </c>
      <c r="HH30" s="23">
        <f>EXP(-LN(2)/25)*HH29+(1-EXP(-LN(2)/25))/(LN(2)/25)*Calculateur!HC30*Calculateur!HE30*VLOOKUP('Données projet'!$B$18,Paramètres!$A$1:$I$89,3,0)*0.475*44/12</f>
        <v>0</v>
      </c>
      <c r="HI30" s="23">
        <f>EXP(-LN(2)/2)*HI29+(1-EXP(-LN(2)/2))/(LN(2)/2)*HC30*HF30*VLOOKUP('Données projet'!$B$18,Paramètres!$A$1:$I$89,3,0)*0.475*44/12</f>
        <v>0</v>
      </c>
      <c r="HJ30" s="24">
        <f t="shared" si="30"/>
        <v>0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9.1999999999999993</v>
      </c>
      <c r="N31" s="14">
        <f>IF('Données projet'!$A$36&gt;35,N30+M31-V30,IF(A31&lt;'Données projet'!$A$36,$K$205^A31,IF(A31='Données projet'!$A$36,'Données projet'!$B$36,N30+M31-V30)))</f>
        <v>102.60000000000002</v>
      </c>
      <c r="O31" s="14">
        <f>N31*VLOOKUP('Données projet'!$B$9,Paramètres!$A$1:$I$89,3,0)*VLOOKUP('Données projet'!$B$9,Paramètres!$A$1:$I$89,5,0)</f>
        <v>92.832480000000018</v>
      </c>
      <c r="P31" s="14">
        <f t="shared" si="33"/>
        <v>25.247114117480137</v>
      </c>
      <c r="Q31" s="22">
        <f t="shared" si="2"/>
        <v>205.65529308794461</v>
      </c>
      <c r="R31" s="62">
        <f t="shared" si="0"/>
        <v>496.54418197683344</v>
      </c>
      <c r="S31" s="62">
        <f ca="1">AVERAGE(OFFSET($R$3,0,0,'Données projet'!$E$9+1,1))-AVERAGE(OFFSET($H$3,0,0,'Données projet'!$E$9+1,1))</f>
        <v>509.56241660612449</v>
      </c>
      <c r="T31" s="62">
        <f t="shared" si="34"/>
        <v>278.21741231699929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9.1999999999999993</v>
      </c>
      <c r="AI31" s="14">
        <f>IF('Données projet'!$A$62&gt;35,AI30+AH31-AQ30,IF(A31&lt;'Données projet'!$A$62,$AF$205^A31,IF(A31='Données projet'!$A$62,'Données projet'!$B$62,AI30+AH31-AQ30)))</f>
        <v>102.60000000000002</v>
      </c>
      <c r="AJ31" s="14">
        <f>AI31*VLOOKUP('Données projet'!$B$10,Paramètres!$A$1:$I$89,3,0)*VLOOKUP('Données projet'!$B$10,Paramètres!$A$1:$I$89,5,0)</f>
        <v>104.03640000000003</v>
      </c>
      <c r="AK31" s="14">
        <f t="shared" si="35"/>
        <v>27.921388397820998</v>
      </c>
      <c r="AL31" s="22">
        <f t="shared" si="4"/>
        <v>229.82648145953826</v>
      </c>
      <c r="AM31" s="62">
        <f t="shared" si="5"/>
        <v>520.71537034842709</v>
      </c>
      <c r="AN31" s="62">
        <f ca="1">AVERAGE(OFFSET($AM$3,0,0,'Données projet'!$E$10+1,1))-AVERAGE(OFFSET($H$3,0,0,'Données projet'!$E$10+1,1))</f>
        <v>565.72091871734051</v>
      </c>
      <c r="AO31" s="62">
        <f t="shared" si="36"/>
        <v>306.61893266146666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14.260000000000002</v>
      </c>
      <c r="BD31" s="13">
        <f>IF('Données projet'!$A$88&gt;35,BD30+BC31-BL30,IF(A31&lt;'Données projet'!$A$88,$BA$205^A31,IF(A31='Données projet'!$A$88,'Données projet'!$B$88,BD30+BC31-BL30)))</f>
        <v>183.27999999999997</v>
      </c>
      <c r="BE31" s="14">
        <f>BD31*VLOOKUP('Données projet'!$B$11,Paramètres!$A$1:$I$89,3,0)*VLOOKUP('Données projet'!$B$11,Paramètres!$A$1:$I$89,5,0)</f>
        <v>134.38089599999998</v>
      </c>
      <c r="BF31" s="14">
        <f t="shared" si="37"/>
        <v>35.006694824713001</v>
      </c>
      <c r="BG31" s="22">
        <f t="shared" si="7"/>
        <v>295.01672068637509</v>
      </c>
      <c r="BH31" s="62">
        <f t="shared" si="8"/>
        <v>585.90560957526395</v>
      </c>
      <c r="BI31" s="62">
        <f ca="1">AVERAGE(OFFSET($BH$3,0,0,'Données projet'!$E$11+1,1))-AVERAGE(OFFSET($H$3,0,0,'Données projet'!$E$11+1,1))</f>
        <v>344.26020118887629</v>
      </c>
      <c r="BJ31" s="62">
        <f t="shared" si="38"/>
        <v>376.41441893222185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9.1999999999999993</v>
      </c>
      <c r="BY31" s="13">
        <f>IF('Données projet'!$A$114&gt;35,BY30+BX31-CG30,IF(A31&lt;'Données projet'!$A$114,$BV$205^A31,IF(A31='Données projet'!$A$114,'Données projet'!$B$114,BY30+BX31-CG30)))</f>
        <v>102.60000000000002</v>
      </c>
      <c r="BZ31" s="14">
        <f>BY31*VLOOKUP('Données projet'!$B$12,Paramètres!$A$1:$I$89,3,0)*VLOOKUP('Données projet'!$B$12,Paramètres!$A$1:$I$89,5,0)</f>
        <v>86.430240000000026</v>
      </c>
      <c r="CA31" s="14">
        <f t="shared" si="39"/>
        <v>23.702267442352529</v>
      </c>
      <c r="CB31" s="22">
        <f t="shared" si="10"/>
        <v>191.81411712876402</v>
      </c>
      <c r="CC31" s="62">
        <f t="shared" si="11"/>
        <v>482.70300601765291</v>
      </c>
      <c r="CD31" s="62">
        <f ca="1">AVERAGE(OFFSET($CC$3,0,0,'Données projet'!$E$12+1,1))-AVERAGE(OFFSET($H$3,0,0,'Données projet'!$E$12+1,1))</f>
        <v>477.4105367901771</v>
      </c>
      <c r="CE31" s="62">
        <f t="shared" si="40"/>
        <v>261.95434270986397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3.4358974358974361</v>
      </c>
      <c r="CT31" s="13">
        <f>IF('Données projet'!$A$140&gt;35,CT30+CS31-DB30,IF(A31&lt;'Données projet'!$A$140,$CQ$205^A31,IF(A31='Données projet'!$A$140,'Données projet'!$B$140,CT30+CS31-DB30)))</f>
        <v>75.674695651659619</v>
      </c>
      <c r="CU31" s="18">
        <f>CT31*VLOOKUP('Données projet'!$B$13,Paramètres!$A$1:$I$89,3,0)*VLOOKUP('Données projet'!$B$13,Paramètres!$A$1:$I$89,5,0)</f>
        <v>35.415757564976701</v>
      </c>
      <c r="CV31" s="14">
        <f t="shared" si="41"/>
        <v>10.775120214299996</v>
      </c>
      <c r="CW31" s="22">
        <f t="shared" si="13"/>
        <v>80.449112132240245</v>
      </c>
      <c r="CX31" s="62">
        <f t="shared" si="14"/>
        <v>371.33800102112912</v>
      </c>
      <c r="CY31" s="62">
        <f ca="1">AVERAGE(OFFSET($CX$3,0,0,'Données projet'!$E$13+1,1))-AVERAGE(OFFSET($H$3,0,0,'Données projet'!$E$13+1,1))</f>
        <v>246.64907095367749</v>
      </c>
      <c r="CZ31" s="62">
        <f t="shared" si="42"/>
        <v>145.34368562171613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14.260000000000002</v>
      </c>
      <c r="DO31" s="13">
        <f>IF('Données projet'!$A$166&gt;35,DO30+DN31-DW30,IF(A31&lt;'Données projet'!$A$166,$DL$205^A31,IF(A31='Données projet'!$A$166,'Données projet'!$B$166,DO30+DN31-DW30)))</f>
        <v>183.27999999999997</v>
      </c>
      <c r="DP31" s="18">
        <f>DO31*VLOOKUP('Données projet'!$B$14,Paramètres!$A$1:$I$89,3,0)*VLOOKUP('Données projet'!$B$14,Paramètres!$A$1:$I$89,5,0)</f>
        <v>145.81756799999999</v>
      </c>
      <c r="DQ31" s="14">
        <f t="shared" si="43"/>
        <v>37.626554284689291</v>
      </c>
      <c r="DR31" s="22">
        <f t="shared" si="16"/>
        <v>319.49851297916712</v>
      </c>
      <c r="DS31" s="62">
        <f t="shared" si="17"/>
        <v>610.38740186805603</v>
      </c>
      <c r="DT31" s="62">
        <f ca="1">AVERAGE(OFFSET($DS$3,0,0,'Données projet'!$E$14+1,1))-AVERAGE(OFFSET($H$3,0,0,'Données projet'!$E$14+1,1))</f>
        <v>370.38521334472284</v>
      </c>
      <c r="DU31" s="62">
        <f t="shared" si="44"/>
        <v>404.61777090709171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12.333333333333334</v>
      </c>
      <c r="EJ31" s="13">
        <f>IF('Données projet'!$A$192&gt;35,EJ30+EI31-ER30,IF(A31&lt;'Données projet'!$A$192,$EG$205^A31,IF(A31='Données projet'!$A$192,'Données projet'!$B$192,EJ30+EI31-ER30)))</f>
        <v>77.333333333333329</v>
      </c>
      <c r="EK31" s="18">
        <f>EJ31*VLOOKUP('Données projet'!$B$15,Paramètres!$A$1:$I$89,3,0)*VLOOKUP('Données projet'!$B$15,Paramètres!$A$1:$I$89,5,0)</f>
        <v>66.352000000000004</v>
      </c>
      <c r="EL31" s="14">
        <f t="shared" si="45"/>
        <v>18.764728069895565</v>
      </c>
      <c r="EM31" s="22">
        <f t="shared" si="19"/>
        <v>148.24496805506811</v>
      </c>
      <c r="EN31" s="62">
        <f t="shared" si="20"/>
        <v>439.13385694395697</v>
      </c>
      <c r="EO31" s="62">
        <f ca="1">AVERAGE(OFFSET($EN$3,0,0,'Données projet'!$E$15+1,1))-AVERAGE(OFFSET($H$3,0,0,'Données projet'!$E$15+1,1))</f>
        <v>445.81166342116865</v>
      </c>
      <c r="EP31" s="62">
        <f t="shared" si="46"/>
        <v>230.82970731138215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9.1999999999999993</v>
      </c>
      <c r="FE31" s="13">
        <f>IF('Données projet'!$A$218&gt;35,FE30+FD31-FM30,IF(A31&lt;'Données projet'!$A$218,$FB$205^A31,IF(A31='Données projet'!$A$218,'Données projet'!$B$218,FE30+FD31-FM30)))</f>
        <v>102.60000000000002</v>
      </c>
      <c r="FF31" s="18">
        <f>FE31*VLOOKUP('Données projet'!$B$16,Paramètres!$A$1:$I$89,3,0)*VLOOKUP('Données projet'!$B$16,Paramètres!$A$1:$I$89,5,0)</f>
        <v>99.234720000000024</v>
      </c>
      <c r="FG31" s="14">
        <f t="shared" si="47"/>
        <v>26.779598706219044</v>
      </c>
      <c r="FH31" s="22">
        <f t="shared" si="22"/>
        <v>219.47493841333153</v>
      </c>
      <c r="FI31" s="62">
        <f t="shared" si="23"/>
        <v>510.36382730222039</v>
      </c>
      <c r="FJ31" s="62">
        <f ca="1">AVERAGE(OFFSET($FI$3,0,0,'Données projet'!$E$16+1,1))-AVERAGE(OFFSET($H$3,0,0,'Données projet'!$E$16+1,1))</f>
        <v>541.66888676162716</v>
      </c>
      <c r="FK31" s="62">
        <f t="shared" si="48"/>
        <v>294.45557293177131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>
        <f>EXP(-LN(2)/35)*FQ30+(1-EXP(-LN(2)/35))/(LN(2)/35)*FM31*FN31*VLOOKUP('Données projet'!$B$16,Paramètres!$A$1:$I$89,3,0)*0.475*44/12</f>
        <v>0</v>
      </c>
      <c r="FR31" s="23">
        <f>EXP(-LN(2)/25)*FR30+(1-EXP(-LN(2)/25))/(LN(2)/25)*Calculateur!FM31*Calculateur!FO31*VLOOKUP('Données projet'!$B$16,Paramètres!$A$1:$I$89,3,0)*0.475*44/12</f>
        <v>0</v>
      </c>
      <c r="FS31" s="23">
        <f>EXP(-LN(2)/2)*FS30+(1-EXP(-LN(2)/2))/(LN(2)/2)*FM31*FP31*VLOOKUP('Données projet'!$B$16,Paramètres!$A$1:$I$89,3,0)*0.475*44/12</f>
        <v>0</v>
      </c>
      <c r="FT31" s="24">
        <f t="shared" si="24"/>
        <v>0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11.5</v>
      </c>
      <c r="FZ31" s="13">
        <f>IF('Données projet'!$A$244&gt;35,FZ30+FY31-GH30,IF(A31&lt;'Données projet'!$A$244,$FW$205^A31,IF(A31='Données projet'!$A$244,'Données projet'!$B$244,FZ30+FY31-GH30)))</f>
        <v>120.49999999999997</v>
      </c>
      <c r="GA31" s="18">
        <f>FZ31*VLOOKUP('Données projet'!$B$17,Paramètres!$A$1:$I$89,3,0)*VLOOKUP('Données projet'!$B$17,Paramètres!$A$1:$I$89,5,0)</f>
        <v>93.989999999999981</v>
      </c>
      <c r="GB31" s="14">
        <f t="shared" si="49"/>
        <v>25.525074036970079</v>
      </c>
      <c r="GC31" s="22">
        <f t="shared" si="25"/>
        <v>208.15542061438953</v>
      </c>
      <c r="GD31" s="62">
        <f t="shared" si="26"/>
        <v>499.04430950327838</v>
      </c>
      <c r="GE31" s="62">
        <f ca="1">AVERAGE(OFFSET($GD$3,0,0,'Données projet'!$E$17+1,1))-AVERAGE(OFFSET($H$3,0,0,'Données projet'!$E$17+1,1))</f>
        <v>292.57482726862594</v>
      </c>
      <c r="GF31" s="62">
        <f t="shared" si="50"/>
        <v>283.48738729114024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>
        <f>EXP(-LN(2)/35)*GL30+(1-EXP(-LN(2)/35))/(LN(2)/35)*GH31*GI31*VLOOKUP('Données projet'!$B$17,Paramètres!$A$1:$I$89,3,0)*0.475*44/12</f>
        <v>0</v>
      </c>
      <c r="GM31" s="23">
        <f>EXP(-LN(2)/25)*GM30+(1-EXP(-LN(2)/25))/(LN(2)/25)*Calculateur!GH31*Calculateur!GJ31*VLOOKUP('Données projet'!$B$17,Paramètres!$A$1:$I$89,3,0)*0.475*44/12</f>
        <v>0</v>
      </c>
      <c r="GN31" s="23">
        <f>EXP(-LN(2)/2)*GN30+(1-EXP(-LN(2)/2))/(LN(2)/2)*GH31*GK31*VLOOKUP('Données projet'!$B$17,Paramètres!$A$1:$I$89,3,0)*0.475*44/12</f>
        <v>0</v>
      </c>
      <c r="GO31" s="23">
        <f t="shared" si="27"/>
        <v>0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10.256410256410259</v>
      </c>
      <c r="GU31" s="13">
        <f>IF('Données projet'!$A$270&gt;35,GU30+GT31-HC30,IF(A31&lt;'Données projet'!$A$270,$GR$205^A31,IF(A31='Données projet'!$A$270,'Données projet'!$B$270,GU30+GT31-HC30)))</f>
        <v>173.07692307692307</v>
      </c>
      <c r="GV31" s="18">
        <f>GU31*VLOOKUP('Données projet'!$B$18,Paramètres!$A$1:$I$89,3,0)*VLOOKUP('Données projet'!$B$18,Paramètres!$A$1:$I$89,5,0)</f>
        <v>116.1</v>
      </c>
      <c r="GW31" s="14">
        <f t="shared" si="51"/>
        <v>30.763646636385982</v>
      </c>
      <c r="GX31" s="22">
        <f t="shared" si="28"/>
        <v>255.78751789170556</v>
      </c>
      <c r="GY31" s="62">
        <f t="shared" si="29"/>
        <v>546.67640678059445</v>
      </c>
      <c r="GZ31" s="62">
        <f ca="1">AVERAGE(OFFSET($GY$3,0,0,'Données projet'!$E$18+1,1))-AVERAGE(OFFSET($H$3,0,0,'Données projet'!$E$18+1,1))</f>
        <v>410.20186800287411</v>
      </c>
      <c r="HA31" s="62">
        <f t="shared" si="52"/>
        <v>321.99347958016057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>
        <f>EXP(-LN(2)/35)*HG30+(1-EXP(-LN(2)/35))/(LN(2)/35)*HC31*HD31*VLOOKUP('Données projet'!$B$18,Paramètres!$A$1:$I$89,3,0)*0.475*44/12</f>
        <v>0</v>
      </c>
      <c r="HH31" s="23">
        <f>EXP(-LN(2)/25)*HH30+(1-EXP(-LN(2)/25))/(LN(2)/25)*Calculateur!HC31*Calculateur!HE31*VLOOKUP('Données projet'!$B$18,Paramètres!$A$1:$I$89,3,0)*0.475*44/12</f>
        <v>0</v>
      </c>
      <c r="HI31" s="23">
        <f>EXP(-LN(2)/2)*HI30+(1-EXP(-LN(2)/2))/(LN(2)/2)*HC31*HF31*VLOOKUP('Données projet'!$B$18,Paramètres!$A$1:$I$89,3,0)*0.475*44/12</f>
        <v>0</v>
      </c>
      <c r="HJ31" s="24">
        <f t="shared" si="30"/>
        <v>0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9.1999999999999993</v>
      </c>
      <c r="N32" s="14">
        <f>IF('Données projet'!$A$36&gt;35,N31+M32-V31,IF(A32&lt;'Données projet'!$A$36,$K$205^A32,IF(A32='Données projet'!$A$36,'Données projet'!$B$36,N31+M32-V31)))</f>
        <v>111.80000000000003</v>
      </c>
      <c r="O32" s="14">
        <f>N32*VLOOKUP('Données projet'!$B$9,Paramètres!$A$1:$I$89,3,0)*VLOOKUP('Données projet'!$B$9,Paramètres!$A$1:$I$89,5,0)</f>
        <v>101.15664000000001</v>
      </c>
      <c r="P32" s="14">
        <f t="shared" si="33"/>
        <v>27.237366379381644</v>
      </c>
      <c r="Q32" s="22">
        <f t="shared" si="2"/>
        <v>223.61956111075639</v>
      </c>
      <c r="R32" s="62">
        <f t="shared" si="0"/>
        <v>515.73067222186751</v>
      </c>
      <c r="S32" s="62">
        <f ca="1">AVERAGE(OFFSET($R$3,0,0,'Données projet'!$E$9+1,1))-AVERAGE(OFFSET($H$3,0,0,'Données projet'!$E$9+1,1))</f>
        <v>509.56241660612449</v>
      </c>
      <c r="T32" s="62">
        <f t="shared" si="34"/>
        <v>278.21741231699929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9.1999999999999993</v>
      </c>
      <c r="AI32" s="14">
        <f>IF('Données projet'!$A$62&gt;35,AI31+AH32-AQ31,IF(A32&lt;'Données projet'!$A$62,$AF$205^A32,IF(A32='Données projet'!$A$62,'Données projet'!$B$62,AI31+AH32-AQ31)))</f>
        <v>111.80000000000003</v>
      </c>
      <c r="AJ32" s="14">
        <f>AI32*VLOOKUP('Données projet'!$B$10,Paramètres!$A$1:$I$89,3,0)*VLOOKUP('Données projet'!$B$10,Paramètres!$A$1:$I$89,5,0)</f>
        <v>113.36520000000003</v>
      </c>
      <c r="AK32" s="14">
        <f t="shared" si="35"/>
        <v>30.122456058687614</v>
      </c>
      <c r="AL32" s="22">
        <f t="shared" si="4"/>
        <v>249.9076676355476</v>
      </c>
      <c r="AM32" s="62">
        <f t="shared" si="5"/>
        <v>542.01877874665877</v>
      </c>
      <c r="AN32" s="62">
        <f ca="1">AVERAGE(OFFSET($AM$3,0,0,'Données projet'!$E$10+1,1))-AVERAGE(OFFSET($H$3,0,0,'Données projet'!$E$10+1,1))</f>
        <v>565.72091871734051</v>
      </c>
      <c r="AO32" s="62">
        <f t="shared" si="36"/>
        <v>306.61893266146666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14.260000000000002</v>
      </c>
      <c r="BD32" s="13">
        <f>IF('Données projet'!$A$88&gt;35,BD31+BC32-BL31,IF(A32&lt;'Données projet'!$A$88,$BA$205^A32,IF(A32='Données projet'!$A$88,'Données projet'!$B$88,BD31+BC32-BL31)))</f>
        <v>197.53999999999996</v>
      </c>
      <c r="BE32" s="14">
        <f>BD32*VLOOKUP('Données projet'!$B$11,Paramètres!$A$1:$I$89,3,0)*VLOOKUP('Données projet'!$B$11,Paramètres!$A$1:$I$89,5,0)</f>
        <v>144.83632799999995</v>
      </c>
      <c r="BF32" s="14">
        <f t="shared" si="37"/>
        <v>37.402740912462832</v>
      </c>
      <c r="BG32" s="22">
        <f t="shared" si="7"/>
        <v>317.39971168920596</v>
      </c>
      <c r="BH32" s="62">
        <f t="shared" si="8"/>
        <v>609.5108228003171</v>
      </c>
      <c r="BI32" s="62">
        <f ca="1">AVERAGE(OFFSET($BH$3,0,0,'Données projet'!$E$11+1,1))-AVERAGE(OFFSET($H$3,0,0,'Données projet'!$E$11+1,1))</f>
        <v>344.26020118887629</v>
      </c>
      <c r="BJ32" s="62">
        <f t="shared" si="38"/>
        <v>376.41441893222185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9.1999999999999993</v>
      </c>
      <c r="BY32" s="13">
        <f>IF('Données projet'!$A$114&gt;35,BY31+BX32-CG31,IF(A32&lt;'Données projet'!$A$114,$BV$205^A32,IF(A32='Données projet'!$A$114,'Données projet'!$B$114,BY31+BX32-CG31)))</f>
        <v>111.80000000000003</v>
      </c>
      <c r="BZ32" s="14">
        <f>BY32*VLOOKUP('Données projet'!$B$12,Paramètres!$A$1:$I$89,3,0)*VLOOKUP('Données projet'!$B$12,Paramètres!$A$1:$I$89,5,0)</f>
        <v>94.180320000000037</v>
      </c>
      <c r="CA32" s="14">
        <f t="shared" si="39"/>
        <v>25.570738079029208</v>
      </c>
      <c r="CB32" s="22">
        <f t="shared" si="10"/>
        <v>208.56642615430928</v>
      </c>
      <c r="CC32" s="62">
        <f t="shared" si="11"/>
        <v>500.67753726542043</v>
      </c>
      <c r="CD32" s="62">
        <f ca="1">AVERAGE(OFFSET($CC$3,0,0,'Données projet'!$E$12+1,1))-AVERAGE(OFFSET($H$3,0,0,'Données projet'!$E$12+1,1))</f>
        <v>477.4105367901771</v>
      </c>
      <c r="CE32" s="62">
        <f t="shared" si="40"/>
        <v>261.95434270986397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3.4358974358974361</v>
      </c>
      <c r="CT32" s="13">
        <f>IF('Données projet'!$A$140&gt;35,CT31+CS32-DB31,IF(A32&lt;'Données projet'!$A$140,$CQ$205^A32,IF(A32='Données projet'!$A$140,'Données projet'!$B$140,CT31+CS32-DB31)))</f>
        <v>88.319390750591623</v>
      </c>
      <c r="CU32" s="18">
        <f>CT32*VLOOKUP('Données projet'!$B$13,Paramètres!$A$1:$I$89,3,0)*VLOOKUP('Données projet'!$B$13,Paramètres!$A$1:$I$89,5,0)</f>
        <v>41.333474871276877</v>
      </c>
      <c r="CV32" s="14">
        <f t="shared" si="41"/>
        <v>12.351407186530604</v>
      </c>
      <c r="CW32" s="22">
        <f t="shared" si="13"/>
        <v>93.501169584014704</v>
      </c>
      <c r="CX32" s="62">
        <f t="shared" si="14"/>
        <v>385.61228069512583</v>
      </c>
      <c r="CY32" s="62">
        <f ca="1">AVERAGE(OFFSET($CX$3,0,0,'Données projet'!$E$13+1,1))-AVERAGE(OFFSET($H$3,0,0,'Données projet'!$E$13+1,1))</f>
        <v>246.64907095367749</v>
      </c>
      <c r="CZ32" s="62">
        <f t="shared" si="42"/>
        <v>145.34368562171613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14.260000000000002</v>
      </c>
      <c r="DO32" s="13">
        <f>IF('Données projet'!$A$166&gt;35,DO31+DN32-DW31,IF(A32&lt;'Données projet'!$A$166,$DL$205^A32,IF(A32='Données projet'!$A$166,'Données projet'!$B$166,DO31+DN32-DW31)))</f>
        <v>197.53999999999996</v>
      </c>
      <c r="DP32" s="18">
        <f>DO32*VLOOKUP('Données projet'!$B$14,Paramètres!$A$1:$I$89,3,0)*VLOOKUP('Données projet'!$B$14,Paramètres!$A$1:$I$89,5,0)</f>
        <v>157.162824</v>
      </c>
      <c r="DQ32" s="14">
        <f t="shared" si="43"/>
        <v>40.201917615639708</v>
      </c>
      <c r="DR32" s="22">
        <f t="shared" si="16"/>
        <v>343.7435916472391</v>
      </c>
      <c r="DS32" s="62">
        <f t="shared" si="17"/>
        <v>635.85470275835019</v>
      </c>
      <c r="DT32" s="62">
        <f ca="1">AVERAGE(OFFSET($DS$3,0,0,'Données projet'!$E$14+1,1))-AVERAGE(OFFSET($H$3,0,0,'Données projet'!$E$14+1,1))</f>
        <v>370.38521334472284</v>
      </c>
      <c r="DU32" s="62">
        <f t="shared" si="44"/>
        <v>404.61777090709171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12.333333333333334</v>
      </c>
      <c r="EJ32" s="13">
        <f>IF('Données projet'!$A$192&gt;35,EJ31+EI32-ER31,IF(A32&lt;'Données projet'!$A$192,$EG$205^A32,IF(A32='Données projet'!$A$192,'Données projet'!$B$192,EJ31+EI32-ER31)))</f>
        <v>89.666666666666657</v>
      </c>
      <c r="EK32" s="18">
        <f>EJ32*VLOOKUP('Données projet'!$B$15,Paramètres!$A$1:$I$89,3,0)*VLOOKUP('Données projet'!$B$15,Paramètres!$A$1:$I$89,5,0)</f>
        <v>76.933999999999997</v>
      </c>
      <c r="EL32" s="14">
        <f t="shared" si="45"/>
        <v>21.385834734197029</v>
      </c>
      <c r="EM32" s="22">
        <f t="shared" si="19"/>
        <v>171.24037882872651</v>
      </c>
      <c r="EN32" s="62">
        <f t="shared" si="20"/>
        <v>463.35148993983762</v>
      </c>
      <c r="EO32" s="62">
        <f ca="1">AVERAGE(OFFSET($EN$3,0,0,'Données projet'!$E$15+1,1))-AVERAGE(OFFSET($H$3,0,0,'Données projet'!$E$15+1,1))</f>
        <v>445.81166342116865</v>
      </c>
      <c r="EP32" s="62">
        <f t="shared" si="46"/>
        <v>230.82970731138215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9.1999999999999993</v>
      </c>
      <c r="FE32" s="13">
        <f>IF('Données projet'!$A$218&gt;35,FE31+FD32-FM31,IF(A32&lt;'Données projet'!$A$218,$FB$205^A32,IF(A32='Données projet'!$A$218,'Données projet'!$B$218,FE31+FD32-FM31)))</f>
        <v>111.80000000000003</v>
      </c>
      <c r="FF32" s="18">
        <f>FE32*VLOOKUP('Données projet'!$B$16,Paramètres!$A$1:$I$89,3,0)*VLOOKUP('Données projet'!$B$16,Paramètres!$A$1:$I$89,5,0)</f>
        <v>108.13296000000003</v>
      </c>
      <c r="FG32" s="14">
        <f t="shared" si="47"/>
        <v>28.890658079177882</v>
      </c>
      <c r="FH32" s="22">
        <f t="shared" si="22"/>
        <v>238.64946815456821</v>
      </c>
      <c r="FI32" s="62">
        <f t="shared" si="23"/>
        <v>530.76057926567933</v>
      </c>
      <c r="FJ32" s="62">
        <f ca="1">AVERAGE(OFFSET($FI$3,0,0,'Données projet'!$E$16+1,1))-AVERAGE(OFFSET($H$3,0,0,'Données projet'!$E$16+1,1))</f>
        <v>541.66888676162716</v>
      </c>
      <c r="FK32" s="62">
        <f t="shared" si="48"/>
        <v>294.45557293177131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>
        <f>EXP(-LN(2)/35)*FQ31+(1-EXP(-LN(2)/35))/(LN(2)/35)*FM32*FN32*VLOOKUP('Données projet'!$B$16,Paramètres!$A$1:$I$89,3,0)*0.475*44/12</f>
        <v>0</v>
      </c>
      <c r="FR32" s="23">
        <f>EXP(-LN(2)/25)*FR31+(1-EXP(-LN(2)/25))/(LN(2)/25)*Calculateur!FM32*Calculateur!FO32*VLOOKUP('Données projet'!$B$16,Paramètres!$A$1:$I$89,3,0)*0.475*44/12</f>
        <v>0</v>
      </c>
      <c r="FS32" s="23">
        <f>EXP(-LN(2)/2)*FS31+(1-EXP(-LN(2)/2))/(LN(2)/2)*FM32*FP32*VLOOKUP('Données projet'!$B$16,Paramètres!$A$1:$I$89,3,0)*0.475*44/12</f>
        <v>0</v>
      </c>
      <c r="FT32" s="24">
        <f t="shared" si="24"/>
        <v>0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11.5</v>
      </c>
      <c r="FZ32" s="13">
        <f>IF('Données projet'!$A$244&gt;35,FZ31+FY32-GH31,IF(A32&lt;'Données projet'!$A$244,$FW$205^A32,IF(A32='Données projet'!$A$244,'Données projet'!$B$244,FZ31+FY32-GH31)))</f>
        <v>131.99999999999997</v>
      </c>
      <c r="GA32" s="18">
        <f>FZ32*VLOOKUP('Données projet'!$B$17,Paramètres!$A$1:$I$89,3,0)*VLOOKUP('Données projet'!$B$17,Paramètres!$A$1:$I$89,5,0)</f>
        <v>102.95999999999998</v>
      </c>
      <c r="GB32" s="14">
        <f t="shared" si="49"/>
        <v>27.665975080374633</v>
      </c>
      <c r="GC32" s="22">
        <f t="shared" si="25"/>
        <v>227.50690659831912</v>
      </c>
      <c r="GD32" s="62">
        <f t="shared" si="26"/>
        <v>519.61801770943021</v>
      </c>
      <c r="GE32" s="62">
        <f ca="1">AVERAGE(OFFSET($GD$3,0,0,'Données projet'!$E$17+1,1))-AVERAGE(OFFSET($H$3,0,0,'Données projet'!$E$17+1,1))</f>
        <v>292.57482726862594</v>
      </c>
      <c r="GF32" s="62">
        <f t="shared" si="50"/>
        <v>283.48738729114024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>
        <f>EXP(-LN(2)/35)*GL31+(1-EXP(-LN(2)/35))/(LN(2)/35)*GH32*GI32*VLOOKUP('Données projet'!$B$17,Paramètres!$A$1:$I$89,3,0)*0.475*44/12</f>
        <v>0</v>
      </c>
      <c r="GM32" s="23">
        <f>EXP(-LN(2)/25)*GM31+(1-EXP(-LN(2)/25))/(LN(2)/25)*Calculateur!GH32*Calculateur!GJ32*VLOOKUP('Données projet'!$B$17,Paramètres!$A$1:$I$89,3,0)*0.475*44/12</f>
        <v>0</v>
      </c>
      <c r="GN32" s="23">
        <f>EXP(-LN(2)/2)*GN31+(1-EXP(-LN(2)/2))/(LN(2)/2)*GH32*GK32*VLOOKUP('Données projet'!$B$17,Paramètres!$A$1:$I$89,3,0)*0.475*44/12</f>
        <v>0</v>
      </c>
      <c r="GO32" s="23">
        <f t="shared" si="27"/>
        <v>0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10.256410256410259</v>
      </c>
      <c r="GU32" s="13">
        <f>IF('Données projet'!$A$270&gt;35,GU31+GT32-HC31,IF(A32&lt;'Données projet'!$A$270,$GR$205^A32,IF(A32='Données projet'!$A$270,'Données projet'!$B$270,GU31+GT32-HC31)))</f>
        <v>183.33333333333331</v>
      </c>
      <c r="GV32" s="18">
        <f>GU32*VLOOKUP('Données projet'!$B$18,Paramètres!$A$1:$I$89,3,0)*VLOOKUP('Données projet'!$B$18,Paramètres!$A$1:$I$89,5,0)</f>
        <v>122.97999999999999</v>
      </c>
      <c r="GW32" s="14">
        <f t="shared" si="51"/>
        <v>32.369039984453188</v>
      </c>
      <c r="GX32" s="22">
        <f t="shared" si="28"/>
        <v>270.56624463958929</v>
      </c>
      <c r="GY32" s="62">
        <f t="shared" si="29"/>
        <v>562.67735575070037</v>
      </c>
      <c r="GZ32" s="62">
        <f ca="1">AVERAGE(OFFSET($GY$3,0,0,'Données projet'!$E$18+1,1))-AVERAGE(OFFSET($H$3,0,0,'Données projet'!$E$18+1,1))</f>
        <v>410.20186800287411</v>
      </c>
      <c r="HA32" s="62">
        <f t="shared" si="52"/>
        <v>321.99347958016057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>
        <f>EXP(-LN(2)/35)*HG31+(1-EXP(-LN(2)/35))/(LN(2)/35)*HC32*HD32*VLOOKUP('Données projet'!$B$18,Paramètres!$A$1:$I$89,3,0)*0.475*44/12</f>
        <v>0</v>
      </c>
      <c r="HH32" s="23">
        <f>EXP(-LN(2)/25)*HH31+(1-EXP(-LN(2)/25))/(LN(2)/25)*Calculateur!HC32*Calculateur!HE32*VLOOKUP('Données projet'!$B$18,Paramètres!$A$1:$I$89,3,0)*0.475*44/12</f>
        <v>0</v>
      </c>
      <c r="HI32" s="23">
        <f>EXP(-LN(2)/2)*HI31+(1-EXP(-LN(2)/2))/(LN(2)/2)*HC32*HF32*VLOOKUP('Données projet'!$B$18,Paramètres!$A$1:$I$89,3,0)*0.475*44/12</f>
        <v>0</v>
      </c>
      <c r="HJ32" s="24">
        <f t="shared" si="30"/>
        <v>0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121</v>
      </c>
      <c r="L33" s="13">
        <f>VLOOKUP(A33,'Données projet'!$A$35:$I$55,9,0)</f>
        <v>9.1999999999999993</v>
      </c>
      <c r="M33" s="13">
        <f t="array" ref="M33">INDEX(L:L,MIN(IF(ISNUMBER(L33:L229),ROW(L33:L229),"")))</f>
        <v>9.1999999999999993</v>
      </c>
      <c r="N33" s="14">
        <f>IF('Données projet'!$A$36&gt;35,N32+M33-V32,IF(A33&lt;'Données projet'!$A$36,$K$205^A33,IF(A33='Données projet'!$A$36,'Données projet'!$B$36,N32+M33-V32)))</f>
        <v>121.00000000000003</v>
      </c>
      <c r="O33" s="14">
        <f>N33*VLOOKUP('Données projet'!$B$9,Paramètres!$A$1:$I$89,3,0)*VLOOKUP('Données projet'!$B$9,Paramètres!$A$1:$I$89,5,0)</f>
        <v>109.48080000000002</v>
      </c>
      <c r="P33" s="14">
        <f t="shared" si="33"/>
        <v>29.208623339903898</v>
      </c>
      <c r="Q33" s="22">
        <f t="shared" si="2"/>
        <v>241.55074565033269</v>
      </c>
      <c r="R33" s="62">
        <f t="shared" si="0"/>
        <v>534.88407898366597</v>
      </c>
      <c r="S33" s="62">
        <f ca="1">AVERAGE(OFFSET($R$3,0,0,'Données projet'!$E$9+1,1))-AVERAGE(OFFSET($H$3,0,0,'Données projet'!$E$9+1,1))</f>
        <v>509.56241660612449</v>
      </c>
      <c r="T33" s="62">
        <f t="shared" si="34"/>
        <v>278.21741231699929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121</v>
      </c>
      <c r="AG33" s="13">
        <f>VLOOKUP(A33,'Données projet'!$A$61:$I$81,9,0)</f>
        <v>9.1999999999999993</v>
      </c>
      <c r="AH33" s="13">
        <f t="array" ref="AH33">INDEX(AG:AG,MIN(IF(ISNUMBER(AG33:AG229),ROW(AG33:AG229),"")))</f>
        <v>9.1999999999999993</v>
      </c>
      <c r="AI33" s="14">
        <f>IF('Données projet'!$A$62&gt;35,AI32+AH33-AQ32,IF(A33&lt;'Données projet'!$A$62,$AF$205^A33,IF(A33='Données projet'!$A$62,'Données projet'!$B$62,AI32+AH33-AQ32)))</f>
        <v>121.00000000000003</v>
      </c>
      <c r="AJ33" s="14">
        <f>AI33*VLOOKUP('Données projet'!$B$10,Paramètres!$A$1:$I$89,3,0)*VLOOKUP('Données projet'!$B$10,Paramètres!$A$1:$I$89,5,0)</f>
        <v>122.69400000000003</v>
      </c>
      <c r="AK33" s="14">
        <f t="shared" si="35"/>
        <v>32.302516360650685</v>
      </c>
      <c r="AL33" s="22">
        <f t="shared" si="4"/>
        <v>269.95226599480003</v>
      </c>
      <c r="AM33" s="62">
        <f t="shared" si="5"/>
        <v>563.28559932813334</v>
      </c>
      <c r="AN33" s="62">
        <f ca="1">AVERAGE(OFFSET($AM$3,0,0,'Données projet'!$E$10+1,1))-AVERAGE(OFFSET($H$3,0,0,'Données projet'!$E$10+1,1))</f>
        <v>565.72091871734051</v>
      </c>
      <c r="AO33" s="62">
        <f t="shared" si="36"/>
        <v>306.61893266146666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211.8</v>
      </c>
      <c r="BB33" s="13">
        <f>VLOOKUP(A33,'Données projet'!$A$87:$I$107,9,0)</f>
        <v>14.260000000000002</v>
      </c>
      <c r="BC33" s="13">
        <f t="array" ref="BC33">INDEX(BB:BB,MIN(IF(ISNUMBER(BB33:BB229),ROW(BB33:BB229),"")))</f>
        <v>14.260000000000002</v>
      </c>
      <c r="BD33" s="13">
        <f>IF('Données projet'!$A$88&gt;35,BD32+BC33-BL32,IF(A33&lt;'Données projet'!$A$88,$BA$205^A33,IF(A33='Données projet'!$A$88,'Données projet'!$B$88,BD32+BC33-BL32)))</f>
        <v>211.79999999999995</v>
      </c>
      <c r="BE33" s="14">
        <f>BD33*VLOOKUP('Données projet'!$B$11,Paramètres!$A$1:$I$89,3,0)*VLOOKUP('Données projet'!$B$11,Paramètres!$A$1:$I$89,5,0)</f>
        <v>155.29175999999998</v>
      </c>
      <c r="BF33" s="14">
        <f t="shared" si="37"/>
        <v>39.778719769696814</v>
      </c>
      <c r="BG33" s="22">
        <f t="shared" si="7"/>
        <v>339.74775226555522</v>
      </c>
      <c r="BH33" s="62">
        <f t="shared" si="8"/>
        <v>633.08108559888854</v>
      </c>
      <c r="BI33" s="62">
        <f ca="1">AVERAGE(OFFSET($BH$3,0,0,'Données projet'!$E$11+1,1))-AVERAGE(OFFSET($H$3,0,0,'Données projet'!$E$11+1,1))</f>
        <v>344.26020118887629</v>
      </c>
      <c r="BJ33" s="62">
        <f t="shared" si="38"/>
        <v>376.41441893222185</v>
      </c>
      <c r="BK33" s="16">
        <f>IF(ISNA(VLOOKUP(A33,'Données projet'!$A$87:$I$107,3,0)),0,VLOOKUP(A33,'Données projet'!$A$87:$I$107,3,0))</f>
        <v>2</v>
      </c>
      <c r="BL33" s="16">
        <f>IF(ISNA(VLOOKUP(A33,'Données projet'!$A$87:$I$107,4,0)),0,VLOOKUP(A33,'Données projet'!$A$87:$I$107,4,0))</f>
        <v>70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121</v>
      </c>
      <c r="BW33" s="13">
        <f>VLOOKUP(A33,'Données projet'!$A$113:$I$133,9,0)</f>
        <v>9.1999999999999993</v>
      </c>
      <c r="BX33" s="13">
        <f t="array" ref="BX33">INDEX(BW:BW,MIN(IF(ISNUMBER(BW33:BW229),ROW(BW33:BW229),"")))</f>
        <v>9.1999999999999993</v>
      </c>
      <c r="BY33" s="13">
        <f>IF('Données projet'!$A$114&gt;35,BY32+BX33-CG32,IF(A33&lt;'Données projet'!$A$114,$BV$205^A33,IF(A33='Données projet'!$A$114,'Données projet'!$B$114,BY32+BX33-CG32)))</f>
        <v>121.00000000000003</v>
      </c>
      <c r="BZ33" s="14">
        <f>BY33*VLOOKUP('Données projet'!$B$12,Paramètres!$A$1:$I$89,3,0)*VLOOKUP('Données projet'!$B$12,Paramètres!$A$1:$I$89,5,0)</f>
        <v>101.93040000000003</v>
      </c>
      <c r="CA33" s="14">
        <f t="shared" si="39"/>
        <v>27.421375718582158</v>
      </c>
      <c r="CB33" s="22">
        <f t="shared" si="10"/>
        <v>225.28767604319731</v>
      </c>
      <c r="CC33" s="62">
        <f t="shared" si="11"/>
        <v>518.62100937653065</v>
      </c>
      <c r="CD33" s="62">
        <f ca="1">AVERAGE(OFFSET($CC$3,0,0,'Données projet'!$E$12+1,1))-AVERAGE(OFFSET($H$3,0,0,'Données projet'!$E$12+1,1))</f>
        <v>477.4105367901771</v>
      </c>
      <c r="CE33" s="62">
        <f t="shared" si="40"/>
        <v>261.95434270986397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103.07692307692308</v>
      </c>
      <c r="CR33" s="13">
        <f>VLOOKUP(A33,'Données projet'!$A$139:$I$159,9,0)</f>
        <v>3.4358974358974361</v>
      </c>
      <c r="CS33" s="13">
        <f t="array" ref="CS33">INDEX(CR:CR,MIN(IF(ISNUMBER(CR33:CR229),ROW(CR33:CR229),"")))</f>
        <v>3.4358974358974361</v>
      </c>
      <c r="CT33" s="13">
        <f>IF('Données projet'!$A$140&gt;35,CT32+CS33-DB32,IF(A33&lt;'Données projet'!$A$140,$CQ$205^A33,IF(A33='Données projet'!$A$140,'Données projet'!$B$140,CT32+CS33-DB32)))</f>
        <v>103.07692307692308</v>
      </c>
      <c r="CU33" s="18">
        <f>CT33*VLOOKUP('Données projet'!$B$13,Paramètres!$A$1:$I$89,3,0)*VLOOKUP('Données projet'!$B$13,Paramètres!$A$1:$I$89,5,0)</f>
        <v>48.240000000000009</v>
      </c>
      <c r="CV33" s="14">
        <f t="shared" si="41"/>
        <v>14.15828839524373</v>
      </c>
      <c r="CW33" s="22">
        <f t="shared" si="13"/>
        <v>108.6770189550495</v>
      </c>
      <c r="CX33" s="62">
        <f t="shared" si="14"/>
        <v>402.01035228838282</v>
      </c>
      <c r="CY33" s="62">
        <f ca="1">AVERAGE(OFFSET($CX$3,0,0,'Données projet'!$E$13+1,1))-AVERAGE(OFFSET($H$3,0,0,'Données projet'!$E$13+1,1))</f>
        <v>246.64907095367749</v>
      </c>
      <c r="CZ33" s="62">
        <f t="shared" si="42"/>
        <v>145.34368562171613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projet'!$A$165:$I$185,2,0)</f>
        <v>211.8</v>
      </c>
      <c r="DM33" s="13">
        <f>VLOOKUP(A33,'Données projet'!$A$165:$I$185,9,0)</f>
        <v>14.260000000000002</v>
      </c>
      <c r="DN33" s="13">
        <f t="array" ref="DN33">INDEX(DM:DM,MIN(IF(ISNUMBER(DM33:DM229),ROW(DM33:DM229),"")))</f>
        <v>14.260000000000002</v>
      </c>
      <c r="DO33" s="13">
        <f>IF('Données projet'!$A$166&gt;35,DO32+DN33-DW32,IF(A33&lt;'Données projet'!$A$166,$DL$205^A33,IF(A33='Données projet'!$A$166,'Données projet'!$B$166,DO32+DN33-DW32)))</f>
        <v>211.79999999999995</v>
      </c>
      <c r="DP33" s="18">
        <f>DO33*VLOOKUP('Données projet'!$B$14,Paramètres!$A$1:$I$89,3,0)*VLOOKUP('Données projet'!$B$14,Paramètres!$A$1:$I$89,5,0)</f>
        <v>168.50807999999995</v>
      </c>
      <c r="DQ33" s="14">
        <f t="shared" si="43"/>
        <v>42.755711908378117</v>
      </c>
      <c r="DR33" s="22">
        <f t="shared" si="16"/>
        <v>367.95110424042514</v>
      </c>
      <c r="DS33" s="62">
        <f t="shared" si="17"/>
        <v>661.2844375737584</v>
      </c>
      <c r="DT33" s="62">
        <f ca="1">AVERAGE(OFFSET($DS$3,0,0,'Données projet'!$E$14+1,1))-AVERAGE(OFFSET($H$3,0,0,'Données projet'!$E$14+1,1))</f>
        <v>370.38521334472284</v>
      </c>
      <c r="DU33" s="62">
        <f t="shared" si="44"/>
        <v>404.61777090709171</v>
      </c>
      <c r="DV33" s="16">
        <f>IF(ISNA(VLOOKUP(A33,'Données projet'!$A$165:$I$185,3,0)),0,VLOOKUP(A33,'Données projet'!$A$165:$I$185,3,0))</f>
        <v>2</v>
      </c>
      <c r="DW33" s="16">
        <f>IF(ISNA(VLOOKUP(A33,'Données projet'!$A$165:$I$185,4,0)),0,VLOOKUP(A33,'Données projet'!$A$165:$I$185,4,0))</f>
        <v>70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102</v>
      </c>
      <c r="EH33" s="13">
        <f>VLOOKUP(A33,'Données projet'!$A$191:$I$211,9,0)</f>
        <v>12.333333333333334</v>
      </c>
      <c r="EI33" s="13">
        <f t="array" ref="EI33">INDEX(EH:EH,MIN(IF(ISNUMBER(EH33:EH229),ROW(EH33:EH229),"")))</f>
        <v>12.333333333333334</v>
      </c>
      <c r="EJ33" s="13">
        <f>IF('Données projet'!$A$192&gt;35,EJ32+EI33-ER32,IF(A33&lt;'Données projet'!$A$192,$EG$205^A33,IF(A33='Données projet'!$A$192,'Données projet'!$B$192,EJ32+EI33-ER32)))</f>
        <v>101.99999999999999</v>
      </c>
      <c r="EK33" s="18">
        <f>EJ33*VLOOKUP('Données projet'!$B$15,Paramètres!$A$1:$I$89,3,0)*VLOOKUP('Données projet'!$B$15,Paramètres!$A$1:$I$89,5,0)</f>
        <v>87.515999999999991</v>
      </c>
      <c r="EL33" s="14">
        <f t="shared" si="45"/>
        <v>23.965171662037644</v>
      </c>
      <c r="EM33" s="22">
        <f t="shared" si="19"/>
        <v>194.16304064471555</v>
      </c>
      <c r="EN33" s="62">
        <f t="shared" si="20"/>
        <v>487.49637397804884</v>
      </c>
      <c r="EO33" s="62">
        <f ca="1">AVERAGE(OFFSET($EN$3,0,0,'Données projet'!$E$15+1,1))-AVERAGE(OFFSET($H$3,0,0,'Données projet'!$E$15+1,1))</f>
        <v>445.81166342116865</v>
      </c>
      <c r="EP33" s="62">
        <f t="shared" si="46"/>
        <v>230.82970731138215</v>
      </c>
      <c r="EQ33" s="16">
        <f>IF(ISNA(VLOOKUP(A33,'Données projet'!$A$191:$I$211,3,0)),0,VLOOKUP(A33,'Données projet'!$A$191:$I$211,3,0))</f>
        <v>2</v>
      </c>
      <c r="ER33" s="16">
        <f>IF(ISNA(VLOOKUP(A33,'Données projet'!$A$191:$I$211,4,0)),0,VLOOKUP(A33,'Données projet'!$A$191:$I$211,4,0))</f>
        <v>13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>
        <f>VLOOKUP(A33,'Données projet'!$A$217:$I$237,2,0)</f>
        <v>121</v>
      </c>
      <c r="FC33" s="13">
        <f>VLOOKUP(A33,'Données projet'!$A$217:$I$237,9,0)</f>
        <v>9.1999999999999993</v>
      </c>
      <c r="FD33" s="13">
        <f t="array" ref="FD33">INDEX(FC:FC,MIN(IF(ISNUMBER(FC33:FC229),ROW(FC33:FC229),"")))</f>
        <v>9.1999999999999993</v>
      </c>
      <c r="FE33" s="13">
        <f>IF('Données projet'!$A$218&gt;35,FE32+FD33-FM32,IF(A33&lt;'Données projet'!$A$218,$FB$205^A33,IF(A33='Données projet'!$A$218,'Données projet'!$B$218,FE32+FD33-FM32)))</f>
        <v>121.00000000000003</v>
      </c>
      <c r="FF33" s="18">
        <f>FE33*VLOOKUP('Données projet'!$B$16,Paramètres!$A$1:$I$89,3,0)*VLOOKUP('Données projet'!$B$16,Paramètres!$A$1:$I$89,5,0)</f>
        <v>117.03120000000003</v>
      </c>
      <c r="FG33" s="14">
        <f t="shared" si="47"/>
        <v>30.981569147428555</v>
      </c>
      <c r="FH33" s="22">
        <f t="shared" si="22"/>
        <v>257.78890626510474</v>
      </c>
      <c r="FI33" s="62">
        <f t="shared" si="23"/>
        <v>551.122239598438</v>
      </c>
      <c r="FJ33" s="62">
        <f ca="1">AVERAGE(OFFSET($FI$3,0,0,'Données projet'!$E$16+1,1))-AVERAGE(OFFSET($H$3,0,0,'Données projet'!$E$16+1,1))</f>
        <v>541.66888676162716</v>
      </c>
      <c r="FK33" s="62">
        <f t="shared" si="48"/>
        <v>294.45557293177131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>
        <f>EXP(-LN(2)/35)*FQ32+(1-EXP(-LN(2)/35))/(LN(2)/35)*FM33*FN33*VLOOKUP('Données projet'!$B$16,Paramètres!$A$1:$I$89,3,0)*0.475*44/12</f>
        <v>0</v>
      </c>
      <c r="FR33" s="23">
        <f>EXP(-LN(2)/25)*FR32+(1-EXP(-LN(2)/25))/(LN(2)/25)*Calculateur!FM33*Calculateur!FO33*VLOOKUP('Données projet'!$B$16,Paramètres!$A$1:$I$89,3,0)*0.475*44/12</f>
        <v>0</v>
      </c>
      <c r="FS33" s="23">
        <f>EXP(-LN(2)/2)*FS32+(1-EXP(-LN(2)/2))/(LN(2)/2)*FM33*FP33*VLOOKUP('Données projet'!$B$16,Paramètres!$A$1:$I$89,3,0)*0.475*44/12</f>
        <v>0</v>
      </c>
      <c r="FT33" s="24">
        <f t="shared" si="24"/>
        <v>0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11.5</v>
      </c>
      <c r="FZ33" s="13">
        <f>IF('Données projet'!$A$244&gt;35,FZ32+FY33-GH32,IF(A33&lt;'Données projet'!$A$244,$FW$205^A33,IF(A33='Données projet'!$A$244,'Données projet'!$B$244,FZ32+FY33-GH32)))</f>
        <v>143.49999999999997</v>
      </c>
      <c r="GA33" s="18">
        <f>FZ33*VLOOKUP('Données projet'!$B$17,Paramètres!$A$1:$I$89,3,0)*VLOOKUP('Données projet'!$B$17,Paramètres!$A$1:$I$89,5,0)</f>
        <v>111.92999999999998</v>
      </c>
      <c r="GB33" s="14">
        <f t="shared" si="49"/>
        <v>29.785246291563833</v>
      </c>
      <c r="GC33" s="22">
        <f t="shared" si="25"/>
        <v>246.82072062447358</v>
      </c>
      <c r="GD33" s="62">
        <f t="shared" si="26"/>
        <v>540.15405395780692</v>
      </c>
      <c r="GE33" s="62">
        <f ca="1">AVERAGE(OFFSET($GD$3,0,0,'Données projet'!$E$17+1,1))-AVERAGE(OFFSET($H$3,0,0,'Données projet'!$E$17+1,1))</f>
        <v>292.57482726862594</v>
      </c>
      <c r="GF33" s="62">
        <f t="shared" si="50"/>
        <v>283.48738729114024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>
        <f>EXP(-LN(2)/35)*GL32+(1-EXP(-LN(2)/35))/(LN(2)/35)*GH33*GI33*VLOOKUP('Données projet'!$B$17,Paramètres!$A$1:$I$89,3,0)*0.475*44/12</f>
        <v>0</v>
      </c>
      <c r="GM33" s="23">
        <f>EXP(-LN(2)/25)*GM32+(1-EXP(-LN(2)/25))/(LN(2)/25)*Calculateur!GH33*Calculateur!GJ33*VLOOKUP('Données projet'!$B$17,Paramètres!$A$1:$I$89,3,0)*0.475*44/12</f>
        <v>0</v>
      </c>
      <c r="GN33" s="23">
        <f>EXP(-LN(2)/2)*GN32+(1-EXP(-LN(2)/2))/(LN(2)/2)*GH33*GK33*VLOOKUP('Données projet'!$B$17,Paramètres!$A$1:$I$89,3,0)*0.475*44/12</f>
        <v>0</v>
      </c>
      <c r="GO33" s="23">
        <f t="shared" si="27"/>
        <v>0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>
        <f>VLOOKUP(A33,'Données projet'!$A$269:$I$289,2,0)</f>
        <v>193.58974358974359</v>
      </c>
      <c r="GS33" s="13">
        <f>VLOOKUP(A33,'Données projet'!$A$269:$I$289,9,0)</f>
        <v>10.256410256410259</v>
      </c>
      <c r="GT33" s="13">
        <f t="array" ref="GT33">INDEX(GS:GS,MIN(IF(ISNUMBER(GS33:GS229),ROW(GS33:GS229),"")))</f>
        <v>10.256410256410259</v>
      </c>
      <c r="GU33" s="13">
        <f>IF('Données projet'!$A$270&gt;35,GU32+GT33-HC32,IF(A33&lt;'Données projet'!$A$270,$GR$205^A33,IF(A33='Données projet'!$A$270,'Données projet'!$B$270,GU32+GT33-HC32)))</f>
        <v>193.58974358974356</v>
      </c>
      <c r="GV33" s="18">
        <f>GU33*VLOOKUP('Données projet'!$B$18,Paramètres!$A$1:$I$89,3,0)*VLOOKUP('Données projet'!$B$18,Paramètres!$A$1:$I$89,5,0)</f>
        <v>129.85999999999999</v>
      </c>
      <c r="GW33" s="14">
        <f t="shared" si="51"/>
        <v>33.964007414446357</v>
      </c>
      <c r="GX33" s="22">
        <f t="shared" si="28"/>
        <v>285.326812913494</v>
      </c>
      <c r="GY33" s="62">
        <f t="shared" si="29"/>
        <v>578.66014624682725</v>
      </c>
      <c r="GZ33" s="62">
        <f ca="1">AVERAGE(OFFSET($GY$3,0,0,'Données projet'!$E$18+1,1))-AVERAGE(OFFSET($H$3,0,0,'Données projet'!$E$18+1,1))</f>
        <v>410.20186800287411</v>
      </c>
      <c r="HA33" s="62">
        <f t="shared" si="52"/>
        <v>321.99347958016057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>
        <f>EXP(-LN(2)/35)*HG32+(1-EXP(-LN(2)/35))/(LN(2)/35)*HC33*HD33*VLOOKUP('Données projet'!$B$18,Paramètres!$A$1:$I$89,3,0)*0.475*44/12</f>
        <v>0</v>
      </c>
      <c r="HH33" s="23">
        <f>EXP(-LN(2)/25)*HH32+(1-EXP(-LN(2)/25))/(LN(2)/25)*Calculateur!HC33*Calculateur!HE33*VLOOKUP('Données projet'!$B$18,Paramètres!$A$1:$I$89,3,0)*0.475*44/12</f>
        <v>0</v>
      </c>
      <c r="HI33" s="23">
        <f>EXP(-LN(2)/2)*HI32+(1-EXP(-LN(2)/2))/(LN(2)/2)*HC33*HF33*VLOOKUP('Données projet'!$B$18,Paramètres!$A$1:$I$89,3,0)*0.475*44/12</f>
        <v>0</v>
      </c>
      <c r="HJ33" s="24">
        <f t="shared" si="30"/>
        <v>0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10.8</v>
      </c>
      <c r="N34" s="14">
        <f>IF('Données projet'!$A$36&gt;35,N33+M34-V33,IF(A34&lt;'Données projet'!$A$36,$K$205^A34,IF(A34='Données projet'!$A$36,'Données projet'!$B$36,N33+M34-V33)))</f>
        <v>131.80000000000004</v>
      </c>
      <c r="O34" s="14">
        <f>N34*VLOOKUP('Données projet'!$B$9,Paramètres!$A$1:$I$89,3,0)*VLOOKUP('Données projet'!$B$9,Paramètres!$A$1:$I$89,5,0)</f>
        <v>119.25264000000003</v>
      </c>
      <c r="P34" s="14">
        <f t="shared" si="33"/>
        <v>31.500626518374375</v>
      </c>
      <c r="Q34" s="22">
        <f t="shared" si="2"/>
        <v>262.56193918616879</v>
      </c>
      <c r="R34" s="62">
        <f t="shared" si="0"/>
        <v>555.8952725195021</v>
      </c>
      <c r="S34" s="62">
        <f ca="1">AVERAGE(OFFSET($R$3,0,0,'Données projet'!$E$9+1,1))-AVERAGE(OFFSET($H$3,0,0,'Données projet'!$E$9+1,1))</f>
        <v>509.56241660612449</v>
      </c>
      <c r="T34" s="62">
        <f t="shared" si="34"/>
        <v>278.21741231699929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10.8</v>
      </c>
      <c r="AI34" s="14">
        <f>IF('Données projet'!$A$62&gt;35,AI33+AH34-AQ33,IF(A34&lt;'Données projet'!$A$62,$AF$205^A34,IF(A34='Données projet'!$A$62,'Données projet'!$B$62,AI33+AH34-AQ33)))</f>
        <v>131.80000000000004</v>
      </c>
      <c r="AJ34" s="14">
        <f>AI34*VLOOKUP('Données projet'!$B$10,Paramètres!$A$1:$I$89,3,0)*VLOOKUP('Données projet'!$B$10,Paramètres!$A$1:$I$89,5,0)</f>
        <v>133.64520000000005</v>
      </c>
      <c r="AK34" s="14">
        <f t="shared" si="35"/>
        <v>34.837297589797402</v>
      </c>
      <c r="AL34" s="22">
        <f t="shared" si="4"/>
        <v>293.44034996889724</v>
      </c>
      <c r="AM34" s="62">
        <f t="shared" si="5"/>
        <v>586.77368330223055</v>
      </c>
      <c r="AN34" s="62">
        <f ca="1">AVERAGE(OFFSET($AM$3,0,0,'Données projet'!$E$10+1,1))-AVERAGE(OFFSET($H$3,0,0,'Données projet'!$E$10+1,1))</f>
        <v>565.72091871734051</v>
      </c>
      <c r="AO34" s="62">
        <f t="shared" si="36"/>
        <v>306.61893266146666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12.919999999999998</v>
      </c>
      <c r="BD34" s="13">
        <f>IF('Données projet'!$A$88&gt;35,BD33+BC34-BL33,IF(A34&lt;'Données projet'!$A$88,$BA$205^A34,IF(A34='Données projet'!$A$88,'Données projet'!$B$88,BD33+BC34-BL33)))</f>
        <v>154.71999999999994</v>
      </c>
      <c r="BE34" s="14">
        <f>BD34*VLOOKUP('Données projet'!$B$11,Paramètres!$A$1:$I$89,3,0)*VLOOKUP('Données projet'!$B$11,Paramètres!$A$1:$I$89,5,0)</f>
        <v>113.44070399999997</v>
      </c>
      <c r="BF34" s="14">
        <f t="shared" si="37"/>
        <v>30.140182414303599</v>
      </c>
      <c r="BG34" s="22">
        <f t="shared" si="7"/>
        <v>250.07004383824537</v>
      </c>
      <c r="BH34" s="62">
        <f t="shared" si="8"/>
        <v>543.40337717157865</v>
      </c>
      <c r="BI34" s="62">
        <f ca="1">AVERAGE(OFFSET($BH$3,0,0,'Données projet'!$E$11+1,1))-AVERAGE(OFFSET($H$3,0,0,'Données projet'!$E$11+1,1))</f>
        <v>344.26020118887629</v>
      </c>
      <c r="BJ34" s="62">
        <f t="shared" si="38"/>
        <v>376.41441893222185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10.8</v>
      </c>
      <c r="BY34" s="13">
        <f>IF('Données projet'!$A$114&gt;35,BY33+BX34-CG33,IF(A34&lt;'Données projet'!$A$114,$BV$205^A34,IF(A34='Données projet'!$A$114,'Données projet'!$B$114,BY33+BX34-CG33)))</f>
        <v>131.80000000000004</v>
      </c>
      <c r="BZ34" s="14">
        <f>BY34*VLOOKUP('Données projet'!$B$12,Paramètres!$A$1:$I$89,3,0)*VLOOKUP('Données projet'!$B$12,Paramètres!$A$1:$I$89,5,0)</f>
        <v>111.02832000000005</v>
      </c>
      <c r="CA34" s="14">
        <f t="shared" si="39"/>
        <v>29.573133422929669</v>
      </c>
      <c r="CB34" s="22">
        <f t="shared" si="10"/>
        <v>244.88086471160261</v>
      </c>
      <c r="CC34" s="62">
        <f t="shared" si="11"/>
        <v>538.21419804493598</v>
      </c>
      <c r="CD34" s="62">
        <f ca="1">AVERAGE(OFFSET($CC$3,0,0,'Données projet'!$E$12+1,1))-AVERAGE(OFFSET($H$3,0,0,'Données projet'!$E$12+1,1))</f>
        <v>477.4105367901771</v>
      </c>
      <c r="CE34" s="62">
        <f t="shared" si="40"/>
        <v>261.95434270986397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10.402930402930403</v>
      </c>
      <c r="CT34" s="13">
        <f>IF('Données projet'!$A$140&gt;35,CT33+CS34-DB33,IF(A34&lt;'Données projet'!$A$140,$CQ$205^A34,IF(A34='Données projet'!$A$140,'Données projet'!$B$140,CT33+CS34-DB33)))</f>
        <v>113.47985347985349</v>
      </c>
      <c r="CU34" s="18">
        <f>CT34*VLOOKUP('Données projet'!$B$13,Paramètres!$A$1:$I$89,3,0)*VLOOKUP('Données projet'!$B$13,Paramètres!$A$1:$I$89,5,0)</f>
        <v>53.108571428571437</v>
      </c>
      <c r="CV34" s="14">
        <f t="shared" si="41"/>
        <v>15.413722027781299</v>
      </c>
      <c r="CW34" s="22">
        <f t="shared" si="13"/>
        <v>119.34299443648099</v>
      </c>
      <c r="CX34" s="62">
        <f t="shared" si="14"/>
        <v>412.67632776981429</v>
      </c>
      <c r="CY34" s="62">
        <f ca="1">AVERAGE(OFFSET($CX$3,0,0,'Données projet'!$E$13+1,1))-AVERAGE(OFFSET($H$3,0,0,'Données projet'!$E$13+1,1))</f>
        <v>246.64907095367749</v>
      </c>
      <c r="CZ34" s="62">
        <f t="shared" si="42"/>
        <v>145.34368562171613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12.919999999999998</v>
      </c>
      <c r="DO34" s="13">
        <f>IF('Données projet'!$A$166&gt;35,DO33+DN34-DW33,IF(A34&lt;'Données projet'!$A$166,$DL$205^A34,IF(A34='Données projet'!$A$166,'Données projet'!$B$166,DO33+DN34-DW33)))</f>
        <v>154.71999999999994</v>
      </c>
      <c r="DP34" s="18">
        <f>DO34*VLOOKUP('Données projet'!$B$14,Paramètres!$A$1:$I$89,3,0)*VLOOKUP('Données projet'!$B$14,Paramètres!$A$1:$I$89,5,0)</f>
        <v>123.09523199999997</v>
      </c>
      <c r="DQ34" s="14">
        <f t="shared" si="43"/>
        <v>32.395837865893974</v>
      </c>
      <c r="DR34" s="22">
        <f t="shared" si="16"/>
        <v>270.81361334976526</v>
      </c>
      <c r="DS34" s="62">
        <f t="shared" si="17"/>
        <v>564.14694668309858</v>
      </c>
      <c r="DT34" s="62">
        <f ca="1">AVERAGE(OFFSET($DS$3,0,0,'Données projet'!$E$14+1,1))-AVERAGE(OFFSET($H$3,0,0,'Données projet'!$E$14+1,1))</f>
        <v>370.38521334472284</v>
      </c>
      <c r="DU34" s="62">
        <f t="shared" si="44"/>
        <v>404.61777090709171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14.166666666666666</v>
      </c>
      <c r="EJ34" s="13">
        <f>IF('Données projet'!$A$192&gt;35,EJ33+EI34-ER33,IF(A34&lt;'Données projet'!$A$192,$EG$205^A34,IF(A34='Données projet'!$A$192,'Données projet'!$B$192,EJ33+EI34-ER33)))</f>
        <v>103.16666666666666</v>
      </c>
      <c r="EK34" s="18">
        <f>EJ34*VLOOKUP('Données projet'!$B$15,Paramètres!$A$1:$I$89,3,0)*VLOOKUP('Données projet'!$B$15,Paramètres!$A$1:$I$89,5,0)</f>
        <v>88.51700000000001</v>
      </c>
      <c r="EL34" s="14">
        <f t="shared" si="45"/>
        <v>24.207215980626653</v>
      </c>
      <c r="EM34" s="22">
        <f t="shared" si="19"/>
        <v>196.32800949959145</v>
      </c>
      <c r="EN34" s="62">
        <f t="shared" si="20"/>
        <v>489.66134283292479</v>
      </c>
      <c r="EO34" s="62">
        <f ca="1">AVERAGE(OFFSET($EN$3,0,0,'Données projet'!$E$15+1,1))-AVERAGE(OFFSET($H$3,0,0,'Données projet'!$E$15+1,1))</f>
        <v>445.81166342116865</v>
      </c>
      <c r="EP34" s="62">
        <f t="shared" si="46"/>
        <v>230.82970731138215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10.8</v>
      </c>
      <c r="FE34" s="13">
        <f>IF('Données projet'!$A$218&gt;35,FE33+FD34-FM33,IF(A34&lt;'Données projet'!$A$218,$FB$205^A34,IF(A34='Données projet'!$A$218,'Données projet'!$B$218,FE33+FD34-FM33)))</f>
        <v>131.80000000000004</v>
      </c>
      <c r="FF34" s="18">
        <f>FE34*VLOOKUP('Données projet'!$B$16,Paramètres!$A$1:$I$89,3,0)*VLOOKUP('Données projet'!$B$16,Paramètres!$A$1:$I$89,5,0)</f>
        <v>127.47696000000003</v>
      </c>
      <c r="FG34" s="14">
        <f t="shared" si="47"/>
        <v>33.412695535466739</v>
      </c>
      <c r="FH34" s="22">
        <f t="shared" si="22"/>
        <v>280.21615005760458</v>
      </c>
      <c r="FI34" s="62">
        <f t="shared" si="23"/>
        <v>573.54948339093789</v>
      </c>
      <c r="FJ34" s="62">
        <f ca="1">AVERAGE(OFFSET($FI$3,0,0,'Données projet'!$E$16+1,1))-AVERAGE(OFFSET($H$3,0,0,'Données projet'!$E$16+1,1))</f>
        <v>541.66888676162716</v>
      </c>
      <c r="FK34" s="62">
        <f t="shared" si="48"/>
        <v>294.45557293177131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>
        <f>EXP(-LN(2)/35)*FQ33+(1-EXP(-LN(2)/35))/(LN(2)/35)*FM34*FN34*VLOOKUP('Données projet'!$B$16,Paramètres!$A$1:$I$89,3,0)*0.475*44/12</f>
        <v>0</v>
      </c>
      <c r="FR34" s="23">
        <f>EXP(-LN(2)/25)*FR33+(1-EXP(-LN(2)/25))/(LN(2)/25)*Calculateur!FM34*Calculateur!FO34*VLOOKUP('Données projet'!$B$16,Paramètres!$A$1:$I$89,3,0)*0.475*44/12</f>
        <v>0</v>
      </c>
      <c r="FS34" s="23">
        <f>EXP(-LN(2)/2)*FS33+(1-EXP(-LN(2)/2))/(LN(2)/2)*FM34*FP34*VLOOKUP('Données projet'!$B$16,Paramètres!$A$1:$I$89,3,0)*0.475*44/12</f>
        <v>0</v>
      </c>
      <c r="FT34" s="24">
        <f t="shared" si="24"/>
        <v>0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>
        <f>VLOOKUP(A34,'Données projet'!$A$243:$I$263,2,0)</f>
        <v>155</v>
      </c>
      <c r="FX34" s="13">
        <f>VLOOKUP(A34,'Données projet'!$A$243:$I$263,9,0)</f>
        <v>11.5</v>
      </c>
      <c r="FY34" s="13">
        <f t="array" ref="FY34">INDEX(FX:FX,MIN(IF(ISNUMBER(FX34:FX230),ROW(FX34:FX230),"")))</f>
        <v>11.5</v>
      </c>
      <c r="FZ34" s="13">
        <f>IF('Données projet'!$A$244&gt;35,FZ33+FY34-GH33,IF(A34&lt;'Données projet'!$A$244,$FW$205^A34,IF(A34='Données projet'!$A$244,'Données projet'!$B$244,FZ33+FY34-GH33)))</f>
        <v>154.99999999999997</v>
      </c>
      <c r="GA34" s="18">
        <f>FZ34*VLOOKUP('Données projet'!$B$17,Paramètres!$A$1:$I$89,3,0)*VLOOKUP('Données projet'!$B$17,Paramètres!$A$1:$I$89,5,0)</f>
        <v>120.89999999999998</v>
      </c>
      <c r="GB34" s="14">
        <f t="shared" si="49"/>
        <v>31.884818143351602</v>
      </c>
      <c r="GC34" s="22">
        <f t="shared" si="25"/>
        <v>266.10022493300397</v>
      </c>
      <c r="GD34" s="62">
        <f t="shared" si="26"/>
        <v>559.43355826633729</v>
      </c>
      <c r="GE34" s="62">
        <f ca="1">AVERAGE(OFFSET($GD$3,0,0,'Données projet'!$E$17+1,1))-AVERAGE(OFFSET($H$3,0,0,'Données projet'!$E$17+1,1))</f>
        <v>292.57482726862594</v>
      </c>
      <c r="GF34" s="62">
        <f t="shared" si="50"/>
        <v>283.48738729114024</v>
      </c>
      <c r="GG34" s="16">
        <f>IF(ISNA(VLOOKUP(A34,'Données projet'!$A$243:$I$263,3,0)),0,VLOOKUP(A34,'Données projet'!$A$243:$I$263,3,0))</f>
        <v>2</v>
      </c>
      <c r="GH34" s="16">
        <f>IF(ISNA(VLOOKUP(A34,'Données projet'!$A$243:$I$263,4,0)),0,VLOOKUP(A34,'Données projet'!$A$243:$I$263,4,0))</f>
        <v>36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>
        <f>EXP(-LN(2)/35)*GL33+(1-EXP(-LN(2)/35))/(LN(2)/35)*GH34*GI34*VLOOKUP('Données projet'!$B$17,Paramètres!$A$1:$I$89,3,0)*0.475*44/12</f>
        <v>0</v>
      </c>
      <c r="GM34" s="23">
        <f>EXP(-LN(2)/25)*GM33+(1-EXP(-LN(2)/25))/(LN(2)/25)*Calculateur!GH34*Calculateur!GJ34*VLOOKUP('Données projet'!$B$17,Paramètres!$A$1:$I$89,3,0)*0.475*44/12</f>
        <v>0</v>
      </c>
      <c r="GN34" s="23">
        <f>EXP(-LN(2)/2)*GN33+(1-EXP(-LN(2)/2))/(LN(2)/2)*GH34*GK34*VLOOKUP('Données projet'!$B$17,Paramètres!$A$1:$I$89,3,0)*0.475*44/12</f>
        <v>0</v>
      </c>
      <c r="GO34" s="23">
        <f t="shared" si="27"/>
        <v>0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9.4871794871794854</v>
      </c>
      <c r="GU34" s="13">
        <f>IF('Données projet'!$A$270&gt;35,GU33+GT34-HC33,IF(A34&lt;'Données projet'!$A$270,$GR$205^A34,IF(A34='Données projet'!$A$270,'Données projet'!$B$270,GU33+GT34-HC33)))</f>
        <v>203.07692307692304</v>
      </c>
      <c r="GV34" s="18">
        <f>GU34*VLOOKUP('Données projet'!$B$18,Paramètres!$A$1:$I$89,3,0)*VLOOKUP('Données projet'!$B$18,Paramètres!$A$1:$I$89,5,0)</f>
        <v>136.22399999999999</v>
      </c>
      <c r="GW34" s="14">
        <f t="shared" si="51"/>
        <v>35.430605225162601</v>
      </c>
      <c r="GX34" s="22">
        <f t="shared" si="28"/>
        <v>298.96510410049149</v>
      </c>
      <c r="GY34" s="62">
        <f t="shared" si="29"/>
        <v>592.2984374338248</v>
      </c>
      <c r="GZ34" s="62">
        <f ca="1">AVERAGE(OFFSET($GY$3,0,0,'Données projet'!$E$18+1,1))-AVERAGE(OFFSET($H$3,0,0,'Données projet'!$E$18+1,1))</f>
        <v>410.20186800287411</v>
      </c>
      <c r="HA34" s="62">
        <f t="shared" si="52"/>
        <v>321.99347958016057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>
        <f>EXP(-LN(2)/35)*HG33+(1-EXP(-LN(2)/35))/(LN(2)/35)*HC34*HD34*VLOOKUP('Données projet'!$B$18,Paramètres!$A$1:$I$89,3,0)*0.475*44/12</f>
        <v>0</v>
      </c>
      <c r="HH34" s="23">
        <f>EXP(-LN(2)/25)*HH33+(1-EXP(-LN(2)/25))/(LN(2)/25)*Calculateur!HC34*Calculateur!HE34*VLOOKUP('Données projet'!$B$18,Paramètres!$A$1:$I$89,3,0)*0.475*44/12</f>
        <v>0</v>
      </c>
      <c r="HI34" s="23">
        <f>EXP(-LN(2)/2)*HI33+(1-EXP(-LN(2)/2))/(LN(2)/2)*HC34*HF34*VLOOKUP('Données projet'!$B$18,Paramètres!$A$1:$I$89,3,0)*0.475*44/12</f>
        <v>0</v>
      </c>
      <c r="HJ34" s="24">
        <f t="shared" si="30"/>
        <v>0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10.8</v>
      </c>
      <c r="N35" s="14">
        <f>IF('Données projet'!$A$36&gt;35,N34+M35-V34,IF(A35&lt;'Données projet'!$A$36,$K$205^A35,IF(A35='Données projet'!$A$36,'Données projet'!$B$36,N34+M35-V34)))</f>
        <v>142.60000000000005</v>
      </c>
      <c r="O35" s="14">
        <f>N35*VLOOKUP('Données projet'!$B$9,Paramètres!$A$1:$I$89,3,0)*VLOOKUP('Données projet'!$B$9,Paramètres!$A$1:$I$89,5,0)</f>
        <v>129.02448000000004</v>
      </c>
      <c r="P35" s="14">
        <f t="shared" si="33"/>
        <v>33.770846580616279</v>
      </c>
      <c r="Q35" s="22">
        <f t="shared" ref="Q35:Q66" si="53">(O35+P35)*0.475*44/12</f>
        <v>283.53519379457339</v>
      </c>
      <c r="R35" s="62">
        <f t="shared" si="0"/>
        <v>576.86852712790665</v>
      </c>
      <c r="S35" s="62">
        <f ca="1">AVERAGE(OFFSET($R$3,0,0,'Données projet'!$E$9+1,1))-AVERAGE(OFFSET($H$3,0,0,'Données projet'!$E$9+1,1))</f>
        <v>509.56241660612449</v>
      </c>
      <c r="T35" s="62">
        <f t="shared" si="34"/>
        <v>278.21741231699929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10.8</v>
      </c>
      <c r="AI35" s="14">
        <f>IF('Données projet'!$A$62&gt;35,AI34+AH35-AQ34,IF(A35&lt;'Données projet'!$A$62,$AF$205^A35,IF(A35='Données projet'!$A$62,'Données projet'!$B$62,AI34+AH35-AQ34)))</f>
        <v>142.60000000000005</v>
      </c>
      <c r="AJ35" s="14">
        <f>AI35*VLOOKUP('Données projet'!$B$10,Paramètres!$A$1:$I$89,3,0)*VLOOKUP('Données projet'!$B$10,Paramètres!$A$1:$I$89,5,0)</f>
        <v>144.59640000000007</v>
      </c>
      <c r="AK35" s="14">
        <f t="shared" si="35"/>
        <v>37.347988348805558</v>
      </c>
      <c r="AL35" s="22">
        <f t="shared" si="4"/>
        <v>316.88647637416977</v>
      </c>
      <c r="AM35" s="62">
        <f t="shared" si="5"/>
        <v>610.21980970750315</v>
      </c>
      <c r="AN35" s="62">
        <f ca="1">AVERAGE(OFFSET($AM$3,0,0,'Données projet'!$E$10+1,1))-AVERAGE(OFFSET($H$3,0,0,'Données projet'!$E$10+1,1))</f>
        <v>565.72091871734051</v>
      </c>
      <c r="AO35" s="62">
        <f t="shared" si="36"/>
        <v>306.61893266146666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12.919999999999998</v>
      </c>
      <c r="BD35" s="13">
        <f>IF('Données projet'!$A$88&gt;35,BD34+BC35-BL34,IF(A35&lt;'Données projet'!$A$88,$BA$205^A35,IF(A35='Données projet'!$A$88,'Données projet'!$B$88,BD34+BC35-BL34)))</f>
        <v>167.63999999999993</v>
      </c>
      <c r="BE35" s="14">
        <f>BD35*VLOOKUP('Données projet'!$B$11,Paramètres!$A$1:$I$89,3,0)*VLOOKUP('Données projet'!$B$11,Paramètres!$A$1:$I$89,5,0)</f>
        <v>122.91364799999994</v>
      </c>
      <c r="BF35" s="14">
        <f t="shared" si="37"/>
        <v>32.353608109504151</v>
      </c>
      <c r="BG35" s="22">
        <f t="shared" si="7"/>
        <v>270.42380439071962</v>
      </c>
      <c r="BH35" s="62">
        <f t="shared" si="8"/>
        <v>563.75713772405288</v>
      </c>
      <c r="BI35" s="62">
        <f ca="1">AVERAGE(OFFSET($BH$3,0,0,'Données projet'!$E$11+1,1))-AVERAGE(OFFSET($H$3,0,0,'Données projet'!$E$11+1,1))</f>
        <v>344.26020118887629</v>
      </c>
      <c r="BJ35" s="62">
        <f t="shared" si="38"/>
        <v>376.41441893222185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10.8</v>
      </c>
      <c r="BY35" s="13">
        <f>IF('Données projet'!$A$114&gt;35,BY34+BX35-CG34,IF(A35&lt;'Données projet'!$A$114,$BV$205^A35,IF(A35='Données projet'!$A$114,'Données projet'!$B$114,BY34+BX35-CG34)))</f>
        <v>142.60000000000005</v>
      </c>
      <c r="BZ35" s="14">
        <f>BY35*VLOOKUP('Données projet'!$B$12,Paramètres!$A$1:$I$89,3,0)*VLOOKUP('Données projet'!$B$12,Paramètres!$A$1:$I$89,5,0)</f>
        <v>120.12624000000005</v>
      </c>
      <c r="CA35" s="14">
        <f t="shared" si="39"/>
        <v>31.704440899018444</v>
      </c>
      <c r="CB35" s="22">
        <f t="shared" si="10"/>
        <v>264.43843589912387</v>
      </c>
      <c r="CC35" s="62">
        <f t="shared" si="11"/>
        <v>557.77176923245725</v>
      </c>
      <c r="CD35" s="62">
        <f ca="1">AVERAGE(OFFSET($CC$3,0,0,'Données projet'!$E$12+1,1))-AVERAGE(OFFSET($H$3,0,0,'Données projet'!$E$12+1,1))</f>
        <v>477.4105367901771</v>
      </c>
      <c r="CE35" s="62">
        <f t="shared" si="40"/>
        <v>261.95434270986397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10.402930402930403</v>
      </c>
      <c r="CT35" s="13">
        <f>IF('Données projet'!$A$140&gt;35,CT34+CS35-DB34,IF(A35&lt;'Données projet'!$A$140,$CQ$205^A35,IF(A35='Données projet'!$A$140,'Données projet'!$B$140,CT34+CS35-DB34)))</f>
        <v>123.8827838827839</v>
      </c>
      <c r="CU35" s="18">
        <f>CT35*VLOOKUP('Données projet'!$B$13,Paramètres!$A$1:$I$89,3,0)*VLOOKUP('Données projet'!$B$13,Paramètres!$A$1:$I$89,5,0)</f>
        <v>57.977142857142866</v>
      </c>
      <c r="CV35" s="14">
        <f t="shared" si="41"/>
        <v>16.655810903261287</v>
      </c>
      <c r="CW35" s="22">
        <f t="shared" si="13"/>
        <v>129.98572779937055</v>
      </c>
      <c r="CX35" s="62">
        <f t="shared" si="14"/>
        <v>423.31906113270384</v>
      </c>
      <c r="CY35" s="62">
        <f ca="1">AVERAGE(OFFSET($CX$3,0,0,'Données projet'!$E$13+1,1))-AVERAGE(OFFSET($H$3,0,0,'Données projet'!$E$13+1,1))</f>
        <v>246.64907095367749</v>
      </c>
      <c r="CZ35" s="62">
        <f t="shared" si="42"/>
        <v>145.34368562171613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12.919999999999998</v>
      </c>
      <c r="DO35" s="13">
        <f>IF('Données projet'!$A$166&gt;35,DO34+DN35-DW34,IF(A35&lt;'Données projet'!$A$166,$DL$205^A35,IF(A35='Données projet'!$A$166,'Données projet'!$B$166,DO34+DN35-DW34)))</f>
        <v>167.63999999999993</v>
      </c>
      <c r="DP35" s="18">
        <f>DO35*VLOOKUP('Données projet'!$B$14,Paramètres!$A$1:$I$89,3,0)*VLOOKUP('Données projet'!$B$14,Paramètres!$A$1:$I$89,5,0)</f>
        <v>133.37438399999996</v>
      </c>
      <c r="DQ35" s="14">
        <f t="shared" si="43"/>
        <v>34.774913711031935</v>
      </c>
      <c r="DR35" s="22">
        <f t="shared" si="16"/>
        <v>292.86002684671388</v>
      </c>
      <c r="DS35" s="62">
        <f t="shared" si="17"/>
        <v>586.19336018004719</v>
      </c>
      <c r="DT35" s="62">
        <f ca="1">AVERAGE(OFFSET($DS$3,0,0,'Données projet'!$E$14+1,1))-AVERAGE(OFFSET($H$3,0,0,'Données projet'!$E$14+1,1))</f>
        <v>370.38521334472284</v>
      </c>
      <c r="DU35" s="62">
        <f t="shared" si="44"/>
        <v>404.61777090709171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14.166666666666666</v>
      </c>
      <c r="EJ35" s="13">
        <f>IF('Données projet'!$A$192&gt;35,EJ34+EI35-ER34,IF(A35&lt;'Données projet'!$A$192,$EG$205^A35,IF(A35='Données projet'!$A$192,'Données projet'!$B$192,EJ34+EI35-ER34)))</f>
        <v>117.33333333333333</v>
      </c>
      <c r="EK35" s="18">
        <f>EJ35*VLOOKUP('Données projet'!$B$15,Paramètres!$A$1:$I$89,3,0)*VLOOKUP('Données projet'!$B$15,Paramètres!$A$1:$I$89,5,0)</f>
        <v>100.672</v>
      </c>
      <c r="EL35" s="14">
        <f t="shared" si="45"/>
        <v>27.122029824032914</v>
      </c>
      <c r="EM35" s="22">
        <f t="shared" si="19"/>
        <v>222.57460194352402</v>
      </c>
      <c r="EN35" s="62">
        <f t="shared" si="20"/>
        <v>515.9079352768573</v>
      </c>
      <c r="EO35" s="62">
        <f ca="1">AVERAGE(OFFSET($EN$3,0,0,'Données projet'!$E$15+1,1))-AVERAGE(OFFSET($H$3,0,0,'Données projet'!$E$15+1,1))</f>
        <v>445.81166342116865</v>
      </c>
      <c r="EP35" s="62">
        <f t="shared" si="46"/>
        <v>230.82970731138215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10.8</v>
      </c>
      <c r="FE35" s="13">
        <f>IF('Données projet'!$A$218&gt;35,FE34+FD35-FM34,IF(A35&lt;'Données projet'!$A$218,$FB$205^A35,IF(A35='Données projet'!$A$218,'Données projet'!$B$218,FE34+FD35-FM34)))</f>
        <v>142.60000000000005</v>
      </c>
      <c r="FF35" s="18">
        <f>FE35*VLOOKUP('Données projet'!$B$16,Paramètres!$A$1:$I$89,3,0)*VLOOKUP('Données projet'!$B$16,Paramètres!$A$1:$I$89,5,0)</f>
        <v>137.92272000000006</v>
      </c>
      <c r="FG35" s="14">
        <f t="shared" si="47"/>
        <v>35.82071658526872</v>
      </c>
      <c r="FH35" s="22">
        <f t="shared" si="22"/>
        <v>302.60315205267642</v>
      </c>
      <c r="FI35" s="62">
        <f t="shared" si="23"/>
        <v>595.93648538600974</v>
      </c>
      <c r="FJ35" s="62">
        <f ca="1">AVERAGE(OFFSET($FI$3,0,0,'Données projet'!$E$16+1,1))-AVERAGE(OFFSET($H$3,0,0,'Données projet'!$E$16+1,1))</f>
        <v>541.66888676162716</v>
      </c>
      <c r="FK35" s="62">
        <f t="shared" si="48"/>
        <v>294.45557293177131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>
        <f>EXP(-LN(2)/35)*FQ34+(1-EXP(-LN(2)/35))/(LN(2)/35)*FM35*FN35*VLOOKUP('Données projet'!$B$16,Paramètres!$A$1:$I$89,3,0)*0.475*44/12</f>
        <v>0</v>
      </c>
      <c r="FR35" s="23">
        <f>EXP(-LN(2)/25)*FR34+(1-EXP(-LN(2)/25))/(LN(2)/25)*Calculateur!FM35*Calculateur!FO35*VLOOKUP('Données projet'!$B$16,Paramètres!$A$1:$I$89,3,0)*0.475*44/12</f>
        <v>0</v>
      </c>
      <c r="FS35" s="23">
        <f>EXP(-LN(2)/2)*FS34+(1-EXP(-LN(2)/2))/(LN(2)/2)*FM35*FP35*VLOOKUP('Données projet'!$B$16,Paramètres!$A$1:$I$89,3,0)*0.475*44/12</f>
        <v>0</v>
      </c>
      <c r="FT35" s="24">
        <f t="shared" si="24"/>
        <v>0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11.5</v>
      </c>
      <c r="FZ35" s="13">
        <f>IF('Données projet'!$A$244&gt;35,FZ34+FY35-GH34,IF(A35&lt;'Données projet'!$A$244,$FW$205^A35,IF(A35='Données projet'!$A$244,'Données projet'!$B$244,FZ34+FY35-GH34)))</f>
        <v>130.49999999999997</v>
      </c>
      <c r="GA35" s="18">
        <f>FZ35*VLOOKUP('Données projet'!$B$17,Paramètres!$A$1:$I$89,3,0)*VLOOKUP('Données projet'!$B$17,Paramètres!$A$1:$I$89,5,0)</f>
        <v>101.78999999999998</v>
      </c>
      <c r="GB35" s="14">
        <f t="shared" si="49"/>
        <v>27.38799903683508</v>
      </c>
      <c r="GC35" s="22">
        <f t="shared" si="25"/>
        <v>224.98501498915437</v>
      </c>
      <c r="GD35" s="62">
        <f t="shared" si="26"/>
        <v>518.31834832248774</v>
      </c>
      <c r="GE35" s="62">
        <f ca="1">AVERAGE(OFFSET($GD$3,0,0,'Données projet'!$E$17+1,1))-AVERAGE(OFFSET($H$3,0,0,'Données projet'!$E$17+1,1))</f>
        <v>292.57482726862594</v>
      </c>
      <c r="GF35" s="62">
        <f t="shared" si="50"/>
        <v>283.48738729114024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>
        <f>EXP(-LN(2)/35)*GL34+(1-EXP(-LN(2)/35))/(LN(2)/35)*GH35*GI35*VLOOKUP('Données projet'!$B$17,Paramètres!$A$1:$I$89,3,0)*0.475*44/12</f>
        <v>0</v>
      </c>
      <c r="GM35" s="23">
        <f>EXP(-LN(2)/25)*GM34+(1-EXP(-LN(2)/25))/(LN(2)/25)*Calculateur!GH35*Calculateur!GJ35*VLOOKUP('Données projet'!$B$17,Paramètres!$A$1:$I$89,3,0)*0.475*44/12</f>
        <v>0</v>
      </c>
      <c r="GN35" s="23">
        <f>EXP(-LN(2)/2)*GN34+(1-EXP(-LN(2)/2))/(LN(2)/2)*GH35*GK35*VLOOKUP('Données projet'!$B$17,Paramètres!$A$1:$I$89,3,0)*0.475*44/12</f>
        <v>0</v>
      </c>
      <c r="GO35" s="23">
        <f t="shared" si="27"/>
        <v>0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9.4871794871794854</v>
      </c>
      <c r="GU35" s="13">
        <f>IF('Données projet'!$A$270&gt;35,GU34+GT35-HC34,IF(A35&lt;'Données projet'!$A$270,$GR$205^A35,IF(A35='Données projet'!$A$270,'Données projet'!$B$270,GU34+GT35-HC34)))</f>
        <v>212.56410256410251</v>
      </c>
      <c r="GV35" s="18">
        <f>GU35*VLOOKUP('Données projet'!$B$18,Paramètres!$A$1:$I$89,3,0)*VLOOKUP('Données projet'!$B$18,Paramètres!$A$1:$I$89,5,0)</f>
        <v>142.58799999999997</v>
      </c>
      <c r="GW35" s="14">
        <f t="shared" si="51"/>
        <v>36.889246443592988</v>
      </c>
      <c r="GX35" s="22">
        <f t="shared" si="28"/>
        <v>312.58953755592438</v>
      </c>
      <c r="GY35" s="62">
        <f t="shared" si="29"/>
        <v>605.92287088925764</v>
      </c>
      <c r="GZ35" s="62">
        <f ca="1">AVERAGE(OFFSET($GY$3,0,0,'Données projet'!$E$18+1,1))-AVERAGE(OFFSET($H$3,0,0,'Données projet'!$E$18+1,1))</f>
        <v>410.20186800287411</v>
      </c>
      <c r="HA35" s="62">
        <f t="shared" si="52"/>
        <v>321.99347958016057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>
        <f>EXP(-LN(2)/35)*HG34+(1-EXP(-LN(2)/35))/(LN(2)/35)*HC35*HD35*VLOOKUP('Données projet'!$B$18,Paramètres!$A$1:$I$89,3,0)*0.475*44/12</f>
        <v>0</v>
      </c>
      <c r="HH35" s="23">
        <f>EXP(-LN(2)/25)*HH34+(1-EXP(-LN(2)/25))/(LN(2)/25)*Calculateur!HC35*Calculateur!HE35*VLOOKUP('Données projet'!$B$18,Paramètres!$A$1:$I$89,3,0)*0.475*44/12</f>
        <v>0</v>
      </c>
      <c r="HI35" s="23">
        <f>EXP(-LN(2)/2)*HI34+(1-EXP(-LN(2)/2))/(LN(2)/2)*HC35*HF35*VLOOKUP('Données projet'!$B$18,Paramètres!$A$1:$I$89,3,0)*0.475*44/12</f>
        <v>0</v>
      </c>
      <c r="HJ35" s="24">
        <f t="shared" si="30"/>
        <v>0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10.8</v>
      </c>
      <c r="N36" s="14">
        <f>IF('Données projet'!$A$36&gt;35,N35+M36-V35,IF(A36&lt;'Données projet'!$A$36,$K$205^A36,IF(A36='Données projet'!$A$36,'Données projet'!$B$36,N35+M36-V35)))</f>
        <v>153.40000000000006</v>
      </c>
      <c r="O36" s="14">
        <f>N36*VLOOKUP('Données projet'!$B$9,Paramètres!$A$1:$I$89,3,0)*VLOOKUP('Données projet'!$B$9,Paramètres!$A$1:$I$89,5,0)</f>
        <v>138.79632000000007</v>
      </c>
      <c r="P36" s="14">
        <f t="shared" si="33"/>
        <v>36.021120886354588</v>
      </c>
      <c r="Q36" s="22">
        <f t="shared" si="53"/>
        <v>304.47370954373434</v>
      </c>
      <c r="R36" s="62">
        <f t="shared" si="0"/>
        <v>597.80704287706772</v>
      </c>
      <c r="S36" s="62">
        <f ca="1">AVERAGE(OFFSET($R$3,0,0,'Données projet'!$E$9+1,1))-AVERAGE(OFFSET($H$3,0,0,'Données projet'!$E$9+1,1))</f>
        <v>509.56241660612449</v>
      </c>
      <c r="T36" s="62">
        <f t="shared" si="34"/>
        <v>278.21741231699929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10.8</v>
      </c>
      <c r="AI36" s="14">
        <f>IF('Données projet'!$A$62&gt;35,AI35+AH36-AQ35,IF(A36&lt;'Données projet'!$A$62,$AF$205^A36,IF(A36='Données projet'!$A$62,'Données projet'!$B$62,AI35+AH36-AQ35)))</f>
        <v>153.40000000000006</v>
      </c>
      <c r="AJ36" s="14">
        <f>AI36*VLOOKUP('Données projet'!$B$10,Paramètres!$A$1:$I$89,3,0)*VLOOKUP('Données projet'!$B$10,Paramètres!$A$1:$I$89,5,0)</f>
        <v>155.54760000000007</v>
      </c>
      <c r="AK36" s="14">
        <f t="shared" si="35"/>
        <v>39.836620617816237</v>
      </c>
      <c r="AL36" s="22">
        <f t="shared" si="4"/>
        <v>340.2941842426967</v>
      </c>
      <c r="AM36" s="62">
        <f t="shared" si="5"/>
        <v>633.62751757602996</v>
      </c>
      <c r="AN36" s="62">
        <f ca="1">AVERAGE(OFFSET($AM$3,0,0,'Données projet'!$E$10+1,1))-AVERAGE(OFFSET($H$3,0,0,'Données projet'!$E$10+1,1))</f>
        <v>565.72091871734051</v>
      </c>
      <c r="AO36" s="62">
        <f t="shared" si="36"/>
        <v>306.61893266146666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12.919999999999998</v>
      </c>
      <c r="BD36" s="13">
        <f>IF('Données projet'!$A$88&gt;35,BD35+BC36-BL35,IF(A36&lt;'Données projet'!$A$88,$BA$205^A36,IF(A36='Données projet'!$A$88,'Données projet'!$B$88,BD35+BC36-BL35)))</f>
        <v>180.55999999999992</v>
      </c>
      <c r="BE36" s="14">
        <f>BD36*VLOOKUP('Données projet'!$B$11,Paramètres!$A$1:$I$89,3,0)*VLOOKUP('Données projet'!$B$11,Paramètres!$A$1:$I$89,5,0)</f>
        <v>132.38659199999992</v>
      </c>
      <c r="BF36" s="14">
        <f t="shared" si="37"/>
        <v>34.547245433823143</v>
      </c>
      <c r="BG36" s="22">
        <f t="shared" si="7"/>
        <v>290.74310019724186</v>
      </c>
      <c r="BH36" s="62">
        <f t="shared" si="8"/>
        <v>584.07643353057517</v>
      </c>
      <c r="BI36" s="62">
        <f ca="1">AVERAGE(OFFSET($BH$3,0,0,'Données projet'!$E$11+1,1))-AVERAGE(OFFSET($H$3,0,0,'Données projet'!$E$11+1,1))</f>
        <v>344.26020118887629</v>
      </c>
      <c r="BJ36" s="62">
        <f t="shared" si="38"/>
        <v>376.41441893222185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10.8</v>
      </c>
      <c r="BY36" s="13">
        <f>IF('Données projet'!$A$114&gt;35,BY35+BX36-CG35,IF(A36&lt;'Données projet'!$A$114,$BV$205^A36,IF(A36='Données projet'!$A$114,'Données projet'!$B$114,BY35+BX36-CG35)))</f>
        <v>153.40000000000006</v>
      </c>
      <c r="BZ36" s="14">
        <f>BY36*VLOOKUP('Données projet'!$B$12,Paramètres!$A$1:$I$89,3,0)*VLOOKUP('Données projet'!$B$12,Paramètres!$A$1:$I$89,5,0)</f>
        <v>129.22416000000007</v>
      </c>
      <c r="CA36" s="14">
        <f t="shared" si="39"/>
        <v>33.81702308029579</v>
      </c>
      <c r="CB36" s="22">
        <f t="shared" si="10"/>
        <v>283.96339386484857</v>
      </c>
      <c r="CC36" s="62">
        <f t="shared" si="11"/>
        <v>577.29672719818188</v>
      </c>
      <c r="CD36" s="62">
        <f ca="1">AVERAGE(OFFSET($CC$3,0,0,'Données projet'!$E$12+1,1))-AVERAGE(OFFSET($H$3,0,0,'Données projet'!$E$12+1,1))</f>
        <v>477.4105367901771</v>
      </c>
      <c r="CE36" s="62">
        <f t="shared" si="40"/>
        <v>261.95434270986397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10.402930402930403</v>
      </c>
      <c r="CT36" s="13">
        <f>IF('Données projet'!$A$140&gt;35,CT35+CS36-DB35,IF(A36&lt;'Données projet'!$A$140,$CQ$205^A36,IF(A36='Données projet'!$A$140,'Données projet'!$B$140,CT35+CS36-DB35)))</f>
        <v>134.28571428571431</v>
      </c>
      <c r="CU36" s="18">
        <f>CT36*VLOOKUP('Données projet'!$B$13,Paramètres!$A$1:$I$89,3,0)*VLOOKUP('Données projet'!$B$13,Paramètres!$A$1:$I$89,5,0)</f>
        <v>62.845714285714294</v>
      </c>
      <c r="CV36" s="14">
        <f t="shared" si="41"/>
        <v>17.885803038990584</v>
      </c>
      <c r="CW36" s="22">
        <f t="shared" si="13"/>
        <v>140.60739267386097</v>
      </c>
      <c r="CX36" s="62">
        <f t="shared" si="14"/>
        <v>433.94072600719426</v>
      </c>
      <c r="CY36" s="62">
        <f ca="1">AVERAGE(OFFSET($CX$3,0,0,'Données projet'!$E$13+1,1))-AVERAGE(OFFSET($H$3,0,0,'Données projet'!$E$13+1,1))</f>
        <v>246.64907095367749</v>
      </c>
      <c r="CZ36" s="62">
        <f t="shared" si="42"/>
        <v>145.34368562171613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12.919999999999998</v>
      </c>
      <c r="DO36" s="13">
        <f>IF('Données projet'!$A$166&gt;35,DO35+DN36-DW35,IF(A36&lt;'Données projet'!$A$166,$DL$205^A36,IF(A36='Données projet'!$A$166,'Données projet'!$B$166,DO35+DN36-DW35)))</f>
        <v>180.55999999999992</v>
      </c>
      <c r="DP36" s="18">
        <f>DO36*VLOOKUP('Données projet'!$B$14,Paramètres!$A$1:$I$89,3,0)*VLOOKUP('Données projet'!$B$14,Paramètres!$A$1:$I$89,5,0)</f>
        <v>143.65353599999995</v>
      </c>
      <c r="DQ36" s="14">
        <f t="shared" si="43"/>
        <v>37.132720247116019</v>
      </c>
      <c r="DR36" s="22">
        <f t="shared" si="16"/>
        <v>314.86939629706029</v>
      </c>
      <c r="DS36" s="62">
        <f t="shared" si="17"/>
        <v>608.20272963039361</v>
      </c>
      <c r="DT36" s="62">
        <f ca="1">AVERAGE(OFFSET($DS$3,0,0,'Données projet'!$E$14+1,1))-AVERAGE(OFFSET($H$3,0,0,'Données projet'!$E$14+1,1))</f>
        <v>370.38521334472284</v>
      </c>
      <c r="DU36" s="62">
        <f t="shared" si="44"/>
        <v>404.61777090709171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14.166666666666666</v>
      </c>
      <c r="EJ36" s="13">
        <f>IF('Données projet'!$A$192&gt;35,EJ35+EI36-ER35,IF(A36&lt;'Données projet'!$A$192,$EG$205^A36,IF(A36='Données projet'!$A$192,'Données projet'!$B$192,EJ35+EI36-ER35)))</f>
        <v>131.5</v>
      </c>
      <c r="EK36" s="18">
        <f>EJ36*VLOOKUP('Données projet'!$B$15,Paramètres!$A$1:$I$89,3,0)*VLOOKUP('Données projet'!$B$15,Paramètres!$A$1:$I$89,5,0)</f>
        <v>112.82700000000001</v>
      </c>
      <c r="EL36" s="14">
        <f t="shared" si="45"/>
        <v>29.996060965411449</v>
      </c>
      <c r="EM36" s="22">
        <f t="shared" si="19"/>
        <v>248.75016451475827</v>
      </c>
      <c r="EN36" s="62">
        <f t="shared" si="20"/>
        <v>542.08349784809161</v>
      </c>
      <c r="EO36" s="62">
        <f ca="1">AVERAGE(OFFSET($EN$3,0,0,'Données projet'!$E$15+1,1))-AVERAGE(OFFSET($H$3,0,0,'Données projet'!$E$15+1,1))</f>
        <v>445.81166342116865</v>
      </c>
      <c r="EP36" s="62">
        <f t="shared" si="46"/>
        <v>230.82970731138215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10.8</v>
      </c>
      <c r="FE36" s="13">
        <f>IF('Données projet'!$A$218&gt;35,FE35+FD36-FM35,IF(A36&lt;'Données projet'!$A$218,$FB$205^A36,IF(A36='Données projet'!$A$218,'Données projet'!$B$218,FE35+FD36-FM35)))</f>
        <v>153.40000000000006</v>
      </c>
      <c r="FF36" s="18">
        <f>FE36*VLOOKUP('Données projet'!$B$16,Paramètres!$A$1:$I$89,3,0)*VLOOKUP('Données projet'!$B$16,Paramètres!$A$1:$I$89,5,0)</f>
        <v>148.36848000000006</v>
      </c>
      <c r="FG36" s="14">
        <f t="shared" si="47"/>
        <v>38.207581183185937</v>
      </c>
      <c r="FH36" s="22">
        <f t="shared" si="22"/>
        <v>324.95330656071559</v>
      </c>
      <c r="FI36" s="62">
        <f t="shared" si="23"/>
        <v>618.2866398940489</v>
      </c>
      <c r="FJ36" s="62">
        <f ca="1">AVERAGE(OFFSET($FI$3,0,0,'Données projet'!$E$16+1,1))-AVERAGE(OFFSET($H$3,0,0,'Données projet'!$E$16+1,1))</f>
        <v>541.66888676162716</v>
      </c>
      <c r="FK36" s="62">
        <f t="shared" si="48"/>
        <v>294.45557293177131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>
        <f>EXP(-LN(2)/35)*FQ35+(1-EXP(-LN(2)/35))/(LN(2)/35)*FM36*FN36*VLOOKUP('Données projet'!$B$16,Paramètres!$A$1:$I$89,3,0)*0.475*44/12</f>
        <v>0</v>
      </c>
      <c r="FR36" s="23">
        <f>EXP(-LN(2)/25)*FR35+(1-EXP(-LN(2)/25))/(LN(2)/25)*Calculateur!FM36*Calculateur!FO36*VLOOKUP('Données projet'!$B$16,Paramètres!$A$1:$I$89,3,0)*0.475*44/12</f>
        <v>0</v>
      </c>
      <c r="FS36" s="23">
        <f>EXP(-LN(2)/2)*FS35+(1-EXP(-LN(2)/2))/(LN(2)/2)*FM36*FP36*VLOOKUP('Données projet'!$B$16,Paramètres!$A$1:$I$89,3,0)*0.475*44/12</f>
        <v>0</v>
      </c>
      <c r="FT36" s="24">
        <f t="shared" si="24"/>
        <v>0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11.5</v>
      </c>
      <c r="FZ36" s="13">
        <f>IF('Données projet'!$A$244&gt;35,FZ35+FY36-GH35,IF(A36&lt;'Données projet'!$A$244,$FW$205^A36,IF(A36='Données projet'!$A$244,'Données projet'!$B$244,FZ35+FY36-GH35)))</f>
        <v>141.99999999999997</v>
      </c>
      <c r="GA36" s="18">
        <f>FZ36*VLOOKUP('Données projet'!$B$17,Paramètres!$A$1:$I$89,3,0)*VLOOKUP('Données projet'!$B$17,Paramètres!$A$1:$I$89,5,0)</f>
        <v>110.75999999999998</v>
      </c>
      <c r="GB36" s="14">
        <f t="shared" si="49"/>
        <v>29.509974682362923</v>
      </c>
      <c r="GC36" s="22">
        <f t="shared" si="25"/>
        <v>244.30353923844871</v>
      </c>
      <c r="GD36" s="62">
        <f t="shared" si="26"/>
        <v>537.63687257178208</v>
      </c>
      <c r="GE36" s="62">
        <f ca="1">AVERAGE(OFFSET($GD$3,0,0,'Données projet'!$E$17+1,1))-AVERAGE(OFFSET($H$3,0,0,'Données projet'!$E$17+1,1))</f>
        <v>292.57482726862594</v>
      </c>
      <c r="GF36" s="62">
        <f t="shared" si="50"/>
        <v>283.48738729114024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>
        <f>EXP(-LN(2)/35)*GL35+(1-EXP(-LN(2)/35))/(LN(2)/35)*GH36*GI36*VLOOKUP('Données projet'!$B$17,Paramètres!$A$1:$I$89,3,0)*0.475*44/12</f>
        <v>0</v>
      </c>
      <c r="GM36" s="23">
        <f>EXP(-LN(2)/25)*GM35+(1-EXP(-LN(2)/25))/(LN(2)/25)*Calculateur!GH36*Calculateur!GJ36*VLOOKUP('Données projet'!$B$17,Paramètres!$A$1:$I$89,3,0)*0.475*44/12</f>
        <v>0</v>
      </c>
      <c r="GN36" s="23">
        <f>EXP(-LN(2)/2)*GN35+(1-EXP(-LN(2)/2))/(LN(2)/2)*GH36*GK36*VLOOKUP('Données projet'!$B$17,Paramètres!$A$1:$I$89,3,0)*0.475*44/12</f>
        <v>0</v>
      </c>
      <c r="GO36" s="23">
        <f t="shared" si="27"/>
        <v>0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9.4871794871794854</v>
      </c>
      <c r="GU36" s="13">
        <f>IF('Données projet'!$A$270&gt;35,GU35+GT36-HC35,IF(A36&lt;'Données projet'!$A$270,$GR$205^A36,IF(A36='Données projet'!$A$270,'Données projet'!$B$270,GU35+GT36-HC35)))</f>
        <v>222.05128205128199</v>
      </c>
      <c r="GV36" s="18">
        <f>GU36*VLOOKUP('Données projet'!$B$18,Paramètres!$A$1:$I$89,3,0)*VLOOKUP('Données projet'!$B$18,Paramètres!$A$1:$I$89,5,0)</f>
        <v>148.95199999999997</v>
      </c>
      <c r="GW36" s="14">
        <f t="shared" si="51"/>
        <v>38.34032676523853</v>
      </c>
      <c r="GX36" s="22">
        <f t="shared" si="28"/>
        <v>326.20080244945706</v>
      </c>
      <c r="GY36" s="62">
        <f t="shared" si="29"/>
        <v>619.53413578279037</v>
      </c>
      <c r="GZ36" s="62">
        <f ca="1">AVERAGE(OFFSET($GY$3,0,0,'Données projet'!$E$18+1,1))-AVERAGE(OFFSET($H$3,0,0,'Données projet'!$E$18+1,1))</f>
        <v>410.20186800287411</v>
      </c>
      <c r="HA36" s="62">
        <f t="shared" si="52"/>
        <v>321.99347958016057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>
        <f>EXP(-LN(2)/35)*HG35+(1-EXP(-LN(2)/35))/(LN(2)/35)*HC36*HD36*VLOOKUP('Données projet'!$B$18,Paramètres!$A$1:$I$89,3,0)*0.475*44/12</f>
        <v>0</v>
      </c>
      <c r="HH36" s="23">
        <f>EXP(-LN(2)/25)*HH35+(1-EXP(-LN(2)/25))/(LN(2)/25)*Calculateur!HC36*Calculateur!HE36*VLOOKUP('Données projet'!$B$18,Paramètres!$A$1:$I$89,3,0)*0.475*44/12</f>
        <v>0</v>
      </c>
      <c r="HI36" s="23">
        <f>EXP(-LN(2)/2)*HI35+(1-EXP(-LN(2)/2))/(LN(2)/2)*HC36*HF36*VLOOKUP('Données projet'!$B$18,Paramètres!$A$1:$I$89,3,0)*0.475*44/12</f>
        <v>0</v>
      </c>
      <c r="HJ36" s="24">
        <f t="shared" si="30"/>
        <v>0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10.8</v>
      </c>
      <c r="N37" s="14">
        <f>IF('Données projet'!$A$36&gt;35,N36+M37-V36,IF(A37&lt;'Données projet'!$A$36,$K$205^A37,IF(A37='Données projet'!$A$36,'Données projet'!$B$36,N36+M37-V36)))</f>
        <v>164.20000000000007</v>
      </c>
      <c r="O37" s="14">
        <f>N37*VLOOKUP('Données projet'!$B$9,Paramètres!$A$1:$I$89,3,0)*VLOOKUP('Données projet'!$B$9,Paramètres!$A$1:$I$89,5,0)</f>
        <v>148.56816000000006</v>
      </c>
      <c r="P37" s="14">
        <f t="shared" si="33"/>
        <v>38.253013425360628</v>
      </c>
      <c r="Q37" s="22">
        <f t="shared" si="53"/>
        <v>325.38021038250321</v>
      </c>
      <c r="R37" s="62">
        <f t="shared" si="0"/>
        <v>618.71354371583652</v>
      </c>
      <c r="S37" s="62">
        <f ca="1">AVERAGE(OFFSET($R$3,0,0,'Données projet'!$E$9+1,1))-AVERAGE(OFFSET($H$3,0,0,'Données projet'!$E$9+1,1))</f>
        <v>509.56241660612449</v>
      </c>
      <c r="T37" s="62">
        <f t="shared" si="34"/>
        <v>278.21741231699929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10.8</v>
      </c>
      <c r="AI37" s="14">
        <f>IF('Données projet'!$A$62&gt;35,AI36+AH37-AQ36,IF(A37&lt;'Données projet'!$A$62,$AF$205^A37,IF(A37='Données projet'!$A$62,'Données projet'!$B$62,AI36+AH37-AQ36)))</f>
        <v>164.20000000000007</v>
      </c>
      <c r="AJ37" s="14">
        <f>AI37*VLOOKUP('Données projet'!$B$10,Paramètres!$A$1:$I$89,3,0)*VLOOKUP('Données projet'!$B$10,Paramètres!$A$1:$I$89,5,0)</f>
        <v>166.49880000000007</v>
      </c>
      <c r="AK37" s="14">
        <f t="shared" si="35"/>
        <v>42.304924050589179</v>
      </c>
      <c r="AL37" s="22">
        <f t="shared" si="4"/>
        <v>363.66648605477627</v>
      </c>
      <c r="AM37" s="62">
        <f t="shared" si="5"/>
        <v>656.99981938810959</v>
      </c>
      <c r="AN37" s="62">
        <f ca="1">AVERAGE(OFFSET($AM$3,0,0,'Données projet'!$E$10+1,1))-AVERAGE(OFFSET($H$3,0,0,'Données projet'!$E$10+1,1))</f>
        <v>565.72091871734051</v>
      </c>
      <c r="AO37" s="62">
        <f t="shared" si="36"/>
        <v>306.61893266146666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12.919999999999998</v>
      </c>
      <c r="BD37" s="13">
        <f>IF('Données projet'!$A$88&gt;35,BD36+BC37-BL36,IF(A37&lt;'Données projet'!$A$88,$BA$205^A37,IF(A37='Données projet'!$A$88,'Données projet'!$B$88,BD36+BC37-BL36)))</f>
        <v>193.4799999999999</v>
      </c>
      <c r="BE37" s="14">
        <f>BD37*VLOOKUP('Données projet'!$B$11,Paramètres!$A$1:$I$89,3,0)*VLOOKUP('Données projet'!$B$11,Paramètres!$A$1:$I$89,5,0)</f>
        <v>141.85953599999993</v>
      </c>
      <c r="BF37" s="14">
        <f t="shared" si="37"/>
        <v>36.722671388271863</v>
      </c>
      <c r="BG37" s="22">
        <f t="shared" si="7"/>
        <v>311.03067786790672</v>
      </c>
      <c r="BH37" s="62">
        <f t="shared" si="8"/>
        <v>604.36401120124003</v>
      </c>
      <c r="BI37" s="62">
        <f ca="1">AVERAGE(OFFSET($BH$3,0,0,'Données projet'!$E$11+1,1))-AVERAGE(OFFSET($H$3,0,0,'Données projet'!$E$11+1,1))</f>
        <v>344.26020118887629</v>
      </c>
      <c r="BJ37" s="62">
        <f t="shared" si="38"/>
        <v>376.41441893222185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10.8</v>
      </c>
      <c r="BY37" s="13">
        <f>IF('Données projet'!$A$114&gt;35,BY36+BX37-CG36,IF(A37&lt;'Données projet'!$A$114,$BV$205^A37,IF(A37='Données projet'!$A$114,'Données projet'!$B$114,BY36+BX37-CG36)))</f>
        <v>164.20000000000007</v>
      </c>
      <c r="BZ37" s="14">
        <f>BY37*VLOOKUP('Données projet'!$B$12,Paramètres!$A$1:$I$89,3,0)*VLOOKUP('Données projet'!$B$12,Paramètres!$A$1:$I$89,5,0)</f>
        <v>138.32208000000008</v>
      </c>
      <c r="CA37" s="14">
        <f t="shared" si="39"/>
        <v>35.912348257500334</v>
      </c>
      <c r="CB37" s="22">
        <f t="shared" si="10"/>
        <v>303.45829588181323</v>
      </c>
      <c r="CC37" s="62">
        <f t="shared" si="11"/>
        <v>596.79162921514649</v>
      </c>
      <c r="CD37" s="62">
        <f ca="1">AVERAGE(OFFSET($CC$3,0,0,'Données projet'!$E$12+1,1))-AVERAGE(OFFSET($H$3,0,0,'Données projet'!$E$12+1,1))</f>
        <v>477.4105367901771</v>
      </c>
      <c r="CE37" s="62">
        <f t="shared" si="40"/>
        <v>261.95434270986397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10.402930402930403</v>
      </c>
      <c r="CT37" s="13">
        <f>IF('Données projet'!$A$140&gt;35,CT36+CS37-DB36,IF(A37&lt;'Données projet'!$A$140,$CQ$205^A37,IF(A37='Données projet'!$A$140,'Données projet'!$B$140,CT36+CS37-DB36)))</f>
        <v>144.6886446886447</v>
      </c>
      <c r="CU37" s="18">
        <f>CT37*VLOOKUP('Données projet'!$B$13,Paramètres!$A$1:$I$89,3,0)*VLOOKUP('Données projet'!$B$13,Paramètres!$A$1:$I$89,5,0)</f>
        <v>67.714285714285722</v>
      </c>
      <c r="CV37" s="14">
        <f t="shared" si="41"/>
        <v>19.104742100396511</v>
      </c>
      <c r="CW37" s="22">
        <f t="shared" si="13"/>
        <v>151.20980677723819</v>
      </c>
      <c r="CX37" s="62">
        <f t="shared" si="14"/>
        <v>444.54314011057147</v>
      </c>
      <c r="CY37" s="62">
        <f ca="1">AVERAGE(OFFSET($CX$3,0,0,'Données projet'!$E$13+1,1))-AVERAGE(OFFSET($H$3,0,0,'Données projet'!$E$13+1,1))</f>
        <v>246.64907095367749</v>
      </c>
      <c r="CZ37" s="62">
        <f t="shared" si="42"/>
        <v>145.34368562171613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12.919999999999998</v>
      </c>
      <c r="DO37" s="13">
        <f>IF('Données projet'!$A$166&gt;35,DO36+DN37-DW36,IF(A37&lt;'Données projet'!$A$166,$DL$205^A37,IF(A37='Données projet'!$A$166,'Données projet'!$B$166,DO36+DN37-DW36)))</f>
        <v>193.4799999999999</v>
      </c>
      <c r="DP37" s="18">
        <f>DO37*VLOOKUP('Données projet'!$B$14,Paramètres!$A$1:$I$89,3,0)*VLOOKUP('Données projet'!$B$14,Paramètres!$A$1:$I$89,5,0)</f>
        <v>153.93268799999993</v>
      </c>
      <c r="DQ37" s="14">
        <f t="shared" si="43"/>
        <v>39.470952496040077</v>
      </c>
      <c r="DR37" s="22">
        <f t="shared" si="16"/>
        <v>336.84467386393629</v>
      </c>
      <c r="DS37" s="62">
        <f t="shared" si="17"/>
        <v>630.17800719726961</v>
      </c>
      <c r="DT37" s="62">
        <f ca="1">AVERAGE(OFFSET($DS$3,0,0,'Données projet'!$E$14+1,1))-AVERAGE(OFFSET($H$3,0,0,'Données projet'!$E$14+1,1))</f>
        <v>370.38521334472284</v>
      </c>
      <c r="DU37" s="62">
        <f t="shared" si="44"/>
        <v>404.61777090709171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14.166666666666666</v>
      </c>
      <c r="EJ37" s="13">
        <f>IF('Données projet'!$A$192&gt;35,EJ36+EI37-ER36,IF(A37&lt;'Données projet'!$A$192,$EG$205^A37,IF(A37='Données projet'!$A$192,'Données projet'!$B$192,EJ36+EI37-ER36)))</f>
        <v>145.66666666666666</v>
      </c>
      <c r="EK37" s="18">
        <f>EJ37*VLOOKUP('Données projet'!$B$15,Paramètres!$A$1:$I$89,3,0)*VLOOKUP('Données projet'!$B$15,Paramètres!$A$1:$I$89,5,0)</f>
        <v>124.98200000000001</v>
      </c>
      <c r="EL37" s="14">
        <f t="shared" si="45"/>
        <v>32.834203796212122</v>
      </c>
      <c r="EM37" s="22">
        <f t="shared" si="19"/>
        <v>274.86322161173609</v>
      </c>
      <c r="EN37" s="62">
        <f t="shared" si="20"/>
        <v>568.19655494506947</v>
      </c>
      <c r="EO37" s="62">
        <f ca="1">AVERAGE(OFFSET($EN$3,0,0,'Données projet'!$E$15+1,1))-AVERAGE(OFFSET($H$3,0,0,'Données projet'!$E$15+1,1))</f>
        <v>445.81166342116865</v>
      </c>
      <c r="EP37" s="62">
        <f t="shared" si="46"/>
        <v>230.82970731138215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10.8</v>
      </c>
      <c r="FE37" s="13">
        <f>IF('Données projet'!$A$218&gt;35,FE36+FD37-FM36,IF(A37&lt;'Données projet'!$A$218,$FB$205^A37,IF(A37='Données projet'!$A$218,'Données projet'!$B$218,FE36+FD37-FM36)))</f>
        <v>164.20000000000007</v>
      </c>
      <c r="FF37" s="18">
        <f>FE37*VLOOKUP('Données projet'!$B$16,Paramètres!$A$1:$I$89,3,0)*VLOOKUP('Données projet'!$B$16,Paramètres!$A$1:$I$89,5,0)</f>
        <v>158.81424000000007</v>
      </c>
      <c r="FG37" s="14">
        <f t="shared" si="47"/>
        <v>40.574948252224658</v>
      </c>
      <c r="FH37" s="22">
        <f t="shared" si="22"/>
        <v>347.26950287262474</v>
      </c>
      <c r="FI37" s="62">
        <f t="shared" si="23"/>
        <v>640.60283620595806</v>
      </c>
      <c r="FJ37" s="62">
        <f ca="1">AVERAGE(OFFSET($FI$3,0,0,'Données projet'!$E$16+1,1))-AVERAGE(OFFSET($H$3,0,0,'Données projet'!$E$16+1,1))</f>
        <v>541.66888676162716</v>
      </c>
      <c r="FK37" s="62">
        <f t="shared" si="48"/>
        <v>294.45557293177131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>
        <f>EXP(-LN(2)/35)*FQ36+(1-EXP(-LN(2)/35))/(LN(2)/35)*FM37*FN37*VLOOKUP('Données projet'!$B$16,Paramètres!$A$1:$I$89,3,0)*0.475*44/12</f>
        <v>0</v>
      </c>
      <c r="FR37" s="23">
        <f>EXP(-LN(2)/25)*FR36+(1-EXP(-LN(2)/25))/(LN(2)/25)*Calculateur!FM37*Calculateur!FO37*VLOOKUP('Données projet'!$B$16,Paramètres!$A$1:$I$89,3,0)*0.475*44/12</f>
        <v>0</v>
      </c>
      <c r="FS37" s="23">
        <f>EXP(-LN(2)/2)*FS36+(1-EXP(-LN(2)/2))/(LN(2)/2)*FM37*FP37*VLOOKUP('Données projet'!$B$16,Paramètres!$A$1:$I$89,3,0)*0.475*44/12</f>
        <v>0</v>
      </c>
      <c r="FT37" s="24">
        <f t="shared" si="24"/>
        <v>0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11.5</v>
      </c>
      <c r="FZ37" s="13">
        <f>IF('Données projet'!$A$244&gt;35,FZ36+FY37-GH36,IF(A37&lt;'Données projet'!$A$244,$FW$205^A37,IF(A37='Données projet'!$A$244,'Données projet'!$B$244,FZ36+FY37-GH36)))</f>
        <v>153.49999999999997</v>
      </c>
      <c r="GA37" s="18">
        <f>FZ37*VLOOKUP('Données projet'!$B$17,Paramètres!$A$1:$I$89,3,0)*VLOOKUP('Données projet'!$B$17,Paramètres!$A$1:$I$89,5,0)</f>
        <v>119.72999999999998</v>
      </c>
      <c r="GB37" s="14">
        <f t="shared" si="49"/>
        <v>31.612017974790529</v>
      </c>
      <c r="GC37" s="22">
        <f t="shared" si="25"/>
        <v>263.58734797276014</v>
      </c>
      <c r="GD37" s="62">
        <f t="shared" si="26"/>
        <v>556.92068130609346</v>
      </c>
      <c r="GE37" s="62">
        <f ca="1">AVERAGE(OFFSET($GD$3,0,0,'Données projet'!$E$17+1,1))-AVERAGE(OFFSET($H$3,0,0,'Données projet'!$E$17+1,1))</f>
        <v>292.57482726862594</v>
      </c>
      <c r="GF37" s="62">
        <f t="shared" si="50"/>
        <v>283.48738729114024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>
        <f>EXP(-LN(2)/35)*GL36+(1-EXP(-LN(2)/35))/(LN(2)/35)*GH37*GI37*VLOOKUP('Données projet'!$B$17,Paramètres!$A$1:$I$89,3,0)*0.475*44/12</f>
        <v>0</v>
      </c>
      <c r="GM37" s="23">
        <f>EXP(-LN(2)/25)*GM36+(1-EXP(-LN(2)/25))/(LN(2)/25)*Calculateur!GH37*Calculateur!GJ37*VLOOKUP('Données projet'!$B$17,Paramètres!$A$1:$I$89,3,0)*0.475*44/12</f>
        <v>0</v>
      </c>
      <c r="GN37" s="23">
        <f>EXP(-LN(2)/2)*GN36+(1-EXP(-LN(2)/2))/(LN(2)/2)*GH37*GK37*VLOOKUP('Données projet'!$B$17,Paramètres!$A$1:$I$89,3,0)*0.475*44/12</f>
        <v>0</v>
      </c>
      <c r="GO37" s="23">
        <f t="shared" si="27"/>
        <v>0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9.4871794871794854</v>
      </c>
      <c r="GU37" s="13">
        <f>IF('Données projet'!$A$270&gt;35,GU36+GT37-HC36,IF(A37&lt;'Données projet'!$A$270,$GR$205^A37,IF(A37='Données projet'!$A$270,'Données projet'!$B$270,GU36+GT37-HC36)))</f>
        <v>231.53846153846146</v>
      </c>
      <c r="GV37" s="18">
        <f>GU37*VLOOKUP('Données projet'!$B$18,Paramètres!$A$1:$I$89,3,0)*VLOOKUP('Données projet'!$B$18,Paramètres!$A$1:$I$89,5,0)</f>
        <v>155.31599999999997</v>
      </c>
      <c r="GW37" s="14">
        <f t="shared" si="51"/>
        <v>39.784206160846679</v>
      </c>
      <c r="GX37" s="22">
        <f t="shared" si="28"/>
        <v>339.79952573014128</v>
      </c>
      <c r="GY37" s="62">
        <f t="shared" si="29"/>
        <v>633.1328590634746</v>
      </c>
      <c r="GZ37" s="62">
        <f ca="1">AVERAGE(OFFSET($GY$3,0,0,'Données projet'!$E$18+1,1))-AVERAGE(OFFSET($H$3,0,0,'Données projet'!$E$18+1,1))</f>
        <v>410.20186800287411</v>
      </c>
      <c r="HA37" s="62">
        <f t="shared" si="52"/>
        <v>321.99347958016057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>
        <f>EXP(-LN(2)/35)*HG36+(1-EXP(-LN(2)/35))/(LN(2)/35)*HC37*HD37*VLOOKUP('Données projet'!$B$18,Paramètres!$A$1:$I$89,3,0)*0.475*44/12</f>
        <v>0</v>
      </c>
      <c r="HH37" s="23">
        <f>EXP(-LN(2)/25)*HH36+(1-EXP(-LN(2)/25))/(LN(2)/25)*Calculateur!HC37*Calculateur!HE37*VLOOKUP('Données projet'!$B$18,Paramètres!$A$1:$I$89,3,0)*0.475*44/12</f>
        <v>0</v>
      </c>
      <c r="HI37" s="23">
        <f>EXP(-LN(2)/2)*HI36+(1-EXP(-LN(2)/2))/(LN(2)/2)*HC37*HF37*VLOOKUP('Données projet'!$B$18,Paramètres!$A$1:$I$89,3,0)*0.475*44/12</f>
        <v>0</v>
      </c>
      <c r="HJ37" s="24">
        <f t="shared" si="30"/>
        <v>0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175</v>
      </c>
      <c r="L38" s="13">
        <f>VLOOKUP(A38,'Données projet'!$A$35:$I$55,9,0)</f>
        <v>10.8</v>
      </c>
      <c r="M38" s="13">
        <f t="array" ref="M38">INDEX(L:L,MIN(IF(ISNUMBER(L38:L234),ROW(L38:L234),"")))</f>
        <v>10.8</v>
      </c>
      <c r="N38" s="14">
        <f>IF('Données projet'!$A$36&gt;35,N37+M38-V37,IF(A38&lt;'Données projet'!$A$36,$K$205^A38,IF(A38='Données projet'!$A$36,'Données projet'!$B$36,N37+M38-V37)))</f>
        <v>175.00000000000009</v>
      </c>
      <c r="O38" s="14">
        <f>N38*VLOOKUP('Données projet'!$B$9,Paramètres!$A$1:$I$89,3,0)*VLOOKUP('Données projet'!$B$9,Paramètres!$A$1:$I$89,5,0)</f>
        <v>158.34000000000006</v>
      </c>
      <c r="P38" s="14">
        <f t="shared" si="33"/>
        <v>40.467870812652819</v>
      </c>
      <c r="Q38" s="22">
        <f t="shared" si="53"/>
        <v>346.25704166537042</v>
      </c>
      <c r="R38" s="62">
        <f t="shared" si="0"/>
        <v>639.59037499870374</v>
      </c>
      <c r="S38" s="62">
        <f ca="1">AVERAGE(OFFSET($R$3,0,0,'Données projet'!$E$9+1,1))-AVERAGE(OFFSET($H$3,0,0,'Données projet'!$E$9+1,1))</f>
        <v>509.56241660612449</v>
      </c>
      <c r="T38" s="62">
        <f t="shared" si="34"/>
        <v>278.21741231699929</v>
      </c>
      <c r="U38" s="16">
        <f>IF(ISNA(VLOOKUP(A38,'Données projet'!$A$35:$I$55,3,0)),0,VLOOKUP(A38,'Données projet'!$A$35:$I$55,3,0))</f>
        <v>2</v>
      </c>
      <c r="V38" s="16">
        <f>IF(ISNA(VLOOKUP(A38,'Données projet'!$A$35:$I$55,4,0)),0,VLOOKUP(A38,'Données projet'!$A$35:$I$55,4,0))</f>
        <v>56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175</v>
      </c>
      <c r="AG38" s="13">
        <f>VLOOKUP(A38,'Données projet'!$A$61:$I$81,9,0)</f>
        <v>10.8</v>
      </c>
      <c r="AH38" s="13">
        <f t="array" ref="AH38">INDEX(AG:AG,MIN(IF(ISNUMBER(AG38:AG234),ROW(AG38:AG234),"")))</f>
        <v>10.8</v>
      </c>
      <c r="AI38" s="14">
        <f>IF('Données projet'!$A$62&gt;35,AI37+AH38-AQ37,IF(A38&lt;'Données projet'!$A$62,$AF$205^A38,IF(A38='Données projet'!$A$62,'Données projet'!$B$62,AI37+AH38-AQ37)))</f>
        <v>175.00000000000009</v>
      </c>
      <c r="AJ38" s="14">
        <f>AI38*VLOOKUP('Données projet'!$B$10,Paramètres!$A$1:$I$89,3,0)*VLOOKUP('Données projet'!$B$10,Paramètres!$A$1:$I$89,5,0)</f>
        <v>177.4500000000001</v>
      </c>
      <c r="AK38" s="14">
        <f t="shared" si="35"/>
        <v>44.754387900936791</v>
      </c>
      <c r="AL38" s="22">
        <f t="shared" si="4"/>
        <v>387.00597559413177</v>
      </c>
      <c r="AM38" s="62">
        <f t="shared" si="5"/>
        <v>680.33930892746503</v>
      </c>
      <c r="AN38" s="62">
        <f ca="1">AVERAGE(OFFSET($AM$3,0,0,'Données projet'!$E$10+1,1))-AVERAGE(OFFSET($H$3,0,0,'Données projet'!$E$10+1,1))</f>
        <v>565.72091871734051</v>
      </c>
      <c r="AO38" s="62">
        <f t="shared" si="36"/>
        <v>306.61893266146666</v>
      </c>
      <c r="AP38" s="16">
        <f>IF(ISNA(VLOOKUP(A38,'Données projet'!$A$61:$I$81,3,0)),0,VLOOKUP(A38,'Données projet'!$A$61:$I$81,3,0))</f>
        <v>2</v>
      </c>
      <c r="AQ38" s="16">
        <f>IF(ISNA(VLOOKUP(A38,'Données projet'!$A$61:$I$81,4,0)),0,VLOOKUP(A38,'Données projet'!$A$61:$I$81,4,0))</f>
        <v>56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206.4</v>
      </c>
      <c r="BB38" s="13">
        <f>VLOOKUP(A38,'Données projet'!$A$87:$I$107,9,0)</f>
        <v>12.919999999999998</v>
      </c>
      <c r="BC38" s="13">
        <f t="array" ref="BC38">INDEX(BB:BB,MIN(IF(ISNUMBER(BB38:BB234),ROW(BB38:BB234),"")))</f>
        <v>12.919999999999998</v>
      </c>
      <c r="BD38" s="13">
        <f>IF('Données projet'!$A$88&gt;35,BD37+BC38-BL37,IF(A38&lt;'Données projet'!$A$88,$BA$205^A38,IF(A38='Données projet'!$A$88,'Données projet'!$B$88,BD37+BC38-BL37)))</f>
        <v>206.39999999999989</v>
      </c>
      <c r="BE38" s="14">
        <f>BD38*VLOOKUP('Données projet'!$B$11,Paramètres!$A$1:$I$89,3,0)*VLOOKUP('Données projet'!$B$11,Paramètres!$A$1:$I$89,5,0)</f>
        <v>151.33247999999992</v>
      </c>
      <c r="BF38" s="14">
        <f t="shared" si="37"/>
        <v>38.881240443489794</v>
      </c>
      <c r="BG38" s="22">
        <f t="shared" si="7"/>
        <v>331.28889643907786</v>
      </c>
      <c r="BH38" s="62">
        <f t="shared" si="8"/>
        <v>624.62222977241117</v>
      </c>
      <c r="BI38" s="62">
        <f ca="1">AVERAGE(OFFSET($BH$3,0,0,'Données projet'!$E$11+1,1))-AVERAGE(OFFSET($H$3,0,0,'Données projet'!$E$11+1,1))</f>
        <v>344.26020118887629</v>
      </c>
      <c r="BJ38" s="62">
        <f t="shared" si="38"/>
        <v>376.41441893222185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175</v>
      </c>
      <c r="BW38" s="13">
        <f>VLOOKUP(A38,'Données projet'!$A$113:$I$133,9,0)</f>
        <v>10.8</v>
      </c>
      <c r="BX38" s="13">
        <f t="array" ref="BX38">INDEX(BW:BW,MIN(IF(ISNUMBER(BW38:BW234),ROW(BW38:BW234),"")))</f>
        <v>10.8</v>
      </c>
      <c r="BY38" s="13">
        <f>IF('Données projet'!$A$114&gt;35,BY37+BX38-CG37,IF(A38&lt;'Données projet'!$A$114,$BV$205^A38,IF(A38='Données projet'!$A$114,'Données projet'!$B$114,BY37+BX38-CG37)))</f>
        <v>175.00000000000009</v>
      </c>
      <c r="BZ38" s="14">
        <f>BY38*VLOOKUP('Données projet'!$B$12,Paramètres!$A$1:$I$89,3,0)*VLOOKUP('Données projet'!$B$12,Paramètres!$A$1:$I$89,5,0)</f>
        <v>147.4200000000001</v>
      </c>
      <c r="CA38" s="14">
        <f t="shared" si="39"/>
        <v>37.991680647570327</v>
      </c>
      <c r="CB38" s="22">
        <f t="shared" si="10"/>
        <v>322.92534379451848</v>
      </c>
      <c r="CC38" s="62">
        <f t="shared" si="11"/>
        <v>616.2586771278518</v>
      </c>
      <c r="CD38" s="62">
        <f ca="1">AVERAGE(OFFSET($CC$3,0,0,'Données projet'!$E$12+1,1))-AVERAGE(OFFSET($H$3,0,0,'Données projet'!$E$12+1,1))</f>
        <v>477.4105367901771</v>
      </c>
      <c r="CE38" s="62">
        <f t="shared" si="40"/>
        <v>261.95434270986397</v>
      </c>
      <c r="CF38" s="16">
        <f>IF(ISNA(VLOOKUP(A38,'Données projet'!$A$113:$I$133,3,0)),0,VLOOKUP(A38,'Données projet'!$A$113:$I$133,3,0))</f>
        <v>2</v>
      </c>
      <c r="CG38" s="16">
        <f>IF(ISNA(VLOOKUP(A38,'Données projet'!$A$113:$I$133,4,0)),0,VLOOKUP(A38,'Données projet'!$A$113:$I$133,4,0))</f>
        <v>56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10.402930402930403</v>
      </c>
      <c r="CT38" s="13">
        <f>IF('Données projet'!$A$140&gt;35,CT37+CS38-DB37,IF(A38&lt;'Données projet'!$A$140,$CQ$205^A38,IF(A38='Données projet'!$A$140,'Données projet'!$B$140,CT37+CS38-DB37)))</f>
        <v>155.09157509157509</v>
      </c>
      <c r="CU38" s="18">
        <f>CT38*VLOOKUP('Données projet'!$B$13,Paramètres!$A$1:$I$89,3,0)*VLOOKUP('Données projet'!$B$13,Paramètres!$A$1:$I$89,5,0)</f>
        <v>72.582857142857151</v>
      </c>
      <c r="CV38" s="14">
        <f t="shared" si="41"/>
        <v>20.31351317084026</v>
      </c>
      <c r="CW38" s="22">
        <f t="shared" si="13"/>
        <v>161.79451162968965</v>
      </c>
      <c r="CX38" s="62">
        <f t="shared" si="14"/>
        <v>455.12784496302299</v>
      </c>
      <c r="CY38" s="62">
        <f ca="1">AVERAGE(OFFSET($CX$3,0,0,'Données projet'!$E$13+1,1))-AVERAGE(OFFSET($H$3,0,0,'Données projet'!$E$13+1,1))</f>
        <v>246.64907095367749</v>
      </c>
      <c r="CZ38" s="62">
        <f t="shared" si="42"/>
        <v>145.34368562171613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206.4</v>
      </c>
      <c r="DM38" s="13">
        <f>VLOOKUP(A38,'Données projet'!$A$165:$I$185,9,0)</f>
        <v>12.919999999999998</v>
      </c>
      <c r="DN38" s="13">
        <f t="array" ref="DN38">INDEX(DM:DM,MIN(IF(ISNUMBER(DM38:DM234),ROW(DM38:DM234),"")))</f>
        <v>12.919999999999998</v>
      </c>
      <c r="DO38" s="13">
        <f>IF('Données projet'!$A$166&gt;35,DO37+DN38-DW37,IF(A38&lt;'Données projet'!$A$166,$DL$205^A38,IF(A38='Données projet'!$A$166,'Données projet'!$B$166,DO37+DN38-DW37)))</f>
        <v>206.39999999999989</v>
      </c>
      <c r="DP38" s="18">
        <f>DO38*VLOOKUP('Données projet'!$B$14,Paramètres!$A$1:$I$89,3,0)*VLOOKUP('Données projet'!$B$14,Paramètres!$A$1:$I$89,5,0)</f>
        <v>164.21183999999994</v>
      </c>
      <c r="DQ38" s="14">
        <f t="shared" si="43"/>
        <v>41.79106629541738</v>
      </c>
      <c r="DR38" s="22">
        <f t="shared" si="16"/>
        <v>358.78839513118515</v>
      </c>
      <c r="DS38" s="62">
        <f t="shared" si="17"/>
        <v>652.12172846451847</v>
      </c>
      <c r="DT38" s="62">
        <f ca="1">AVERAGE(OFFSET($DS$3,0,0,'Données projet'!$E$14+1,1))-AVERAGE(OFFSET($H$3,0,0,'Données projet'!$E$14+1,1))</f>
        <v>370.38521334472284</v>
      </c>
      <c r="DU38" s="62">
        <f t="shared" si="44"/>
        <v>404.61777090709171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14.166666666666666</v>
      </c>
      <c r="EJ38" s="13">
        <f>IF('Données projet'!$A$192&gt;35,EJ37+EI38-ER37,IF(A38&lt;'Données projet'!$A$192,$EG$205^A38,IF(A38='Données projet'!$A$192,'Données projet'!$B$192,EJ37+EI38-ER37)))</f>
        <v>159.83333333333331</v>
      </c>
      <c r="EK38" s="18">
        <f>EJ38*VLOOKUP('Données projet'!$B$15,Paramètres!$A$1:$I$89,3,0)*VLOOKUP('Données projet'!$B$15,Paramètres!$A$1:$I$89,5,0)</f>
        <v>137.137</v>
      </c>
      <c r="EL38" s="14">
        <f t="shared" si="45"/>
        <v>35.64034577929781</v>
      </c>
      <c r="EM38" s="22">
        <f t="shared" si="19"/>
        <v>300.92054389894366</v>
      </c>
      <c r="EN38" s="62">
        <f t="shared" si="20"/>
        <v>594.25387723227698</v>
      </c>
      <c r="EO38" s="62">
        <f ca="1">AVERAGE(OFFSET($EN$3,0,0,'Données projet'!$E$15+1,1))-AVERAGE(OFFSET($H$3,0,0,'Données projet'!$E$15+1,1))</f>
        <v>445.81166342116865</v>
      </c>
      <c r="EP38" s="62">
        <f t="shared" si="46"/>
        <v>230.82970731138215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>
        <f>VLOOKUP(A38,'Données projet'!$A$217:$I$237,2,0)</f>
        <v>175</v>
      </c>
      <c r="FC38" s="13">
        <f>VLOOKUP(A38,'Données projet'!$A$217:$I$237,9,0)</f>
        <v>10.8</v>
      </c>
      <c r="FD38" s="13">
        <f t="array" ref="FD38">INDEX(FC:FC,MIN(IF(ISNUMBER(FC38:FC234),ROW(FC38:FC234),"")))</f>
        <v>10.8</v>
      </c>
      <c r="FE38" s="13">
        <f>IF('Données projet'!$A$218&gt;35,FE37+FD38-FM37,IF(A38&lt;'Données projet'!$A$218,$FB$205^A38,IF(A38='Données projet'!$A$218,'Données projet'!$B$218,FE37+FD38-FM37)))</f>
        <v>175.00000000000009</v>
      </c>
      <c r="FF38" s="18">
        <f>FE38*VLOOKUP('Données projet'!$B$16,Paramètres!$A$1:$I$89,3,0)*VLOOKUP('Données projet'!$B$16,Paramètres!$A$1:$I$89,5,0)</f>
        <v>169.2600000000001</v>
      </c>
      <c r="FG38" s="14">
        <f t="shared" si="47"/>
        <v>42.924246146122314</v>
      </c>
      <c r="FH38" s="22">
        <f t="shared" si="22"/>
        <v>369.55422870449644</v>
      </c>
      <c r="FI38" s="62">
        <f t="shared" si="23"/>
        <v>662.88756203782975</v>
      </c>
      <c r="FJ38" s="62">
        <f ca="1">AVERAGE(OFFSET($FI$3,0,0,'Données projet'!$E$16+1,1))-AVERAGE(OFFSET($H$3,0,0,'Données projet'!$E$16+1,1))</f>
        <v>541.66888676162716</v>
      </c>
      <c r="FK38" s="62">
        <f t="shared" si="48"/>
        <v>294.45557293177131</v>
      </c>
      <c r="FL38" s="16">
        <f>IF(ISNA(VLOOKUP(A38,'Données projet'!$A$217:$I$237,3,0)),0,VLOOKUP(A38,'Données projet'!$A$217:$I$237,3,0))</f>
        <v>2</v>
      </c>
      <c r="FM38" s="16">
        <f>IF(ISNA(VLOOKUP(A38,'Données projet'!$A$217:$I$237,4,0)),0,VLOOKUP(A38,'Données projet'!$A$217:$I$237,4,0))</f>
        <v>56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>
        <f>EXP(-LN(2)/35)*FQ37+(1-EXP(-LN(2)/35))/(LN(2)/35)*FM38*FN38*VLOOKUP('Données projet'!$B$16,Paramètres!$A$1:$I$89,3,0)*0.475*44/12</f>
        <v>0</v>
      </c>
      <c r="FR38" s="23">
        <f>EXP(-LN(2)/25)*FR37+(1-EXP(-LN(2)/25))/(LN(2)/25)*Calculateur!FM38*Calculateur!FO38*VLOOKUP('Données projet'!$B$16,Paramètres!$A$1:$I$89,3,0)*0.475*44/12</f>
        <v>0</v>
      </c>
      <c r="FS38" s="23">
        <f>EXP(-LN(2)/2)*FS37+(1-EXP(-LN(2)/2))/(LN(2)/2)*FM38*FP38*VLOOKUP('Données projet'!$B$16,Paramètres!$A$1:$I$89,3,0)*0.475*44/12</f>
        <v>0</v>
      </c>
      <c r="FT38" s="24">
        <f t="shared" si="24"/>
        <v>0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11.5</v>
      </c>
      <c r="FZ38" s="13">
        <f>IF('Données projet'!$A$244&gt;35,FZ37+FY38-GH37,IF(A38&lt;'Données projet'!$A$244,$FW$205^A38,IF(A38='Données projet'!$A$244,'Données projet'!$B$244,FZ37+FY38-GH37)))</f>
        <v>164.99999999999997</v>
      </c>
      <c r="GA38" s="18">
        <f>FZ38*VLOOKUP('Données projet'!$B$17,Paramètres!$A$1:$I$89,3,0)*VLOOKUP('Données projet'!$B$17,Paramètres!$A$1:$I$89,5,0)</f>
        <v>128.69999999999999</v>
      </c>
      <c r="GB38" s="14">
        <f t="shared" si="49"/>
        <v>33.695792019186115</v>
      </c>
      <c r="GC38" s="22">
        <f t="shared" si="25"/>
        <v>282.83933776674911</v>
      </c>
      <c r="GD38" s="62">
        <f t="shared" si="26"/>
        <v>576.17267110008243</v>
      </c>
      <c r="GE38" s="62">
        <f ca="1">AVERAGE(OFFSET($GD$3,0,0,'Données projet'!$E$17+1,1))-AVERAGE(OFFSET($H$3,0,0,'Données projet'!$E$17+1,1))</f>
        <v>292.57482726862594</v>
      </c>
      <c r="GF38" s="62">
        <f t="shared" si="50"/>
        <v>283.48738729114024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>
        <f>EXP(-LN(2)/35)*GL37+(1-EXP(-LN(2)/35))/(LN(2)/35)*GH38*GI38*VLOOKUP('Données projet'!$B$17,Paramètres!$A$1:$I$89,3,0)*0.475*44/12</f>
        <v>0</v>
      </c>
      <c r="GM38" s="23">
        <f>EXP(-LN(2)/25)*GM37+(1-EXP(-LN(2)/25))/(LN(2)/25)*Calculateur!GH38*Calculateur!GJ38*VLOOKUP('Données projet'!$B$17,Paramètres!$A$1:$I$89,3,0)*0.475*44/12</f>
        <v>0</v>
      </c>
      <c r="GN38" s="23">
        <f>EXP(-LN(2)/2)*GN37+(1-EXP(-LN(2)/2))/(LN(2)/2)*GH38*GK38*VLOOKUP('Données projet'!$B$17,Paramètres!$A$1:$I$89,3,0)*0.475*44/12</f>
        <v>0</v>
      </c>
      <c r="GO38" s="23">
        <f t="shared" si="27"/>
        <v>0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>
        <f>VLOOKUP(A38,'Données projet'!$A$269:$I$289,2,0)</f>
        <v>241.02564102564102</v>
      </c>
      <c r="GS38" s="13">
        <f>VLOOKUP(A38,'Données projet'!$A$269:$I$289,9,0)</f>
        <v>9.4871794871794854</v>
      </c>
      <c r="GT38" s="13">
        <f t="array" ref="GT38">INDEX(GS:GS,MIN(IF(ISNUMBER(GS38:GS234),ROW(GS38:GS234),"")))</f>
        <v>9.4871794871794854</v>
      </c>
      <c r="GU38" s="13">
        <f>IF('Données projet'!$A$270&gt;35,GU37+GT38-HC37,IF(A38&lt;'Données projet'!$A$270,$GR$205^A38,IF(A38='Données projet'!$A$270,'Données projet'!$B$270,GU37+GT38-HC37)))</f>
        <v>241.02564102564094</v>
      </c>
      <c r="GV38" s="18">
        <f>GU38*VLOOKUP('Données projet'!$B$18,Paramètres!$A$1:$I$89,3,0)*VLOOKUP('Données projet'!$B$18,Paramètres!$A$1:$I$89,5,0)</f>
        <v>161.67999999999995</v>
      </c>
      <c r="GW38" s="14">
        <f t="shared" si="51"/>
        <v>41.221213432630442</v>
      </c>
      <c r="GX38" s="22">
        <f t="shared" si="28"/>
        <v>353.3862800618312</v>
      </c>
      <c r="GY38" s="62">
        <f t="shared" si="29"/>
        <v>646.71961339516452</v>
      </c>
      <c r="GZ38" s="62">
        <f ca="1">AVERAGE(OFFSET($GY$3,0,0,'Données projet'!$E$18+1,1))-AVERAGE(OFFSET($H$3,0,0,'Données projet'!$E$18+1,1))</f>
        <v>410.20186800287411</v>
      </c>
      <c r="HA38" s="62">
        <f t="shared" si="52"/>
        <v>321.99347958016057</v>
      </c>
      <c r="HB38" s="16">
        <f>IF(ISNA(VLOOKUP(A38,'Données projet'!$A$269:$I$289,3,0)),0,VLOOKUP(A38,'Données projet'!$A$269:$I$289,3,0))</f>
        <v>3</v>
      </c>
      <c r="HC38" s="16">
        <f>IF(ISNA(VLOOKUP(A38,'Données projet'!$A$269:$I$289,4,0)),0,VLOOKUP(A38,'Données projet'!$A$269:$I$289,4,0))</f>
        <v>44.871794871794869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>
        <f>EXP(-LN(2)/35)*HG37+(1-EXP(-LN(2)/35))/(LN(2)/35)*HC38*HD38*VLOOKUP('Données projet'!$B$18,Paramètres!$A$1:$I$89,3,0)*0.475*44/12</f>
        <v>0</v>
      </c>
      <c r="HH38" s="23">
        <f>EXP(-LN(2)/25)*HH37+(1-EXP(-LN(2)/25))/(LN(2)/25)*Calculateur!HC38*Calculateur!HE38*VLOOKUP('Données projet'!$B$18,Paramètres!$A$1:$I$89,3,0)*0.475*44/12</f>
        <v>0</v>
      </c>
      <c r="HI38" s="23">
        <f>EXP(-LN(2)/2)*HI37+(1-EXP(-LN(2)/2))/(LN(2)/2)*HC38*HF38*VLOOKUP('Données projet'!$B$18,Paramètres!$A$1:$I$89,3,0)*0.475*44/12</f>
        <v>0</v>
      </c>
      <c r="HJ38" s="24">
        <f t="shared" si="30"/>
        <v>0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11.2</v>
      </c>
      <c r="N39" s="14">
        <f>IF('Données projet'!$A$36&gt;35,N38+M39-V38,IF(A39&lt;'Données projet'!$A$36,$K$205^A39,IF(A39='Données projet'!$A$36,'Données projet'!$B$36,N38+M39-V38)))</f>
        <v>130.20000000000007</v>
      </c>
      <c r="O39" s="14">
        <f>N39*VLOOKUP('Données projet'!$B$9,Paramètres!$A$1:$I$89,3,0)*VLOOKUP('Données projet'!$B$9,Paramètres!$A$1:$I$89,5,0)</f>
        <v>117.80496000000005</v>
      </c>
      <c r="P39" s="14">
        <f t="shared" si="33"/>
        <v>31.162493487829593</v>
      </c>
      <c r="Q39" s="22">
        <f t="shared" si="53"/>
        <v>259.45164815796994</v>
      </c>
      <c r="R39" s="62">
        <f t="shared" si="0"/>
        <v>552.78498149130326</v>
      </c>
      <c r="S39" s="62">
        <f ca="1">AVERAGE(OFFSET($R$3,0,0,'Données projet'!$E$9+1,1))-AVERAGE(OFFSET($H$3,0,0,'Données projet'!$E$9+1,1))</f>
        <v>509.56241660612449</v>
      </c>
      <c r="T39" s="62">
        <f t="shared" si="34"/>
        <v>278.21741231699929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11.2</v>
      </c>
      <c r="AI39" s="14">
        <f>IF('Données projet'!$A$62&gt;35,AI38+AH39-AQ38,IF(A39&lt;'Données projet'!$A$62,$AF$205^A39,IF(A39='Données projet'!$A$62,'Données projet'!$B$62,AI38+AH39-AQ38)))</f>
        <v>130.20000000000007</v>
      </c>
      <c r="AJ39" s="14">
        <f>AI39*VLOOKUP('Données projet'!$B$10,Paramètres!$A$1:$I$89,3,0)*VLOOKUP('Données projet'!$B$10,Paramètres!$A$1:$I$89,5,0)</f>
        <v>132.02280000000007</v>
      </c>
      <c r="AK39" s="14">
        <f t="shared" si="35"/>
        <v>34.463348169992798</v>
      </c>
      <c r="AL39" s="22">
        <f t="shared" si="4"/>
        <v>289.96337472940422</v>
      </c>
      <c r="AM39" s="62">
        <f t="shared" si="5"/>
        <v>583.29670806273748</v>
      </c>
      <c r="AN39" s="62">
        <f ca="1">AVERAGE(OFFSET($AM$3,0,0,'Données projet'!$E$10+1,1))-AVERAGE(OFFSET($H$3,0,0,'Données projet'!$E$10+1,1))</f>
        <v>565.72091871734051</v>
      </c>
      <c r="AO39" s="62">
        <f t="shared" si="36"/>
        <v>306.61893266146666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11.340000000000003</v>
      </c>
      <c r="BD39" s="13">
        <f>IF('Données projet'!$A$88&gt;35,BD38+BC39-BL38,IF(A39&lt;'Données projet'!$A$88,$BA$205^A39,IF(A39='Données projet'!$A$88,'Données projet'!$B$88,BD38+BC39-BL38)))</f>
        <v>217.7399999999999</v>
      </c>
      <c r="BE39" s="14">
        <f>BD39*VLOOKUP('Données projet'!$B$11,Paramètres!$A$1:$I$89,3,0)*VLOOKUP('Données projet'!$B$11,Paramètres!$A$1:$I$89,5,0)</f>
        <v>159.64696799999993</v>
      </c>
      <c r="BF39" s="14">
        <f t="shared" si="37"/>
        <v>40.762877819882384</v>
      </c>
      <c r="BG39" s="22">
        <f t="shared" si="7"/>
        <v>349.04714813629499</v>
      </c>
      <c r="BH39" s="62">
        <f t="shared" si="8"/>
        <v>642.38048146962831</v>
      </c>
      <c r="BI39" s="62">
        <f ca="1">AVERAGE(OFFSET($BH$3,0,0,'Données projet'!$E$11+1,1))-AVERAGE(OFFSET($H$3,0,0,'Données projet'!$E$11+1,1))</f>
        <v>344.26020118887629</v>
      </c>
      <c r="BJ39" s="62">
        <f t="shared" si="38"/>
        <v>376.41441893222185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11.2</v>
      </c>
      <c r="BY39" s="13">
        <f>IF('Données projet'!$A$114&gt;35,BY38+BX39-CG38,IF(A39&lt;'Données projet'!$A$114,$BV$205^A39,IF(A39='Données projet'!$A$114,'Données projet'!$B$114,BY38+BX39-CG38)))</f>
        <v>130.20000000000007</v>
      </c>
      <c r="BZ39" s="14">
        <f>BY39*VLOOKUP('Données projet'!$B$12,Paramètres!$A$1:$I$89,3,0)*VLOOKUP('Données projet'!$B$12,Paramètres!$A$1:$I$89,5,0)</f>
        <v>109.68048000000009</v>
      </c>
      <c r="CA39" s="14">
        <f t="shared" si="39"/>
        <v>29.255690427909659</v>
      </c>
      <c r="CB39" s="22">
        <f t="shared" si="10"/>
        <v>241.98049682860949</v>
      </c>
      <c r="CC39" s="62">
        <f t="shared" si="11"/>
        <v>535.31383016194286</v>
      </c>
      <c r="CD39" s="62">
        <f ca="1">AVERAGE(OFFSET($CC$3,0,0,'Données projet'!$E$12+1,1))-AVERAGE(OFFSET($H$3,0,0,'Données projet'!$E$12+1,1))</f>
        <v>477.4105367901771</v>
      </c>
      <c r="CE39" s="62">
        <f t="shared" si="40"/>
        <v>261.95434270986397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10.402930402930403</v>
      </c>
      <c r="CT39" s="13">
        <f>IF('Données projet'!$A$140&gt;35,CT38+CS39-DB38,IF(A39&lt;'Données projet'!$A$140,$CQ$205^A39,IF(A39='Données projet'!$A$140,'Données projet'!$B$140,CT38+CS39-DB38)))</f>
        <v>165.49450549450549</v>
      </c>
      <c r="CU39" s="18">
        <f>CT39*VLOOKUP('Données projet'!$B$13,Paramètres!$A$1:$I$89,3,0)*VLOOKUP('Données projet'!$B$13,Paramètres!$A$1:$I$89,5,0)</f>
        <v>77.451428571428565</v>
      </c>
      <c r="CV39" s="14">
        <f t="shared" si="41"/>
        <v>21.512875879677669</v>
      </c>
      <c r="CW39" s="22">
        <f t="shared" si="13"/>
        <v>172.36283025234334</v>
      </c>
      <c r="CX39" s="62">
        <f t="shared" si="14"/>
        <v>465.69616358567669</v>
      </c>
      <c r="CY39" s="62">
        <f ca="1">AVERAGE(OFFSET($CX$3,0,0,'Données projet'!$E$13+1,1))-AVERAGE(OFFSET($H$3,0,0,'Données projet'!$E$13+1,1))</f>
        <v>246.64907095367749</v>
      </c>
      <c r="CZ39" s="62">
        <f t="shared" si="42"/>
        <v>145.34368562171613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11.340000000000003</v>
      </c>
      <c r="DO39" s="13">
        <f>IF('Données projet'!$A$166&gt;35,DO38+DN39-DW38,IF(A39&lt;'Données projet'!$A$166,$DL$205^A39,IF(A39='Données projet'!$A$166,'Données projet'!$B$166,DO38+DN39-DW38)))</f>
        <v>217.7399999999999</v>
      </c>
      <c r="DP39" s="18">
        <f>DO39*VLOOKUP('Données projet'!$B$14,Paramètres!$A$1:$I$89,3,0)*VLOOKUP('Données projet'!$B$14,Paramètres!$A$1:$I$89,5,0)</f>
        <v>173.23394399999992</v>
      </c>
      <c r="DQ39" s="14">
        <f t="shared" si="43"/>
        <v>43.813523178063591</v>
      </c>
      <c r="DR39" s="22">
        <f t="shared" si="16"/>
        <v>378.02433866846064</v>
      </c>
      <c r="DS39" s="62">
        <f t="shared" si="17"/>
        <v>671.35767200179396</v>
      </c>
      <c r="DT39" s="62">
        <f ca="1">AVERAGE(OFFSET($DS$3,0,0,'Données projet'!$E$14+1,1))-AVERAGE(OFFSET($H$3,0,0,'Données projet'!$E$14+1,1))</f>
        <v>370.38521334472284</v>
      </c>
      <c r="DU39" s="62">
        <f t="shared" si="44"/>
        <v>404.61777090709171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>
        <f>VLOOKUP(A39,'Données projet'!$A$191:$I$211,2,0)</f>
        <v>174</v>
      </c>
      <c r="EH39" s="13">
        <f>VLOOKUP(A39,'Données projet'!$A$191:$I$211,9,0)</f>
        <v>14.166666666666666</v>
      </c>
      <c r="EI39" s="13">
        <f t="array" ref="EI39">INDEX(EH:EH,MIN(IF(ISNUMBER(EH39:EH235),ROW(EH39:EH235),"")))</f>
        <v>14.166666666666666</v>
      </c>
      <c r="EJ39" s="13">
        <f>IF('Données projet'!$A$192&gt;35,EJ38+EI39-ER38,IF(A39&lt;'Données projet'!$A$192,$EG$205^A39,IF(A39='Données projet'!$A$192,'Données projet'!$B$192,EJ38+EI39-ER38)))</f>
        <v>173.99999999999997</v>
      </c>
      <c r="EK39" s="18">
        <f>EJ39*VLOOKUP('Données projet'!$B$15,Paramètres!$A$1:$I$89,3,0)*VLOOKUP('Données projet'!$B$15,Paramètres!$A$1:$I$89,5,0)</f>
        <v>149.29199999999997</v>
      </c>
      <c r="EL39" s="14">
        <f t="shared" si="45"/>
        <v>38.417645803815411</v>
      </c>
      <c r="EM39" s="22">
        <f t="shared" si="19"/>
        <v>326.9276331083118</v>
      </c>
      <c r="EN39" s="62">
        <f t="shared" si="20"/>
        <v>620.26096644164511</v>
      </c>
      <c r="EO39" s="62">
        <f ca="1">AVERAGE(OFFSET($EN$3,0,0,'Données projet'!$E$15+1,1))-AVERAGE(OFFSET($H$3,0,0,'Données projet'!$E$15+1,1))</f>
        <v>445.81166342116865</v>
      </c>
      <c r="EP39" s="62">
        <f t="shared" si="46"/>
        <v>230.82970731138215</v>
      </c>
      <c r="EQ39" s="16">
        <f>IF(ISNA(VLOOKUP(A39,'Données projet'!$A$191:$I$211,3,0)),0,VLOOKUP(A39,'Données projet'!$A$191:$I$211,3,0))</f>
        <v>3</v>
      </c>
      <c r="ER39" s="16">
        <f>IF(ISNA(VLOOKUP(A39,'Données projet'!$A$191:$I$211,4,0)),0,VLOOKUP(A39,'Données projet'!$A$191:$I$211,4,0))</f>
        <v>60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11.2</v>
      </c>
      <c r="FE39" s="13">
        <f>IF('Données projet'!$A$218&gt;35,FE38+FD39-FM38,IF(A39&lt;'Données projet'!$A$218,$FB$205^A39,IF(A39='Données projet'!$A$218,'Données projet'!$B$218,FE38+FD39-FM38)))</f>
        <v>130.20000000000007</v>
      </c>
      <c r="FF39" s="18">
        <f>FE39*VLOOKUP('Données projet'!$B$16,Paramètres!$A$1:$I$89,3,0)*VLOOKUP('Données projet'!$B$16,Paramètres!$A$1:$I$89,5,0)</f>
        <v>125.92944000000007</v>
      </c>
      <c r="FG39" s="14">
        <f t="shared" si="47"/>
        <v>33.054038034052077</v>
      </c>
      <c r="FH39" s="22">
        <f t="shared" si="22"/>
        <v>276.89622424264081</v>
      </c>
      <c r="FI39" s="62">
        <f t="shared" si="23"/>
        <v>570.22955757597413</v>
      </c>
      <c r="FJ39" s="62">
        <f ca="1">AVERAGE(OFFSET($FI$3,0,0,'Données projet'!$E$16+1,1))-AVERAGE(OFFSET($H$3,0,0,'Données projet'!$E$16+1,1))</f>
        <v>541.66888676162716</v>
      </c>
      <c r="FK39" s="62">
        <f t="shared" si="48"/>
        <v>294.45557293177131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>
        <f>EXP(-LN(2)/35)*FQ38+(1-EXP(-LN(2)/35))/(LN(2)/35)*FM39*FN39*VLOOKUP('Données projet'!$B$16,Paramètres!$A$1:$I$89,3,0)*0.475*44/12</f>
        <v>0</v>
      </c>
      <c r="FR39" s="23">
        <f>EXP(-LN(2)/25)*FR38+(1-EXP(-LN(2)/25))/(LN(2)/25)*Calculateur!FM39*Calculateur!FO39*VLOOKUP('Données projet'!$B$16,Paramètres!$A$1:$I$89,3,0)*0.475*44/12</f>
        <v>0</v>
      </c>
      <c r="FS39" s="23">
        <f>EXP(-LN(2)/2)*FS38+(1-EXP(-LN(2)/2))/(LN(2)/2)*FM39*FP39*VLOOKUP('Données projet'!$B$16,Paramètres!$A$1:$I$89,3,0)*0.475*44/12</f>
        <v>0</v>
      </c>
      <c r="FT39" s="24">
        <f t="shared" si="24"/>
        <v>0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11.5</v>
      </c>
      <c r="FZ39" s="13">
        <f>IF('Données projet'!$A$244&gt;35,FZ38+FY39-GH38,IF(A39&lt;'Données projet'!$A$244,$FW$205^A39,IF(A39='Données projet'!$A$244,'Données projet'!$B$244,FZ38+FY39-GH38)))</f>
        <v>176.49999999999997</v>
      </c>
      <c r="GA39" s="18">
        <f>FZ39*VLOOKUP('Données projet'!$B$17,Paramètres!$A$1:$I$89,3,0)*VLOOKUP('Données projet'!$B$17,Paramètres!$A$1:$I$89,5,0)</f>
        <v>137.66999999999999</v>
      </c>
      <c r="GB39" s="14">
        <f t="shared" si="49"/>
        <v>35.762714965854656</v>
      </c>
      <c r="GC39" s="22">
        <f t="shared" si="25"/>
        <v>302.06197856553018</v>
      </c>
      <c r="GD39" s="62">
        <f t="shared" si="26"/>
        <v>595.3953118988635</v>
      </c>
      <c r="GE39" s="62">
        <f ca="1">AVERAGE(OFFSET($GD$3,0,0,'Données projet'!$E$17+1,1))-AVERAGE(OFFSET($H$3,0,0,'Données projet'!$E$17+1,1))</f>
        <v>292.57482726862594</v>
      </c>
      <c r="GF39" s="62">
        <f t="shared" si="50"/>
        <v>283.48738729114024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>
        <f>EXP(-LN(2)/35)*GL38+(1-EXP(-LN(2)/35))/(LN(2)/35)*GH39*GI39*VLOOKUP('Données projet'!$B$17,Paramètres!$A$1:$I$89,3,0)*0.475*44/12</f>
        <v>0</v>
      </c>
      <c r="GM39" s="23">
        <f>EXP(-LN(2)/25)*GM38+(1-EXP(-LN(2)/25))/(LN(2)/25)*Calculateur!GH39*Calculateur!GJ39*VLOOKUP('Données projet'!$B$17,Paramètres!$A$1:$I$89,3,0)*0.475*44/12</f>
        <v>0</v>
      </c>
      <c r="GN39" s="23">
        <f>EXP(-LN(2)/2)*GN38+(1-EXP(-LN(2)/2))/(LN(2)/2)*GH39*GK39*VLOOKUP('Données projet'!$B$17,Paramètres!$A$1:$I$89,3,0)*0.475*44/12</f>
        <v>0</v>
      </c>
      <c r="GO39" s="23">
        <f t="shared" si="27"/>
        <v>0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8.8461538461538449</v>
      </c>
      <c r="GU39" s="13">
        <f>IF('Données projet'!$A$270&gt;35,GU38+GT39-HC38,IF(A39&lt;'Données projet'!$A$270,$GR$205^A39,IF(A39='Données projet'!$A$270,'Données projet'!$B$270,GU38+GT39-HC38)))</f>
        <v>204.99999999999991</v>
      </c>
      <c r="GV39" s="18">
        <f>GU39*VLOOKUP('Données projet'!$B$18,Paramètres!$A$1:$I$89,3,0)*VLOOKUP('Données projet'!$B$18,Paramètres!$A$1:$I$89,5,0)</f>
        <v>137.51399999999995</v>
      </c>
      <c r="GW39" s="14">
        <f t="shared" si="51"/>
        <v>35.726905311681854</v>
      </c>
      <c r="GX39" s="22">
        <f t="shared" si="28"/>
        <v>301.72791008451242</v>
      </c>
      <c r="GY39" s="62">
        <f t="shared" si="29"/>
        <v>595.06124341784573</v>
      </c>
      <c r="GZ39" s="62">
        <f ca="1">AVERAGE(OFFSET($GY$3,0,0,'Données projet'!$E$18+1,1))-AVERAGE(OFFSET($H$3,0,0,'Données projet'!$E$18+1,1))</f>
        <v>410.20186800287411</v>
      </c>
      <c r="HA39" s="62">
        <f t="shared" si="52"/>
        <v>321.99347958016057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>
        <f>EXP(-LN(2)/35)*HG38+(1-EXP(-LN(2)/35))/(LN(2)/35)*HC39*HD39*VLOOKUP('Données projet'!$B$18,Paramètres!$A$1:$I$89,3,0)*0.475*44/12</f>
        <v>0</v>
      </c>
      <c r="HH39" s="23">
        <f>EXP(-LN(2)/25)*HH38+(1-EXP(-LN(2)/25))/(LN(2)/25)*Calculateur!HC39*Calculateur!HE39*VLOOKUP('Données projet'!$B$18,Paramètres!$A$1:$I$89,3,0)*0.475*44/12</f>
        <v>0</v>
      </c>
      <c r="HI39" s="23">
        <f>EXP(-LN(2)/2)*HI38+(1-EXP(-LN(2)/2))/(LN(2)/2)*HC39*HF39*VLOOKUP('Données projet'!$B$18,Paramètres!$A$1:$I$89,3,0)*0.475*44/12</f>
        <v>0</v>
      </c>
      <c r="HJ39" s="24">
        <f t="shared" si="30"/>
        <v>0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11.2</v>
      </c>
      <c r="N40" s="14">
        <f>IF('Données projet'!$A$36&gt;35,N39+M40-V39,IF(A40&lt;'Données projet'!$A$36,$K$205^A40,IF(A40='Données projet'!$A$36,'Données projet'!$B$36,N39+M40-V39)))</f>
        <v>141.40000000000006</v>
      </c>
      <c r="O40" s="14">
        <f>N40*VLOOKUP('Données projet'!$B$9,Paramètres!$A$1:$I$89,3,0)*VLOOKUP('Données projet'!$B$9,Paramètres!$A$1:$I$89,5,0)</f>
        <v>127.93872000000005</v>
      </c>
      <c r="P40" s="14">
        <f t="shared" si="33"/>
        <v>33.519615889545641</v>
      </c>
      <c r="Q40" s="22">
        <f t="shared" si="53"/>
        <v>281.20660167429202</v>
      </c>
      <c r="R40" s="62">
        <f t="shared" si="0"/>
        <v>574.53993500762533</v>
      </c>
      <c r="S40" s="62">
        <f ca="1">AVERAGE(OFFSET($R$3,0,0,'Données projet'!$E$9+1,1))-AVERAGE(OFFSET($H$3,0,0,'Données projet'!$E$9+1,1))</f>
        <v>509.56241660612449</v>
      </c>
      <c r="T40" s="62">
        <f t="shared" si="34"/>
        <v>278.21741231699929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11.2</v>
      </c>
      <c r="AI40" s="14">
        <f>IF('Données projet'!$A$62&gt;35,AI39+AH40-AQ39,IF(A40&lt;'Données projet'!$A$62,$AF$205^A40,IF(A40='Données projet'!$A$62,'Données projet'!$B$62,AI39+AH40-AQ39)))</f>
        <v>141.40000000000006</v>
      </c>
      <c r="AJ40" s="14">
        <f>AI40*VLOOKUP('Données projet'!$B$10,Paramètres!$A$1:$I$89,3,0)*VLOOKUP('Données projet'!$B$10,Paramètres!$A$1:$I$89,5,0)</f>
        <v>143.37960000000007</v>
      </c>
      <c r="AK40" s="14">
        <f t="shared" si="35"/>
        <v>37.070146308317504</v>
      </c>
      <c r="AL40" s="22">
        <f t="shared" si="4"/>
        <v>314.28330815365308</v>
      </c>
      <c r="AM40" s="62">
        <f t="shared" si="5"/>
        <v>607.6166414869864</v>
      </c>
      <c r="AN40" s="62">
        <f ca="1">AVERAGE(OFFSET($AM$3,0,0,'Données projet'!$E$10+1,1))-AVERAGE(OFFSET($H$3,0,0,'Données projet'!$E$10+1,1))</f>
        <v>565.72091871734051</v>
      </c>
      <c r="AO40" s="62">
        <f t="shared" si="36"/>
        <v>306.61893266146666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11.340000000000003</v>
      </c>
      <c r="BD40" s="13">
        <f>IF('Données projet'!$A$88&gt;35,BD39+BC40-BL39,IF(A40&lt;'Données projet'!$A$88,$BA$205^A40,IF(A40='Données projet'!$A$88,'Données projet'!$B$88,BD39+BC40-BL39)))</f>
        <v>229.0799999999999</v>
      </c>
      <c r="BE40" s="14">
        <f>BD40*VLOOKUP('Données projet'!$B$11,Paramètres!$A$1:$I$89,3,0)*VLOOKUP('Données projet'!$B$11,Paramètres!$A$1:$I$89,5,0)</f>
        <v>167.96145599999994</v>
      </c>
      <c r="BF40" s="14">
        <f t="shared" si="37"/>
        <v>42.633137473671702</v>
      </c>
      <c r="BG40" s="22">
        <f t="shared" si="7"/>
        <v>366.78558363331143</v>
      </c>
      <c r="BH40" s="62">
        <f t="shared" si="8"/>
        <v>660.11891696664475</v>
      </c>
      <c r="BI40" s="62">
        <f ca="1">AVERAGE(OFFSET($BH$3,0,0,'Données projet'!$E$11+1,1))-AVERAGE(OFFSET($H$3,0,0,'Données projet'!$E$11+1,1))</f>
        <v>344.26020118887629</v>
      </c>
      <c r="BJ40" s="62">
        <f t="shared" si="38"/>
        <v>376.41441893222185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11.2</v>
      </c>
      <c r="BY40" s="13">
        <f>IF('Données projet'!$A$114&gt;35,BY39+BX40-CG39,IF(A40&lt;'Données projet'!$A$114,$BV$205^A40,IF(A40='Données projet'!$A$114,'Données projet'!$B$114,BY39+BX40-CG39)))</f>
        <v>141.40000000000006</v>
      </c>
      <c r="BZ40" s="14">
        <f>BY40*VLOOKUP('Données projet'!$B$12,Paramètres!$A$1:$I$89,3,0)*VLOOKUP('Données projet'!$B$12,Paramètres!$A$1:$I$89,5,0)</f>
        <v>119.11536000000007</v>
      </c>
      <c r="CA40" s="14">
        <f t="shared" si="39"/>
        <v>31.468582772748093</v>
      </c>
      <c r="CB40" s="22">
        <f t="shared" si="10"/>
        <v>262.26703366253639</v>
      </c>
      <c r="CC40" s="62">
        <f t="shared" si="11"/>
        <v>555.60036699586976</v>
      </c>
      <c r="CD40" s="62">
        <f ca="1">AVERAGE(OFFSET($CC$3,0,0,'Données projet'!$E$12+1,1))-AVERAGE(OFFSET($H$3,0,0,'Données projet'!$E$12+1,1))</f>
        <v>477.4105367901771</v>
      </c>
      <c r="CE40" s="62">
        <f t="shared" si="40"/>
        <v>261.95434270986397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10.402930402930403</v>
      </c>
      <c r="CT40" s="13">
        <f>IF('Données projet'!$A$140&gt;35,CT39+CS40-DB39,IF(A40&lt;'Données projet'!$A$140,$CQ$205^A40,IF(A40='Données projet'!$A$140,'Données projet'!$B$140,CT39+CS40-DB39)))</f>
        <v>175.89743589743588</v>
      </c>
      <c r="CU40" s="18">
        <f>CT40*VLOOKUP('Données projet'!$B$13,Paramètres!$A$1:$I$89,3,0)*VLOOKUP('Données projet'!$B$13,Paramètres!$A$1:$I$89,5,0)</f>
        <v>82.32</v>
      </c>
      <c r="CV40" s="14">
        <f t="shared" si="41"/>
        <v>22.703488958112253</v>
      </c>
      <c r="CW40" s="22">
        <f t="shared" si="13"/>
        <v>182.91590993537883</v>
      </c>
      <c r="CX40" s="62">
        <f t="shared" si="14"/>
        <v>476.24924326871212</v>
      </c>
      <c r="CY40" s="62">
        <f ca="1">AVERAGE(OFFSET($CX$3,0,0,'Données projet'!$E$13+1,1))-AVERAGE(OFFSET($H$3,0,0,'Données projet'!$E$13+1,1))</f>
        <v>246.64907095367749</v>
      </c>
      <c r="CZ40" s="62">
        <f t="shared" si="42"/>
        <v>145.34368562171613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11.340000000000003</v>
      </c>
      <c r="DO40" s="13">
        <f>IF('Données projet'!$A$166&gt;35,DO39+DN40-DW39,IF(A40&lt;'Données projet'!$A$166,$DL$205^A40,IF(A40='Données projet'!$A$166,'Données projet'!$B$166,DO39+DN40-DW39)))</f>
        <v>229.0799999999999</v>
      </c>
      <c r="DP40" s="18">
        <f>DO40*VLOOKUP('Données projet'!$B$14,Paramètres!$A$1:$I$89,3,0)*VLOOKUP('Données projet'!$B$14,Paramètres!$A$1:$I$89,5,0)</f>
        <v>182.25604799999994</v>
      </c>
      <c r="DQ40" s="14">
        <f t="shared" si="43"/>
        <v>45.823750842861273</v>
      </c>
      <c r="DR40" s="22">
        <f t="shared" si="16"/>
        <v>397.23898298464991</v>
      </c>
      <c r="DS40" s="62">
        <f t="shared" si="17"/>
        <v>690.57231631798322</v>
      </c>
      <c r="DT40" s="62">
        <f ca="1">AVERAGE(OFFSET($DS$3,0,0,'Données projet'!$E$14+1,1))-AVERAGE(OFFSET($H$3,0,0,'Données projet'!$E$14+1,1))</f>
        <v>370.38521334472284</v>
      </c>
      <c r="DU40" s="62">
        <f t="shared" si="44"/>
        <v>404.61777090709171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15.166666666666666</v>
      </c>
      <c r="EJ40" s="13">
        <f>IF('Données projet'!$A$192&gt;35,EJ39+EI40-ER39,IF(A40&lt;'Données projet'!$A$192,$EG$205^A40,IF(A40='Données projet'!$A$192,'Données projet'!$B$192,EJ39+EI40-ER39)))</f>
        <v>129.16666666666663</v>
      </c>
      <c r="EK40" s="18">
        <f>EJ40*VLOOKUP('Données projet'!$B$15,Paramètres!$A$1:$I$89,3,0)*VLOOKUP('Données projet'!$B$15,Paramètres!$A$1:$I$89,5,0)</f>
        <v>110.82499999999999</v>
      </c>
      <c r="EL40" s="14">
        <f t="shared" si="45"/>
        <v>29.525276397875576</v>
      </c>
      <c r="EM40" s="22">
        <f t="shared" si="19"/>
        <v>244.44339805963327</v>
      </c>
      <c r="EN40" s="62">
        <f t="shared" si="20"/>
        <v>537.77673139296655</v>
      </c>
      <c r="EO40" s="62">
        <f ca="1">AVERAGE(OFFSET($EN$3,0,0,'Données projet'!$E$15+1,1))-AVERAGE(OFFSET($H$3,0,0,'Données projet'!$E$15+1,1))</f>
        <v>445.81166342116865</v>
      </c>
      <c r="EP40" s="62">
        <f t="shared" si="46"/>
        <v>230.82970731138215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11.2</v>
      </c>
      <c r="FE40" s="13">
        <f>IF('Données projet'!$A$218&gt;35,FE39+FD40-FM39,IF(A40&lt;'Données projet'!$A$218,$FB$205^A40,IF(A40='Données projet'!$A$218,'Données projet'!$B$218,FE39+FD40-FM39)))</f>
        <v>141.40000000000006</v>
      </c>
      <c r="FF40" s="18">
        <f>FE40*VLOOKUP('Données projet'!$B$16,Paramètres!$A$1:$I$89,3,0)*VLOOKUP('Données projet'!$B$16,Paramètres!$A$1:$I$89,5,0)</f>
        <v>136.76208000000005</v>
      </c>
      <c r="FG40" s="14">
        <f t="shared" si="47"/>
        <v>35.554236342883392</v>
      </c>
      <c r="FH40" s="22">
        <f t="shared" si="22"/>
        <v>300.11758429718867</v>
      </c>
      <c r="FI40" s="62">
        <f t="shared" si="23"/>
        <v>593.45091763052199</v>
      </c>
      <c r="FJ40" s="62">
        <f ca="1">AVERAGE(OFFSET($FI$3,0,0,'Données projet'!$E$16+1,1))-AVERAGE(OFFSET($H$3,0,0,'Données projet'!$E$16+1,1))</f>
        <v>541.66888676162716</v>
      </c>
      <c r="FK40" s="62">
        <f t="shared" si="48"/>
        <v>294.45557293177131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>
        <f>EXP(-LN(2)/35)*FQ39+(1-EXP(-LN(2)/35))/(LN(2)/35)*FM40*FN40*VLOOKUP('Données projet'!$B$16,Paramètres!$A$1:$I$89,3,0)*0.475*44/12</f>
        <v>0</v>
      </c>
      <c r="FR40" s="23">
        <f>EXP(-LN(2)/25)*FR39+(1-EXP(-LN(2)/25))/(LN(2)/25)*Calculateur!FM40*Calculateur!FO40*VLOOKUP('Données projet'!$B$16,Paramètres!$A$1:$I$89,3,0)*0.475*44/12</f>
        <v>0</v>
      </c>
      <c r="FS40" s="23">
        <f>EXP(-LN(2)/2)*FS39+(1-EXP(-LN(2)/2))/(LN(2)/2)*FM40*FP40*VLOOKUP('Données projet'!$B$16,Paramètres!$A$1:$I$89,3,0)*0.475*44/12</f>
        <v>0</v>
      </c>
      <c r="FT40" s="24">
        <f t="shared" si="24"/>
        <v>0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>
        <f>VLOOKUP(A40,'Données projet'!$A$243:$I$263,2,0)</f>
        <v>188</v>
      </c>
      <c r="FX40" s="13">
        <f>VLOOKUP(A40,'Données projet'!$A$243:$I$263,9,0)</f>
        <v>11.5</v>
      </c>
      <c r="FY40" s="13">
        <f t="array" ref="FY40">INDEX(FX:FX,MIN(IF(ISNUMBER(FX40:FX236),ROW(FX40:FX236),"")))</f>
        <v>11.5</v>
      </c>
      <c r="FZ40" s="13">
        <f>IF('Données projet'!$A$244&gt;35,FZ39+FY40-GH39,IF(A40&lt;'Données projet'!$A$244,$FW$205^A40,IF(A40='Données projet'!$A$244,'Données projet'!$B$244,FZ39+FY40-GH39)))</f>
        <v>187.99999999999997</v>
      </c>
      <c r="GA40" s="18">
        <f>FZ40*VLOOKUP('Données projet'!$B$17,Paramètres!$A$1:$I$89,3,0)*VLOOKUP('Données projet'!$B$17,Paramètres!$A$1:$I$89,5,0)</f>
        <v>146.63999999999999</v>
      </c>
      <c r="GB40" s="14">
        <f t="shared" si="49"/>
        <v>37.814009712703026</v>
      </c>
      <c r="GC40" s="22">
        <f t="shared" si="25"/>
        <v>321.25740024962437</v>
      </c>
      <c r="GD40" s="62">
        <f t="shared" si="26"/>
        <v>614.59073358295768</v>
      </c>
      <c r="GE40" s="62">
        <f ca="1">AVERAGE(OFFSET($GD$3,0,0,'Données projet'!$E$17+1,1))-AVERAGE(OFFSET($H$3,0,0,'Données projet'!$E$17+1,1))</f>
        <v>292.57482726862594</v>
      </c>
      <c r="GF40" s="62">
        <f t="shared" si="50"/>
        <v>283.48738729114024</v>
      </c>
      <c r="GG40" s="16">
        <f>IF(ISNA(VLOOKUP(A40,'Données projet'!$A$243:$I$263,3,0)),0,VLOOKUP(A40,'Données projet'!$A$243:$I$263,3,0))</f>
        <v>3</v>
      </c>
      <c r="GH40" s="16">
        <f>IF(ISNA(VLOOKUP(A40,'Données projet'!$A$243:$I$263,4,0)),0,VLOOKUP(A40,'Données projet'!$A$243:$I$263,4,0))</f>
        <v>36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>
        <f>EXP(-LN(2)/35)*GL39+(1-EXP(-LN(2)/35))/(LN(2)/35)*GH40*GI40*VLOOKUP('Données projet'!$B$17,Paramètres!$A$1:$I$89,3,0)*0.475*44/12</f>
        <v>0</v>
      </c>
      <c r="GM40" s="23">
        <f>EXP(-LN(2)/25)*GM39+(1-EXP(-LN(2)/25))/(LN(2)/25)*Calculateur!GH40*Calculateur!GJ40*VLOOKUP('Données projet'!$B$17,Paramètres!$A$1:$I$89,3,0)*0.475*44/12</f>
        <v>0</v>
      </c>
      <c r="GN40" s="23">
        <f>EXP(-LN(2)/2)*GN39+(1-EXP(-LN(2)/2))/(LN(2)/2)*GH40*GK40*VLOOKUP('Données projet'!$B$17,Paramètres!$A$1:$I$89,3,0)*0.475*44/12</f>
        <v>0</v>
      </c>
      <c r="GO40" s="23">
        <f t="shared" si="27"/>
        <v>0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8.8461538461538449</v>
      </c>
      <c r="GU40" s="13">
        <f>IF('Données projet'!$A$270&gt;35,GU39+GT40-HC39,IF(A40&lt;'Données projet'!$A$270,$GR$205^A40,IF(A40='Données projet'!$A$270,'Données projet'!$B$270,GU39+GT40-HC39)))</f>
        <v>213.84615384615375</v>
      </c>
      <c r="GV40" s="18">
        <f>GU40*VLOOKUP('Données projet'!$B$18,Paramètres!$A$1:$I$89,3,0)*VLOOKUP('Données projet'!$B$18,Paramètres!$A$1:$I$89,5,0)</f>
        <v>143.44799999999995</v>
      </c>
      <c r="GW40" s="14">
        <f t="shared" si="51"/>
        <v>37.085771907810681</v>
      </c>
      <c r="GX40" s="22">
        <f t="shared" si="28"/>
        <v>314.42965273943685</v>
      </c>
      <c r="GY40" s="62">
        <f t="shared" si="29"/>
        <v>607.76298607277022</v>
      </c>
      <c r="GZ40" s="62">
        <f ca="1">AVERAGE(OFFSET($GY$3,0,0,'Données projet'!$E$18+1,1))-AVERAGE(OFFSET($H$3,0,0,'Données projet'!$E$18+1,1))</f>
        <v>410.20186800287411</v>
      </c>
      <c r="HA40" s="62">
        <f t="shared" si="52"/>
        <v>321.99347958016057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>
        <f>EXP(-LN(2)/35)*HG39+(1-EXP(-LN(2)/35))/(LN(2)/35)*HC40*HD40*VLOOKUP('Données projet'!$B$18,Paramètres!$A$1:$I$89,3,0)*0.475*44/12</f>
        <v>0</v>
      </c>
      <c r="HH40" s="23">
        <f>EXP(-LN(2)/25)*HH39+(1-EXP(-LN(2)/25))/(LN(2)/25)*Calculateur!HC40*Calculateur!HE40*VLOOKUP('Données projet'!$B$18,Paramètres!$A$1:$I$89,3,0)*0.475*44/12</f>
        <v>0</v>
      </c>
      <c r="HI40" s="23">
        <f>EXP(-LN(2)/2)*HI39+(1-EXP(-LN(2)/2))/(LN(2)/2)*HC40*HF40*VLOOKUP('Données projet'!$B$18,Paramètres!$A$1:$I$89,3,0)*0.475*44/12</f>
        <v>0</v>
      </c>
      <c r="HJ40" s="24">
        <f t="shared" si="30"/>
        <v>0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11.2</v>
      </c>
      <c r="N41" s="14">
        <f>IF('Données projet'!$A$36&gt;35,N40+M41-V40,IF(A41&lt;'Données projet'!$A$36,$K$205^A41,IF(A41='Données projet'!$A$36,'Données projet'!$B$36,N40+M41-V40)))</f>
        <v>152.60000000000005</v>
      </c>
      <c r="O41" s="14">
        <f>N41*VLOOKUP('Données projet'!$B$9,Paramètres!$A$1:$I$89,3,0)*VLOOKUP('Données projet'!$B$9,Paramètres!$A$1:$I$89,5,0)</f>
        <v>138.07248000000004</v>
      </c>
      <c r="P41" s="14">
        <f t="shared" si="33"/>
        <v>35.85508207677799</v>
      </c>
      <c r="Q41" s="22">
        <f t="shared" si="53"/>
        <v>302.92383728372175</v>
      </c>
      <c r="R41" s="62">
        <f t="shared" si="0"/>
        <v>596.25717061705507</v>
      </c>
      <c r="S41" s="62">
        <f ca="1">AVERAGE(OFFSET($R$3,0,0,'Données projet'!$E$9+1,1))-AVERAGE(OFFSET($H$3,0,0,'Données projet'!$E$9+1,1))</f>
        <v>509.56241660612449</v>
      </c>
      <c r="T41" s="62">
        <f t="shared" si="34"/>
        <v>278.21741231699929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11.2</v>
      </c>
      <c r="AI41" s="14">
        <f>IF('Données projet'!$A$62&gt;35,AI40+AH41-AQ40,IF(A41&lt;'Données projet'!$A$62,$AF$205^A41,IF(A41='Données projet'!$A$62,'Données projet'!$B$62,AI40+AH41-AQ40)))</f>
        <v>152.60000000000005</v>
      </c>
      <c r="AJ41" s="14">
        <f>AI41*VLOOKUP('Données projet'!$B$10,Paramètres!$A$1:$I$89,3,0)*VLOOKUP('Données projet'!$B$10,Paramètres!$A$1:$I$89,5,0)</f>
        <v>154.73640000000006</v>
      </c>
      <c r="AK41" s="14">
        <f t="shared" si="35"/>
        <v>39.652994320183701</v>
      </c>
      <c r="AL41" s="22">
        <f t="shared" si="4"/>
        <v>338.56152844098671</v>
      </c>
      <c r="AM41" s="62">
        <f t="shared" si="5"/>
        <v>631.89486177432002</v>
      </c>
      <c r="AN41" s="62">
        <f ca="1">AVERAGE(OFFSET($AM$3,0,0,'Données projet'!$E$10+1,1))-AVERAGE(OFFSET($H$3,0,0,'Données projet'!$E$10+1,1))</f>
        <v>565.72091871734051</v>
      </c>
      <c r="AO41" s="62">
        <f t="shared" si="36"/>
        <v>306.61893266146666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11.340000000000003</v>
      </c>
      <c r="BD41" s="13">
        <f>IF('Données projet'!$A$88&gt;35,BD40+BC41-BL40,IF(A41&lt;'Données projet'!$A$88,$BA$205^A41,IF(A41='Données projet'!$A$88,'Données projet'!$B$88,BD40+BC41-BL40)))</f>
        <v>240.4199999999999</v>
      </c>
      <c r="BE41" s="14">
        <f>BD41*VLOOKUP('Données projet'!$B$11,Paramètres!$A$1:$I$89,3,0)*VLOOKUP('Données projet'!$B$11,Paramètres!$A$1:$I$89,5,0)</f>
        <v>176.27594399999992</v>
      </c>
      <c r="BF41" s="14">
        <f t="shared" si="37"/>
        <v>44.492646904932492</v>
      </c>
      <c r="BG41" s="22">
        <f t="shared" si="7"/>
        <v>384.50529582609062</v>
      </c>
      <c r="BH41" s="62">
        <f t="shared" si="8"/>
        <v>677.83862915942393</v>
      </c>
      <c r="BI41" s="62">
        <f ca="1">AVERAGE(OFFSET($BH$3,0,0,'Données projet'!$E$11+1,1))-AVERAGE(OFFSET($H$3,0,0,'Données projet'!$E$11+1,1))</f>
        <v>344.26020118887629</v>
      </c>
      <c r="BJ41" s="62">
        <f t="shared" si="38"/>
        <v>376.41441893222185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11.2</v>
      </c>
      <c r="BY41" s="13">
        <f>IF('Données projet'!$A$114&gt;35,BY40+BX41-CG40,IF(A41&lt;'Données projet'!$A$114,$BV$205^A41,IF(A41='Données projet'!$A$114,'Données projet'!$B$114,BY40+BX41-CG40)))</f>
        <v>152.60000000000005</v>
      </c>
      <c r="BZ41" s="14">
        <f>BY41*VLOOKUP('Données projet'!$B$12,Paramètres!$A$1:$I$89,3,0)*VLOOKUP('Données projet'!$B$12,Paramètres!$A$1:$I$89,5,0)</f>
        <v>128.55024000000006</v>
      </c>
      <c r="CA41" s="14">
        <f t="shared" si="39"/>
        <v>33.661144026076698</v>
      </c>
      <c r="CB41" s="22">
        <f t="shared" si="10"/>
        <v>282.51816051208368</v>
      </c>
      <c r="CC41" s="62">
        <f t="shared" si="11"/>
        <v>575.85149384541705</v>
      </c>
      <c r="CD41" s="62">
        <f ca="1">AVERAGE(OFFSET($CC$3,0,0,'Données projet'!$E$12+1,1))-AVERAGE(OFFSET($H$3,0,0,'Données projet'!$E$12+1,1))</f>
        <v>477.4105367901771</v>
      </c>
      <c r="CE41" s="62">
        <f t="shared" si="40"/>
        <v>261.95434270986397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10.402930402930403</v>
      </c>
      <c r="CT41" s="13">
        <f>IF('Données projet'!$A$140&gt;35,CT40+CS41-DB40,IF(A41&lt;'Données projet'!$A$140,$CQ$205^A41,IF(A41='Données projet'!$A$140,'Données projet'!$B$140,CT40+CS41-DB40)))</f>
        <v>186.30036630036628</v>
      </c>
      <c r="CU41" s="18">
        <f>CT41*VLOOKUP('Données projet'!$B$13,Paramètres!$A$1:$I$89,3,0)*VLOOKUP('Données projet'!$B$13,Paramètres!$A$1:$I$89,5,0)</f>
        <v>87.188571428571422</v>
      </c>
      <c r="CV41" s="14">
        <f t="shared" si="41"/>
        <v>23.885928818198035</v>
      </c>
      <c r="CW41" s="22">
        <f t="shared" si="13"/>
        <v>193.45475459645681</v>
      </c>
      <c r="CX41" s="62">
        <f t="shared" si="14"/>
        <v>486.78808792979009</v>
      </c>
      <c r="CY41" s="62">
        <f ca="1">AVERAGE(OFFSET($CX$3,0,0,'Données projet'!$E$13+1,1))-AVERAGE(OFFSET($H$3,0,0,'Données projet'!$E$13+1,1))</f>
        <v>246.64907095367749</v>
      </c>
      <c r="CZ41" s="62">
        <f t="shared" si="42"/>
        <v>145.34368562171613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11.340000000000003</v>
      </c>
      <c r="DO41" s="13">
        <f>IF('Données projet'!$A$166&gt;35,DO40+DN41-DW40,IF(A41&lt;'Données projet'!$A$166,$DL$205^A41,IF(A41='Données projet'!$A$166,'Données projet'!$B$166,DO40+DN41-DW40)))</f>
        <v>240.4199999999999</v>
      </c>
      <c r="DP41" s="18">
        <f>DO41*VLOOKUP('Données projet'!$B$14,Paramètres!$A$1:$I$89,3,0)*VLOOKUP('Données projet'!$B$14,Paramètres!$A$1:$I$89,5,0)</f>
        <v>191.27815199999995</v>
      </c>
      <c r="DQ41" s="14">
        <f t="shared" si="43"/>
        <v>47.822423751245466</v>
      </c>
      <c r="DR41" s="22">
        <f t="shared" si="16"/>
        <v>416.43350276675238</v>
      </c>
      <c r="DS41" s="62">
        <f t="shared" si="17"/>
        <v>709.7668361000857</v>
      </c>
      <c r="DT41" s="62">
        <f ca="1">AVERAGE(OFFSET($DS$3,0,0,'Données projet'!$E$14+1,1))-AVERAGE(OFFSET($H$3,0,0,'Données projet'!$E$14+1,1))</f>
        <v>370.38521334472284</v>
      </c>
      <c r="DU41" s="62">
        <f t="shared" si="44"/>
        <v>404.61777090709171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15.166666666666666</v>
      </c>
      <c r="EJ41" s="13">
        <f>IF('Données projet'!$A$192&gt;35,EJ40+EI41-ER40,IF(A41&lt;'Données projet'!$A$192,$EG$205^A41,IF(A41='Données projet'!$A$192,'Données projet'!$B$192,EJ40+EI41-ER40)))</f>
        <v>144.33333333333329</v>
      </c>
      <c r="EK41" s="18">
        <f>EJ41*VLOOKUP('Données projet'!$B$15,Paramètres!$A$1:$I$89,3,0)*VLOOKUP('Données projet'!$B$15,Paramètres!$A$1:$I$89,5,0)</f>
        <v>123.83799999999997</v>
      </c>
      <c r="EL41" s="14">
        <f t="shared" si="45"/>
        <v>32.568503009939569</v>
      </c>
      <c r="EM41" s="22">
        <f t="shared" si="19"/>
        <v>272.40799274231136</v>
      </c>
      <c r="EN41" s="62">
        <f t="shared" si="20"/>
        <v>565.74132607564468</v>
      </c>
      <c r="EO41" s="62">
        <f ca="1">AVERAGE(OFFSET($EN$3,0,0,'Données projet'!$E$15+1,1))-AVERAGE(OFFSET($H$3,0,0,'Données projet'!$E$15+1,1))</f>
        <v>445.81166342116865</v>
      </c>
      <c r="EP41" s="62">
        <f t="shared" si="46"/>
        <v>230.82970731138215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11.2</v>
      </c>
      <c r="FE41" s="13">
        <f>IF('Données projet'!$A$218&gt;35,FE40+FD41-FM40,IF(A41&lt;'Données projet'!$A$218,$FB$205^A41,IF(A41='Données projet'!$A$218,'Données projet'!$B$218,FE40+FD41-FM40)))</f>
        <v>152.60000000000005</v>
      </c>
      <c r="FF41" s="18">
        <f>FE41*VLOOKUP('Données projet'!$B$16,Paramètres!$A$1:$I$89,3,0)*VLOOKUP('Données projet'!$B$16,Paramètres!$A$1:$I$89,5,0)</f>
        <v>147.59472000000005</v>
      </c>
      <c r="FG41" s="14">
        <f t="shared" si="47"/>
        <v>38.031463918082679</v>
      </c>
      <c r="FH41" s="22">
        <f t="shared" si="22"/>
        <v>323.29893699066071</v>
      </c>
      <c r="FI41" s="62">
        <f t="shared" si="23"/>
        <v>616.63227032399402</v>
      </c>
      <c r="FJ41" s="62">
        <f ca="1">AVERAGE(OFFSET($FI$3,0,0,'Données projet'!$E$16+1,1))-AVERAGE(OFFSET($H$3,0,0,'Données projet'!$E$16+1,1))</f>
        <v>541.66888676162716</v>
      </c>
      <c r="FK41" s="62">
        <f t="shared" si="48"/>
        <v>294.45557293177131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>
        <f>EXP(-LN(2)/35)*FQ40+(1-EXP(-LN(2)/35))/(LN(2)/35)*FM41*FN41*VLOOKUP('Données projet'!$B$16,Paramètres!$A$1:$I$89,3,0)*0.475*44/12</f>
        <v>0</v>
      </c>
      <c r="FR41" s="23">
        <f>EXP(-LN(2)/25)*FR40+(1-EXP(-LN(2)/25))/(LN(2)/25)*Calculateur!FM41*Calculateur!FO41*VLOOKUP('Données projet'!$B$16,Paramètres!$A$1:$I$89,3,0)*0.475*44/12</f>
        <v>0</v>
      </c>
      <c r="FS41" s="23">
        <f>EXP(-LN(2)/2)*FS40+(1-EXP(-LN(2)/2))/(LN(2)/2)*FM41*FP41*VLOOKUP('Données projet'!$B$16,Paramètres!$A$1:$I$89,3,0)*0.475*44/12</f>
        <v>0</v>
      </c>
      <c r="FT41" s="24">
        <f t="shared" si="24"/>
        <v>0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11.142857142857142</v>
      </c>
      <c r="FZ41" s="13">
        <f>IF('Données projet'!$A$244&gt;35,FZ40+FY41-GH40,IF(A41&lt;'Données projet'!$A$244,$FW$205^A41,IF(A41='Données projet'!$A$244,'Données projet'!$B$244,FZ40+FY41-GH40)))</f>
        <v>163.14285714285711</v>
      </c>
      <c r="GA41" s="18">
        <f>FZ41*VLOOKUP('Données projet'!$B$17,Paramètres!$A$1:$I$89,3,0)*VLOOKUP('Données projet'!$B$17,Paramètres!$A$1:$I$89,5,0)</f>
        <v>127.25142857142855</v>
      </c>
      <c r="GB41" s="14">
        <f t="shared" si="49"/>
        <v>33.360457439554281</v>
      </c>
      <c r="GC41" s="22">
        <f t="shared" si="25"/>
        <v>279.73236813579507</v>
      </c>
      <c r="GD41" s="62">
        <f t="shared" si="26"/>
        <v>573.06570146912838</v>
      </c>
      <c r="GE41" s="62">
        <f ca="1">AVERAGE(OFFSET($GD$3,0,0,'Données projet'!$E$17+1,1))-AVERAGE(OFFSET($H$3,0,0,'Données projet'!$E$17+1,1))</f>
        <v>292.57482726862594</v>
      </c>
      <c r="GF41" s="62">
        <f t="shared" si="50"/>
        <v>283.48738729114024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>
        <f>EXP(-LN(2)/35)*GL40+(1-EXP(-LN(2)/35))/(LN(2)/35)*GH41*GI41*VLOOKUP('Données projet'!$B$17,Paramètres!$A$1:$I$89,3,0)*0.475*44/12</f>
        <v>0</v>
      </c>
      <c r="GM41" s="23">
        <f>EXP(-LN(2)/25)*GM40+(1-EXP(-LN(2)/25))/(LN(2)/25)*Calculateur!GH41*Calculateur!GJ41*VLOOKUP('Données projet'!$B$17,Paramètres!$A$1:$I$89,3,0)*0.475*44/12</f>
        <v>0</v>
      </c>
      <c r="GN41" s="23">
        <f>EXP(-LN(2)/2)*GN40+(1-EXP(-LN(2)/2))/(LN(2)/2)*GH41*GK41*VLOOKUP('Données projet'!$B$17,Paramètres!$A$1:$I$89,3,0)*0.475*44/12</f>
        <v>0</v>
      </c>
      <c r="GO41" s="23">
        <f t="shared" si="27"/>
        <v>0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8.8461538461538449</v>
      </c>
      <c r="GU41" s="13">
        <f>IF('Données projet'!$A$270&gt;35,GU40+GT41-HC40,IF(A41&lt;'Données projet'!$A$270,$GR$205^A41,IF(A41='Données projet'!$A$270,'Données projet'!$B$270,GU40+GT41-HC40)))</f>
        <v>222.69230769230759</v>
      </c>
      <c r="GV41" s="18">
        <f>GU41*VLOOKUP('Données projet'!$B$18,Paramètres!$A$1:$I$89,3,0)*VLOOKUP('Données projet'!$B$18,Paramètres!$A$1:$I$89,5,0)</f>
        <v>149.38199999999995</v>
      </c>
      <c r="GW41" s="14">
        <f t="shared" si="51"/>
        <v>38.438109175583776</v>
      </c>
      <c r="GX41" s="22">
        <f t="shared" si="28"/>
        <v>327.1200234808083</v>
      </c>
      <c r="GY41" s="62">
        <f t="shared" si="29"/>
        <v>620.45335681414167</v>
      </c>
      <c r="GZ41" s="62">
        <f ca="1">AVERAGE(OFFSET($GY$3,0,0,'Données projet'!$E$18+1,1))-AVERAGE(OFFSET($H$3,0,0,'Données projet'!$E$18+1,1))</f>
        <v>410.20186800287411</v>
      </c>
      <c r="HA41" s="62">
        <f t="shared" si="52"/>
        <v>321.99347958016057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>
        <f>EXP(-LN(2)/35)*HG40+(1-EXP(-LN(2)/35))/(LN(2)/35)*HC41*HD41*VLOOKUP('Données projet'!$B$18,Paramètres!$A$1:$I$89,3,0)*0.475*44/12</f>
        <v>0</v>
      </c>
      <c r="HH41" s="23">
        <f>EXP(-LN(2)/25)*HH40+(1-EXP(-LN(2)/25))/(LN(2)/25)*Calculateur!HC41*Calculateur!HE41*VLOOKUP('Données projet'!$B$18,Paramètres!$A$1:$I$89,3,0)*0.475*44/12</f>
        <v>0</v>
      </c>
      <c r="HI41" s="23">
        <f>EXP(-LN(2)/2)*HI40+(1-EXP(-LN(2)/2))/(LN(2)/2)*HC41*HF41*VLOOKUP('Données projet'!$B$18,Paramètres!$A$1:$I$89,3,0)*0.475*44/12</f>
        <v>0</v>
      </c>
      <c r="HJ41" s="24">
        <f t="shared" si="30"/>
        <v>0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11.2</v>
      </c>
      <c r="N42" s="14">
        <f>IF('Données projet'!$A$36&gt;35,N41+M42-V41,IF(A42&lt;'Données projet'!$A$36,$K$205^A42,IF(A42='Données projet'!$A$36,'Données projet'!$B$36,N41+M42-V41)))</f>
        <v>163.80000000000004</v>
      </c>
      <c r="O42" s="14">
        <f>N42*VLOOKUP('Données projet'!$B$9,Paramètres!$A$1:$I$89,3,0)*VLOOKUP('Données projet'!$B$9,Paramètres!$A$1:$I$89,5,0)</f>
        <v>148.20624000000004</v>
      </c>
      <c r="P42" s="14">
        <f t="shared" si="33"/>
        <v>38.170662245893794</v>
      </c>
      <c r="Q42" s="22">
        <f t="shared" si="53"/>
        <v>324.60643807826506</v>
      </c>
      <c r="R42" s="62">
        <f t="shared" si="0"/>
        <v>617.93977141159837</v>
      </c>
      <c r="S42" s="62">
        <f ca="1">AVERAGE(OFFSET($R$3,0,0,'Données projet'!$E$9+1,1))-AVERAGE(OFFSET($H$3,0,0,'Données projet'!$E$9+1,1))</f>
        <v>509.56241660612449</v>
      </c>
      <c r="T42" s="62">
        <f t="shared" si="34"/>
        <v>278.21741231699929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11.2</v>
      </c>
      <c r="AI42" s="14">
        <f>IF('Données projet'!$A$62&gt;35,AI41+AH42-AQ41,IF(A42&lt;'Données projet'!$A$62,$AF$205^A42,IF(A42='Données projet'!$A$62,'Données projet'!$B$62,AI41+AH42-AQ41)))</f>
        <v>163.80000000000004</v>
      </c>
      <c r="AJ42" s="14">
        <f>AI42*VLOOKUP('Données projet'!$B$10,Paramètres!$A$1:$I$89,3,0)*VLOOKUP('Données projet'!$B$10,Paramètres!$A$1:$I$89,5,0)</f>
        <v>166.09320000000005</v>
      </c>
      <c r="AK42" s="14">
        <f t="shared" si="35"/>
        <v>42.213849908165905</v>
      </c>
      <c r="AL42" s="22">
        <f t="shared" si="4"/>
        <v>362.80144525672239</v>
      </c>
      <c r="AM42" s="62">
        <f t="shared" si="5"/>
        <v>656.1347785900557</v>
      </c>
      <c r="AN42" s="62">
        <f ca="1">AVERAGE(OFFSET($AM$3,0,0,'Données projet'!$E$10+1,1))-AVERAGE(OFFSET($H$3,0,0,'Données projet'!$E$10+1,1))</f>
        <v>565.72091871734051</v>
      </c>
      <c r="AO42" s="62">
        <f t="shared" si="36"/>
        <v>306.61893266146666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11.340000000000003</v>
      </c>
      <c r="BD42" s="13">
        <f>IF('Données projet'!$A$88&gt;35,BD41+BC42-BL41,IF(A42&lt;'Données projet'!$A$88,$BA$205^A42,IF(A42='Données projet'!$A$88,'Données projet'!$B$88,BD41+BC42-BL41)))</f>
        <v>251.75999999999991</v>
      </c>
      <c r="BE42" s="14">
        <f>BD42*VLOOKUP('Données projet'!$B$11,Paramètres!$A$1:$I$89,3,0)*VLOOKUP('Données projet'!$B$11,Paramètres!$A$1:$I$89,5,0)</f>
        <v>184.59043199999994</v>
      </c>
      <c r="BF42" s="14">
        <f t="shared" si="37"/>
        <v>46.341971073486597</v>
      </c>
      <c r="BG42" s="22">
        <f t="shared" si="7"/>
        <v>402.20726868632238</v>
      </c>
      <c r="BH42" s="62">
        <f t="shared" si="8"/>
        <v>695.54060201965569</v>
      </c>
      <c r="BI42" s="62">
        <f ca="1">AVERAGE(OFFSET($BH$3,0,0,'Données projet'!$E$11+1,1))-AVERAGE(OFFSET($H$3,0,0,'Données projet'!$E$11+1,1))</f>
        <v>344.26020118887629</v>
      </c>
      <c r="BJ42" s="62">
        <f t="shared" si="38"/>
        <v>376.41441893222185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11.2</v>
      </c>
      <c r="BY42" s="13">
        <f>IF('Données projet'!$A$114&gt;35,BY41+BX42-CG41,IF(A42&lt;'Données projet'!$A$114,$BV$205^A42,IF(A42='Données projet'!$A$114,'Données projet'!$B$114,BY41+BX42-CG41)))</f>
        <v>163.80000000000004</v>
      </c>
      <c r="BZ42" s="14">
        <f>BY42*VLOOKUP('Données projet'!$B$12,Paramètres!$A$1:$I$89,3,0)*VLOOKUP('Données projet'!$B$12,Paramètres!$A$1:$I$89,5,0)</f>
        <v>137.98512000000005</v>
      </c>
      <c r="CA42" s="14">
        <f t="shared" si="39"/>
        <v>35.835036067646342</v>
      </c>
      <c r="CB42" s="22">
        <f t="shared" si="10"/>
        <v>302.73677181781744</v>
      </c>
      <c r="CC42" s="62">
        <f t="shared" si="11"/>
        <v>596.07010515115076</v>
      </c>
      <c r="CD42" s="62">
        <f ca="1">AVERAGE(OFFSET($CC$3,0,0,'Données projet'!$E$12+1,1))-AVERAGE(OFFSET($H$3,0,0,'Données projet'!$E$12+1,1))</f>
        <v>477.4105367901771</v>
      </c>
      <c r="CE42" s="62">
        <f t="shared" si="40"/>
        <v>261.95434270986397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10.402930402930403</v>
      </c>
      <c r="CT42" s="13">
        <f>IF('Données projet'!$A$140&gt;35,CT41+CS42-DB41,IF(A42&lt;'Données projet'!$A$140,$CQ$205^A42,IF(A42='Données projet'!$A$140,'Données projet'!$B$140,CT41+CS42-DB41)))</f>
        <v>196.70329670329667</v>
      </c>
      <c r="CU42" s="18">
        <f>CT42*VLOOKUP('Données projet'!$B$13,Paramètres!$A$1:$I$89,3,0)*VLOOKUP('Données projet'!$B$13,Paramètres!$A$1:$I$89,5,0)</f>
        <v>92.05714285714285</v>
      </c>
      <c r="CV42" s="14">
        <f t="shared" si="41"/>
        <v>25.060703863036977</v>
      </c>
      <c r="CW42" s="22">
        <f t="shared" si="13"/>
        <v>203.9802497043132</v>
      </c>
      <c r="CX42" s="62">
        <f t="shared" si="14"/>
        <v>497.31358303764648</v>
      </c>
      <c r="CY42" s="62">
        <f ca="1">AVERAGE(OFFSET($CX$3,0,0,'Données projet'!$E$13+1,1))-AVERAGE(OFFSET($H$3,0,0,'Données projet'!$E$13+1,1))</f>
        <v>246.64907095367749</v>
      </c>
      <c r="CZ42" s="62">
        <f t="shared" si="42"/>
        <v>145.34368562171613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11.340000000000003</v>
      </c>
      <c r="DO42" s="13">
        <f>IF('Données projet'!$A$166&gt;35,DO41+DN42-DW41,IF(A42&lt;'Données projet'!$A$166,$DL$205^A42,IF(A42='Données projet'!$A$166,'Données projet'!$B$166,DO41+DN42-DW41)))</f>
        <v>251.75999999999991</v>
      </c>
      <c r="DP42" s="18">
        <f>DO42*VLOOKUP('Données projet'!$B$14,Paramètres!$A$1:$I$89,3,0)*VLOOKUP('Données projet'!$B$14,Paramètres!$A$1:$I$89,5,0)</f>
        <v>200.30025599999993</v>
      </c>
      <c r="DQ42" s="14">
        <f t="shared" si="43"/>
        <v>49.810149143959919</v>
      </c>
      <c r="DR42" s="22">
        <f t="shared" si="16"/>
        <v>435.60895562573</v>
      </c>
      <c r="DS42" s="62">
        <f t="shared" si="17"/>
        <v>728.94228895906326</v>
      </c>
      <c r="DT42" s="62">
        <f ca="1">AVERAGE(OFFSET($DS$3,0,0,'Données projet'!$E$14+1,1))-AVERAGE(OFFSET($H$3,0,0,'Données projet'!$E$14+1,1))</f>
        <v>370.38521334472284</v>
      </c>
      <c r="DU42" s="62">
        <f t="shared" si="44"/>
        <v>404.61777090709171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15.166666666666666</v>
      </c>
      <c r="EJ42" s="13">
        <f>IF('Données projet'!$A$192&gt;35,EJ41+EI42-ER41,IF(A42&lt;'Données projet'!$A$192,$EG$205^A42,IF(A42='Données projet'!$A$192,'Données projet'!$B$192,EJ41+EI42-ER41)))</f>
        <v>159.49999999999994</v>
      </c>
      <c r="EK42" s="18">
        <f>EJ42*VLOOKUP('Données projet'!$B$15,Paramètres!$A$1:$I$89,3,0)*VLOOKUP('Données projet'!$B$15,Paramètres!$A$1:$I$89,5,0)</f>
        <v>136.85099999999997</v>
      </c>
      <c r="EL42" s="14">
        <f t="shared" si="45"/>
        <v>35.574661452157265</v>
      </c>
      <c r="EM42" s="22">
        <f t="shared" si="19"/>
        <v>300.30802702917384</v>
      </c>
      <c r="EN42" s="62">
        <f t="shared" si="20"/>
        <v>593.64136036250716</v>
      </c>
      <c r="EO42" s="62">
        <f ca="1">AVERAGE(OFFSET($EN$3,0,0,'Données projet'!$E$15+1,1))-AVERAGE(OFFSET($H$3,0,0,'Données projet'!$E$15+1,1))</f>
        <v>445.81166342116865</v>
      </c>
      <c r="EP42" s="62">
        <f t="shared" si="46"/>
        <v>230.82970731138215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11.2</v>
      </c>
      <c r="FE42" s="13">
        <f>IF('Données projet'!$A$218&gt;35,FE41+FD42-FM41,IF(A42&lt;'Données projet'!$A$218,$FB$205^A42,IF(A42='Données projet'!$A$218,'Données projet'!$B$218,FE41+FD42-FM41)))</f>
        <v>163.80000000000004</v>
      </c>
      <c r="FF42" s="18">
        <f>FE42*VLOOKUP('Données projet'!$B$16,Paramètres!$A$1:$I$89,3,0)*VLOOKUP('Données projet'!$B$16,Paramètres!$A$1:$I$89,5,0)</f>
        <v>158.42736000000005</v>
      </c>
      <c r="FG42" s="14">
        <f t="shared" si="47"/>
        <v>40.487598405868248</v>
      </c>
      <c r="FH42" s="22">
        <f t="shared" si="22"/>
        <v>346.44355255688725</v>
      </c>
      <c r="FI42" s="62">
        <f t="shared" si="23"/>
        <v>639.77688589022057</v>
      </c>
      <c r="FJ42" s="62">
        <f ca="1">AVERAGE(OFFSET($FI$3,0,0,'Données projet'!$E$16+1,1))-AVERAGE(OFFSET($H$3,0,0,'Données projet'!$E$16+1,1))</f>
        <v>541.66888676162716</v>
      </c>
      <c r="FK42" s="62">
        <f t="shared" si="48"/>
        <v>294.45557293177131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>
        <f>EXP(-LN(2)/35)*FQ41+(1-EXP(-LN(2)/35))/(LN(2)/35)*FM42*FN42*VLOOKUP('Données projet'!$B$16,Paramètres!$A$1:$I$89,3,0)*0.475*44/12</f>
        <v>0</v>
      </c>
      <c r="FR42" s="23">
        <f>EXP(-LN(2)/25)*FR41+(1-EXP(-LN(2)/25))/(LN(2)/25)*Calculateur!FM42*Calculateur!FO42*VLOOKUP('Données projet'!$B$16,Paramètres!$A$1:$I$89,3,0)*0.475*44/12</f>
        <v>0</v>
      </c>
      <c r="FS42" s="23">
        <f>EXP(-LN(2)/2)*FS41+(1-EXP(-LN(2)/2))/(LN(2)/2)*FM42*FP42*VLOOKUP('Données projet'!$B$16,Paramètres!$A$1:$I$89,3,0)*0.475*44/12</f>
        <v>0</v>
      </c>
      <c r="FT42" s="24">
        <f t="shared" si="24"/>
        <v>0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11.142857142857142</v>
      </c>
      <c r="FZ42" s="13">
        <f>IF('Données projet'!$A$244&gt;35,FZ41+FY42-GH41,IF(A42&lt;'Données projet'!$A$244,$FW$205^A42,IF(A42='Données projet'!$A$244,'Données projet'!$B$244,FZ41+FY42-GH41)))</f>
        <v>174.28571428571425</v>
      </c>
      <c r="GA42" s="18">
        <f>FZ42*VLOOKUP('Données projet'!$B$17,Paramètres!$A$1:$I$89,3,0)*VLOOKUP('Données projet'!$B$17,Paramètres!$A$1:$I$89,5,0)</f>
        <v>135.94285714285712</v>
      </c>
      <c r="GB42" s="14">
        <f t="shared" si="49"/>
        <v>35.365986273808367</v>
      </c>
      <c r="GC42" s="22">
        <f t="shared" si="25"/>
        <v>298.36290228402572</v>
      </c>
      <c r="GD42" s="62">
        <f t="shared" si="26"/>
        <v>591.69623561735898</v>
      </c>
      <c r="GE42" s="62">
        <f ca="1">AVERAGE(OFFSET($GD$3,0,0,'Données projet'!$E$17+1,1))-AVERAGE(OFFSET($H$3,0,0,'Données projet'!$E$17+1,1))</f>
        <v>292.57482726862594</v>
      </c>
      <c r="GF42" s="62">
        <f t="shared" si="50"/>
        <v>283.48738729114024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>
        <f>EXP(-LN(2)/35)*GL41+(1-EXP(-LN(2)/35))/(LN(2)/35)*GH42*GI42*VLOOKUP('Données projet'!$B$17,Paramètres!$A$1:$I$89,3,0)*0.475*44/12</f>
        <v>0</v>
      </c>
      <c r="GM42" s="23">
        <f>EXP(-LN(2)/25)*GM41+(1-EXP(-LN(2)/25))/(LN(2)/25)*Calculateur!GH42*Calculateur!GJ42*VLOOKUP('Données projet'!$B$17,Paramètres!$A$1:$I$89,3,0)*0.475*44/12</f>
        <v>0</v>
      </c>
      <c r="GN42" s="23">
        <f>EXP(-LN(2)/2)*GN41+(1-EXP(-LN(2)/2))/(LN(2)/2)*GH42*GK42*VLOOKUP('Données projet'!$B$17,Paramètres!$A$1:$I$89,3,0)*0.475*44/12</f>
        <v>0</v>
      </c>
      <c r="GO42" s="23">
        <f t="shared" si="27"/>
        <v>0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8.8461538461538449</v>
      </c>
      <c r="GU42" s="13">
        <f>IF('Données projet'!$A$270&gt;35,GU41+GT42-HC41,IF(A42&lt;'Données projet'!$A$270,$GR$205^A42,IF(A42='Données projet'!$A$270,'Données projet'!$B$270,GU41+GT42-HC41)))</f>
        <v>231.53846153846143</v>
      </c>
      <c r="GV42" s="18">
        <f>GU42*VLOOKUP('Données projet'!$B$18,Paramètres!$A$1:$I$89,3,0)*VLOOKUP('Données projet'!$B$18,Paramètres!$A$1:$I$89,5,0)</f>
        <v>155.31599999999995</v>
      </c>
      <c r="GW42" s="14">
        <f t="shared" si="51"/>
        <v>39.784206160846679</v>
      </c>
      <c r="GX42" s="22">
        <f t="shared" si="28"/>
        <v>339.79952573014117</v>
      </c>
      <c r="GY42" s="62">
        <f t="shared" si="29"/>
        <v>633.13285906347448</v>
      </c>
      <c r="GZ42" s="62">
        <f ca="1">AVERAGE(OFFSET($GY$3,0,0,'Données projet'!$E$18+1,1))-AVERAGE(OFFSET($H$3,0,0,'Données projet'!$E$18+1,1))</f>
        <v>410.20186800287411</v>
      </c>
      <c r="HA42" s="62">
        <f t="shared" si="52"/>
        <v>321.99347958016057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>
        <f>EXP(-LN(2)/35)*HG41+(1-EXP(-LN(2)/35))/(LN(2)/35)*HC42*HD42*VLOOKUP('Données projet'!$B$18,Paramètres!$A$1:$I$89,3,0)*0.475*44/12</f>
        <v>0</v>
      </c>
      <c r="HH42" s="23">
        <f>EXP(-LN(2)/25)*HH41+(1-EXP(-LN(2)/25))/(LN(2)/25)*Calculateur!HC42*Calculateur!HE42*VLOOKUP('Données projet'!$B$18,Paramètres!$A$1:$I$89,3,0)*0.475*44/12</f>
        <v>0</v>
      </c>
      <c r="HI42" s="23">
        <f>EXP(-LN(2)/2)*HI41+(1-EXP(-LN(2)/2))/(LN(2)/2)*HC42*HF42*VLOOKUP('Données projet'!$B$18,Paramètres!$A$1:$I$89,3,0)*0.475*44/12</f>
        <v>0</v>
      </c>
      <c r="HJ42" s="24">
        <f t="shared" si="30"/>
        <v>0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175</v>
      </c>
      <c r="L43" s="13">
        <f>VLOOKUP(A43,'Données projet'!$A$35:$I$55,9,0)</f>
        <v>11.2</v>
      </c>
      <c r="M43" s="13">
        <f t="array" ref="M43">INDEX(L:L,MIN(IF(ISNUMBER(L43:L239),ROW(L43:L239),"")))</f>
        <v>11.2</v>
      </c>
      <c r="N43" s="14">
        <f>IF('Données projet'!$A$36&gt;35,N42+M43-V42,IF(A43&lt;'Données projet'!$A$36,$K$205^A43,IF(A43='Données projet'!$A$36,'Données projet'!$B$36,N42+M43-V42)))</f>
        <v>175.00000000000003</v>
      </c>
      <c r="O43" s="14">
        <f>N43*VLOOKUP('Données projet'!$B$9,Paramètres!$A$1:$I$89,3,0)*VLOOKUP('Données projet'!$B$9,Paramètres!$A$1:$I$89,5,0)</f>
        <v>158.34000000000003</v>
      </c>
      <c r="P43" s="14">
        <f t="shared" si="33"/>
        <v>40.467870812652819</v>
      </c>
      <c r="Q43" s="22">
        <f t="shared" si="53"/>
        <v>346.25704166537042</v>
      </c>
      <c r="R43" s="62">
        <f t="shared" si="0"/>
        <v>639.59037499870374</v>
      </c>
      <c r="S43" s="62">
        <f ca="1">AVERAGE(OFFSET($R$3,0,0,'Données projet'!$E$9+1,1))-AVERAGE(OFFSET($H$3,0,0,'Données projet'!$E$9+1,1))</f>
        <v>509.56241660612449</v>
      </c>
      <c r="T43" s="62">
        <f t="shared" si="34"/>
        <v>278.21741231699929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175</v>
      </c>
      <c r="AG43" s="13">
        <f>VLOOKUP(A43,'Données projet'!$A$61:$I$81,9,0)</f>
        <v>11.2</v>
      </c>
      <c r="AH43" s="13">
        <f t="array" ref="AH43">INDEX(AG:AG,MIN(IF(ISNUMBER(AG43:AG239),ROW(AG43:AG239),"")))</f>
        <v>11.2</v>
      </c>
      <c r="AI43" s="14">
        <f>IF('Données projet'!$A$62&gt;35,AI42+AH43-AQ42,IF(A43&lt;'Données projet'!$A$62,$AF$205^A43,IF(A43='Données projet'!$A$62,'Données projet'!$B$62,AI42+AH43-AQ42)))</f>
        <v>175.00000000000003</v>
      </c>
      <c r="AJ43" s="14">
        <f>AI43*VLOOKUP('Données projet'!$B$10,Paramètres!$A$1:$I$89,3,0)*VLOOKUP('Données projet'!$B$10,Paramètres!$A$1:$I$89,5,0)</f>
        <v>177.45000000000005</v>
      </c>
      <c r="AK43" s="14">
        <f t="shared" si="35"/>
        <v>44.754387900936791</v>
      </c>
      <c r="AL43" s="22">
        <f t="shared" si="4"/>
        <v>387.00597559413171</v>
      </c>
      <c r="AM43" s="62">
        <f t="shared" si="5"/>
        <v>680.33930892746503</v>
      </c>
      <c r="AN43" s="62">
        <f ca="1">AVERAGE(OFFSET($AM$3,0,0,'Données projet'!$E$10+1,1))-AVERAGE(OFFSET($H$3,0,0,'Données projet'!$E$10+1,1))</f>
        <v>565.72091871734051</v>
      </c>
      <c r="AO43" s="62">
        <f t="shared" si="36"/>
        <v>306.61893266146666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263.10000000000002</v>
      </c>
      <c r="BB43" s="13">
        <f>VLOOKUP(A43,'Données projet'!$A$87:$I$107,9,0)</f>
        <v>11.340000000000003</v>
      </c>
      <c r="BC43" s="13">
        <f t="array" ref="BC43">INDEX(BB:BB,MIN(IF(ISNUMBER(BB43:BB239),ROW(BB43:BB239),"")))</f>
        <v>11.340000000000003</v>
      </c>
      <c r="BD43" s="13">
        <f>IF('Données projet'!$A$88&gt;35,BD42+BC43-BL42,IF(A43&lt;'Données projet'!$A$88,$BA$205^A43,IF(A43='Données projet'!$A$88,'Données projet'!$B$88,BD42+BC43-BL42)))</f>
        <v>263.09999999999991</v>
      </c>
      <c r="BE43" s="14">
        <f>BD43*VLOOKUP('Données projet'!$B$11,Paramètres!$A$1:$I$89,3,0)*VLOOKUP('Données projet'!$B$11,Paramètres!$A$1:$I$89,5,0)</f>
        <v>192.90491999999995</v>
      </c>
      <c r="BF43" s="14">
        <f t="shared" si="37"/>
        <v>48.181621167171684</v>
      </c>
      <c r="BG43" s="22">
        <f t="shared" si="7"/>
        <v>419.89239253282386</v>
      </c>
      <c r="BH43" s="62">
        <f t="shared" si="8"/>
        <v>713.22572586615718</v>
      </c>
      <c r="BI43" s="62">
        <f ca="1">AVERAGE(OFFSET($BH$3,0,0,'Données projet'!$E$11+1,1))-AVERAGE(OFFSET($H$3,0,0,'Données projet'!$E$11+1,1))</f>
        <v>344.26020118887629</v>
      </c>
      <c r="BJ43" s="62">
        <f t="shared" si="38"/>
        <v>376.41441893222185</v>
      </c>
      <c r="BK43" s="16">
        <f>IF(ISNA(VLOOKUP(A43,'Données projet'!$A$87:$I$107,3,0)),0,VLOOKUP(A43,'Données projet'!$A$87:$I$107,3,0))</f>
        <v>3</v>
      </c>
      <c r="BL43" s="16">
        <f>IF(ISNA(VLOOKUP(A43,'Données projet'!$A$87:$I$107,4,0)),0,VLOOKUP(A43,'Données projet'!$A$87:$I$107,4,0))</f>
        <v>70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175</v>
      </c>
      <c r="BW43" s="13">
        <f>VLOOKUP(A43,'Données projet'!$A$113:$I$133,9,0)</f>
        <v>11.2</v>
      </c>
      <c r="BX43" s="13">
        <f t="array" ref="BX43">INDEX(BW:BW,MIN(IF(ISNUMBER(BW43:BW239),ROW(BW43:BW239),"")))</f>
        <v>11.2</v>
      </c>
      <c r="BY43" s="13">
        <f>IF('Données projet'!$A$114&gt;35,BY42+BX43-CG42,IF(A43&lt;'Données projet'!$A$114,$BV$205^A43,IF(A43='Données projet'!$A$114,'Données projet'!$B$114,BY42+BX43-CG42)))</f>
        <v>175.00000000000003</v>
      </c>
      <c r="BZ43" s="14">
        <f>BY43*VLOOKUP('Données projet'!$B$12,Paramètres!$A$1:$I$89,3,0)*VLOOKUP('Données projet'!$B$12,Paramètres!$A$1:$I$89,5,0)</f>
        <v>147.42000000000004</v>
      </c>
      <c r="CA43" s="14">
        <f t="shared" si="39"/>
        <v>37.991680647570327</v>
      </c>
      <c r="CB43" s="22">
        <f t="shared" si="10"/>
        <v>322.92534379451837</v>
      </c>
      <c r="CC43" s="62">
        <f t="shared" si="11"/>
        <v>616.25867712785168</v>
      </c>
      <c r="CD43" s="62">
        <f ca="1">AVERAGE(OFFSET($CC$3,0,0,'Données projet'!$E$12+1,1))-AVERAGE(OFFSET($H$3,0,0,'Données projet'!$E$12+1,1))</f>
        <v>477.4105367901771</v>
      </c>
      <c r="CE43" s="62">
        <f t="shared" si="40"/>
        <v>261.95434270986397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10.402930402930403</v>
      </c>
      <c r="CT43" s="13">
        <f>IF('Données projet'!$A$140&gt;35,CT42+CS43-DB42,IF(A43&lt;'Données projet'!$A$140,$CQ$205^A43,IF(A43='Données projet'!$A$140,'Données projet'!$B$140,CT42+CS43-DB42)))</f>
        <v>207.10622710622707</v>
      </c>
      <c r="CU43" s="18">
        <f>CT43*VLOOKUP('Données projet'!$B$13,Paramètres!$A$1:$I$89,3,0)*VLOOKUP('Données projet'!$B$13,Paramètres!$A$1:$I$89,5,0)</f>
        <v>96.925714285714264</v>
      </c>
      <c r="CV43" s="14">
        <f t="shared" si="41"/>
        <v>26.228265683321183</v>
      </c>
      <c r="CW43" s="22">
        <f t="shared" si="13"/>
        <v>214.49318177940339</v>
      </c>
      <c r="CX43" s="62">
        <f t="shared" si="14"/>
        <v>507.82651511273673</v>
      </c>
      <c r="CY43" s="62">
        <f ca="1">AVERAGE(OFFSET($CX$3,0,0,'Données projet'!$E$13+1,1))-AVERAGE(OFFSET($H$3,0,0,'Données projet'!$E$13+1,1))</f>
        <v>246.64907095367749</v>
      </c>
      <c r="CZ43" s="62">
        <f t="shared" si="42"/>
        <v>145.34368562171613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263.10000000000002</v>
      </c>
      <c r="DM43" s="13">
        <f>VLOOKUP(A43,'Données projet'!$A$165:$I$185,9,0)</f>
        <v>11.340000000000003</v>
      </c>
      <c r="DN43" s="13">
        <f t="array" ref="DN43">INDEX(DM:DM,MIN(IF(ISNUMBER(DM43:DM239),ROW(DM43:DM239),"")))</f>
        <v>11.340000000000003</v>
      </c>
      <c r="DO43" s="13">
        <f>IF('Données projet'!$A$166&gt;35,DO42+DN43-DW42,IF(A43&lt;'Données projet'!$A$166,$DL$205^A43,IF(A43='Données projet'!$A$166,'Données projet'!$B$166,DO42+DN43-DW42)))</f>
        <v>263.09999999999991</v>
      </c>
      <c r="DP43" s="18">
        <f>DO43*VLOOKUP('Données projet'!$B$14,Paramètres!$A$1:$I$89,3,0)*VLOOKUP('Données projet'!$B$14,Paramètres!$A$1:$I$89,5,0)</f>
        <v>209.32235999999995</v>
      </c>
      <c r="DQ43" s="14">
        <f t="shared" si="43"/>
        <v>51.78747646553299</v>
      </c>
      <c r="DR43" s="22">
        <f t="shared" si="16"/>
        <v>454.7662985108031</v>
      </c>
      <c r="DS43" s="62">
        <f t="shared" si="17"/>
        <v>748.09963184413641</v>
      </c>
      <c r="DT43" s="62">
        <f ca="1">AVERAGE(OFFSET($DS$3,0,0,'Données projet'!$E$14+1,1))-AVERAGE(OFFSET($H$3,0,0,'Données projet'!$E$14+1,1))</f>
        <v>370.38521334472284</v>
      </c>
      <c r="DU43" s="62">
        <f t="shared" si="44"/>
        <v>404.61777090709171</v>
      </c>
      <c r="DV43" s="16">
        <f>IF(ISNA(VLOOKUP(A43,'Données projet'!$A$165:$I$185,3,0)),0,VLOOKUP(A43,'Données projet'!$A$165:$I$185,3,0))</f>
        <v>3</v>
      </c>
      <c r="DW43" s="16">
        <f>IF(ISNA(VLOOKUP(A43,'Données projet'!$A$165:$I$185,4,0)),0,VLOOKUP(A43,'Données projet'!$A$165:$I$185,4,0))</f>
        <v>70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15.166666666666666</v>
      </c>
      <c r="EJ43" s="13">
        <f>IF('Données projet'!$A$192&gt;35,EJ42+EI43-ER42,IF(A43&lt;'Données projet'!$A$192,$EG$205^A43,IF(A43='Données projet'!$A$192,'Données projet'!$B$192,EJ42+EI43-ER42)))</f>
        <v>174.6666666666666</v>
      </c>
      <c r="EK43" s="18">
        <f>EJ43*VLOOKUP('Données projet'!$B$15,Paramètres!$A$1:$I$89,3,0)*VLOOKUP('Données projet'!$B$15,Paramètres!$A$1:$I$89,5,0)</f>
        <v>149.86399999999995</v>
      </c>
      <c r="EL43" s="14">
        <f t="shared" si="45"/>
        <v>38.547677501412096</v>
      </c>
      <c r="EM43" s="22">
        <f t="shared" si="19"/>
        <v>328.1503383149593</v>
      </c>
      <c r="EN43" s="62">
        <f t="shared" si="20"/>
        <v>621.48367164829256</v>
      </c>
      <c r="EO43" s="62">
        <f ca="1">AVERAGE(OFFSET($EN$3,0,0,'Données projet'!$E$15+1,1))-AVERAGE(OFFSET($H$3,0,0,'Données projet'!$E$15+1,1))</f>
        <v>445.81166342116865</v>
      </c>
      <c r="EP43" s="62">
        <f t="shared" si="46"/>
        <v>230.82970731138215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>
        <f>VLOOKUP(A43,'Données projet'!$A$217:$I$237,2,0)</f>
        <v>175</v>
      </c>
      <c r="FC43" s="13">
        <f>VLOOKUP(A43,'Données projet'!$A$217:$I$237,9,0)</f>
        <v>11.2</v>
      </c>
      <c r="FD43" s="13">
        <f t="array" ref="FD43">INDEX(FC:FC,MIN(IF(ISNUMBER(FC43:FC239),ROW(FC43:FC239),"")))</f>
        <v>11.2</v>
      </c>
      <c r="FE43" s="13">
        <f>IF('Données projet'!$A$218&gt;35,FE42+FD43-FM42,IF(A43&lt;'Données projet'!$A$218,$FB$205^A43,IF(A43='Données projet'!$A$218,'Données projet'!$B$218,FE42+FD43-FM42)))</f>
        <v>175.00000000000003</v>
      </c>
      <c r="FF43" s="18">
        <f>FE43*VLOOKUP('Données projet'!$B$16,Paramètres!$A$1:$I$89,3,0)*VLOOKUP('Données projet'!$B$16,Paramètres!$A$1:$I$89,5,0)</f>
        <v>169.26000000000002</v>
      </c>
      <c r="FG43" s="14">
        <f t="shared" si="47"/>
        <v>42.924246146122272</v>
      </c>
      <c r="FH43" s="22">
        <f t="shared" si="22"/>
        <v>369.55422870449632</v>
      </c>
      <c r="FI43" s="62">
        <f t="shared" si="23"/>
        <v>662.88756203782964</v>
      </c>
      <c r="FJ43" s="62">
        <f ca="1">AVERAGE(OFFSET($FI$3,0,0,'Données projet'!$E$16+1,1))-AVERAGE(OFFSET($H$3,0,0,'Données projet'!$E$16+1,1))</f>
        <v>541.66888676162716</v>
      </c>
      <c r="FK43" s="62">
        <f t="shared" si="48"/>
        <v>294.45557293177131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>
        <f>EXP(-LN(2)/35)*FQ42+(1-EXP(-LN(2)/35))/(LN(2)/35)*FM43*FN43*VLOOKUP('Données projet'!$B$16,Paramètres!$A$1:$I$89,3,0)*0.475*44/12</f>
        <v>0</v>
      </c>
      <c r="FR43" s="23">
        <f>EXP(-LN(2)/25)*FR42+(1-EXP(-LN(2)/25))/(LN(2)/25)*Calculateur!FM43*Calculateur!FO43*VLOOKUP('Données projet'!$B$16,Paramètres!$A$1:$I$89,3,0)*0.475*44/12</f>
        <v>0</v>
      </c>
      <c r="FS43" s="23">
        <f>EXP(-LN(2)/2)*FS42+(1-EXP(-LN(2)/2))/(LN(2)/2)*FM43*FP43*VLOOKUP('Données projet'!$B$16,Paramètres!$A$1:$I$89,3,0)*0.475*44/12</f>
        <v>0</v>
      </c>
      <c r="FT43" s="24">
        <f t="shared" si="24"/>
        <v>0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11.142857142857142</v>
      </c>
      <c r="FZ43" s="13">
        <f>IF('Données projet'!$A$244&gt;35,FZ42+FY43-GH42,IF(A43&lt;'Données projet'!$A$244,$FW$205^A43,IF(A43='Données projet'!$A$244,'Données projet'!$B$244,FZ42+FY43-GH42)))</f>
        <v>185.42857142857139</v>
      </c>
      <c r="GA43" s="18">
        <f>FZ43*VLOOKUP('Données projet'!$B$17,Paramètres!$A$1:$I$89,3,0)*VLOOKUP('Données projet'!$B$17,Paramètres!$A$1:$I$89,5,0)</f>
        <v>144.63428571428568</v>
      </c>
      <c r="GB43" s="14">
        <f t="shared" si="49"/>
        <v>37.356634728420524</v>
      </c>
      <c r="GC43" s="22">
        <f t="shared" si="25"/>
        <v>316.96751977104663</v>
      </c>
      <c r="GD43" s="62">
        <f t="shared" si="26"/>
        <v>610.30085310437994</v>
      </c>
      <c r="GE43" s="62">
        <f ca="1">AVERAGE(OFFSET($GD$3,0,0,'Données projet'!$E$17+1,1))-AVERAGE(OFFSET($H$3,0,0,'Données projet'!$E$17+1,1))</f>
        <v>292.57482726862594</v>
      </c>
      <c r="GF43" s="62">
        <f t="shared" si="50"/>
        <v>283.48738729114024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>
        <f>EXP(-LN(2)/35)*GL42+(1-EXP(-LN(2)/35))/(LN(2)/35)*GH43*GI43*VLOOKUP('Données projet'!$B$17,Paramètres!$A$1:$I$89,3,0)*0.475*44/12</f>
        <v>0</v>
      </c>
      <c r="GM43" s="23">
        <f>EXP(-LN(2)/25)*GM42+(1-EXP(-LN(2)/25))/(LN(2)/25)*Calculateur!GH43*Calculateur!GJ43*VLOOKUP('Données projet'!$B$17,Paramètres!$A$1:$I$89,3,0)*0.475*44/12</f>
        <v>0</v>
      </c>
      <c r="GN43" s="23">
        <f>EXP(-LN(2)/2)*GN42+(1-EXP(-LN(2)/2))/(LN(2)/2)*GH43*GK43*VLOOKUP('Données projet'!$B$17,Paramètres!$A$1:$I$89,3,0)*0.475*44/12</f>
        <v>0</v>
      </c>
      <c r="GO43" s="23">
        <f t="shared" si="27"/>
        <v>0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>
        <f>VLOOKUP(A43,'Données projet'!$A$269:$I$289,2,0)</f>
        <v>240.38461538461539</v>
      </c>
      <c r="GS43" s="13">
        <f>VLOOKUP(A43,'Données projet'!$A$269:$I$289,9,0)</f>
        <v>8.8461538461538449</v>
      </c>
      <c r="GT43" s="13">
        <f t="array" ref="GT43">INDEX(GS:GS,MIN(IF(ISNUMBER(GS43:GS239),ROW(GS43:GS239),"")))</f>
        <v>8.8461538461538449</v>
      </c>
      <c r="GU43" s="13">
        <f>IF('Données projet'!$A$270&gt;35,GU42+GT43-HC42,IF(A43&lt;'Données projet'!$A$270,$GR$205^A43,IF(A43='Données projet'!$A$270,'Données projet'!$B$270,GU42+GT43-HC42)))</f>
        <v>240.38461538461527</v>
      </c>
      <c r="GV43" s="18">
        <f>GU43*VLOOKUP('Données projet'!$B$18,Paramètres!$A$1:$I$89,3,0)*VLOOKUP('Données projet'!$B$18,Paramètres!$A$1:$I$89,5,0)</f>
        <v>161.24999999999994</v>
      </c>
      <c r="GW43" s="14">
        <f t="shared" si="51"/>
        <v>41.124328571986396</v>
      </c>
      <c r="GX43" s="22">
        <f t="shared" si="28"/>
        <v>352.46862226287612</v>
      </c>
      <c r="GY43" s="62">
        <f t="shared" si="29"/>
        <v>645.80195559620938</v>
      </c>
      <c r="GZ43" s="62">
        <f ca="1">AVERAGE(OFFSET($GY$3,0,0,'Données projet'!$E$18+1,1))-AVERAGE(OFFSET($H$3,0,0,'Données projet'!$E$18+1,1))</f>
        <v>410.20186800287411</v>
      </c>
      <c r="HA43" s="62">
        <f t="shared" si="52"/>
        <v>321.99347958016057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>
        <f>EXP(-LN(2)/35)*HG42+(1-EXP(-LN(2)/35))/(LN(2)/35)*HC43*HD43*VLOOKUP('Données projet'!$B$18,Paramètres!$A$1:$I$89,3,0)*0.475*44/12</f>
        <v>0</v>
      </c>
      <c r="HH43" s="23">
        <f>EXP(-LN(2)/25)*HH42+(1-EXP(-LN(2)/25))/(LN(2)/25)*Calculateur!HC43*Calculateur!HE43*VLOOKUP('Données projet'!$B$18,Paramètres!$A$1:$I$89,3,0)*0.475*44/12</f>
        <v>0</v>
      </c>
      <c r="HI43" s="23">
        <f>EXP(-LN(2)/2)*HI42+(1-EXP(-LN(2)/2))/(LN(2)/2)*HC43*HF43*VLOOKUP('Données projet'!$B$18,Paramètres!$A$1:$I$89,3,0)*0.475*44/12</f>
        <v>0</v>
      </c>
      <c r="HJ43" s="24">
        <f t="shared" si="30"/>
        <v>0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11.4</v>
      </c>
      <c r="N44" s="14">
        <f>IF('Données projet'!$A$36&gt;35,N43+M44-V43,IF(A44&lt;'Données projet'!$A$36,$K$205^A44,IF(A44='Données projet'!$A$36,'Données projet'!$B$36,N43+M44-V43)))</f>
        <v>186.40000000000003</v>
      </c>
      <c r="O44" s="14">
        <f>N44*VLOOKUP('Données projet'!$B$9,Paramètres!$A$1:$I$89,3,0)*VLOOKUP('Données projet'!$B$9,Paramètres!$A$1:$I$89,5,0)</f>
        <v>168.65472000000003</v>
      </c>
      <c r="P44" s="14">
        <f t="shared" si="33"/>
        <v>42.78858644059585</v>
      </c>
      <c r="Q44" s="22">
        <f t="shared" si="53"/>
        <v>368.2637587173711</v>
      </c>
      <c r="R44" s="62">
        <f t="shared" si="0"/>
        <v>661.59709205070442</v>
      </c>
      <c r="S44" s="62">
        <f ca="1">AVERAGE(OFFSET($R$3,0,0,'Données projet'!$E$9+1,1))-AVERAGE(OFFSET($H$3,0,0,'Données projet'!$E$9+1,1))</f>
        <v>509.56241660612449</v>
      </c>
      <c r="T44" s="62">
        <f t="shared" si="34"/>
        <v>278.21741231699929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11.4</v>
      </c>
      <c r="AI44" s="14">
        <f>IF('Données projet'!$A$62&gt;35,AI43+AH44-AQ43,IF(A44&lt;'Données projet'!$A$62,$AF$205^A44,IF(A44='Données projet'!$A$62,'Données projet'!$B$62,AI43+AH44-AQ43)))</f>
        <v>186.40000000000003</v>
      </c>
      <c r="AJ44" s="14">
        <f>AI44*VLOOKUP('Données projet'!$B$10,Paramètres!$A$1:$I$89,3,0)*VLOOKUP('Données projet'!$B$10,Paramètres!$A$1:$I$89,5,0)</f>
        <v>189.00960000000003</v>
      </c>
      <c r="AK44" s="14">
        <f t="shared" si="35"/>
        <v>47.320922915876508</v>
      </c>
      <c r="AL44" s="22">
        <f t="shared" si="4"/>
        <v>411.60899407848501</v>
      </c>
      <c r="AM44" s="62">
        <f t="shared" si="5"/>
        <v>704.94232741181827</v>
      </c>
      <c r="AN44" s="62">
        <f ca="1">AVERAGE(OFFSET($AM$3,0,0,'Données projet'!$E$10+1,1))-AVERAGE(OFFSET($H$3,0,0,'Données projet'!$E$10+1,1))</f>
        <v>565.72091871734051</v>
      </c>
      <c r="AO44" s="62">
        <f t="shared" si="36"/>
        <v>306.61893266146666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9.8199999999999932</v>
      </c>
      <c r="BD44" s="13">
        <f>IF('Données projet'!$A$88&gt;35,BD43+BC44-BL43,IF(A44&lt;'Données projet'!$A$88,$BA$205^A44,IF(A44='Données projet'!$A$88,'Données projet'!$B$88,BD43+BC44-BL43)))</f>
        <v>202.9199999999999</v>
      </c>
      <c r="BE44" s="14">
        <f>BD44*VLOOKUP('Données projet'!$B$11,Paramètres!$A$1:$I$89,3,0)*VLOOKUP('Données projet'!$B$11,Paramètres!$A$1:$I$89,5,0)</f>
        <v>148.78094399999992</v>
      </c>
      <c r="BF44" s="14">
        <f t="shared" si="37"/>
        <v>38.301419336680702</v>
      </c>
      <c r="BG44" s="22">
        <f t="shared" si="7"/>
        <v>325.83511614471871</v>
      </c>
      <c r="BH44" s="62">
        <f t="shared" si="8"/>
        <v>619.16844947805203</v>
      </c>
      <c r="BI44" s="62">
        <f ca="1">AVERAGE(OFFSET($BH$3,0,0,'Données projet'!$E$11+1,1))-AVERAGE(OFFSET($H$3,0,0,'Données projet'!$E$11+1,1))</f>
        <v>344.26020118887629</v>
      </c>
      <c r="BJ44" s="62">
        <f t="shared" si="38"/>
        <v>376.41441893222185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11.4</v>
      </c>
      <c r="BY44" s="13">
        <f>IF('Données projet'!$A$114&gt;35,BY43+BX44-CG43,IF(A44&lt;'Données projet'!$A$114,$BV$205^A44,IF(A44='Données projet'!$A$114,'Données projet'!$B$114,BY43+BX44-CG43)))</f>
        <v>186.40000000000003</v>
      </c>
      <c r="BZ44" s="14">
        <f>BY44*VLOOKUP('Données projet'!$B$12,Paramètres!$A$1:$I$89,3,0)*VLOOKUP('Données projet'!$B$12,Paramètres!$A$1:$I$89,5,0)</f>
        <v>157.02336000000003</v>
      </c>
      <c r="CA44" s="14">
        <f t="shared" si="39"/>
        <v>40.170393914171662</v>
      </c>
      <c r="CB44" s="22">
        <f t="shared" si="10"/>
        <v>343.44578806718232</v>
      </c>
      <c r="CC44" s="62">
        <f t="shared" si="11"/>
        <v>636.77912140051558</v>
      </c>
      <c r="CD44" s="62">
        <f ca="1">AVERAGE(OFFSET($CC$3,0,0,'Données projet'!$E$12+1,1))-AVERAGE(OFFSET($H$3,0,0,'Données projet'!$E$12+1,1))</f>
        <v>477.4105367901771</v>
      </c>
      <c r="CE44" s="62">
        <f t="shared" si="40"/>
        <v>261.95434270986397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10.402930402930403</v>
      </c>
      <c r="CT44" s="13">
        <f>IF('Données projet'!$A$140&gt;35,CT43+CS44-DB43,IF(A44&lt;'Données projet'!$A$140,$CQ$205^A44,IF(A44='Données projet'!$A$140,'Données projet'!$B$140,CT43+CS44-DB43)))</f>
        <v>217.50915750915746</v>
      </c>
      <c r="CU44" s="18">
        <f>CT44*VLOOKUP('Données projet'!$B$13,Paramètres!$A$1:$I$89,3,0)*VLOOKUP('Données projet'!$B$13,Paramètres!$A$1:$I$89,5,0)</f>
        <v>101.79428571428569</v>
      </c>
      <c r="CV44" s="14">
        <f t="shared" si="41"/>
        <v>27.389017940319118</v>
      </c>
      <c r="CW44" s="22">
        <f t="shared" si="13"/>
        <v>224.99425386510336</v>
      </c>
      <c r="CX44" s="62">
        <f t="shared" si="14"/>
        <v>518.32758719843673</v>
      </c>
      <c r="CY44" s="62">
        <f ca="1">AVERAGE(OFFSET($CX$3,0,0,'Données projet'!$E$13+1,1))-AVERAGE(OFFSET($H$3,0,0,'Données projet'!$E$13+1,1))</f>
        <v>246.64907095367749</v>
      </c>
      <c r="CZ44" s="62">
        <f t="shared" si="42"/>
        <v>145.34368562171613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9.8199999999999932</v>
      </c>
      <c r="DO44" s="13">
        <f>IF('Données projet'!$A$166&gt;35,DO43+DN44-DW43,IF(A44&lt;'Données projet'!$A$166,$DL$205^A44,IF(A44='Données projet'!$A$166,'Données projet'!$B$166,DO43+DN44-DW43)))</f>
        <v>202.9199999999999</v>
      </c>
      <c r="DP44" s="18">
        <f>DO44*VLOOKUP('Données projet'!$B$14,Paramètres!$A$1:$I$89,3,0)*VLOOKUP('Données projet'!$B$14,Paramètres!$A$1:$I$89,5,0)</f>
        <v>161.44315199999994</v>
      </c>
      <c r="DQ44" s="14">
        <f t="shared" si="43"/>
        <v>41.167852065682119</v>
      </c>
      <c r="DR44" s="22">
        <f t="shared" si="16"/>
        <v>352.88083208106292</v>
      </c>
      <c r="DS44" s="62">
        <f t="shared" si="17"/>
        <v>646.21416541439623</v>
      </c>
      <c r="DT44" s="62">
        <f ca="1">AVERAGE(OFFSET($DS$3,0,0,'Données projet'!$E$14+1,1))-AVERAGE(OFFSET($H$3,0,0,'Données projet'!$E$14+1,1))</f>
        <v>370.38521334472284</v>
      </c>
      <c r="DU44" s="62">
        <f t="shared" si="44"/>
        <v>404.61777090709171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15.166666666666666</v>
      </c>
      <c r="EJ44" s="13">
        <f>IF('Données projet'!$A$192&gt;35,EJ43+EI44-ER43,IF(A44&lt;'Données projet'!$A$192,$EG$205^A44,IF(A44='Données projet'!$A$192,'Données projet'!$B$192,EJ43+EI44-ER43)))</f>
        <v>189.83333333333326</v>
      </c>
      <c r="EK44" s="18">
        <f>EJ44*VLOOKUP('Données projet'!$B$15,Paramètres!$A$1:$I$89,3,0)*VLOOKUP('Données projet'!$B$15,Paramètres!$A$1:$I$89,5,0)</f>
        <v>162.87699999999995</v>
      </c>
      <c r="EL44" s="14">
        <f t="shared" si="45"/>
        <v>41.490756193100523</v>
      </c>
      <c r="EM44" s="22">
        <f t="shared" si="19"/>
        <v>355.94050870298332</v>
      </c>
      <c r="EN44" s="62">
        <f t="shared" si="20"/>
        <v>649.27384203631664</v>
      </c>
      <c r="EO44" s="62">
        <f ca="1">AVERAGE(OFFSET($EN$3,0,0,'Données projet'!$E$15+1,1))-AVERAGE(OFFSET($H$3,0,0,'Données projet'!$E$15+1,1))</f>
        <v>445.81166342116865</v>
      </c>
      <c r="EP44" s="62">
        <f t="shared" si="46"/>
        <v>230.82970731138215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11.4</v>
      </c>
      <c r="FE44" s="13">
        <f>IF('Données projet'!$A$218&gt;35,FE43+FD44-FM43,IF(A44&lt;'Données projet'!$A$218,$FB$205^A44,IF(A44='Données projet'!$A$218,'Données projet'!$B$218,FE43+FD44-FM43)))</f>
        <v>186.40000000000003</v>
      </c>
      <c r="FF44" s="18">
        <f>FE44*VLOOKUP('Données projet'!$B$16,Paramètres!$A$1:$I$89,3,0)*VLOOKUP('Données projet'!$B$16,Paramètres!$A$1:$I$89,5,0)</f>
        <v>180.28608000000006</v>
      </c>
      <c r="FG44" s="14">
        <f t="shared" si="47"/>
        <v>45.38582781198636</v>
      </c>
      <c r="FH44" s="22">
        <f t="shared" si="22"/>
        <v>393.04523943920964</v>
      </c>
      <c r="FI44" s="62">
        <f t="shared" si="23"/>
        <v>686.37857277254295</v>
      </c>
      <c r="FJ44" s="62">
        <f ca="1">AVERAGE(OFFSET($FI$3,0,0,'Données projet'!$E$16+1,1))-AVERAGE(OFFSET($H$3,0,0,'Données projet'!$E$16+1,1))</f>
        <v>541.66888676162716</v>
      </c>
      <c r="FK44" s="62">
        <f t="shared" si="48"/>
        <v>294.45557293177131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>
        <f>EXP(-LN(2)/35)*FQ43+(1-EXP(-LN(2)/35))/(LN(2)/35)*FM44*FN44*VLOOKUP('Données projet'!$B$16,Paramètres!$A$1:$I$89,3,0)*0.475*44/12</f>
        <v>0</v>
      </c>
      <c r="FR44" s="23">
        <f>EXP(-LN(2)/25)*FR43+(1-EXP(-LN(2)/25))/(LN(2)/25)*Calculateur!FM44*Calculateur!FO44*VLOOKUP('Données projet'!$B$16,Paramètres!$A$1:$I$89,3,0)*0.475*44/12</f>
        <v>0</v>
      </c>
      <c r="FS44" s="23">
        <f>EXP(-LN(2)/2)*FS43+(1-EXP(-LN(2)/2))/(LN(2)/2)*FM44*FP44*VLOOKUP('Données projet'!$B$16,Paramètres!$A$1:$I$89,3,0)*0.475*44/12</f>
        <v>0</v>
      </c>
      <c r="FT44" s="24">
        <f t="shared" si="24"/>
        <v>0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11.142857142857142</v>
      </c>
      <c r="FZ44" s="13">
        <f>IF('Données projet'!$A$244&gt;35,FZ43+FY44-GH43,IF(A44&lt;'Données projet'!$A$244,$FW$205^A44,IF(A44='Données projet'!$A$244,'Données projet'!$B$244,FZ43+FY44-GH43)))</f>
        <v>196.57142857142853</v>
      </c>
      <c r="GA44" s="18">
        <f>FZ44*VLOOKUP('Données projet'!$B$17,Paramètres!$A$1:$I$89,3,0)*VLOOKUP('Données projet'!$B$17,Paramètres!$A$1:$I$89,5,0)</f>
        <v>153.32571428571427</v>
      </c>
      <c r="GB44" s="14">
        <f t="shared" si="49"/>
        <v>39.33339883761419</v>
      </c>
      <c r="GC44" s="22">
        <f t="shared" si="25"/>
        <v>335.54795535646372</v>
      </c>
      <c r="GD44" s="62">
        <f t="shared" si="26"/>
        <v>628.88128868979697</v>
      </c>
      <c r="GE44" s="62">
        <f ca="1">AVERAGE(OFFSET($GD$3,0,0,'Données projet'!$E$17+1,1))-AVERAGE(OFFSET($H$3,0,0,'Données projet'!$E$17+1,1))</f>
        <v>292.57482726862594</v>
      </c>
      <c r="GF44" s="62">
        <f t="shared" si="50"/>
        <v>283.48738729114024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>
        <f>EXP(-LN(2)/35)*GL43+(1-EXP(-LN(2)/35))/(LN(2)/35)*GH44*GI44*VLOOKUP('Données projet'!$B$17,Paramètres!$A$1:$I$89,3,0)*0.475*44/12</f>
        <v>0</v>
      </c>
      <c r="GM44" s="23">
        <f>EXP(-LN(2)/25)*GM43+(1-EXP(-LN(2)/25))/(LN(2)/25)*Calculateur!GH44*Calculateur!GJ44*VLOOKUP('Données projet'!$B$17,Paramètres!$A$1:$I$89,3,0)*0.475*44/12</f>
        <v>0</v>
      </c>
      <c r="GN44" s="23">
        <f>EXP(-LN(2)/2)*GN43+(1-EXP(-LN(2)/2))/(LN(2)/2)*GH44*GK44*VLOOKUP('Données projet'!$B$17,Paramètres!$A$1:$I$89,3,0)*0.475*44/12</f>
        <v>0</v>
      </c>
      <c r="GO44" s="23">
        <f t="shared" si="27"/>
        <v>0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8.2051282051282044</v>
      </c>
      <c r="GU44" s="13">
        <f>IF('Données projet'!$A$270&gt;35,GU43+GT44-HC43,IF(A44&lt;'Données projet'!$A$270,$GR$205^A44,IF(A44='Données projet'!$A$270,'Données projet'!$B$270,GU43+GT44-HC43)))</f>
        <v>248.58974358974348</v>
      </c>
      <c r="GV44" s="18">
        <f>GU44*VLOOKUP('Données projet'!$B$18,Paramètres!$A$1:$I$89,3,0)*VLOOKUP('Données projet'!$B$18,Paramètres!$A$1:$I$89,5,0)</f>
        <v>166.75399999999993</v>
      </c>
      <c r="GW44" s="14">
        <f t="shared" si="51"/>
        <v>42.362213871941911</v>
      </c>
      <c r="GX44" s="22">
        <f t="shared" si="28"/>
        <v>364.21073916029871</v>
      </c>
      <c r="GY44" s="62">
        <f t="shared" si="29"/>
        <v>657.54407249363203</v>
      </c>
      <c r="GZ44" s="62">
        <f ca="1">AVERAGE(OFFSET($GY$3,0,0,'Données projet'!$E$18+1,1))-AVERAGE(OFFSET($H$3,0,0,'Données projet'!$E$18+1,1))</f>
        <v>410.20186800287411</v>
      </c>
      <c r="HA44" s="62">
        <f t="shared" si="52"/>
        <v>321.99347958016057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>
        <f>EXP(-LN(2)/35)*HG43+(1-EXP(-LN(2)/35))/(LN(2)/35)*HC44*HD44*VLOOKUP('Données projet'!$B$18,Paramètres!$A$1:$I$89,3,0)*0.475*44/12</f>
        <v>0</v>
      </c>
      <c r="HH44" s="23">
        <f>EXP(-LN(2)/25)*HH43+(1-EXP(-LN(2)/25))/(LN(2)/25)*Calculateur!HC44*Calculateur!HE44*VLOOKUP('Données projet'!$B$18,Paramètres!$A$1:$I$89,3,0)*0.475*44/12</f>
        <v>0</v>
      </c>
      <c r="HI44" s="23">
        <f>EXP(-LN(2)/2)*HI43+(1-EXP(-LN(2)/2))/(LN(2)/2)*HC44*HF44*VLOOKUP('Données projet'!$B$18,Paramètres!$A$1:$I$89,3,0)*0.475*44/12</f>
        <v>0</v>
      </c>
      <c r="HJ44" s="24">
        <f t="shared" si="30"/>
        <v>0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11.4</v>
      </c>
      <c r="N45" s="14">
        <f>IF('Données projet'!$A$36&gt;35,N44+M45-V44,IF(A45&lt;'Données projet'!$A$36,$K$205^A45,IF(A45='Données projet'!$A$36,'Données projet'!$B$36,N44+M45-V44)))</f>
        <v>197.80000000000004</v>
      </c>
      <c r="O45" s="14">
        <f>N45*VLOOKUP('Données projet'!$B$9,Paramètres!$A$1:$I$89,3,0)*VLOOKUP('Données projet'!$B$9,Paramètres!$A$1:$I$89,5,0)</f>
        <v>178.96944000000002</v>
      </c>
      <c r="P45" s="14">
        <f t="shared" si="33"/>
        <v>45.092828990632619</v>
      </c>
      <c r="Q45" s="22">
        <f t="shared" si="53"/>
        <v>390.24178515868516</v>
      </c>
      <c r="R45" s="62">
        <f t="shared" si="0"/>
        <v>683.57511849201842</v>
      </c>
      <c r="S45" s="62">
        <f ca="1">AVERAGE(OFFSET($R$3,0,0,'Données projet'!$E$9+1,1))-AVERAGE(OFFSET($H$3,0,0,'Données projet'!$E$9+1,1))</f>
        <v>509.56241660612449</v>
      </c>
      <c r="T45" s="62">
        <f t="shared" si="34"/>
        <v>278.21741231699929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11.4</v>
      </c>
      <c r="AI45" s="14">
        <f>IF('Données projet'!$A$62&gt;35,AI44+AH45-AQ44,IF(A45&lt;'Données projet'!$A$62,$AF$205^A45,IF(A45='Données projet'!$A$62,'Données projet'!$B$62,AI44+AH45-AQ44)))</f>
        <v>197.80000000000004</v>
      </c>
      <c r="AJ45" s="14">
        <f>AI45*VLOOKUP('Données projet'!$B$10,Paramètres!$A$1:$I$89,3,0)*VLOOKUP('Données projet'!$B$10,Paramètres!$A$1:$I$89,5,0)</f>
        <v>200.56920000000005</v>
      </c>
      <c r="AK45" s="14">
        <f t="shared" si="35"/>
        <v>49.869239959281323</v>
      </c>
      <c r="AL45" s="22">
        <f t="shared" si="4"/>
        <v>436.18028292908167</v>
      </c>
      <c r="AM45" s="62">
        <f t="shared" si="5"/>
        <v>729.51361626241498</v>
      </c>
      <c r="AN45" s="62">
        <f ca="1">AVERAGE(OFFSET($AM$3,0,0,'Données projet'!$E$10+1,1))-AVERAGE(OFFSET($H$3,0,0,'Données projet'!$E$10+1,1))</f>
        <v>565.72091871734051</v>
      </c>
      <c r="AO45" s="62">
        <f t="shared" si="36"/>
        <v>306.61893266146666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9.8199999999999932</v>
      </c>
      <c r="BD45" s="13">
        <f>IF('Données projet'!$A$88&gt;35,BD44+BC45-BL44,IF(A45&lt;'Données projet'!$A$88,$BA$205^A45,IF(A45='Données projet'!$A$88,'Données projet'!$B$88,BD44+BC45-BL44)))</f>
        <v>212.7399999999999</v>
      </c>
      <c r="BE45" s="14">
        <f>BD45*VLOOKUP('Données projet'!$B$11,Paramètres!$A$1:$I$89,3,0)*VLOOKUP('Données projet'!$B$11,Paramètres!$A$1:$I$89,5,0)</f>
        <v>155.98096799999993</v>
      </c>
      <c r="BF45" s="14">
        <f t="shared" si="37"/>
        <v>39.934673726794031</v>
      </c>
      <c r="BG45" s="22">
        <f t="shared" si="7"/>
        <v>341.21974267416618</v>
      </c>
      <c r="BH45" s="62">
        <f t="shared" si="8"/>
        <v>634.5530760074995</v>
      </c>
      <c r="BI45" s="62">
        <f ca="1">AVERAGE(OFFSET($BH$3,0,0,'Données projet'!$E$11+1,1))-AVERAGE(OFFSET($H$3,0,0,'Données projet'!$E$11+1,1))</f>
        <v>344.26020118887629</v>
      </c>
      <c r="BJ45" s="62">
        <f t="shared" si="38"/>
        <v>376.41441893222185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11.4</v>
      </c>
      <c r="BY45" s="13">
        <f>IF('Données projet'!$A$114&gt;35,BY44+BX45-CG44,IF(A45&lt;'Données projet'!$A$114,$BV$205^A45,IF(A45='Données projet'!$A$114,'Données projet'!$B$114,BY44+BX45-CG44)))</f>
        <v>197.80000000000004</v>
      </c>
      <c r="BZ45" s="14">
        <f>BY45*VLOOKUP('Données projet'!$B$12,Paramètres!$A$1:$I$89,3,0)*VLOOKUP('Données projet'!$B$12,Paramètres!$A$1:$I$89,5,0)</f>
        <v>166.62672000000003</v>
      </c>
      <c r="CA45" s="14">
        <f t="shared" si="39"/>
        <v>42.333642074689422</v>
      </c>
      <c r="CB45" s="22">
        <f t="shared" si="10"/>
        <v>363.93929728008408</v>
      </c>
      <c r="CC45" s="62">
        <f t="shared" si="11"/>
        <v>657.27263061341739</v>
      </c>
      <c r="CD45" s="62">
        <f ca="1">AVERAGE(OFFSET($CC$3,0,0,'Données projet'!$E$12+1,1))-AVERAGE(OFFSET($H$3,0,0,'Données projet'!$E$12+1,1))</f>
        <v>477.4105367901771</v>
      </c>
      <c r="CE45" s="62">
        <f t="shared" si="40"/>
        <v>261.95434270986397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10.402930402930403</v>
      </c>
      <c r="CT45" s="13">
        <f>IF('Données projet'!$A$140&gt;35,CT44+CS45-DB44,IF(A45&lt;'Données projet'!$A$140,$CQ$205^A45,IF(A45='Données projet'!$A$140,'Données projet'!$B$140,CT44+CS45-DB44)))</f>
        <v>227.91208791208786</v>
      </c>
      <c r="CU45" s="18">
        <f>CT45*VLOOKUP('Données projet'!$B$13,Paramètres!$A$1:$I$89,3,0)*VLOOKUP('Données projet'!$B$13,Paramètres!$A$1:$I$89,5,0)</f>
        <v>106.66285714285712</v>
      </c>
      <c r="CV45" s="14">
        <f t="shared" si="41"/>
        <v>28.543323501294243</v>
      </c>
      <c r="CW45" s="22">
        <f t="shared" si="13"/>
        <v>235.48409795523028</v>
      </c>
      <c r="CX45" s="62">
        <f t="shared" si="14"/>
        <v>528.81743128856363</v>
      </c>
      <c r="CY45" s="62">
        <f ca="1">AVERAGE(OFFSET($CX$3,0,0,'Données projet'!$E$13+1,1))-AVERAGE(OFFSET($H$3,0,0,'Données projet'!$E$13+1,1))</f>
        <v>246.64907095367749</v>
      </c>
      <c r="CZ45" s="62">
        <f t="shared" si="42"/>
        <v>145.34368562171613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9.8199999999999932</v>
      </c>
      <c r="DO45" s="13">
        <f>IF('Données projet'!$A$166&gt;35,DO44+DN45-DW44,IF(A45&lt;'Données projet'!$A$166,$DL$205^A45,IF(A45='Données projet'!$A$166,'Données projet'!$B$166,DO44+DN45-DW44)))</f>
        <v>212.7399999999999</v>
      </c>
      <c r="DP45" s="18">
        <f>DO45*VLOOKUP('Données projet'!$B$14,Paramètres!$A$1:$I$89,3,0)*VLOOKUP('Données projet'!$B$14,Paramètres!$A$1:$I$89,5,0)</f>
        <v>169.25594399999991</v>
      </c>
      <c r="DQ45" s="14">
        <f t="shared" si="43"/>
        <v>42.923337274383478</v>
      </c>
      <c r="DR45" s="22">
        <f t="shared" si="16"/>
        <v>369.54558155288436</v>
      </c>
      <c r="DS45" s="62">
        <f t="shared" si="17"/>
        <v>662.87891488621767</v>
      </c>
      <c r="DT45" s="62">
        <f ca="1">AVERAGE(OFFSET($DS$3,0,0,'Données projet'!$E$14+1,1))-AVERAGE(OFFSET($H$3,0,0,'Données projet'!$E$14+1,1))</f>
        <v>370.38521334472284</v>
      </c>
      <c r="DU45" s="62">
        <f t="shared" si="44"/>
        <v>404.61777090709171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>
        <f>VLOOKUP(A45,'Données projet'!$A$191:$I$211,2,0)</f>
        <v>205</v>
      </c>
      <c r="EH45" s="13">
        <f>VLOOKUP(A45,'Données projet'!$A$191:$I$211,9,0)</f>
        <v>15.166666666666666</v>
      </c>
      <c r="EI45" s="13">
        <f t="array" ref="EI45">INDEX(EH:EH,MIN(IF(ISNUMBER(EH45:EH241),ROW(EH45:EH241),"")))</f>
        <v>15.166666666666666</v>
      </c>
      <c r="EJ45" s="13">
        <f>IF('Données projet'!$A$192&gt;35,EJ44+EI45-ER44,IF(A45&lt;'Données projet'!$A$192,$EG$205^A45,IF(A45='Données projet'!$A$192,'Données projet'!$B$192,EJ44+EI45-ER44)))</f>
        <v>204.99999999999991</v>
      </c>
      <c r="EK45" s="18">
        <f>EJ45*VLOOKUP('Données projet'!$B$15,Paramètres!$A$1:$I$89,3,0)*VLOOKUP('Données projet'!$B$15,Paramètres!$A$1:$I$89,5,0)</f>
        <v>175.88999999999993</v>
      </c>
      <c r="EL45" s="14">
        <f t="shared" si="45"/>
        <v>44.406561291935212</v>
      </c>
      <c r="EM45" s="22">
        <f t="shared" si="19"/>
        <v>383.6831775834537</v>
      </c>
      <c r="EN45" s="62">
        <f t="shared" si="20"/>
        <v>677.01651091678696</v>
      </c>
      <c r="EO45" s="62">
        <f ca="1">AVERAGE(OFFSET($EN$3,0,0,'Données projet'!$E$15+1,1))-AVERAGE(OFFSET($H$3,0,0,'Données projet'!$E$15+1,1))</f>
        <v>445.81166342116865</v>
      </c>
      <c r="EP45" s="62">
        <f t="shared" si="46"/>
        <v>230.82970731138215</v>
      </c>
      <c r="EQ45" s="16">
        <f>IF(ISNA(VLOOKUP(A45,'Données projet'!$A$191:$I$211,3,0)),0,VLOOKUP(A45,'Données projet'!$A$191:$I$211,3,0))</f>
        <v>4</v>
      </c>
      <c r="ER45" s="16">
        <f>IF(ISNA(VLOOKUP(A45,'Données projet'!$A$191:$I$211,4,0)),0,VLOOKUP(A45,'Données projet'!$A$191:$I$211,4,0))</f>
        <v>59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11.4</v>
      </c>
      <c r="FE45" s="13">
        <f>IF('Données projet'!$A$218&gt;35,FE44+FD45-FM44,IF(A45&lt;'Données projet'!$A$218,$FB$205^A45,IF(A45='Données projet'!$A$218,'Données projet'!$B$218,FE44+FD45-FM44)))</f>
        <v>197.80000000000004</v>
      </c>
      <c r="FF45" s="18">
        <f>FE45*VLOOKUP('Données projet'!$B$16,Paramètres!$A$1:$I$89,3,0)*VLOOKUP('Données projet'!$B$16,Paramètres!$A$1:$I$89,5,0)</f>
        <v>191.31216000000003</v>
      </c>
      <c r="FG45" s="14">
        <f t="shared" si="47"/>
        <v>47.829936494057677</v>
      </c>
      <c r="FH45" s="22">
        <f t="shared" si="22"/>
        <v>416.50581806048382</v>
      </c>
      <c r="FI45" s="62">
        <f t="shared" si="23"/>
        <v>709.83915139381713</v>
      </c>
      <c r="FJ45" s="62">
        <f ca="1">AVERAGE(OFFSET($FI$3,0,0,'Données projet'!$E$16+1,1))-AVERAGE(OFFSET($H$3,0,0,'Données projet'!$E$16+1,1))</f>
        <v>541.66888676162716</v>
      </c>
      <c r="FK45" s="62">
        <f t="shared" si="48"/>
        <v>294.45557293177131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>
        <f>EXP(-LN(2)/35)*FQ44+(1-EXP(-LN(2)/35))/(LN(2)/35)*FM45*FN45*VLOOKUP('Données projet'!$B$16,Paramètres!$A$1:$I$89,3,0)*0.475*44/12</f>
        <v>0</v>
      </c>
      <c r="FR45" s="23">
        <f>EXP(-LN(2)/25)*FR44+(1-EXP(-LN(2)/25))/(LN(2)/25)*Calculateur!FM45*Calculateur!FO45*VLOOKUP('Données projet'!$B$16,Paramètres!$A$1:$I$89,3,0)*0.475*44/12</f>
        <v>0</v>
      </c>
      <c r="FS45" s="23">
        <f>EXP(-LN(2)/2)*FS44+(1-EXP(-LN(2)/2))/(LN(2)/2)*FM45*FP45*VLOOKUP('Données projet'!$B$16,Paramètres!$A$1:$I$89,3,0)*0.475*44/12</f>
        <v>0</v>
      </c>
      <c r="FT45" s="24">
        <f t="shared" si="24"/>
        <v>0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11.142857142857142</v>
      </c>
      <c r="FZ45" s="13">
        <f>IF('Données projet'!$A$244&gt;35,FZ44+FY45-GH44,IF(A45&lt;'Données projet'!$A$244,$FW$205^A45,IF(A45='Données projet'!$A$244,'Données projet'!$B$244,FZ44+FY45-GH44)))</f>
        <v>207.71428571428567</v>
      </c>
      <c r="GA45" s="18">
        <f>FZ45*VLOOKUP('Données projet'!$B$17,Paramètres!$A$1:$I$89,3,0)*VLOOKUP('Données projet'!$B$17,Paramètres!$A$1:$I$89,5,0)</f>
        <v>162.01714285714283</v>
      </c>
      <c r="GB45" s="14">
        <f t="shared" si="49"/>
        <v>41.297155335096676</v>
      </c>
      <c r="GC45" s="22">
        <f t="shared" si="25"/>
        <v>354.10573601815048</v>
      </c>
      <c r="GD45" s="62">
        <f t="shared" si="26"/>
        <v>647.43906935148379</v>
      </c>
      <c r="GE45" s="62">
        <f ca="1">AVERAGE(OFFSET($GD$3,0,0,'Données projet'!$E$17+1,1))-AVERAGE(OFFSET($H$3,0,0,'Données projet'!$E$17+1,1))</f>
        <v>292.57482726862594</v>
      </c>
      <c r="GF45" s="62">
        <f t="shared" si="50"/>
        <v>283.48738729114024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>
        <f>EXP(-LN(2)/35)*GL44+(1-EXP(-LN(2)/35))/(LN(2)/35)*GH45*GI45*VLOOKUP('Données projet'!$B$17,Paramètres!$A$1:$I$89,3,0)*0.475*44/12</f>
        <v>0</v>
      </c>
      <c r="GM45" s="23">
        <f>EXP(-LN(2)/25)*GM44+(1-EXP(-LN(2)/25))/(LN(2)/25)*Calculateur!GH45*Calculateur!GJ45*VLOOKUP('Données projet'!$B$17,Paramètres!$A$1:$I$89,3,0)*0.475*44/12</f>
        <v>0</v>
      </c>
      <c r="GN45" s="23">
        <f>EXP(-LN(2)/2)*GN44+(1-EXP(-LN(2)/2))/(LN(2)/2)*GH45*GK45*VLOOKUP('Données projet'!$B$17,Paramètres!$A$1:$I$89,3,0)*0.475*44/12</f>
        <v>0</v>
      </c>
      <c r="GO45" s="23">
        <f t="shared" si="27"/>
        <v>0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8.2051282051282044</v>
      </c>
      <c r="GU45" s="13">
        <f>IF('Données projet'!$A$270&gt;35,GU44+GT45-HC44,IF(A45&lt;'Données projet'!$A$270,$GR$205^A45,IF(A45='Données projet'!$A$270,'Données projet'!$B$270,GU44+GT45-HC44)))</f>
        <v>256.79487179487171</v>
      </c>
      <c r="GV45" s="18">
        <f>GU45*VLOOKUP('Données projet'!$B$18,Paramètres!$A$1:$I$89,3,0)*VLOOKUP('Données projet'!$B$18,Paramètres!$A$1:$I$89,5,0)</f>
        <v>172.25799999999995</v>
      </c>
      <c r="GW45" s="14">
        <f t="shared" si="51"/>
        <v>43.595351454520554</v>
      </c>
      <c r="GX45" s="22">
        <f t="shared" si="28"/>
        <v>375.94458711662327</v>
      </c>
      <c r="GY45" s="62">
        <f t="shared" si="29"/>
        <v>669.27792044995658</v>
      </c>
      <c r="GZ45" s="62">
        <f ca="1">AVERAGE(OFFSET($GY$3,0,0,'Données projet'!$E$18+1,1))-AVERAGE(OFFSET($H$3,0,0,'Données projet'!$E$18+1,1))</f>
        <v>410.20186800287411</v>
      </c>
      <c r="HA45" s="62">
        <f t="shared" si="52"/>
        <v>321.99347958016057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>
        <f>EXP(-LN(2)/35)*HG44+(1-EXP(-LN(2)/35))/(LN(2)/35)*HC45*HD45*VLOOKUP('Données projet'!$B$18,Paramètres!$A$1:$I$89,3,0)*0.475*44/12</f>
        <v>0</v>
      </c>
      <c r="HH45" s="23">
        <f>EXP(-LN(2)/25)*HH44+(1-EXP(-LN(2)/25))/(LN(2)/25)*Calculateur!HC45*Calculateur!HE45*VLOOKUP('Données projet'!$B$18,Paramètres!$A$1:$I$89,3,0)*0.475*44/12</f>
        <v>0</v>
      </c>
      <c r="HI45" s="23">
        <f>EXP(-LN(2)/2)*HI44+(1-EXP(-LN(2)/2))/(LN(2)/2)*HC45*HF45*VLOOKUP('Données projet'!$B$18,Paramètres!$A$1:$I$89,3,0)*0.475*44/12</f>
        <v>0</v>
      </c>
      <c r="HJ45" s="24">
        <f t="shared" si="30"/>
        <v>0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11.4</v>
      </c>
      <c r="N46" s="14">
        <f>IF('Données projet'!$A$36&gt;35,N45+M46-V45,IF(A46&lt;'Données projet'!$A$36,$K$205^A46,IF(A46='Données projet'!$A$36,'Données projet'!$B$36,N45+M46-V45)))</f>
        <v>209.20000000000005</v>
      </c>
      <c r="O46" s="14">
        <f>N46*VLOOKUP('Données projet'!$B$9,Paramètres!$A$1:$I$89,3,0)*VLOOKUP('Données projet'!$B$9,Paramètres!$A$1:$I$89,5,0)</f>
        <v>189.28416000000001</v>
      </c>
      <c r="P46" s="14">
        <f t="shared" si="33"/>
        <v>47.381656039514027</v>
      </c>
      <c r="Q46" s="22">
        <f t="shared" si="53"/>
        <v>412.19296293548695</v>
      </c>
      <c r="R46" s="62">
        <f t="shared" si="0"/>
        <v>705.52629626882026</v>
      </c>
      <c r="S46" s="62">
        <f ca="1">AVERAGE(OFFSET($R$3,0,0,'Données projet'!$E$9+1,1))-AVERAGE(OFFSET($H$3,0,0,'Données projet'!$E$9+1,1))</f>
        <v>509.56241660612449</v>
      </c>
      <c r="T46" s="62">
        <f t="shared" si="34"/>
        <v>278.21741231699929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11.4</v>
      </c>
      <c r="AI46" s="14">
        <f>IF('Données projet'!$A$62&gt;35,AI45+AH46-AQ45,IF(A46&lt;'Données projet'!$A$62,$AF$205^A46,IF(A46='Données projet'!$A$62,'Données projet'!$B$62,AI45+AH46-AQ45)))</f>
        <v>209.20000000000005</v>
      </c>
      <c r="AJ46" s="14">
        <f>AI46*VLOOKUP('Données projet'!$B$10,Paramètres!$A$1:$I$89,3,0)*VLOOKUP('Données projet'!$B$10,Paramètres!$A$1:$I$89,5,0)</f>
        <v>212.12880000000007</v>
      </c>
      <c r="AK46" s="14">
        <f t="shared" si="35"/>
        <v>52.400508630618717</v>
      </c>
      <c r="AL46" s="22">
        <f t="shared" si="4"/>
        <v>460.72187919832771</v>
      </c>
      <c r="AM46" s="62">
        <f t="shared" si="5"/>
        <v>754.05521253166103</v>
      </c>
      <c r="AN46" s="62">
        <f ca="1">AVERAGE(OFFSET($AM$3,0,0,'Données projet'!$E$10+1,1))-AVERAGE(OFFSET($H$3,0,0,'Données projet'!$E$10+1,1))</f>
        <v>565.72091871734051</v>
      </c>
      <c r="AO46" s="62">
        <f t="shared" si="36"/>
        <v>306.61893266146666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9.8199999999999932</v>
      </c>
      <c r="BD46" s="13">
        <f>IF('Données projet'!$A$88&gt;35,BD45+BC46-BL45,IF(A46&lt;'Données projet'!$A$88,$BA$205^A46,IF(A46='Données projet'!$A$88,'Données projet'!$B$88,BD45+BC46-BL45)))</f>
        <v>222.55999999999989</v>
      </c>
      <c r="BE46" s="14">
        <f>BD46*VLOOKUP('Données projet'!$B$11,Paramètres!$A$1:$I$89,3,0)*VLOOKUP('Données projet'!$B$11,Paramètres!$A$1:$I$89,5,0)</f>
        <v>163.18099199999992</v>
      </c>
      <c r="BF46" s="14">
        <f t="shared" si="37"/>
        <v>41.559172921966017</v>
      </c>
      <c r="BG46" s="22">
        <f t="shared" si="7"/>
        <v>356.58912057242401</v>
      </c>
      <c r="BH46" s="62">
        <f t="shared" si="8"/>
        <v>649.92245390575727</v>
      </c>
      <c r="BI46" s="62">
        <f ca="1">AVERAGE(OFFSET($BH$3,0,0,'Données projet'!$E$11+1,1))-AVERAGE(OFFSET($H$3,0,0,'Données projet'!$E$11+1,1))</f>
        <v>344.26020118887629</v>
      </c>
      <c r="BJ46" s="62">
        <f t="shared" si="38"/>
        <v>376.41441893222185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11.4</v>
      </c>
      <c r="BY46" s="13">
        <f>IF('Données projet'!$A$114&gt;35,BY45+BX46-CG45,IF(A46&lt;'Données projet'!$A$114,$BV$205^A46,IF(A46='Données projet'!$A$114,'Données projet'!$B$114,BY45+BX46-CG45)))</f>
        <v>209.20000000000005</v>
      </c>
      <c r="BZ46" s="14">
        <f>BY46*VLOOKUP('Données projet'!$B$12,Paramètres!$A$1:$I$89,3,0)*VLOOKUP('Données projet'!$B$12,Paramètres!$A$1:$I$89,5,0)</f>
        <v>176.23008000000004</v>
      </c>
      <c r="CA46" s="14">
        <f t="shared" si="39"/>
        <v>44.482417993768294</v>
      </c>
      <c r="CB46" s="22">
        <f t="shared" si="10"/>
        <v>384.40760067247987</v>
      </c>
      <c r="CC46" s="62">
        <f t="shared" si="11"/>
        <v>677.74093400581319</v>
      </c>
      <c r="CD46" s="62">
        <f ca="1">AVERAGE(OFFSET($CC$3,0,0,'Données projet'!$E$12+1,1))-AVERAGE(OFFSET($H$3,0,0,'Données projet'!$E$12+1,1))</f>
        <v>477.4105367901771</v>
      </c>
      <c r="CE46" s="62">
        <f t="shared" si="40"/>
        <v>261.95434270986397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10.402930402930403</v>
      </c>
      <c r="CT46" s="13">
        <f>IF('Données projet'!$A$140&gt;35,CT45+CS46-DB45,IF(A46&lt;'Données projet'!$A$140,$CQ$205^A46,IF(A46='Données projet'!$A$140,'Données projet'!$B$140,CT45+CS46-DB45)))</f>
        <v>238.31501831501825</v>
      </c>
      <c r="CU46" s="18">
        <f>CT46*VLOOKUP('Données projet'!$B$13,Paramètres!$A$1:$I$89,3,0)*VLOOKUP('Données projet'!$B$13,Paramètres!$A$1:$I$89,5,0)</f>
        <v>111.53142857142855</v>
      </c>
      <c r="CV46" s="14">
        <f t="shared" si="41"/>
        <v>29.691510235320177</v>
      </c>
      <c r="CW46" s="22">
        <f t="shared" si="13"/>
        <v>245.96328508842066</v>
      </c>
      <c r="CX46" s="62">
        <f t="shared" si="14"/>
        <v>539.29661842175392</v>
      </c>
      <c r="CY46" s="62">
        <f ca="1">AVERAGE(OFFSET($CX$3,0,0,'Données projet'!$E$13+1,1))-AVERAGE(OFFSET($H$3,0,0,'Données projet'!$E$13+1,1))</f>
        <v>246.64907095367749</v>
      </c>
      <c r="CZ46" s="62">
        <f t="shared" si="42"/>
        <v>145.34368562171613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9.8199999999999932</v>
      </c>
      <c r="DO46" s="13">
        <f>IF('Données projet'!$A$166&gt;35,DO45+DN46-DW45,IF(A46&lt;'Données projet'!$A$166,$DL$205^A46,IF(A46='Données projet'!$A$166,'Données projet'!$B$166,DO45+DN46-DW45)))</f>
        <v>222.55999999999989</v>
      </c>
      <c r="DP46" s="18">
        <f>DO46*VLOOKUP('Données projet'!$B$14,Paramètres!$A$1:$I$89,3,0)*VLOOKUP('Données projet'!$B$14,Paramètres!$A$1:$I$89,5,0)</f>
        <v>177.06873599999992</v>
      </c>
      <c r="DQ46" s="14">
        <f t="shared" si="43"/>
        <v>44.669412059753448</v>
      </c>
      <c r="DR46" s="22">
        <f t="shared" si="16"/>
        <v>386.19394120407043</v>
      </c>
      <c r="DS46" s="62">
        <f t="shared" si="17"/>
        <v>679.52727453740374</v>
      </c>
      <c r="DT46" s="62">
        <f ca="1">AVERAGE(OFFSET($DS$3,0,0,'Données projet'!$E$14+1,1))-AVERAGE(OFFSET($H$3,0,0,'Données projet'!$E$14+1,1))</f>
        <v>370.38521334472284</v>
      </c>
      <c r="DU46" s="62">
        <f t="shared" si="44"/>
        <v>404.61777090709171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15.666666666666666</v>
      </c>
      <c r="EJ46" s="13">
        <f>IF('Données projet'!$A$192&gt;35,EJ45+EI46-ER45,IF(A46&lt;'Données projet'!$A$192,$EG$205^A46,IF(A46='Données projet'!$A$192,'Données projet'!$B$192,EJ45+EI46-ER45)))</f>
        <v>161.66666666666657</v>
      </c>
      <c r="EK46" s="18">
        <f>EJ46*VLOOKUP('Données projet'!$B$15,Paramètres!$A$1:$I$89,3,0)*VLOOKUP('Données projet'!$B$15,Paramètres!$A$1:$I$89,5,0)</f>
        <v>138.70999999999995</v>
      </c>
      <c r="EL46" s="14">
        <f t="shared" si="45"/>
        <v>36.00132558429457</v>
      </c>
      <c r="EM46" s="22">
        <f t="shared" si="19"/>
        <v>304.2888920593129</v>
      </c>
      <c r="EN46" s="62">
        <f t="shared" si="20"/>
        <v>597.62222539264621</v>
      </c>
      <c r="EO46" s="62">
        <f ca="1">AVERAGE(OFFSET($EN$3,0,0,'Données projet'!$E$15+1,1))-AVERAGE(OFFSET($H$3,0,0,'Données projet'!$E$15+1,1))</f>
        <v>445.81166342116865</v>
      </c>
      <c r="EP46" s="62">
        <f t="shared" si="46"/>
        <v>230.82970731138215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11.4</v>
      </c>
      <c r="FE46" s="13">
        <f>IF('Données projet'!$A$218&gt;35,FE45+FD46-FM45,IF(A46&lt;'Données projet'!$A$218,$FB$205^A46,IF(A46='Données projet'!$A$218,'Données projet'!$B$218,FE45+FD46-FM45)))</f>
        <v>209.20000000000005</v>
      </c>
      <c r="FF46" s="18">
        <f>FE46*VLOOKUP('Données projet'!$B$16,Paramètres!$A$1:$I$89,3,0)*VLOOKUP('Données projet'!$B$16,Paramètres!$A$1:$I$89,5,0)</f>
        <v>202.33824000000007</v>
      </c>
      <c r="FG46" s="14">
        <f t="shared" si="47"/>
        <v>50.257693963357795</v>
      </c>
      <c r="FH46" s="22">
        <f t="shared" si="22"/>
        <v>439.93791831951495</v>
      </c>
      <c r="FI46" s="62">
        <f t="shared" si="23"/>
        <v>733.27125165284826</v>
      </c>
      <c r="FJ46" s="62">
        <f ca="1">AVERAGE(OFFSET($FI$3,0,0,'Données projet'!$E$16+1,1))-AVERAGE(OFFSET($H$3,0,0,'Données projet'!$E$16+1,1))</f>
        <v>541.66888676162716</v>
      </c>
      <c r="FK46" s="62">
        <f t="shared" si="48"/>
        <v>294.45557293177131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>
        <f>EXP(-LN(2)/35)*FQ45+(1-EXP(-LN(2)/35))/(LN(2)/35)*FM46*FN46*VLOOKUP('Données projet'!$B$16,Paramètres!$A$1:$I$89,3,0)*0.475*44/12</f>
        <v>0</v>
      </c>
      <c r="FR46" s="23">
        <f>EXP(-LN(2)/25)*FR45+(1-EXP(-LN(2)/25))/(LN(2)/25)*Calculateur!FM46*Calculateur!FO46*VLOOKUP('Données projet'!$B$16,Paramètres!$A$1:$I$89,3,0)*0.475*44/12</f>
        <v>0</v>
      </c>
      <c r="FS46" s="23">
        <f>EXP(-LN(2)/2)*FS45+(1-EXP(-LN(2)/2))/(LN(2)/2)*FM46*FP46*VLOOKUP('Données projet'!$B$16,Paramètres!$A$1:$I$89,3,0)*0.475*44/12</f>
        <v>0</v>
      </c>
      <c r="FT46" s="24">
        <f t="shared" si="24"/>
        <v>0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11.142857142857142</v>
      </c>
      <c r="FZ46" s="13">
        <f>IF('Données projet'!$A$244&gt;35,FZ45+FY46-GH45,IF(A46&lt;'Données projet'!$A$244,$FW$205^A46,IF(A46='Données projet'!$A$244,'Données projet'!$B$244,FZ45+FY46-GH45)))</f>
        <v>218.8571428571428</v>
      </c>
      <c r="GA46" s="18">
        <f>FZ46*VLOOKUP('Données projet'!$B$17,Paramètres!$A$1:$I$89,3,0)*VLOOKUP('Données projet'!$B$17,Paramètres!$A$1:$I$89,5,0)</f>
        <v>170.70857142857139</v>
      </c>
      <c r="GB46" s="14">
        <f t="shared" si="49"/>
        <v>43.248681576985412</v>
      </c>
      <c r="GC46" s="22">
        <f t="shared" si="25"/>
        <v>372.64221565134471</v>
      </c>
      <c r="GD46" s="62">
        <f t="shared" si="26"/>
        <v>665.97554898467797</v>
      </c>
      <c r="GE46" s="62">
        <f ca="1">AVERAGE(OFFSET($GD$3,0,0,'Données projet'!$E$17+1,1))-AVERAGE(OFFSET($H$3,0,0,'Données projet'!$E$17+1,1))</f>
        <v>292.57482726862594</v>
      </c>
      <c r="GF46" s="62">
        <f t="shared" si="50"/>
        <v>283.48738729114024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>
        <f>EXP(-LN(2)/35)*GL45+(1-EXP(-LN(2)/35))/(LN(2)/35)*GH46*GI46*VLOOKUP('Données projet'!$B$17,Paramètres!$A$1:$I$89,3,0)*0.475*44/12</f>
        <v>0</v>
      </c>
      <c r="GM46" s="23">
        <f>EXP(-LN(2)/25)*GM45+(1-EXP(-LN(2)/25))/(LN(2)/25)*Calculateur!GH46*Calculateur!GJ46*VLOOKUP('Données projet'!$B$17,Paramètres!$A$1:$I$89,3,0)*0.475*44/12</f>
        <v>0</v>
      </c>
      <c r="GN46" s="23">
        <f>EXP(-LN(2)/2)*GN45+(1-EXP(-LN(2)/2))/(LN(2)/2)*GH46*GK46*VLOOKUP('Données projet'!$B$17,Paramètres!$A$1:$I$89,3,0)*0.475*44/12</f>
        <v>0</v>
      </c>
      <c r="GO46" s="23">
        <f t="shared" si="27"/>
        <v>0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8.2051282051282044</v>
      </c>
      <c r="GU46" s="13">
        <f>IF('Données projet'!$A$270&gt;35,GU45+GT46-HC45,IF(A46&lt;'Données projet'!$A$270,$GR$205^A46,IF(A46='Données projet'!$A$270,'Données projet'!$B$270,GU45+GT46-HC45)))</f>
        <v>264.99999999999989</v>
      </c>
      <c r="GV46" s="18">
        <f>GU46*VLOOKUP('Données projet'!$B$18,Paramètres!$A$1:$I$89,3,0)*VLOOKUP('Données projet'!$B$18,Paramètres!$A$1:$I$89,5,0)</f>
        <v>177.76199999999992</v>
      </c>
      <c r="GW46" s="14">
        <f t="shared" si="51"/>
        <v>44.823910420796174</v>
      </c>
      <c r="GX46" s="22">
        <f t="shared" si="28"/>
        <v>387.67046064955321</v>
      </c>
      <c r="GY46" s="62">
        <f t="shared" si="29"/>
        <v>681.00379398288646</v>
      </c>
      <c r="GZ46" s="62">
        <f ca="1">AVERAGE(OFFSET($GY$3,0,0,'Données projet'!$E$18+1,1))-AVERAGE(OFFSET($H$3,0,0,'Données projet'!$E$18+1,1))</f>
        <v>410.20186800287411</v>
      </c>
      <c r="HA46" s="62">
        <f t="shared" si="52"/>
        <v>321.99347958016057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>
        <f>EXP(-LN(2)/35)*HG45+(1-EXP(-LN(2)/35))/(LN(2)/35)*HC46*HD46*VLOOKUP('Données projet'!$B$18,Paramètres!$A$1:$I$89,3,0)*0.475*44/12</f>
        <v>0</v>
      </c>
      <c r="HH46" s="23">
        <f>EXP(-LN(2)/25)*HH45+(1-EXP(-LN(2)/25))/(LN(2)/25)*Calculateur!HC46*Calculateur!HE46*VLOOKUP('Données projet'!$B$18,Paramètres!$A$1:$I$89,3,0)*0.475*44/12</f>
        <v>0</v>
      </c>
      <c r="HI46" s="23">
        <f>EXP(-LN(2)/2)*HI45+(1-EXP(-LN(2)/2))/(LN(2)/2)*HC46*HF46*VLOOKUP('Données projet'!$B$18,Paramètres!$A$1:$I$89,3,0)*0.475*44/12</f>
        <v>0</v>
      </c>
      <c r="HJ46" s="24">
        <f t="shared" si="30"/>
        <v>0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11.4</v>
      </c>
      <c r="N47" s="14">
        <f>IF('Données projet'!$A$36&gt;35,N46+M47-V46,IF(A47&lt;'Données projet'!$A$36,$K$205^A47,IF(A47='Données projet'!$A$36,'Données projet'!$B$36,N46+M47-V46)))</f>
        <v>220.60000000000005</v>
      </c>
      <c r="O47" s="14">
        <f>N47*VLOOKUP('Données projet'!$B$9,Paramètres!$A$1:$I$89,3,0)*VLOOKUP('Données projet'!$B$9,Paramètres!$A$1:$I$89,5,0)</f>
        <v>199.59888000000004</v>
      </c>
      <c r="P47" s="14">
        <f t="shared" si="33"/>
        <v>49.656003392529037</v>
      </c>
      <c r="Q47" s="22">
        <f t="shared" si="53"/>
        <v>434.11892190865478</v>
      </c>
      <c r="R47" s="62">
        <f t="shared" si="0"/>
        <v>727.45225524198804</v>
      </c>
      <c r="S47" s="62">
        <f ca="1">AVERAGE(OFFSET($R$3,0,0,'Données projet'!$E$9+1,1))-AVERAGE(OFFSET($H$3,0,0,'Données projet'!$E$9+1,1))</f>
        <v>509.56241660612449</v>
      </c>
      <c r="T47" s="62">
        <f t="shared" si="34"/>
        <v>278.21741231699929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11.4</v>
      </c>
      <c r="AI47" s="14">
        <f>IF('Données projet'!$A$62&gt;35,AI46+AH47-AQ46,IF(A47&lt;'Données projet'!$A$62,$AF$205^A47,IF(A47='Données projet'!$A$62,'Données projet'!$B$62,AI46+AH47-AQ46)))</f>
        <v>220.60000000000005</v>
      </c>
      <c r="AJ47" s="14">
        <f>AI47*VLOOKUP('Données projet'!$B$10,Paramètres!$A$1:$I$89,3,0)*VLOOKUP('Données projet'!$B$10,Paramètres!$A$1:$I$89,5,0)</f>
        <v>223.68840000000009</v>
      </c>
      <c r="AK47" s="14">
        <f t="shared" si="35"/>
        <v>54.915763859378501</v>
      </c>
      <c r="AL47" s="22">
        <f t="shared" si="4"/>
        <v>485.23558538841758</v>
      </c>
      <c r="AM47" s="62">
        <f t="shared" si="5"/>
        <v>778.56891872175083</v>
      </c>
      <c r="AN47" s="62">
        <f ca="1">AVERAGE(OFFSET($AM$3,0,0,'Données projet'!$E$10+1,1))-AVERAGE(OFFSET($H$3,0,0,'Données projet'!$E$10+1,1))</f>
        <v>565.72091871734051</v>
      </c>
      <c r="AO47" s="62">
        <f t="shared" si="36"/>
        <v>306.61893266146666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9.8199999999999932</v>
      </c>
      <c r="BD47" s="13">
        <f>IF('Données projet'!$A$88&gt;35,BD46+BC47-BL46,IF(A47&lt;'Données projet'!$A$88,$BA$205^A47,IF(A47='Données projet'!$A$88,'Données projet'!$B$88,BD46+BC47-BL46)))</f>
        <v>232.37999999999988</v>
      </c>
      <c r="BE47" s="14">
        <f>BD47*VLOOKUP('Données projet'!$B$11,Paramètres!$A$1:$I$89,3,0)*VLOOKUP('Données projet'!$B$11,Paramètres!$A$1:$I$89,5,0)</f>
        <v>170.3810159999999</v>
      </c>
      <c r="BF47" s="14">
        <f t="shared" si="37"/>
        <v>43.17534737258952</v>
      </c>
      <c r="BG47" s="22">
        <f t="shared" si="7"/>
        <v>371.94399954059327</v>
      </c>
      <c r="BH47" s="62">
        <f t="shared" si="8"/>
        <v>665.27733287392653</v>
      </c>
      <c r="BI47" s="62">
        <f ca="1">AVERAGE(OFFSET($BH$3,0,0,'Données projet'!$E$11+1,1))-AVERAGE(OFFSET($H$3,0,0,'Données projet'!$E$11+1,1))</f>
        <v>344.26020118887629</v>
      </c>
      <c r="BJ47" s="62">
        <f t="shared" si="38"/>
        <v>376.41441893222185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11.4</v>
      </c>
      <c r="BY47" s="13">
        <f>IF('Données projet'!$A$114&gt;35,BY46+BX47-CG46,IF(A47&lt;'Données projet'!$A$114,$BV$205^A47,IF(A47='Données projet'!$A$114,'Données projet'!$B$114,BY46+BX47-CG46)))</f>
        <v>220.60000000000005</v>
      </c>
      <c r="BZ47" s="14">
        <f>BY47*VLOOKUP('Données projet'!$B$12,Paramètres!$A$1:$I$89,3,0)*VLOOKUP('Données projet'!$B$12,Paramètres!$A$1:$I$89,5,0)</f>
        <v>185.83344000000005</v>
      </c>
      <c r="CA47" s="14">
        <f t="shared" si="39"/>
        <v>46.617600215670045</v>
      </c>
      <c r="CB47" s="22">
        <f t="shared" si="10"/>
        <v>404.85222837562537</v>
      </c>
      <c r="CC47" s="62">
        <f t="shared" si="11"/>
        <v>698.18556170895863</v>
      </c>
      <c r="CD47" s="62">
        <f ca="1">AVERAGE(OFFSET($CC$3,0,0,'Données projet'!$E$12+1,1))-AVERAGE(OFFSET($H$3,0,0,'Données projet'!$E$12+1,1))</f>
        <v>477.4105367901771</v>
      </c>
      <c r="CE47" s="62">
        <f t="shared" si="40"/>
        <v>261.95434270986397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10.402930402930403</v>
      </c>
      <c r="CT47" s="13">
        <f>IF('Données projet'!$A$140&gt;35,CT46+CS47-DB46,IF(A47&lt;'Données projet'!$A$140,$CQ$205^A47,IF(A47='Données projet'!$A$140,'Données projet'!$B$140,CT46+CS47-DB46)))</f>
        <v>248.71794871794864</v>
      </c>
      <c r="CU47" s="18">
        <f>CT47*VLOOKUP('Données projet'!$B$13,Paramètres!$A$1:$I$89,3,0)*VLOOKUP('Données projet'!$B$13,Paramètres!$A$1:$I$89,5,0)</f>
        <v>116.39999999999996</v>
      </c>
      <c r="CV47" s="14">
        <f t="shared" si="41"/>
        <v>30.833875768540434</v>
      </c>
      <c r="CW47" s="22">
        <f t="shared" si="13"/>
        <v>256.43233363020784</v>
      </c>
      <c r="CX47" s="62">
        <f t="shared" si="14"/>
        <v>549.76566696354121</v>
      </c>
      <c r="CY47" s="62">
        <f ca="1">AVERAGE(OFFSET($CX$3,0,0,'Données projet'!$E$13+1,1))-AVERAGE(OFFSET($H$3,0,0,'Données projet'!$E$13+1,1))</f>
        <v>246.64907095367749</v>
      </c>
      <c r="CZ47" s="62">
        <f t="shared" si="42"/>
        <v>145.34368562171613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9.8199999999999932</v>
      </c>
      <c r="DO47" s="13">
        <f>IF('Données projet'!$A$166&gt;35,DO46+DN47-DW46,IF(A47&lt;'Données projet'!$A$166,$DL$205^A47,IF(A47='Données projet'!$A$166,'Données projet'!$B$166,DO46+DN47-DW46)))</f>
        <v>232.37999999999988</v>
      </c>
      <c r="DP47" s="18">
        <f>DO47*VLOOKUP('Données projet'!$B$14,Paramètres!$A$1:$I$89,3,0)*VLOOKUP('Données projet'!$B$14,Paramètres!$A$1:$I$89,5,0)</f>
        <v>184.88152799999992</v>
      </c>
      <c r="DQ47" s="14">
        <f t="shared" si="43"/>
        <v>46.406539086581006</v>
      </c>
      <c r="DR47" s="22">
        <f t="shared" si="16"/>
        <v>402.82671684246179</v>
      </c>
      <c r="DS47" s="62">
        <f t="shared" si="17"/>
        <v>696.16005017579505</v>
      </c>
      <c r="DT47" s="62">
        <f ca="1">AVERAGE(OFFSET($DS$3,0,0,'Données projet'!$E$14+1,1))-AVERAGE(OFFSET($H$3,0,0,'Données projet'!$E$14+1,1))</f>
        <v>370.38521334472284</v>
      </c>
      <c r="DU47" s="62">
        <f t="shared" si="44"/>
        <v>404.61777090709171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15.666666666666666</v>
      </c>
      <c r="EJ47" s="13">
        <f>IF('Données projet'!$A$192&gt;35,EJ46+EI47-ER46,IF(A47&lt;'Données projet'!$A$192,$EG$205^A47,IF(A47='Données projet'!$A$192,'Données projet'!$B$192,EJ46+EI47-ER46)))</f>
        <v>177.33333333333323</v>
      </c>
      <c r="EK47" s="18">
        <f>EJ47*VLOOKUP('Données projet'!$B$15,Paramètres!$A$1:$I$89,3,0)*VLOOKUP('Données projet'!$B$15,Paramètres!$A$1:$I$89,5,0)</f>
        <v>152.15199999999993</v>
      </c>
      <c r="EL47" s="14">
        <f t="shared" si="45"/>
        <v>39.067229161930634</v>
      </c>
      <c r="EM47" s="22">
        <f t="shared" si="19"/>
        <v>333.04015745702907</v>
      </c>
      <c r="EN47" s="62">
        <f t="shared" si="20"/>
        <v>626.37349079036244</v>
      </c>
      <c r="EO47" s="62">
        <f ca="1">AVERAGE(OFFSET($EN$3,0,0,'Données projet'!$E$15+1,1))-AVERAGE(OFFSET($H$3,0,0,'Données projet'!$E$15+1,1))</f>
        <v>445.81166342116865</v>
      </c>
      <c r="EP47" s="62">
        <f t="shared" si="46"/>
        <v>230.82970731138215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11.4</v>
      </c>
      <c r="FE47" s="13">
        <f>IF('Données projet'!$A$218&gt;35,FE46+FD47-FM46,IF(A47&lt;'Données projet'!$A$218,$FB$205^A47,IF(A47='Données projet'!$A$218,'Données projet'!$B$218,FE46+FD47-FM46)))</f>
        <v>220.60000000000005</v>
      </c>
      <c r="FF47" s="18">
        <f>FE47*VLOOKUP('Données projet'!$B$16,Paramètres!$A$1:$I$89,3,0)*VLOOKUP('Données projet'!$B$16,Paramètres!$A$1:$I$89,5,0)</f>
        <v>213.36432000000005</v>
      </c>
      <c r="FG47" s="14">
        <f t="shared" si="47"/>
        <v>52.670092827991724</v>
      </c>
      <c r="FH47" s="22">
        <f t="shared" si="22"/>
        <v>463.34326900875232</v>
      </c>
      <c r="FI47" s="62">
        <f t="shared" si="23"/>
        <v>756.67660234208563</v>
      </c>
      <c r="FJ47" s="62">
        <f ca="1">AVERAGE(OFFSET($FI$3,0,0,'Données projet'!$E$16+1,1))-AVERAGE(OFFSET($H$3,0,0,'Données projet'!$E$16+1,1))</f>
        <v>541.66888676162716</v>
      </c>
      <c r="FK47" s="62">
        <f t="shared" si="48"/>
        <v>294.45557293177131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>
        <f>EXP(-LN(2)/35)*FQ46+(1-EXP(-LN(2)/35))/(LN(2)/35)*FM47*FN47*VLOOKUP('Données projet'!$B$16,Paramètres!$A$1:$I$89,3,0)*0.475*44/12</f>
        <v>0</v>
      </c>
      <c r="FR47" s="23">
        <f>EXP(-LN(2)/25)*FR46+(1-EXP(-LN(2)/25))/(LN(2)/25)*Calculateur!FM47*Calculateur!FO47*VLOOKUP('Données projet'!$B$16,Paramètres!$A$1:$I$89,3,0)*0.475*44/12</f>
        <v>0</v>
      </c>
      <c r="FS47" s="23">
        <f>EXP(-LN(2)/2)*FS46+(1-EXP(-LN(2)/2))/(LN(2)/2)*FM47*FP47*VLOOKUP('Données projet'!$B$16,Paramètres!$A$1:$I$89,3,0)*0.475*44/12</f>
        <v>0</v>
      </c>
      <c r="FT47" s="24">
        <f t="shared" si="24"/>
        <v>0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>
        <f>VLOOKUP(A47,'Données projet'!$A$243:$I$263,2,0)</f>
        <v>230</v>
      </c>
      <c r="FX47" s="13">
        <f>VLOOKUP(A47,'Données projet'!$A$243:$I$263,9,0)</f>
        <v>11.142857142857142</v>
      </c>
      <c r="FY47" s="13">
        <f t="array" ref="FY47">INDEX(FX:FX,MIN(IF(ISNUMBER(FX47:FX243),ROW(FX47:FX243),"")))</f>
        <v>11.142857142857142</v>
      </c>
      <c r="FZ47" s="13">
        <f>IF('Données projet'!$A$244&gt;35,FZ46+FY47-GH46,IF(A47&lt;'Données projet'!$A$244,$FW$205^A47,IF(A47='Données projet'!$A$244,'Données projet'!$B$244,FZ46+FY47-GH46)))</f>
        <v>229.99999999999994</v>
      </c>
      <c r="GA47" s="18">
        <f>FZ47*VLOOKUP('Données projet'!$B$17,Paramètres!$A$1:$I$89,3,0)*VLOOKUP('Données projet'!$B$17,Paramètres!$A$1:$I$89,5,0)</f>
        <v>179.39999999999995</v>
      </c>
      <c r="GB47" s="14">
        <f t="shared" si="49"/>
        <v>45.188671291872232</v>
      </c>
      <c r="GC47" s="22">
        <f t="shared" si="25"/>
        <v>391.15860250001066</v>
      </c>
      <c r="GD47" s="62">
        <f t="shared" si="26"/>
        <v>684.49193583334397</v>
      </c>
      <c r="GE47" s="62">
        <f ca="1">AVERAGE(OFFSET($GD$3,0,0,'Données projet'!$E$17+1,1))-AVERAGE(OFFSET($H$3,0,0,'Données projet'!$E$17+1,1))</f>
        <v>292.57482726862594</v>
      </c>
      <c r="GF47" s="62">
        <f t="shared" si="50"/>
        <v>283.48738729114024</v>
      </c>
      <c r="GG47" s="16">
        <f>IF(ISNA(VLOOKUP(A47,'Données projet'!$A$243:$I$263,3,0)),0,VLOOKUP(A47,'Données projet'!$A$243:$I$263,3,0))</f>
        <v>4</v>
      </c>
      <c r="GH47" s="16">
        <f>IF(ISNA(VLOOKUP(A47,'Données projet'!$A$243:$I$263,4,0)),0,VLOOKUP(A47,'Données projet'!$A$243:$I$263,4,0))</f>
        <v>43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>
        <f>EXP(-LN(2)/35)*GL46+(1-EXP(-LN(2)/35))/(LN(2)/35)*GH47*GI47*VLOOKUP('Données projet'!$B$17,Paramètres!$A$1:$I$89,3,0)*0.475*44/12</f>
        <v>0</v>
      </c>
      <c r="GM47" s="23">
        <f>EXP(-LN(2)/25)*GM46+(1-EXP(-LN(2)/25))/(LN(2)/25)*Calculateur!GH47*Calculateur!GJ47*VLOOKUP('Données projet'!$B$17,Paramètres!$A$1:$I$89,3,0)*0.475*44/12</f>
        <v>0</v>
      </c>
      <c r="GN47" s="23">
        <f>EXP(-LN(2)/2)*GN46+(1-EXP(-LN(2)/2))/(LN(2)/2)*GH47*GK47*VLOOKUP('Données projet'!$B$17,Paramètres!$A$1:$I$89,3,0)*0.475*44/12</f>
        <v>0</v>
      </c>
      <c r="GO47" s="23">
        <f t="shared" si="27"/>
        <v>0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8.2051282051282044</v>
      </c>
      <c r="GU47" s="13">
        <f>IF('Données projet'!$A$270&gt;35,GU46+GT47-HC46,IF(A47&lt;'Données projet'!$A$270,$GR$205^A47,IF(A47='Données projet'!$A$270,'Données projet'!$B$270,GU46+GT47-HC46)))</f>
        <v>273.20512820512806</v>
      </c>
      <c r="GV47" s="18">
        <f>GU47*VLOOKUP('Données projet'!$B$18,Paramètres!$A$1:$I$89,3,0)*VLOOKUP('Données projet'!$B$18,Paramètres!$A$1:$I$89,5,0)</f>
        <v>183.26599999999991</v>
      </c>
      <c r="GW47" s="14">
        <f t="shared" si="51"/>
        <v>46.048048805304745</v>
      </c>
      <c r="GX47" s="22">
        <f t="shared" si="28"/>
        <v>399.3886350025723</v>
      </c>
      <c r="GY47" s="62">
        <f t="shared" si="29"/>
        <v>692.72196833590556</v>
      </c>
      <c r="GZ47" s="62">
        <f ca="1">AVERAGE(OFFSET($GY$3,0,0,'Données projet'!$E$18+1,1))-AVERAGE(OFFSET($H$3,0,0,'Données projet'!$E$18+1,1))</f>
        <v>410.20186800287411</v>
      </c>
      <c r="HA47" s="62">
        <f t="shared" si="52"/>
        <v>321.99347958016057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>
        <f>EXP(-LN(2)/35)*HG46+(1-EXP(-LN(2)/35))/(LN(2)/35)*HC47*HD47*VLOOKUP('Données projet'!$B$18,Paramètres!$A$1:$I$89,3,0)*0.475*44/12</f>
        <v>0</v>
      </c>
      <c r="HH47" s="23">
        <f>EXP(-LN(2)/25)*HH46+(1-EXP(-LN(2)/25))/(LN(2)/25)*Calculateur!HC47*Calculateur!HE47*VLOOKUP('Données projet'!$B$18,Paramètres!$A$1:$I$89,3,0)*0.475*44/12</f>
        <v>0</v>
      </c>
      <c r="HI47" s="23">
        <f>EXP(-LN(2)/2)*HI46+(1-EXP(-LN(2)/2))/(LN(2)/2)*HC47*HF47*VLOOKUP('Données projet'!$B$18,Paramètres!$A$1:$I$89,3,0)*0.475*44/12</f>
        <v>0</v>
      </c>
      <c r="HJ47" s="24">
        <f t="shared" si="30"/>
        <v>0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232</v>
      </c>
      <c r="L48" s="13">
        <f>VLOOKUP(A48,'Données projet'!$A$35:$I$55,9,0)</f>
        <v>11.4</v>
      </c>
      <c r="M48" s="13">
        <f t="array" ref="M48">INDEX(L:L,MIN(IF(ISNUMBER(L48:L244),ROW(L48:L244),"")))</f>
        <v>11.4</v>
      </c>
      <c r="N48" s="14">
        <f>IF('Données projet'!$A$36&gt;35,N47+M48-V47,IF(A48&lt;'Données projet'!$A$36,$K$205^A48,IF(A48='Données projet'!$A$36,'Données projet'!$B$36,N47+M48-V47)))</f>
        <v>232.00000000000006</v>
      </c>
      <c r="O48" s="14">
        <f>N48*VLOOKUP('Données projet'!$B$9,Paramètres!$A$1:$I$89,3,0)*VLOOKUP('Données projet'!$B$9,Paramètres!$A$1:$I$89,5,0)</f>
        <v>209.91360000000006</v>
      </c>
      <c r="P48" s="14">
        <f t="shared" si="33"/>
        <v>51.916704672341361</v>
      </c>
      <c r="Q48" s="22">
        <f t="shared" si="53"/>
        <v>456.02111397099458</v>
      </c>
      <c r="R48" s="62">
        <f t="shared" si="0"/>
        <v>749.35444730432789</v>
      </c>
      <c r="S48" s="62">
        <f ca="1">AVERAGE(OFFSET($R$3,0,0,'Données projet'!$E$9+1,1))-AVERAGE(OFFSET($H$3,0,0,'Données projet'!$E$9+1,1))</f>
        <v>509.56241660612449</v>
      </c>
      <c r="T48" s="62">
        <f t="shared" si="34"/>
        <v>278.21741231699929</v>
      </c>
      <c r="U48" s="16">
        <f>IF(ISNA(VLOOKUP(A48,'Données projet'!$A$35:$I$55,3,0)),0,VLOOKUP(A48,'Données projet'!$A$35:$I$55,3,0))</f>
        <v>3</v>
      </c>
      <c r="V48" s="16">
        <f>IF(ISNA(VLOOKUP(A48,'Données projet'!$A$35:$I$55,4,0)),0,VLOOKUP(A48,'Données projet'!$A$35:$I$55,4,0))</f>
        <v>56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232</v>
      </c>
      <c r="AG48" s="13">
        <f>VLOOKUP(A48,'Données projet'!$A$61:$I$81,9,0)</f>
        <v>11.4</v>
      </c>
      <c r="AH48" s="13">
        <f t="array" ref="AH48">INDEX(AG:AG,MIN(IF(ISNUMBER(AG48:AG244),ROW(AG48:AG244),"")))</f>
        <v>11.4</v>
      </c>
      <c r="AI48" s="14">
        <f>IF('Données projet'!$A$62&gt;35,AI47+AH48-AQ47,IF(A48&lt;'Données projet'!$A$62,$AF$205^A48,IF(A48='Données projet'!$A$62,'Données projet'!$B$62,AI47+AH48-AQ47)))</f>
        <v>232.00000000000006</v>
      </c>
      <c r="AJ48" s="14">
        <f>AI48*VLOOKUP('Données projet'!$B$10,Paramètres!$A$1:$I$89,3,0)*VLOOKUP('Données projet'!$B$10,Paramètres!$A$1:$I$89,5,0)</f>
        <v>235.24800000000008</v>
      </c>
      <c r="AK48" s="14">
        <f t="shared" si="35"/>
        <v>57.41592756883739</v>
      </c>
      <c r="AL48" s="22">
        <f t="shared" si="4"/>
        <v>509.72300718239194</v>
      </c>
      <c r="AM48" s="62">
        <f t="shared" si="5"/>
        <v>803.0563405157252</v>
      </c>
      <c r="AN48" s="62">
        <f ca="1">AVERAGE(OFFSET($AM$3,0,0,'Données projet'!$E$10+1,1))-AVERAGE(OFFSET($H$3,0,0,'Données projet'!$E$10+1,1))</f>
        <v>565.72091871734051</v>
      </c>
      <c r="AO48" s="62">
        <f t="shared" si="36"/>
        <v>306.61893266146666</v>
      </c>
      <c r="AP48" s="16">
        <f>IF(ISNA(VLOOKUP(A48,'Données projet'!$A$61:$I$81,3,0)),0,VLOOKUP(A48,'Données projet'!$A$61:$I$81,3,0))</f>
        <v>3</v>
      </c>
      <c r="AQ48" s="16">
        <f>IF(ISNA(VLOOKUP(A48,'Données projet'!$A$61:$I$81,4,0)),0,VLOOKUP(A48,'Données projet'!$A$61:$I$81,4,0))</f>
        <v>56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242.2</v>
      </c>
      <c r="BB48" s="13">
        <f>VLOOKUP(A48,'Données projet'!$A$87:$I$107,9,0)</f>
        <v>9.8199999999999932</v>
      </c>
      <c r="BC48" s="13">
        <f t="array" ref="BC48">INDEX(BB:BB,MIN(IF(ISNUMBER(BB48:BB244),ROW(BB48:BB244),"")))</f>
        <v>9.8199999999999932</v>
      </c>
      <c r="BD48" s="13">
        <f>IF('Données projet'!$A$88&gt;35,BD47+BC48-BL47,IF(A48&lt;'Données projet'!$A$88,$BA$205^A48,IF(A48='Données projet'!$A$88,'Données projet'!$B$88,BD47+BC48-BL47)))</f>
        <v>242.19999999999987</v>
      </c>
      <c r="BE48" s="14">
        <f>BD48*VLOOKUP('Données projet'!$B$11,Paramètres!$A$1:$I$89,3,0)*VLOOKUP('Données projet'!$B$11,Paramètres!$A$1:$I$89,5,0)</f>
        <v>177.58103999999989</v>
      </c>
      <c r="BF48" s="14">
        <f t="shared" si="37"/>
        <v>44.783589090869476</v>
      </c>
      <c r="BG48" s="22">
        <f t="shared" si="7"/>
        <v>387.28506233326408</v>
      </c>
      <c r="BH48" s="62">
        <f t="shared" si="8"/>
        <v>680.61839566659739</v>
      </c>
      <c r="BI48" s="62">
        <f ca="1">AVERAGE(OFFSET($BH$3,0,0,'Données projet'!$E$11+1,1))-AVERAGE(OFFSET($H$3,0,0,'Données projet'!$E$11+1,1))</f>
        <v>344.26020118887629</v>
      </c>
      <c r="BJ48" s="62">
        <f t="shared" si="38"/>
        <v>376.41441893222185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232</v>
      </c>
      <c r="BW48" s="13">
        <f>VLOOKUP(A48,'Données projet'!$A$113:$I$133,9,0)</f>
        <v>11.4</v>
      </c>
      <c r="BX48" s="13">
        <f t="array" ref="BX48">INDEX(BW:BW,MIN(IF(ISNUMBER(BW48:BW244),ROW(BW48:BW244),"")))</f>
        <v>11.4</v>
      </c>
      <c r="BY48" s="13">
        <f>IF('Données projet'!$A$114&gt;35,BY47+BX48-CG47,IF(A48&lt;'Données projet'!$A$114,$BV$205^A48,IF(A48='Données projet'!$A$114,'Données projet'!$B$114,BY47+BX48-CG47)))</f>
        <v>232.00000000000006</v>
      </c>
      <c r="BZ48" s="14">
        <f>BY48*VLOOKUP('Données projet'!$B$12,Paramètres!$A$1:$I$89,3,0)*VLOOKUP('Données projet'!$B$12,Paramètres!$A$1:$I$89,5,0)</f>
        <v>195.43680000000006</v>
      </c>
      <c r="CA48" s="14">
        <f t="shared" si="39"/>
        <v>48.739971354487849</v>
      </c>
      <c r="CB48" s="22">
        <f t="shared" si="10"/>
        <v>425.27454344239982</v>
      </c>
      <c r="CC48" s="62">
        <f t="shared" si="11"/>
        <v>718.60787677573308</v>
      </c>
      <c r="CD48" s="62">
        <f ca="1">AVERAGE(OFFSET($CC$3,0,0,'Données projet'!$E$12+1,1))-AVERAGE(OFFSET($H$3,0,0,'Données projet'!$E$12+1,1))</f>
        <v>477.4105367901771</v>
      </c>
      <c r="CE48" s="62">
        <f t="shared" si="40"/>
        <v>261.95434270986397</v>
      </c>
      <c r="CF48" s="16">
        <f>IF(ISNA(VLOOKUP(A48,'Données projet'!$A$113:$I$133,3,0)),0,VLOOKUP(A48,'Données projet'!$A$113:$I$133,3,0))</f>
        <v>3</v>
      </c>
      <c r="CG48" s="16">
        <f>IF(ISNA(VLOOKUP(A48,'Données projet'!$A$113:$I$133,4,0)),0,VLOOKUP(A48,'Données projet'!$A$113:$I$133,4,0))</f>
        <v>56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10.402930402930403</v>
      </c>
      <c r="CT48" s="13">
        <f>IF('Données projet'!$A$140&gt;35,CT47+CS48-DB47,IF(A48&lt;'Données projet'!$A$140,$CQ$205^A48,IF(A48='Données projet'!$A$140,'Données projet'!$B$140,CT47+CS48-DB47)))</f>
        <v>259.12087912087907</v>
      </c>
      <c r="CU48" s="18">
        <f>CT48*VLOOKUP('Données projet'!$B$13,Paramètres!$A$1:$I$89,3,0)*VLOOKUP('Données projet'!$B$13,Paramètres!$A$1:$I$89,5,0)</f>
        <v>121.26857142857141</v>
      </c>
      <c r="CV48" s="14">
        <f t="shared" si="41"/>
        <v>31.970691421429557</v>
      </c>
      <c r="CW48" s="22">
        <f t="shared" si="13"/>
        <v>266.89171613041833</v>
      </c>
      <c r="CX48" s="62">
        <f t="shared" si="14"/>
        <v>560.2250494637517</v>
      </c>
      <c r="CY48" s="62">
        <f ca="1">AVERAGE(OFFSET($CX$3,0,0,'Données projet'!$E$13+1,1))-AVERAGE(OFFSET($H$3,0,0,'Données projet'!$E$13+1,1))</f>
        <v>246.64907095367749</v>
      </c>
      <c r="CZ48" s="62">
        <f t="shared" si="42"/>
        <v>145.34368562171613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242.2</v>
      </c>
      <c r="DM48" s="13">
        <f>VLOOKUP(A48,'Données projet'!$A$165:$I$185,9,0)</f>
        <v>9.8199999999999932</v>
      </c>
      <c r="DN48" s="13">
        <f t="array" ref="DN48">INDEX(DM:DM,MIN(IF(ISNUMBER(DM48:DM244),ROW(DM48:DM244),"")))</f>
        <v>9.8199999999999932</v>
      </c>
      <c r="DO48" s="13">
        <f>IF('Données projet'!$A$166&gt;35,DO47+DN48-DW47,IF(A48&lt;'Données projet'!$A$166,$DL$205^A48,IF(A48='Données projet'!$A$166,'Données projet'!$B$166,DO47+DN48-DW47)))</f>
        <v>242.19999999999987</v>
      </c>
      <c r="DP48" s="18">
        <f>DO48*VLOOKUP('Données projet'!$B$14,Paramètres!$A$1:$I$89,3,0)*VLOOKUP('Données projet'!$B$14,Paramètres!$A$1:$I$89,5,0)</f>
        <v>192.69431999999989</v>
      </c>
      <c r="DQ48" s="14">
        <f t="shared" si="43"/>
        <v>48.13513970479886</v>
      </c>
      <c r="DR48" s="22">
        <f t="shared" si="16"/>
        <v>419.44464231919113</v>
      </c>
      <c r="DS48" s="62">
        <f t="shared" si="17"/>
        <v>712.77797565252445</v>
      </c>
      <c r="DT48" s="62">
        <f ca="1">AVERAGE(OFFSET($DS$3,0,0,'Données projet'!$E$14+1,1))-AVERAGE(OFFSET($H$3,0,0,'Données projet'!$E$14+1,1))</f>
        <v>370.38521334472284</v>
      </c>
      <c r="DU48" s="62">
        <f t="shared" si="44"/>
        <v>404.61777090709171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15.666666666666666</v>
      </c>
      <c r="EJ48" s="13">
        <f>IF('Données projet'!$A$192&gt;35,EJ47+EI48-ER47,IF(A48&lt;'Données projet'!$A$192,$EG$205^A48,IF(A48='Données projet'!$A$192,'Données projet'!$B$192,EJ47+EI48-ER47)))</f>
        <v>192.99999999999989</v>
      </c>
      <c r="EK48" s="18">
        <f>EJ48*VLOOKUP('Données projet'!$B$15,Paramètres!$A$1:$I$89,3,0)*VLOOKUP('Données projet'!$B$15,Paramètres!$A$1:$I$89,5,0)</f>
        <v>165.59399999999994</v>
      </c>
      <c r="EL48" s="14">
        <f t="shared" si="45"/>
        <v>42.101723105196754</v>
      </c>
      <c r="EM48" s="22">
        <f t="shared" si="19"/>
        <v>361.73671774155088</v>
      </c>
      <c r="EN48" s="62">
        <f t="shared" si="20"/>
        <v>655.07005107488419</v>
      </c>
      <c r="EO48" s="62">
        <f ca="1">AVERAGE(OFFSET($EN$3,0,0,'Données projet'!$E$15+1,1))-AVERAGE(OFFSET($H$3,0,0,'Données projet'!$E$15+1,1))</f>
        <v>445.81166342116865</v>
      </c>
      <c r="EP48" s="62">
        <f t="shared" si="46"/>
        <v>230.82970731138215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>
        <f>VLOOKUP(A48,'Données projet'!$A$217:$I$237,2,0)</f>
        <v>232</v>
      </c>
      <c r="FC48" s="13">
        <f>VLOOKUP(A48,'Données projet'!$A$217:$I$237,9,0)</f>
        <v>11.4</v>
      </c>
      <c r="FD48" s="13">
        <f t="array" ref="FD48">INDEX(FC:FC,MIN(IF(ISNUMBER(FC48:FC244),ROW(FC48:FC244),"")))</f>
        <v>11.4</v>
      </c>
      <c r="FE48" s="13">
        <f>IF('Données projet'!$A$218&gt;35,FE47+FD48-FM47,IF(A48&lt;'Données projet'!$A$218,$FB$205^A48,IF(A48='Données projet'!$A$218,'Données projet'!$B$218,FE47+FD48-FM47)))</f>
        <v>232.00000000000006</v>
      </c>
      <c r="FF48" s="18">
        <f>FE48*VLOOKUP('Données projet'!$B$16,Paramètres!$A$1:$I$89,3,0)*VLOOKUP('Données projet'!$B$16,Paramètres!$A$1:$I$89,5,0)</f>
        <v>224.39040000000006</v>
      </c>
      <c r="FG48" s="14">
        <f t="shared" si="47"/>
        <v>55.068017311015858</v>
      </c>
      <c r="FH48" s="22">
        <f t="shared" si="22"/>
        <v>486.72341015001939</v>
      </c>
      <c r="FI48" s="62">
        <f t="shared" si="23"/>
        <v>780.05674348335265</v>
      </c>
      <c r="FJ48" s="62">
        <f ca="1">AVERAGE(OFFSET($FI$3,0,0,'Données projet'!$E$16+1,1))-AVERAGE(OFFSET($H$3,0,0,'Données projet'!$E$16+1,1))</f>
        <v>541.66888676162716</v>
      </c>
      <c r="FK48" s="62">
        <f t="shared" si="48"/>
        <v>294.45557293177131</v>
      </c>
      <c r="FL48" s="16">
        <f>IF(ISNA(VLOOKUP(A48,'Données projet'!$A$217:$I$237,3,0)),0,VLOOKUP(A48,'Données projet'!$A$217:$I$237,3,0))</f>
        <v>3</v>
      </c>
      <c r="FM48" s="16">
        <f>IF(ISNA(VLOOKUP(A48,'Données projet'!$A$217:$I$237,4,0)),0,VLOOKUP(A48,'Données projet'!$A$217:$I$237,4,0))</f>
        <v>56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>
        <f>EXP(-LN(2)/35)*FQ47+(1-EXP(-LN(2)/35))/(LN(2)/35)*FM48*FN48*VLOOKUP('Données projet'!$B$16,Paramètres!$A$1:$I$89,3,0)*0.475*44/12</f>
        <v>0</v>
      </c>
      <c r="FR48" s="23">
        <f>EXP(-LN(2)/25)*FR47+(1-EXP(-LN(2)/25))/(LN(2)/25)*Calculateur!FM48*Calculateur!FO48*VLOOKUP('Données projet'!$B$16,Paramètres!$A$1:$I$89,3,0)*0.475*44/12</f>
        <v>0</v>
      </c>
      <c r="FS48" s="23">
        <f>EXP(-LN(2)/2)*FS47+(1-EXP(-LN(2)/2))/(LN(2)/2)*FM48*FP48*VLOOKUP('Données projet'!$B$16,Paramètres!$A$1:$I$89,3,0)*0.475*44/12</f>
        <v>0</v>
      </c>
      <c r="FT48" s="24">
        <f t="shared" si="24"/>
        <v>0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10.375</v>
      </c>
      <c r="FZ48" s="13">
        <f>IF('Données projet'!$A$244&gt;35,FZ47+FY48-GH47,IF(A48&lt;'Données projet'!$A$244,$FW$205^A48,IF(A48='Données projet'!$A$244,'Données projet'!$B$244,FZ47+FY48-GH47)))</f>
        <v>197.37499999999994</v>
      </c>
      <c r="GA48" s="18">
        <f>FZ48*VLOOKUP('Données projet'!$B$17,Paramètres!$A$1:$I$89,3,0)*VLOOKUP('Données projet'!$B$17,Paramètres!$A$1:$I$89,5,0)</f>
        <v>153.95249999999996</v>
      </c>
      <c r="GB48" s="14">
        <f t="shared" si="49"/>
        <v>39.475441267837397</v>
      </c>
      <c r="GC48" s="22">
        <f t="shared" si="25"/>
        <v>336.88699770815003</v>
      </c>
      <c r="GD48" s="62">
        <f t="shared" si="26"/>
        <v>630.2203310414834</v>
      </c>
      <c r="GE48" s="62">
        <f ca="1">AVERAGE(OFFSET($GD$3,0,0,'Données projet'!$E$17+1,1))-AVERAGE(OFFSET($H$3,0,0,'Données projet'!$E$17+1,1))</f>
        <v>292.57482726862594</v>
      </c>
      <c r="GF48" s="62">
        <f t="shared" si="50"/>
        <v>283.48738729114024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>
        <f>EXP(-LN(2)/35)*GL47+(1-EXP(-LN(2)/35))/(LN(2)/35)*GH48*GI48*VLOOKUP('Données projet'!$B$17,Paramètres!$A$1:$I$89,3,0)*0.475*44/12</f>
        <v>0</v>
      </c>
      <c r="GM48" s="23">
        <f>EXP(-LN(2)/25)*GM47+(1-EXP(-LN(2)/25))/(LN(2)/25)*Calculateur!GH48*Calculateur!GJ48*VLOOKUP('Données projet'!$B$17,Paramètres!$A$1:$I$89,3,0)*0.475*44/12</f>
        <v>0</v>
      </c>
      <c r="GN48" s="23">
        <f>EXP(-LN(2)/2)*GN47+(1-EXP(-LN(2)/2))/(LN(2)/2)*GH48*GK48*VLOOKUP('Données projet'!$B$17,Paramètres!$A$1:$I$89,3,0)*0.475*44/12</f>
        <v>0</v>
      </c>
      <c r="GO48" s="23">
        <f t="shared" si="27"/>
        <v>0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>
        <f>VLOOKUP(A48,'Données projet'!$A$269:$I$289,2,0)</f>
        <v>281.41025641025641</v>
      </c>
      <c r="GS48" s="13">
        <f>VLOOKUP(A48,'Données projet'!$A$269:$I$289,9,0)</f>
        <v>8.2051282051282044</v>
      </c>
      <c r="GT48" s="13">
        <f t="array" ref="GT48">INDEX(GS:GS,MIN(IF(ISNUMBER(GS48:GS244),ROW(GS48:GS244),"")))</f>
        <v>8.2051282051282044</v>
      </c>
      <c r="GU48" s="13">
        <f>IF('Données projet'!$A$270&gt;35,GU47+GT48-HC47,IF(A48&lt;'Données projet'!$A$270,$GR$205^A48,IF(A48='Données projet'!$A$270,'Données projet'!$B$270,GU47+GT48-HC47)))</f>
        <v>281.41025641025624</v>
      </c>
      <c r="GV48" s="18">
        <f>GU48*VLOOKUP('Données projet'!$B$18,Paramètres!$A$1:$I$89,3,0)*VLOOKUP('Données projet'!$B$18,Paramètres!$A$1:$I$89,5,0)</f>
        <v>188.7699999999999</v>
      </c>
      <c r="GW48" s="14">
        <f t="shared" si="51"/>
        <v>47.267914610633945</v>
      </c>
      <c r="GX48" s="22">
        <f t="shared" si="28"/>
        <v>411.09936794685387</v>
      </c>
      <c r="GY48" s="62">
        <f t="shared" si="29"/>
        <v>704.43270128018719</v>
      </c>
      <c r="GZ48" s="62">
        <f ca="1">AVERAGE(OFFSET($GY$3,0,0,'Données projet'!$E$18+1,1))-AVERAGE(OFFSET($H$3,0,0,'Données projet'!$E$18+1,1))</f>
        <v>410.20186800287411</v>
      </c>
      <c r="HA48" s="62">
        <f t="shared" si="52"/>
        <v>321.99347958016057</v>
      </c>
      <c r="HB48" s="16">
        <f>IF(ISNA(VLOOKUP(A48,'Données projet'!$A$269:$I$289,3,0)),0,VLOOKUP(A48,'Données projet'!$A$269:$I$289,3,0))</f>
        <v>4</v>
      </c>
      <c r="HC48" s="16">
        <f>IF(ISNA(VLOOKUP(A48,'Données projet'!$A$269:$I$289,4,0)),0,VLOOKUP(A48,'Données projet'!$A$269:$I$289,4,0))</f>
        <v>28.205128205128204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>
        <f>EXP(-LN(2)/35)*HG47+(1-EXP(-LN(2)/35))/(LN(2)/35)*HC48*HD48*VLOOKUP('Données projet'!$B$18,Paramètres!$A$1:$I$89,3,0)*0.475*44/12</f>
        <v>0</v>
      </c>
      <c r="HH48" s="23">
        <f>EXP(-LN(2)/25)*HH47+(1-EXP(-LN(2)/25))/(LN(2)/25)*Calculateur!HC48*Calculateur!HE48*VLOOKUP('Données projet'!$B$18,Paramètres!$A$1:$I$89,3,0)*0.475*44/12</f>
        <v>0</v>
      </c>
      <c r="HI48" s="23">
        <f>EXP(-LN(2)/2)*HI47+(1-EXP(-LN(2)/2))/(LN(2)/2)*HC48*HF48*VLOOKUP('Données projet'!$B$18,Paramètres!$A$1:$I$89,3,0)*0.475*44/12</f>
        <v>0</v>
      </c>
      <c r="HJ48" s="24">
        <f t="shared" si="30"/>
        <v>0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11</v>
      </c>
      <c r="N49" s="14">
        <f>IF('Données projet'!$A$36&gt;35,N48+M49-V48,IF(A49&lt;'Données projet'!$A$36,$K$205^A49,IF(A49='Données projet'!$A$36,'Données projet'!$B$36,N48+M49-V48)))</f>
        <v>187.00000000000006</v>
      </c>
      <c r="O49" s="14">
        <f>N49*VLOOKUP('Données projet'!$B$9,Paramètres!$A$1:$I$89,3,0)*VLOOKUP('Données projet'!$B$9,Paramètres!$A$1:$I$89,5,0)</f>
        <v>169.19760000000005</v>
      </c>
      <c r="P49" s="14">
        <f t="shared" si="33"/>
        <v>42.910263223432885</v>
      </c>
      <c r="Q49" s="22">
        <f t="shared" si="53"/>
        <v>369.42119511414563</v>
      </c>
      <c r="R49" s="62">
        <f t="shared" si="0"/>
        <v>662.75452844747895</v>
      </c>
      <c r="S49" s="62">
        <f ca="1">AVERAGE(OFFSET($R$3,0,0,'Données projet'!$E$9+1,1))-AVERAGE(OFFSET($H$3,0,0,'Données projet'!$E$9+1,1))</f>
        <v>509.56241660612449</v>
      </c>
      <c r="T49" s="62">
        <f t="shared" si="34"/>
        <v>278.21741231699929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11</v>
      </c>
      <c r="AI49" s="14">
        <f>IF('Données projet'!$A$62&gt;35,AI48+AH49-AQ48,IF(A49&lt;'Données projet'!$A$62,$AF$205^A49,IF(A49='Données projet'!$A$62,'Données projet'!$B$62,AI48+AH49-AQ48)))</f>
        <v>187.00000000000006</v>
      </c>
      <c r="AJ49" s="14">
        <f>AI49*VLOOKUP('Données projet'!$B$10,Paramètres!$A$1:$I$89,3,0)*VLOOKUP('Données projet'!$B$10,Paramètres!$A$1:$I$89,5,0)</f>
        <v>189.61800000000008</v>
      </c>
      <c r="AK49" s="14">
        <f t="shared" si="35"/>
        <v>47.455488185268543</v>
      </c>
      <c r="AL49" s="22">
        <f t="shared" si="4"/>
        <v>412.90299192267616</v>
      </c>
      <c r="AM49" s="62">
        <f t="shared" si="5"/>
        <v>706.23632525600942</v>
      </c>
      <c r="AN49" s="62">
        <f ca="1">AVERAGE(OFFSET($AM$3,0,0,'Données projet'!$E$10+1,1))-AVERAGE(OFFSET($H$3,0,0,'Données projet'!$E$10+1,1))</f>
        <v>565.72091871734051</v>
      </c>
      <c r="AO49" s="62">
        <f t="shared" si="36"/>
        <v>306.61893266146666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8.5399999999999974</v>
      </c>
      <c r="BD49" s="13">
        <f>IF('Données projet'!$A$88&gt;35,BD48+BC49-BL48,IF(A49&lt;'Données projet'!$A$88,$BA$205^A49,IF(A49='Données projet'!$A$88,'Données projet'!$B$88,BD48+BC49-BL48)))</f>
        <v>250.73999999999987</v>
      </c>
      <c r="BE49" s="14">
        <f>BD49*VLOOKUP('Données projet'!$B$11,Paramètres!$A$1:$I$89,3,0)*VLOOKUP('Données projet'!$B$11,Paramètres!$A$1:$I$89,5,0)</f>
        <v>183.84256799999991</v>
      </c>
      <c r="BF49" s="14">
        <f t="shared" si="37"/>
        <v>46.176032940903148</v>
      </c>
      <c r="BG49" s="22">
        <f t="shared" si="7"/>
        <v>400.61572997207281</v>
      </c>
      <c r="BH49" s="62">
        <f t="shared" si="8"/>
        <v>693.94906330540607</v>
      </c>
      <c r="BI49" s="62">
        <f ca="1">AVERAGE(OFFSET($BH$3,0,0,'Données projet'!$E$11+1,1))-AVERAGE(OFFSET($H$3,0,0,'Données projet'!$E$11+1,1))</f>
        <v>344.26020118887629</v>
      </c>
      <c r="BJ49" s="62">
        <f t="shared" si="38"/>
        <v>376.41441893222185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11</v>
      </c>
      <c r="BY49" s="13">
        <f>IF('Données projet'!$A$114&gt;35,BY48+BX49-CG48,IF(A49&lt;'Données projet'!$A$114,$BV$205^A49,IF(A49='Données projet'!$A$114,'Données projet'!$B$114,BY48+BX49-CG48)))</f>
        <v>187.00000000000006</v>
      </c>
      <c r="BZ49" s="14">
        <f>BY49*VLOOKUP('Données projet'!$B$12,Paramètres!$A$1:$I$89,3,0)*VLOOKUP('Données projet'!$B$12,Paramètres!$A$1:$I$89,5,0)</f>
        <v>157.52880000000005</v>
      </c>
      <c r="CA49" s="14">
        <f t="shared" si="39"/>
        <v>40.284625411479013</v>
      </c>
      <c r="CB49" s="22">
        <f t="shared" si="10"/>
        <v>344.52504925832596</v>
      </c>
      <c r="CC49" s="62">
        <f t="shared" si="11"/>
        <v>637.85838259165928</v>
      </c>
      <c r="CD49" s="62">
        <f ca="1">AVERAGE(OFFSET($CC$3,0,0,'Données projet'!$E$12+1,1))-AVERAGE(OFFSET($H$3,0,0,'Données projet'!$E$12+1,1))</f>
        <v>477.4105367901771</v>
      </c>
      <c r="CE49" s="62">
        <f t="shared" si="40"/>
        <v>261.95434270986397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10.402930402930403</v>
      </c>
      <c r="CT49" s="13">
        <f>IF('Données projet'!$A$140&gt;35,CT48+CS49-DB48,IF(A49&lt;'Données projet'!$A$140,$CQ$205^A49,IF(A49='Données projet'!$A$140,'Données projet'!$B$140,CT48+CS49-DB48)))</f>
        <v>269.52380952380946</v>
      </c>
      <c r="CU49" s="18">
        <f>CT49*VLOOKUP('Données projet'!$B$13,Paramètres!$A$1:$I$89,3,0)*VLOOKUP('Données projet'!$B$13,Paramètres!$A$1:$I$89,5,0)</f>
        <v>126.13714285714282</v>
      </c>
      <c r="CV49" s="14">
        <f t="shared" si="41"/>
        <v>33.102205495977692</v>
      </c>
      <c r="CW49" s="22">
        <f t="shared" si="13"/>
        <v>277.34186504835151</v>
      </c>
      <c r="CX49" s="62">
        <f t="shared" si="14"/>
        <v>570.67519838168482</v>
      </c>
      <c r="CY49" s="62">
        <f ca="1">AVERAGE(OFFSET($CX$3,0,0,'Données projet'!$E$13+1,1))-AVERAGE(OFFSET($H$3,0,0,'Données projet'!$E$13+1,1))</f>
        <v>246.64907095367749</v>
      </c>
      <c r="CZ49" s="62">
        <f t="shared" si="42"/>
        <v>145.34368562171613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8.5399999999999974</v>
      </c>
      <c r="DO49" s="13">
        <f>IF('Données projet'!$A$166&gt;35,DO48+DN49-DW48,IF(A49&lt;'Données projet'!$A$166,$DL$205^A49,IF(A49='Données projet'!$A$166,'Données projet'!$B$166,DO48+DN49-DW48)))</f>
        <v>250.73999999999987</v>
      </c>
      <c r="DP49" s="18">
        <f>DO49*VLOOKUP('Données projet'!$B$14,Paramètres!$A$1:$I$89,3,0)*VLOOKUP('Données projet'!$B$14,Paramètres!$A$1:$I$89,5,0)</f>
        <v>199.48874399999991</v>
      </c>
      <c r="DQ49" s="14">
        <f t="shared" si="43"/>
        <v>49.631792398634111</v>
      </c>
      <c r="DR49" s="22">
        <f t="shared" si="16"/>
        <v>433.88493422762093</v>
      </c>
      <c r="DS49" s="62">
        <f t="shared" si="17"/>
        <v>727.21826756095425</v>
      </c>
      <c r="DT49" s="62">
        <f ca="1">AVERAGE(OFFSET($DS$3,0,0,'Données projet'!$E$14+1,1))-AVERAGE(OFFSET($H$3,0,0,'Données projet'!$E$14+1,1))</f>
        <v>370.38521334472284</v>
      </c>
      <c r="DU49" s="62">
        <f t="shared" si="44"/>
        <v>404.61777090709171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15.666666666666666</v>
      </c>
      <c r="EJ49" s="13">
        <f>IF('Données projet'!$A$192&gt;35,EJ48+EI49-ER48,IF(A49&lt;'Données projet'!$A$192,$EG$205^A49,IF(A49='Données projet'!$A$192,'Données projet'!$B$192,EJ48+EI49-ER48)))</f>
        <v>208.66666666666654</v>
      </c>
      <c r="EK49" s="18">
        <f>EJ49*VLOOKUP('Données projet'!$B$15,Paramètres!$A$1:$I$89,3,0)*VLOOKUP('Données projet'!$B$15,Paramètres!$A$1:$I$89,5,0)</f>
        <v>179.03599999999992</v>
      </c>
      <c r="EL49" s="14">
        <f t="shared" si="45"/>
        <v>45.1076469440343</v>
      </c>
      <c r="EM49" s="22">
        <f t="shared" si="19"/>
        <v>390.38351842752627</v>
      </c>
      <c r="EN49" s="62">
        <f t="shared" si="20"/>
        <v>683.71685176085953</v>
      </c>
      <c r="EO49" s="62">
        <f ca="1">AVERAGE(OFFSET($EN$3,0,0,'Données projet'!$E$15+1,1))-AVERAGE(OFFSET($H$3,0,0,'Données projet'!$E$15+1,1))</f>
        <v>445.81166342116865</v>
      </c>
      <c r="EP49" s="62">
        <f t="shared" si="46"/>
        <v>230.82970731138215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11</v>
      </c>
      <c r="FE49" s="13">
        <f>IF('Données projet'!$A$218&gt;35,FE48+FD49-FM48,IF(A49&lt;'Données projet'!$A$218,$FB$205^A49,IF(A49='Données projet'!$A$218,'Données projet'!$B$218,FE48+FD49-FM48)))</f>
        <v>187.00000000000006</v>
      </c>
      <c r="FF49" s="18">
        <f>FE49*VLOOKUP('Données projet'!$B$16,Paramètres!$A$1:$I$89,3,0)*VLOOKUP('Données projet'!$B$16,Paramètres!$A$1:$I$89,5,0)</f>
        <v>180.86640000000006</v>
      </c>
      <c r="FG49" s="14">
        <f t="shared" si="47"/>
        <v>45.514890302102152</v>
      </c>
      <c r="FH49" s="22">
        <f t="shared" si="22"/>
        <v>394.28074727616132</v>
      </c>
      <c r="FI49" s="62">
        <f t="shared" si="23"/>
        <v>687.61408060949464</v>
      </c>
      <c r="FJ49" s="62">
        <f ca="1">AVERAGE(OFFSET($FI$3,0,0,'Données projet'!$E$16+1,1))-AVERAGE(OFFSET($H$3,0,0,'Données projet'!$E$16+1,1))</f>
        <v>541.66888676162716</v>
      </c>
      <c r="FK49" s="62">
        <f t="shared" si="48"/>
        <v>294.45557293177131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>
        <f>EXP(-LN(2)/35)*FQ48+(1-EXP(-LN(2)/35))/(LN(2)/35)*FM49*FN49*VLOOKUP('Données projet'!$B$16,Paramètres!$A$1:$I$89,3,0)*0.475*44/12</f>
        <v>0</v>
      </c>
      <c r="FR49" s="23">
        <f>EXP(-LN(2)/25)*FR48+(1-EXP(-LN(2)/25))/(LN(2)/25)*Calculateur!FM49*Calculateur!FO49*VLOOKUP('Données projet'!$B$16,Paramètres!$A$1:$I$89,3,0)*0.475*44/12</f>
        <v>0</v>
      </c>
      <c r="FS49" s="23">
        <f>EXP(-LN(2)/2)*FS48+(1-EXP(-LN(2)/2))/(LN(2)/2)*FM49*FP49*VLOOKUP('Données projet'!$B$16,Paramètres!$A$1:$I$89,3,0)*0.475*44/12</f>
        <v>0</v>
      </c>
      <c r="FT49" s="24">
        <f t="shared" si="24"/>
        <v>0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10.375</v>
      </c>
      <c r="FZ49" s="13">
        <f>IF('Données projet'!$A$244&gt;35,FZ48+FY49-GH48,IF(A49&lt;'Données projet'!$A$244,$FW$205^A49,IF(A49='Données projet'!$A$244,'Données projet'!$B$244,FZ48+FY49-GH48)))</f>
        <v>207.74999999999994</v>
      </c>
      <c r="GA49" s="18">
        <f>FZ49*VLOOKUP('Données projet'!$B$17,Paramètres!$A$1:$I$89,3,0)*VLOOKUP('Données projet'!$B$17,Paramètres!$A$1:$I$89,5,0)</f>
        <v>162.04499999999996</v>
      </c>
      <c r="GB49" s="14">
        <f t="shared" si="49"/>
        <v>41.303429372463391</v>
      </c>
      <c r="GC49" s="22">
        <f t="shared" si="25"/>
        <v>354.16518115704031</v>
      </c>
      <c r="GD49" s="62">
        <f t="shared" si="26"/>
        <v>647.49851449037362</v>
      </c>
      <c r="GE49" s="62">
        <f ca="1">AVERAGE(OFFSET($GD$3,0,0,'Données projet'!$E$17+1,1))-AVERAGE(OFFSET($H$3,0,0,'Données projet'!$E$17+1,1))</f>
        <v>292.57482726862594</v>
      </c>
      <c r="GF49" s="62">
        <f t="shared" si="50"/>
        <v>283.48738729114024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>
        <f>EXP(-LN(2)/35)*GL48+(1-EXP(-LN(2)/35))/(LN(2)/35)*GH49*GI49*VLOOKUP('Données projet'!$B$17,Paramètres!$A$1:$I$89,3,0)*0.475*44/12</f>
        <v>0</v>
      </c>
      <c r="GM49" s="23">
        <f>EXP(-LN(2)/25)*GM48+(1-EXP(-LN(2)/25))/(LN(2)/25)*Calculateur!GH49*Calculateur!GJ49*VLOOKUP('Données projet'!$B$17,Paramètres!$A$1:$I$89,3,0)*0.475*44/12</f>
        <v>0</v>
      </c>
      <c r="GN49" s="23">
        <f>EXP(-LN(2)/2)*GN48+(1-EXP(-LN(2)/2))/(LN(2)/2)*GH49*GK49*VLOOKUP('Données projet'!$B$17,Paramètres!$A$1:$I$89,3,0)*0.475*44/12</f>
        <v>0</v>
      </c>
      <c r="GO49" s="23">
        <f t="shared" si="27"/>
        <v>0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4.8717948717948669</v>
      </c>
      <c r="GU49" s="13">
        <f>IF('Données projet'!$A$270&gt;35,GU48+GT49-HC48,IF(A49&lt;'Données projet'!$A$270,$GR$205^A49,IF(A49='Données projet'!$A$270,'Données projet'!$B$270,GU48+GT49-HC48)))</f>
        <v>258.07692307692287</v>
      </c>
      <c r="GV49" s="18">
        <f>GU49*VLOOKUP('Données projet'!$B$18,Paramètres!$A$1:$I$89,3,0)*VLOOKUP('Données projet'!$B$18,Paramètres!$A$1:$I$89,5,0)</f>
        <v>173.11799999999985</v>
      </c>
      <c r="GW49" s="14">
        <f t="shared" si="51"/>
        <v>43.787611467033614</v>
      </c>
      <c r="GX49" s="22">
        <f t="shared" si="28"/>
        <v>377.77727330508327</v>
      </c>
      <c r="GY49" s="62">
        <f t="shared" si="29"/>
        <v>671.11060663841658</v>
      </c>
      <c r="GZ49" s="62">
        <f ca="1">AVERAGE(OFFSET($GY$3,0,0,'Données projet'!$E$18+1,1))-AVERAGE(OFFSET($H$3,0,0,'Données projet'!$E$18+1,1))</f>
        <v>410.20186800287411</v>
      </c>
      <c r="HA49" s="62">
        <f t="shared" si="52"/>
        <v>321.99347958016057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>
        <f>EXP(-LN(2)/35)*HG48+(1-EXP(-LN(2)/35))/(LN(2)/35)*HC49*HD49*VLOOKUP('Données projet'!$B$18,Paramètres!$A$1:$I$89,3,0)*0.475*44/12</f>
        <v>0</v>
      </c>
      <c r="HH49" s="23">
        <f>EXP(-LN(2)/25)*HH48+(1-EXP(-LN(2)/25))/(LN(2)/25)*Calculateur!HC49*Calculateur!HE49*VLOOKUP('Données projet'!$B$18,Paramètres!$A$1:$I$89,3,0)*0.475*44/12</f>
        <v>0</v>
      </c>
      <c r="HI49" s="23">
        <f>EXP(-LN(2)/2)*HI48+(1-EXP(-LN(2)/2))/(LN(2)/2)*HC49*HF49*VLOOKUP('Données projet'!$B$18,Paramètres!$A$1:$I$89,3,0)*0.475*44/12</f>
        <v>0</v>
      </c>
      <c r="HJ49" s="24">
        <f t="shared" si="30"/>
        <v>0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11</v>
      </c>
      <c r="N50" s="14">
        <f>IF('Données projet'!$A$36&gt;35,N49+M50-V49,IF(A50&lt;'Données projet'!$A$36,$K$205^A50,IF(A50='Données projet'!$A$36,'Données projet'!$B$36,N49+M50-V49)))</f>
        <v>198.00000000000006</v>
      </c>
      <c r="O50" s="14">
        <f>N50*VLOOKUP('Données projet'!$B$9,Paramètres!$A$1:$I$89,3,0)*VLOOKUP('Données projet'!$B$9,Paramètres!$A$1:$I$89,5,0)</f>
        <v>179.15040000000005</v>
      </c>
      <c r="P50" s="14">
        <f t="shared" si="33"/>
        <v>45.133113803437347</v>
      </c>
      <c r="Q50" s="22">
        <f t="shared" si="53"/>
        <v>390.62711987432004</v>
      </c>
      <c r="R50" s="62">
        <f t="shared" si="0"/>
        <v>683.96045320765336</v>
      </c>
      <c r="S50" s="62">
        <f ca="1">AVERAGE(OFFSET($R$3,0,0,'Données projet'!$E$9+1,1))-AVERAGE(OFFSET($H$3,0,0,'Données projet'!$E$9+1,1))</f>
        <v>509.56241660612449</v>
      </c>
      <c r="T50" s="62">
        <f t="shared" si="34"/>
        <v>278.21741231699929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11</v>
      </c>
      <c r="AI50" s="14">
        <f>IF('Données projet'!$A$62&gt;35,AI49+AH50-AQ49,IF(A50&lt;'Données projet'!$A$62,$AF$205^A50,IF(A50='Données projet'!$A$62,'Données projet'!$B$62,AI49+AH50-AQ49)))</f>
        <v>198.00000000000006</v>
      </c>
      <c r="AJ50" s="14">
        <f>AI50*VLOOKUP('Données projet'!$B$10,Paramètres!$A$1:$I$89,3,0)*VLOOKUP('Données projet'!$B$10,Paramètres!$A$1:$I$89,5,0)</f>
        <v>200.77200000000008</v>
      </c>
      <c r="AK50" s="14">
        <f t="shared" si="35"/>
        <v>49.913791898945412</v>
      </c>
      <c r="AL50" s="22">
        <f t="shared" si="4"/>
        <v>436.61108755732999</v>
      </c>
      <c r="AM50" s="62">
        <f t="shared" si="5"/>
        <v>729.94442089066331</v>
      </c>
      <c r="AN50" s="62">
        <f ca="1">AVERAGE(OFFSET($AM$3,0,0,'Données projet'!$E$10+1,1))-AVERAGE(OFFSET($H$3,0,0,'Données projet'!$E$10+1,1))</f>
        <v>565.72091871734051</v>
      </c>
      <c r="AO50" s="62">
        <f t="shared" si="36"/>
        <v>306.61893266146666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8.5399999999999974</v>
      </c>
      <c r="BD50" s="13">
        <f>IF('Données projet'!$A$88&gt;35,BD49+BC50-BL49,IF(A50&lt;'Données projet'!$A$88,$BA$205^A50,IF(A50='Données projet'!$A$88,'Données projet'!$B$88,BD49+BC50-BL49)))</f>
        <v>259.27999999999986</v>
      </c>
      <c r="BE50" s="14">
        <f>BD50*VLOOKUP('Données projet'!$B$11,Paramètres!$A$1:$I$89,3,0)*VLOOKUP('Données projet'!$B$11,Paramètres!$A$1:$I$89,5,0)</f>
        <v>190.10409599999988</v>
      </c>
      <c r="BF50" s="14">
        <f t="shared" si="37"/>
        <v>47.562966265165443</v>
      </c>
      <c r="BG50" s="22">
        <f t="shared" si="7"/>
        <v>413.9368001118296</v>
      </c>
      <c r="BH50" s="62">
        <f t="shared" si="8"/>
        <v>707.27013344516286</v>
      </c>
      <c r="BI50" s="62">
        <f ca="1">AVERAGE(OFFSET($BH$3,0,0,'Données projet'!$E$11+1,1))-AVERAGE(OFFSET($H$3,0,0,'Données projet'!$E$11+1,1))</f>
        <v>344.26020118887629</v>
      </c>
      <c r="BJ50" s="62">
        <f t="shared" si="38"/>
        <v>376.41441893222185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11</v>
      </c>
      <c r="BY50" s="13">
        <f>IF('Données projet'!$A$114&gt;35,BY49+BX50-CG49,IF(A50&lt;'Données projet'!$A$114,$BV$205^A50,IF(A50='Données projet'!$A$114,'Données projet'!$B$114,BY49+BX50-CG49)))</f>
        <v>198.00000000000006</v>
      </c>
      <c r="BZ50" s="14">
        <f>BY50*VLOOKUP('Données projet'!$B$12,Paramètres!$A$1:$I$89,3,0)*VLOOKUP('Données projet'!$B$12,Paramètres!$A$1:$I$89,5,0)</f>
        <v>166.79520000000008</v>
      </c>
      <c r="CA50" s="14">
        <f t="shared" si="39"/>
        <v>42.371461898472788</v>
      </c>
      <c r="CB50" s="22">
        <f t="shared" si="10"/>
        <v>364.29860280650684</v>
      </c>
      <c r="CC50" s="62">
        <f t="shared" si="11"/>
        <v>657.63193613984015</v>
      </c>
      <c r="CD50" s="62">
        <f ca="1">AVERAGE(OFFSET($CC$3,0,0,'Données projet'!$E$12+1,1))-AVERAGE(OFFSET($H$3,0,0,'Données projet'!$E$12+1,1))</f>
        <v>477.4105367901771</v>
      </c>
      <c r="CE50" s="62">
        <f t="shared" si="40"/>
        <v>261.95434270986397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10.402930402930403</v>
      </c>
      <c r="CT50" s="13">
        <f>IF('Données projet'!$A$140&gt;35,CT49+CS50-DB49,IF(A50&lt;'Données projet'!$A$140,$CQ$205^A50,IF(A50='Données projet'!$A$140,'Données projet'!$B$140,CT49+CS50-DB49)))</f>
        <v>279.92673992673986</v>
      </c>
      <c r="CU50" s="18">
        <f>CT50*VLOOKUP('Données projet'!$B$13,Paramètres!$A$1:$I$89,3,0)*VLOOKUP('Données projet'!$B$13,Paramètres!$A$1:$I$89,5,0)</f>
        <v>131.00571428571425</v>
      </c>
      <c r="CV50" s="14">
        <f t="shared" si="41"/>
        <v>34.228646041091935</v>
      </c>
      <c r="CW50" s="22">
        <f t="shared" si="13"/>
        <v>287.78317756918744</v>
      </c>
      <c r="CX50" s="62">
        <f t="shared" si="14"/>
        <v>581.11651090252076</v>
      </c>
      <c r="CY50" s="62">
        <f ca="1">AVERAGE(OFFSET($CX$3,0,0,'Données projet'!$E$13+1,1))-AVERAGE(OFFSET($H$3,0,0,'Données projet'!$E$13+1,1))</f>
        <v>246.64907095367749</v>
      </c>
      <c r="CZ50" s="62">
        <f t="shared" si="42"/>
        <v>145.34368562171613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8.5399999999999974</v>
      </c>
      <c r="DO50" s="13">
        <f>IF('Données projet'!$A$166&gt;35,DO49+DN50-DW49,IF(A50&lt;'Données projet'!$A$166,$DL$205^A50,IF(A50='Données projet'!$A$166,'Données projet'!$B$166,DO49+DN50-DW49)))</f>
        <v>259.27999999999986</v>
      </c>
      <c r="DP50" s="18">
        <f>DO50*VLOOKUP('Données projet'!$B$14,Paramètres!$A$1:$I$89,3,0)*VLOOKUP('Données projet'!$B$14,Paramètres!$A$1:$I$89,5,0)</f>
        <v>206.2831679999999</v>
      </c>
      <c r="DQ50" s="14">
        <f t="shared" si="43"/>
        <v>51.122522165494573</v>
      </c>
      <c r="DR50" s="22">
        <f t="shared" si="16"/>
        <v>448.31491037156951</v>
      </c>
      <c r="DS50" s="62">
        <f t="shared" si="17"/>
        <v>741.64824370490282</v>
      </c>
      <c r="DT50" s="62">
        <f ca="1">AVERAGE(OFFSET($DS$3,0,0,'Données projet'!$E$14+1,1))-AVERAGE(OFFSET($H$3,0,0,'Données projet'!$E$14+1,1))</f>
        <v>370.38521334472284</v>
      </c>
      <c r="DU50" s="62">
        <f t="shared" si="44"/>
        <v>404.61777090709171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15.666666666666666</v>
      </c>
      <c r="EJ50" s="13">
        <f>IF('Données projet'!$A$192&gt;35,EJ49+EI50-ER49,IF(A50&lt;'Données projet'!$A$192,$EG$205^A50,IF(A50='Données projet'!$A$192,'Données projet'!$B$192,EJ49+EI50-ER49)))</f>
        <v>224.3333333333332</v>
      </c>
      <c r="EK50" s="18">
        <f>EJ50*VLOOKUP('Données projet'!$B$15,Paramètres!$A$1:$I$89,3,0)*VLOOKUP('Données projet'!$B$15,Paramètres!$A$1:$I$89,5,0)</f>
        <v>192.47799999999989</v>
      </c>
      <c r="EL50" s="14">
        <f t="shared" si="45"/>
        <v>48.087389626209038</v>
      </c>
      <c r="EM50" s="22">
        <f t="shared" si="19"/>
        <v>418.98472026564724</v>
      </c>
      <c r="EN50" s="62">
        <f t="shared" si="20"/>
        <v>712.31805359898055</v>
      </c>
      <c r="EO50" s="62">
        <f ca="1">AVERAGE(OFFSET($EN$3,0,0,'Données projet'!$E$15+1,1))-AVERAGE(OFFSET($H$3,0,0,'Données projet'!$E$15+1,1))</f>
        <v>445.81166342116865</v>
      </c>
      <c r="EP50" s="62">
        <f t="shared" si="46"/>
        <v>230.82970731138215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11</v>
      </c>
      <c r="FE50" s="13">
        <f>IF('Données projet'!$A$218&gt;35,FE49+FD50-FM49,IF(A50&lt;'Données projet'!$A$218,$FB$205^A50,IF(A50='Données projet'!$A$218,'Données projet'!$B$218,FE49+FD50-FM49)))</f>
        <v>198.00000000000006</v>
      </c>
      <c r="FF50" s="18">
        <f>FE50*VLOOKUP('Données projet'!$B$16,Paramètres!$A$1:$I$89,3,0)*VLOOKUP('Données projet'!$B$16,Paramètres!$A$1:$I$89,5,0)</f>
        <v>191.50560000000007</v>
      </c>
      <c r="FG50" s="14">
        <f t="shared" si="47"/>
        <v>47.872666570685276</v>
      </c>
      <c r="FH50" s="22">
        <f t="shared" si="22"/>
        <v>416.9171476106103</v>
      </c>
      <c r="FI50" s="62">
        <f t="shared" si="23"/>
        <v>710.25048094394356</v>
      </c>
      <c r="FJ50" s="62">
        <f ca="1">AVERAGE(OFFSET($FI$3,0,0,'Données projet'!$E$16+1,1))-AVERAGE(OFFSET($H$3,0,0,'Données projet'!$E$16+1,1))</f>
        <v>541.66888676162716</v>
      </c>
      <c r="FK50" s="62">
        <f t="shared" si="48"/>
        <v>294.45557293177131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>
        <f>EXP(-LN(2)/35)*FQ49+(1-EXP(-LN(2)/35))/(LN(2)/35)*FM50*FN50*VLOOKUP('Données projet'!$B$16,Paramètres!$A$1:$I$89,3,0)*0.475*44/12</f>
        <v>0</v>
      </c>
      <c r="FR50" s="23">
        <f>EXP(-LN(2)/25)*FR49+(1-EXP(-LN(2)/25))/(LN(2)/25)*Calculateur!FM50*Calculateur!FO50*VLOOKUP('Données projet'!$B$16,Paramètres!$A$1:$I$89,3,0)*0.475*44/12</f>
        <v>0</v>
      </c>
      <c r="FS50" s="23">
        <f>EXP(-LN(2)/2)*FS49+(1-EXP(-LN(2)/2))/(LN(2)/2)*FM50*FP50*VLOOKUP('Données projet'!$B$16,Paramètres!$A$1:$I$89,3,0)*0.475*44/12</f>
        <v>0</v>
      </c>
      <c r="FT50" s="24">
        <f t="shared" si="24"/>
        <v>0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10.375</v>
      </c>
      <c r="FZ50" s="13">
        <f>IF('Données projet'!$A$244&gt;35,FZ49+FY50-GH49,IF(A50&lt;'Données projet'!$A$244,$FW$205^A50,IF(A50='Données projet'!$A$244,'Données projet'!$B$244,FZ49+FY50-GH49)))</f>
        <v>218.12499999999994</v>
      </c>
      <c r="GA50" s="18">
        <f>FZ50*VLOOKUP('Données projet'!$B$17,Paramètres!$A$1:$I$89,3,0)*VLOOKUP('Données projet'!$B$17,Paramètres!$A$1:$I$89,5,0)</f>
        <v>170.13749999999996</v>
      </c>
      <c r="GB50" s="14">
        <f t="shared" si="49"/>
        <v>43.120817562072411</v>
      </c>
      <c r="GC50" s="22">
        <f t="shared" si="25"/>
        <v>371.42490308727605</v>
      </c>
      <c r="GD50" s="62">
        <f t="shared" si="26"/>
        <v>664.75823642060936</v>
      </c>
      <c r="GE50" s="62">
        <f ca="1">AVERAGE(OFFSET($GD$3,0,0,'Données projet'!$E$17+1,1))-AVERAGE(OFFSET($H$3,0,0,'Données projet'!$E$17+1,1))</f>
        <v>292.57482726862594</v>
      </c>
      <c r="GF50" s="62">
        <f t="shared" si="50"/>
        <v>283.48738729114024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>
        <f>EXP(-LN(2)/35)*GL49+(1-EXP(-LN(2)/35))/(LN(2)/35)*GH50*GI50*VLOOKUP('Données projet'!$B$17,Paramètres!$A$1:$I$89,3,0)*0.475*44/12</f>
        <v>0</v>
      </c>
      <c r="GM50" s="23">
        <f>EXP(-LN(2)/25)*GM49+(1-EXP(-LN(2)/25))/(LN(2)/25)*Calculateur!GH50*Calculateur!GJ50*VLOOKUP('Données projet'!$B$17,Paramètres!$A$1:$I$89,3,0)*0.475*44/12</f>
        <v>0</v>
      </c>
      <c r="GN50" s="23">
        <f>EXP(-LN(2)/2)*GN49+(1-EXP(-LN(2)/2))/(LN(2)/2)*GH50*GK50*VLOOKUP('Données projet'!$B$17,Paramètres!$A$1:$I$89,3,0)*0.475*44/12</f>
        <v>0</v>
      </c>
      <c r="GO50" s="23">
        <f t="shared" si="27"/>
        <v>0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4.8717948717948669</v>
      </c>
      <c r="GU50" s="13">
        <f>IF('Données projet'!$A$270&gt;35,GU49+GT50-HC49,IF(A50&lt;'Données projet'!$A$270,$GR$205^A50,IF(A50='Données projet'!$A$270,'Données projet'!$B$270,GU49+GT50-HC49)))</f>
        <v>262.94871794871773</v>
      </c>
      <c r="GV50" s="18">
        <f>GU50*VLOOKUP('Données projet'!$B$18,Paramètres!$A$1:$I$89,3,0)*VLOOKUP('Données projet'!$B$18,Paramètres!$A$1:$I$89,5,0)</f>
        <v>176.38599999999985</v>
      </c>
      <c r="GW50" s="14">
        <f t="shared" si="51"/>
        <v>44.517191103060753</v>
      </c>
      <c r="GX50" s="22">
        <f t="shared" si="28"/>
        <v>384.73972450449719</v>
      </c>
      <c r="GY50" s="62">
        <f t="shared" si="29"/>
        <v>678.07305783783045</v>
      </c>
      <c r="GZ50" s="62">
        <f ca="1">AVERAGE(OFFSET($GY$3,0,0,'Données projet'!$E$18+1,1))-AVERAGE(OFFSET($H$3,0,0,'Données projet'!$E$18+1,1))</f>
        <v>410.20186800287411</v>
      </c>
      <c r="HA50" s="62">
        <f t="shared" si="52"/>
        <v>321.99347958016057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>
        <f>EXP(-LN(2)/35)*HG49+(1-EXP(-LN(2)/35))/(LN(2)/35)*HC50*HD50*VLOOKUP('Données projet'!$B$18,Paramètres!$A$1:$I$89,3,0)*0.475*44/12</f>
        <v>0</v>
      </c>
      <c r="HH50" s="23">
        <f>EXP(-LN(2)/25)*HH49+(1-EXP(-LN(2)/25))/(LN(2)/25)*Calculateur!HC50*Calculateur!HE50*VLOOKUP('Données projet'!$B$18,Paramètres!$A$1:$I$89,3,0)*0.475*44/12</f>
        <v>0</v>
      </c>
      <c r="HI50" s="23">
        <f>EXP(-LN(2)/2)*HI49+(1-EXP(-LN(2)/2))/(LN(2)/2)*HC50*HF50*VLOOKUP('Données projet'!$B$18,Paramètres!$A$1:$I$89,3,0)*0.475*44/12</f>
        <v>0</v>
      </c>
      <c r="HJ50" s="24">
        <f t="shared" si="30"/>
        <v>0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11</v>
      </c>
      <c r="N51" s="14">
        <f>IF('Données projet'!$A$36&gt;35,N50+M51-V50,IF(A51&lt;'Données projet'!$A$36,$K$205^A51,IF(A51='Données projet'!$A$36,'Données projet'!$B$36,N50+M51-V50)))</f>
        <v>209.00000000000006</v>
      </c>
      <c r="O51" s="14">
        <f>N51*VLOOKUP('Données projet'!$B$9,Paramètres!$A$1:$I$89,3,0)*VLOOKUP('Données projet'!$B$9,Paramètres!$A$1:$I$89,5,0)</f>
        <v>189.10320000000004</v>
      </c>
      <c r="P51" s="14">
        <f t="shared" si="33"/>
        <v>47.341628542787163</v>
      </c>
      <c r="Q51" s="22">
        <f t="shared" si="53"/>
        <v>411.8080763786877</v>
      </c>
      <c r="R51" s="62">
        <f t="shared" si="0"/>
        <v>705.14140971202096</v>
      </c>
      <c r="S51" s="62">
        <f ca="1">AVERAGE(OFFSET($R$3,0,0,'Données projet'!$E$9+1,1))-AVERAGE(OFFSET($H$3,0,0,'Données projet'!$E$9+1,1))</f>
        <v>509.56241660612449</v>
      </c>
      <c r="T51" s="62">
        <f t="shared" si="34"/>
        <v>278.21741231699929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11</v>
      </c>
      <c r="AI51" s="14">
        <f>IF('Données projet'!$A$62&gt;35,AI50+AH51-AQ50,IF(A51&lt;'Données projet'!$A$62,$AF$205^A51,IF(A51='Données projet'!$A$62,'Données projet'!$B$62,AI50+AH51-AQ50)))</f>
        <v>209.00000000000006</v>
      </c>
      <c r="AJ51" s="14">
        <f>AI51*VLOOKUP('Données projet'!$B$10,Paramètres!$A$1:$I$89,3,0)*VLOOKUP('Données projet'!$B$10,Paramètres!$A$1:$I$89,5,0)</f>
        <v>211.92600000000007</v>
      </c>
      <c r="AK51" s="14">
        <f t="shared" si="35"/>
        <v>52.356241262970165</v>
      </c>
      <c r="AL51" s="22">
        <f t="shared" si="4"/>
        <v>460.29157019967312</v>
      </c>
      <c r="AM51" s="62">
        <f t="shared" si="5"/>
        <v>753.62490353300643</v>
      </c>
      <c r="AN51" s="62">
        <f ca="1">AVERAGE(OFFSET($AM$3,0,0,'Données projet'!$E$10+1,1))-AVERAGE(OFFSET($H$3,0,0,'Données projet'!$E$10+1,1))</f>
        <v>565.72091871734051</v>
      </c>
      <c r="AO51" s="62">
        <f t="shared" si="36"/>
        <v>306.61893266146666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8.5399999999999974</v>
      </c>
      <c r="BD51" s="13">
        <f>IF('Données projet'!$A$88&gt;35,BD50+BC51-BL50,IF(A51&lt;'Données projet'!$A$88,$BA$205^A51,IF(A51='Données projet'!$A$88,'Données projet'!$B$88,BD50+BC51-BL50)))</f>
        <v>267.81999999999988</v>
      </c>
      <c r="BE51" s="14">
        <f>BD51*VLOOKUP('Données projet'!$B$11,Paramètres!$A$1:$I$89,3,0)*VLOOKUP('Données projet'!$B$11,Paramètres!$A$1:$I$89,5,0)</f>
        <v>196.36562399999991</v>
      </c>
      <c r="BF51" s="14">
        <f t="shared" si="37"/>
        <v>48.944591379063773</v>
      </c>
      <c r="BG51" s="22">
        <f t="shared" si="7"/>
        <v>427.24862511853593</v>
      </c>
      <c r="BH51" s="62">
        <f t="shared" si="8"/>
        <v>720.58195845186924</v>
      </c>
      <c r="BI51" s="62">
        <f ca="1">AVERAGE(OFFSET($BH$3,0,0,'Données projet'!$E$11+1,1))-AVERAGE(OFFSET($H$3,0,0,'Données projet'!$E$11+1,1))</f>
        <v>344.26020118887629</v>
      </c>
      <c r="BJ51" s="62">
        <f t="shared" si="38"/>
        <v>376.41441893222185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11</v>
      </c>
      <c r="BY51" s="13">
        <f>IF('Données projet'!$A$114&gt;35,BY50+BX51-CG50,IF(A51&lt;'Données projet'!$A$114,$BV$205^A51,IF(A51='Données projet'!$A$114,'Données projet'!$B$114,BY50+BX51-CG50)))</f>
        <v>209.00000000000006</v>
      </c>
      <c r="BZ51" s="14">
        <f>BY51*VLOOKUP('Données projet'!$B$12,Paramètres!$A$1:$I$89,3,0)*VLOOKUP('Données projet'!$B$12,Paramètres!$A$1:$I$89,5,0)</f>
        <v>176.06160000000008</v>
      </c>
      <c r="CA51" s="14">
        <f t="shared" si="39"/>
        <v>44.444839741138928</v>
      </c>
      <c r="CB51" s="22">
        <f t="shared" si="10"/>
        <v>384.04871588248375</v>
      </c>
      <c r="CC51" s="62">
        <f t="shared" si="11"/>
        <v>677.38204921581701</v>
      </c>
      <c r="CD51" s="62">
        <f ca="1">AVERAGE(OFFSET($CC$3,0,0,'Données projet'!$E$12+1,1))-AVERAGE(OFFSET($H$3,0,0,'Données projet'!$E$12+1,1))</f>
        <v>477.4105367901771</v>
      </c>
      <c r="CE51" s="62">
        <f t="shared" si="40"/>
        <v>261.95434270986397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10.402930402930403</v>
      </c>
      <c r="CT51" s="13">
        <f>IF('Données projet'!$A$140&gt;35,CT50+CS51-DB50,IF(A51&lt;'Données projet'!$A$140,$CQ$205^A51,IF(A51='Données projet'!$A$140,'Données projet'!$B$140,CT50+CS51-DB50)))</f>
        <v>290.32967032967025</v>
      </c>
      <c r="CU51" s="18">
        <f>CT51*VLOOKUP('Données projet'!$B$13,Paramètres!$A$1:$I$89,3,0)*VLOOKUP('Données projet'!$B$13,Paramètres!$A$1:$I$89,5,0)</f>
        <v>135.87428571428569</v>
      </c>
      <c r="CV51" s="14">
        <f t="shared" si="41"/>
        <v>35.350223195357941</v>
      </c>
      <c r="CW51" s="22">
        <f t="shared" si="13"/>
        <v>298.21601968429599</v>
      </c>
      <c r="CX51" s="62">
        <f t="shared" si="14"/>
        <v>591.5493530176293</v>
      </c>
      <c r="CY51" s="62">
        <f ca="1">AVERAGE(OFFSET($CX$3,0,0,'Données projet'!$E$13+1,1))-AVERAGE(OFFSET($H$3,0,0,'Données projet'!$E$13+1,1))</f>
        <v>246.64907095367749</v>
      </c>
      <c r="CZ51" s="62">
        <f t="shared" si="42"/>
        <v>145.34368562171613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8.5399999999999974</v>
      </c>
      <c r="DO51" s="13">
        <f>IF('Données projet'!$A$166&gt;35,DO50+DN51-DW50,IF(A51&lt;'Données projet'!$A$166,$DL$205^A51,IF(A51='Données projet'!$A$166,'Données projet'!$B$166,DO50+DN51-DW50)))</f>
        <v>267.81999999999988</v>
      </c>
      <c r="DP51" s="18">
        <f>DO51*VLOOKUP('Données projet'!$B$14,Paramètres!$A$1:$I$89,3,0)*VLOOKUP('Données projet'!$B$14,Paramètres!$A$1:$I$89,5,0)</f>
        <v>213.07759199999992</v>
      </c>
      <c r="DQ51" s="14">
        <f t="shared" si="43"/>
        <v>52.607546461832449</v>
      </c>
      <c r="DR51" s="22">
        <f t="shared" si="16"/>
        <v>462.73494948769138</v>
      </c>
      <c r="DS51" s="62">
        <f t="shared" si="17"/>
        <v>756.0682828210247</v>
      </c>
      <c r="DT51" s="62">
        <f ca="1">AVERAGE(OFFSET($DS$3,0,0,'Données projet'!$E$14+1,1))-AVERAGE(OFFSET($H$3,0,0,'Données projet'!$E$14+1,1))</f>
        <v>370.38521334472284</v>
      </c>
      <c r="DU51" s="62">
        <f t="shared" si="44"/>
        <v>404.61777090709171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>
        <f>VLOOKUP(A51,'Données projet'!$A$191:$I$211,2,0)</f>
        <v>240</v>
      </c>
      <c r="EH51" s="13">
        <f>VLOOKUP(A51,'Données projet'!$A$191:$I$211,9,0)</f>
        <v>15.666666666666666</v>
      </c>
      <c r="EI51" s="13">
        <f t="array" ref="EI51">INDEX(EH:EH,MIN(IF(ISNUMBER(EH51:EH247),ROW(EH51:EH247),"")))</f>
        <v>15.666666666666666</v>
      </c>
      <c r="EJ51" s="13">
        <f>IF('Données projet'!$A$192&gt;35,EJ50+EI51-ER50,IF(A51&lt;'Données projet'!$A$192,$EG$205^A51,IF(A51='Données projet'!$A$192,'Données projet'!$B$192,EJ50+EI51-ER50)))</f>
        <v>239.99999999999986</v>
      </c>
      <c r="EK51" s="18">
        <f>EJ51*VLOOKUP('Données projet'!$B$15,Paramètres!$A$1:$I$89,3,0)*VLOOKUP('Données projet'!$B$15,Paramètres!$A$1:$I$89,5,0)</f>
        <v>205.91999999999993</v>
      </c>
      <c r="EL51" s="14">
        <f t="shared" si="45"/>
        <v>51.042987531485686</v>
      </c>
      <c r="EM51" s="22">
        <f t="shared" si="19"/>
        <v>447.5438699506708</v>
      </c>
      <c r="EN51" s="62">
        <f t="shared" si="20"/>
        <v>740.87720328400405</v>
      </c>
      <c r="EO51" s="62">
        <f ca="1">AVERAGE(OFFSET($EN$3,0,0,'Données projet'!$E$15+1,1))-AVERAGE(OFFSET($H$3,0,0,'Données projet'!$E$15+1,1))</f>
        <v>445.81166342116865</v>
      </c>
      <c r="EP51" s="62">
        <f t="shared" si="46"/>
        <v>230.82970731138215</v>
      </c>
      <c r="EQ51" s="16">
        <f>IF(ISNA(VLOOKUP(A51,'Données projet'!$A$191:$I$211,3,0)),0,VLOOKUP(A51,'Données projet'!$A$191:$I$211,3,0))</f>
        <v>5</v>
      </c>
      <c r="ER51" s="16">
        <f>IF(ISNA(VLOOKUP(A51,'Données projet'!$A$191:$I$211,4,0)),0,VLOOKUP(A51,'Données projet'!$A$191:$I$211,4,0))</f>
        <v>63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11</v>
      </c>
      <c r="FE51" s="13">
        <f>IF('Données projet'!$A$218&gt;35,FE50+FD51-FM50,IF(A51&lt;'Données projet'!$A$218,$FB$205^A51,IF(A51='Données projet'!$A$218,'Données projet'!$B$218,FE50+FD51-FM50)))</f>
        <v>209.00000000000006</v>
      </c>
      <c r="FF51" s="18">
        <f>FE51*VLOOKUP('Données projet'!$B$16,Paramètres!$A$1:$I$89,3,0)*VLOOKUP('Données projet'!$B$16,Paramètres!$A$1:$I$89,5,0)</f>
        <v>202.14480000000006</v>
      </c>
      <c r="FG51" s="14">
        <f t="shared" si="47"/>
        <v>50.215236821738628</v>
      </c>
      <c r="FH51" s="22">
        <f t="shared" si="22"/>
        <v>439.52706413119489</v>
      </c>
      <c r="FI51" s="62">
        <f t="shared" si="23"/>
        <v>732.86039746452821</v>
      </c>
      <c r="FJ51" s="62">
        <f ca="1">AVERAGE(OFFSET($FI$3,0,0,'Données projet'!$E$16+1,1))-AVERAGE(OFFSET($H$3,0,0,'Données projet'!$E$16+1,1))</f>
        <v>541.66888676162716</v>
      </c>
      <c r="FK51" s="62">
        <f t="shared" si="48"/>
        <v>294.45557293177131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>
        <f>EXP(-LN(2)/35)*FQ50+(1-EXP(-LN(2)/35))/(LN(2)/35)*FM51*FN51*VLOOKUP('Données projet'!$B$16,Paramètres!$A$1:$I$89,3,0)*0.475*44/12</f>
        <v>0</v>
      </c>
      <c r="FR51" s="23">
        <f>EXP(-LN(2)/25)*FR50+(1-EXP(-LN(2)/25))/(LN(2)/25)*Calculateur!FM51*Calculateur!FO51*VLOOKUP('Données projet'!$B$16,Paramètres!$A$1:$I$89,3,0)*0.475*44/12</f>
        <v>0</v>
      </c>
      <c r="FS51" s="23">
        <f>EXP(-LN(2)/2)*FS50+(1-EXP(-LN(2)/2))/(LN(2)/2)*FM51*FP51*VLOOKUP('Données projet'!$B$16,Paramètres!$A$1:$I$89,3,0)*0.475*44/12</f>
        <v>0</v>
      </c>
      <c r="FT51" s="24">
        <f t="shared" si="24"/>
        <v>0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10.375</v>
      </c>
      <c r="FZ51" s="13">
        <f>IF('Données projet'!$A$244&gt;35,FZ50+FY51-GH50,IF(A51&lt;'Données projet'!$A$244,$FW$205^A51,IF(A51='Données projet'!$A$244,'Données projet'!$B$244,FZ50+FY51-GH50)))</f>
        <v>228.49999999999994</v>
      </c>
      <c r="GA51" s="18">
        <f>FZ51*VLOOKUP('Données projet'!$B$17,Paramètres!$A$1:$I$89,3,0)*VLOOKUP('Données projet'!$B$17,Paramètres!$A$1:$I$89,5,0)</f>
        <v>178.22999999999996</v>
      </c>
      <c r="GB51" s="14">
        <f t="shared" si="49"/>
        <v>44.928167580487852</v>
      </c>
      <c r="GC51" s="22">
        <f t="shared" si="25"/>
        <v>388.66714186934956</v>
      </c>
      <c r="GD51" s="62">
        <f t="shared" si="26"/>
        <v>682.00047520268288</v>
      </c>
      <c r="GE51" s="62">
        <f ca="1">AVERAGE(OFFSET($GD$3,0,0,'Données projet'!$E$17+1,1))-AVERAGE(OFFSET($H$3,0,0,'Données projet'!$E$17+1,1))</f>
        <v>292.57482726862594</v>
      </c>
      <c r="GF51" s="62">
        <f t="shared" si="50"/>
        <v>283.48738729114024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>
        <f>EXP(-LN(2)/35)*GL50+(1-EXP(-LN(2)/35))/(LN(2)/35)*GH51*GI51*VLOOKUP('Données projet'!$B$17,Paramètres!$A$1:$I$89,3,0)*0.475*44/12</f>
        <v>0</v>
      </c>
      <c r="GM51" s="23">
        <f>EXP(-LN(2)/25)*GM50+(1-EXP(-LN(2)/25))/(LN(2)/25)*Calculateur!GH51*Calculateur!GJ51*VLOOKUP('Données projet'!$B$17,Paramètres!$A$1:$I$89,3,0)*0.475*44/12</f>
        <v>0</v>
      </c>
      <c r="GN51" s="23">
        <f>EXP(-LN(2)/2)*GN50+(1-EXP(-LN(2)/2))/(LN(2)/2)*GH51*GK51*VLOOKUP('Données projet'!$B$17,Paramètres!$A$1:$I$89,3,0)*0.475*44/12</f>
        <v>0</v>
      </c>
      <c r="GO51" s="23">
        <f t="shared" si="27"/>
        <v>0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4.8717948717948669</v>
      </c>
      <c r="GU51" s="13">
        <f>IF('Données projet'!$A$270&gt;35,GU50+GT51-HC50,IF(A51&lt;'Données projet'!$A$270,$GR$205^A51,IF(A51='Données projet'!$A$270,'Données projet'!$B$270,GU50+GT51-HC50)))</f>
        <v>267.82051282051259</v>
      </c>
      <c r="GV51" s="18">
        <f>GU51*VLOOKUP('Données projet'!$B$18,Paramètres!$A$1:$I$89,3,0)*VLOOKUP('Données projet'!$B$18,Paramètres!$A$1:$I$89,5,0)</f>
        <v>179.65399999999985</v>
      </c>
      <c r="GW51" s="14">
        <f t="shared" si="51"/>
        <v>45.245198923213763</v>
      </c>
      <c r="GX51" s="22">
        <f t="shared" si="28"/>
        <v>391.69943812459701</v>
      </c>
      <c r="GY51" s="62">
        <f t="shared" si="29"/>
        <v>685.03277145793027</v>
      </c>
      <c r="GZ51" s="62">
        <f ca="1">AVERAGE(OFFSET($GY$3,0,0,'Données projet'!$E$18+1,1))-AVERAGE(OFFSET($H$3,0,0,'Données projet'!$E$18+1,1))</f>
        <v>410.20186800287411</v>
      </c>
      <c r="HA51" s="62">
        <f t="shared" si="52"/>
        <v>321.99347958016057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>
        <f>EXP(-LN(2)/35)*HG50+(1-EXP(-LN(2)/35))/(LN(2)/35)*HC51*HD51*VLOOKUP('Données projet'!$B$18,Paramètres!$A$1:$I$89,3,0)*0.475*44/12</f>
        <v>0</v>
      </c>
      <c r="HH51" s="23">
        <f>EXP(-LN(2)/25)*HH50+(1-EXP(-LN(2)/25))/(LN(2)/25)*Calculateur!HC51*Calculateur!HE51*VLOOKUP('Données projet'!$B$18,Paramètres!$A$1:$I$89,3,0)*0.475*44/12</f>
        <v>0</v>
      </c>
      <c r="HI51" s="23">
        <f>EXP(-LN(2)/2)*HI50+(1-EXP(-LN(2)/2))/(LN(2)/2)*HC51*HF51*VLOOKUP('Données projet'!$B$18,Paramètres!$A$1:$I$89,3,0)*0.475*44/12</f>
        <v>0</v>
      </c>
      <c r="HJ51" s="24">
        <f t="shared" si="30"/>
        <v>0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11</v>
      </c>
      <c r="N52" s="14">
        <f>IF('Données projet'!$A$36&gt;35,N51+M52-V51,IF(A52&lt;'Données projet'!$A$36,$K$205^A52,IF(A52='Données projet'!$A$36,'Données projet'!$B$36,N51+M52-V51)))</f>
        <v>220.00000000000006</v>
      </c>
      <c r="O52" s="14">
        <f>N52*VLOOKUP('Données projet'!$B$9,Paramètres!$A$1:$I$89,3,0)*VLOOKUP('Données projet'!$B$9,Paramètres!$A$1:$I$89,5,0)</f>
        <v>199.05600000000004</v>
      </c>
      <c r="P52" s="14">
        <f t="shared" si="33"/>
        <v>49.536648006253934</v>
      </c>
      <c r="Q52" s="22">
        <f t="shared" si="53"/>
        <v>432.96552861089231</v>
      </c>
      <c r="R52" s="62">
        <f t="shared" si="0"/>
        <v>726.29886194422556</v>
      </c>
      <c r="S52" s="62">
        <f ca="1">AVERAGE(OFFSET($R$3,0,0,'Données projet'!$E$9+1,1))-AVERAGE(OFFSET($H$3,0,0,'Données projet'!$E$9+1,1))</f>
        <v>509.56241660612449</v>
      </c>
      <c r="T52" s="62">
        <f t="shared" si="34"/>
        <v>278.21741231699929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11</v>
      </c>
      <c r="AI52" s="14">
        <f>IF('Données projet'!$A$62&gt;35,AI51+AH52-AQ51,IF(A52&lt;'Données projet'!$A$62,$AF$205^A52,IF(A52='Données projet'!$A$62,'Données projet'!$B$62,AI51+AH52-AQ51)))</f>
        <v>220.00000000000006</v>
      </c>
      <c r="AJ52" s="14">
        <f>AI52*VLOOKUP('Données projet'!$B$10,Paramètres!$A$1:$I$89,3,0)*VLOOKUP('Données projet'!$B$10,Paramètres!$A$1:$I$89,5,0)</f>
        <v>223.08000000000004</v>
      </c>
      <c r="AK52" s="14">
        <f t="shared" si="35"/>
        <v>54.783765878062667</v>
      </c>
      <c r="AL52" s="22">
        <f t="shared" si="4"/>
        <v>483.94605890429256</v>
      </c>
      <c r="AM52" s="62">
        <f t="shared" si="5"/>
        <v>777.27939223762587</v>
      </c>
      <c r="AN52" s="62">
        <f ca="1">AVERAGE(OFFSET($AM$3,0,0,'Données projet'!$E$10+1,1))-AVERAGE(OFFSET($H$3,0,0,'Données projet'!$E$10+1,1))</f>
        <v>565.72091871734051</v>
      </c>
      <c r="AO52" s="62">
        <f t="shared" si="36"/>
        <v>306.61893266146666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8.5399999999999974</v>
      </c>
      <c r="BD52" s="13">
        <f>IF('Données projet'!$A$88&gt;35,BD51+BC52-BL51,IF(A52&lt;'Données projet'!$A$88,$BA$205^A52,IF(A52='Données projet'!$A$88,'Données projet'!$B$88,BD51+BC52-BL51)))</f>
        <v>276.3599999999999</v>
      </c>
      <c r="BE52" s="14">
        <f>BD52*VLOOKUP('Données projet'!$B$11,Paramètres!$A$1:$I$89,3,0)*VLOOKUP('Données projet'!$B$11,Paramètres!$A$1:$I$89,5,0)</f>
        <v>202.62715199999994</v>
      </c>
      <c r="BF52" s="14">
        <f t="shared" si="37"/>
        <v>50.321096962872829</v>
      </c>
      <c r="BG52" s="22">
        <f t="shared" si="7"/>
        <v>440.55153361033672</v>
      </c>
      <c r="BH52" s="62">
        <f t="shared" si="8"/>
        <v>733.88486694366998</v>
      </c>
      <c r="BI52" s="62">
        <f ca="1">AVERAGE(OFFSET($BH$3,0,0,'Données projet'!$E$11+1,1))-AVERAGE(OFFSET($H$3,0,0,'Données projet'!$E$11+1,1))</f>
        <v>344.26020118887629</v>
      </c>
      <c r="BJ52" s="62">
        <f t="shared" si="38"/>
        <v>376.41441893222185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11</v>
      </c>
      <c r="BY52" s="13">
        <f>IF('Données projet'!$A$114&gt;35,BY51+BX52-CG51,IF(A52&lt;'Données projet'!$A$114,$BV$205^A52,IF(A52='Données projet'!$A$114,'Données projet'!$B$114,BY51+BX52-CG51)))</f>
        <v>220.00000000000006</v>
      </c>
      <c r="BZ52" s="14">
        <f>BY52*VLOOKUP('Données projet'!$B$12,Paramètres!$A$1:$I$89,3,0)*VLOOKUP('Données projet'!$B$12,Paramètres!$A$1:$I$89,5,0)</f>
        <v>185.32800000000006</v>
      </c>
      <c r="CA52" s="14">
        <f t="shared" si="39"/>
        <v>46.505548070897625</v>
      </c>
      <c r="CB52" s="22">
        <f t="shared" si="10"/>
        <v>403.77676289014676</v>
      </c>
      <c r="CC52" s="62">
        <f t="shared" si="11"/>
        <v>697.11009622348001</v>
      </c>
      <c r="CD52" s="62">
        <f ca="1">AVERAGE(OFFSET($CC$3,0,0,'Données projet'!$E$12+1,1))-AVERAGE(OFFSET($H$3,0,0,'Données projet'!$E$12+1,1))</f>
        <v>477.4105367901771</v>
      </c>
      <c r="CE52" s="62">
        <f t="shared" si="40"/>
        <v>261.95434270986397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10.402930402930403</v>
      </c>
      <c r="CT52" s="13">
        <f>IF('Données projet'!$A$140&gt;35,CT51+CS52-DB51,IF(A52&lt;'Données projet'!$A$140,$CQ$205^A52,IF(A52='Données projet'!$A$140,'Données projet'!$B$140,CT51+CS52-DB51)))</f>
        <v>300.73260073260064</v>
      </c>
      <c r="CU52" s="18">
        <f>CT52*VLOOKUP('Données projet'!$B$13,Paramètres!$A$1:$I$89,3,0)*VLOOKUP('Données projet'!$B$13,Paramètres!$A$1:$I$89,5,0)</f>
        <v>140.7428571428571</v>
      </c>
      <c r="CV52" s="14">
        <f t="shared" si="41"/>
        <v>36.467131184587252</v>
      </c>
      <c r="CW52" s="22">
        <f t="shared" si="13"/>
        <v>308.64072967029892</v>
      </c>
      <c r="CX52" s="62">
        <f t="shared" si="14"/>
        <v>601.97406300363218</v>
      </c>
      <c r="CY52" s="62">
        <f ca="1">AVERAGE(OFFSET($CX$3,0,0,'Données projet'!$E$13+1,1))-AVERAGE(OFFSET($H$3,0,0,'Données projet'!$E$13+1,1))</f>
        <v>246.64907095367749</v>
      </c>
      <c r="CZ52" s="62">
        <f t="shared" si="42"/>
        <v>145.34368562171613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8.5399999999999974</v>
      </c>
      <c r="DO52" s="13">
        <f>IF('Données projet'!$A$166&gt;35,DO51+DN52-DW51,IF(A52&lt;'Données projet'!$A$166,$DL$205^A52,IF(A52='Données projet'!$A$166,'Données projet'!$B$166,DO51+DN52-DW51)))</f>
        <v>276.3599999999999</v>
      </c>
      <c r="DP52" s="18">
        <f>DO52*VLOOKUP('Données projet'!$B$14,Paramètres!$A$1:$I$89,3,0)*VLOOKUP('Données projet'!$B$14,Paramètres!$A$1:$I$89,5,0)</f>
        <v>219.87201599999992</v>
      </c>
      <c r="DQ52" s="14">
        <f t="shared" si="43"/>
        <v>54.087068088530145</v>
      </c>
      <c r="DR52" s="22">
        <f t="shared" si="16"/>
        <v>477.14540478752315</v>
      </c>
      <c r="DS52" s="62">
        <f t="shared" si="17"/>
        <v>770.47873812085641</v>
      </c>
      <c r="DT52" s="62">
        <f ca="1">AVERAGE(OFFSET($DS$3,0,0,'Données projet'!$E$14+1,1))-AVERAGE(OFFSET($H$3,0,0,'Données projet'!$E$14+1,1))</f>
        <v>370.38521334472284</v>
      </c>
      <c r="DU52" s="62">
        <f t="shared" si="44"/>
        <v>404.61777090709171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15.5</v>
      </c>
      <c r="EJ52" s="13">
        <f>IF('Données projet'!$A$192&gt;35,EJ51+EI52-ER51,IF(A52&lt;'Données projet'!$A$192,$EG$205^A52,IF(A52='Données projet'!$A$192,'Données projet'!$B$192,EJ51+EI52-ER51)))</f>
        <v>192.49999999999986</v>
      </c>
      <c r="EK52" s="18">
        <f>EJ52*VLOOKUP('Données projet'!$B$15,Paramètres!$A$1:$I$89,3,0)*VLOOKUP('Données projet'!$B$15,Paramètres!$A$1:$I$89,5,0)</f>
        <v>165.16499999999991</v>
      </c>
      <c r="EL52" s="14">
        <f t="shared" si="45"/>
        <v>42.00533269839395</v>
      </c>
      <c r="EM52" s="22">
        <f t="shared" si="19"/>
        <v>360.82166278303589</v>
      </c>
      <c r="EN52" s="62">
        <f t="shared" si="20"/>
        <v>654.15499611636915</v>
      </c>
      <c r="EO52" s="62">
        <f ca="1">AVERAGE(OFFSET($EN$3,0,0,'Données projet'!$E$15+1,1))-AVERAGE(OFFSET($H$3,0,0,'Données projet'!$E$15+1,1))</f>
        <v>445.81166342116865</v>
      </c>
      <c r="EP52" s="62">
        <f t="shared" si="46"/>
        <v>230.82970731138215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11</v>
      </c>
      <c r="FE52" s="13">
        <f>IF('Données projet'!$A$218&gt;35,FE51+FD52-FM51,IF(A52&lt;'Données projet'!$A$218,$FB$205^A52,IF(A52='Données projet'!$A$218,'Données projet'!$B$218,FE51+FD52-FM51)))</f>
        <v>220.00000000000006</v>
      </c>
      <c r="FF52" s="18">
        <f>FE52*VLOOKUP('Données projet'!$B$16,Paramètres!$A$1:$I$89,3,0)*VLOOKUP('Données projet'!$B$16,Paramètres!$A$1:$I$89,5,0)</f>
        <v>212.78400000000005</v>
      </c>
      <c r="FG52" s="14">
        <f t="shared" si="47"/>
        <v>52.543492641808108</v>
      </c>
      <c r="FH52" s="22">
        <f t="shared" si="22"/>
        <v>462.11204968448243</v>
      </c>
      <c r="FI52" s="62">
        <f t="shared" si="23"/>
        <v>755.44538301781574</v>
      </c>
      <c r="FJ52" s="62">
        <f ca="1">AVERAGE(OFFSET($FI$3,0,0,'Données projet'!$E$16+1,1))-AVERAGE(OFFSET($H$3,0,0,'Données projet'!$E$16+1,1))</f>
        <v>541.66888676162716</v>
      </c>
      <c r="FK52" s="62">
        <f t="shared" si="48"/>
        <v>294.45557293177131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>
        <f>EXP(-LN(2)/35)*FQ51+(1-EXP(-LN(2)/35))/(LN(2)/35)*FM52*FN52*VLOOKUP('Données projet'!$B$16,Paramètres!$A$1:$I$89,3,0)*0.475*44/12</f>
        <v>0</v>
      </c>
      <c r="FR52" s="23">
        <f>EXP(-LN(2)/25)*FR51+(1-EXP(-LN(2)/25))/(LN(2)/25)*Calculateur!FM52*Calculateur!FO52*VLOOKUP('Données projet'!$B$16,Paramètres!$A$1:$I$89,3,0)*0.475*44/12</f>
        <v>0</v>
      </c>
      <c r="FS52" s="23">
        <f>EXP(-LN(2)/2)*FS51+(1-EXP(-LN(2)/2))/(LN(2)/2)*FM52*FP52*VLOOKUP('Données projet'!$B$16,Paramètres!$A$1:$I$89,3,0)*0.475*44/12</f>
        <v>0</v>
      </c>
      <c r="FT52" s="24">
        <f t="shared" si="24"/>
        <v>0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10.375</v>
      </c>
      <c r="FZ52" s="13">
        <f>IF('Données projet'!$A$244&gt;35,FZ51+FY52-GH51,IF(A52&lt;'Données projet'!$A$244,$FW$205^A52,IF(A52='Données projet'!$A$244,'Données projet'!$B$244,FZ51+FY52-GH51)))</f>
        <v>238.87499999999994</v>
      </c>
      <c r="GA52" s="18">
        <f>FZ52*VLOOKUP('Données projet'!$B$17,Paramètres!$A$1:$I$89,3,0)*VLOOKUP('Données projet'!$B$17,Paramètres!$A$1:$I$89,5,0)</f>
        <v>186.32249999999996</v>
      </c>
      <c r="GB52" s="14">
        <f t="shared" si="49"/>
        <v>46.725987276254116</v>
      </c>
      <c r="GC52" s="22">
        <f t="shared" si="25"/>
        <v>405.89278200614257</v>
      </c>
      <c r="GD52" s="62">
        <f t="shared" si="26"/>
        <v>699.22611533947588</v>
      </c>
      <c r="GE52" s="62">
        <f ca="1">AVERAGE(OFFSET($GD$3,0,0,'Données projet'!$E$17+1,1))-AVERAGE(OFFSET($H$3,0,0,'Données projet'!$E$17+1,1))</f>
        <v>292.57482726862594</v>
      </c>
      <c r="GF52" s="62">
        <f t="shared" si="50"/>
        <v>283.48738729114024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>
        <f>EXP(-LN(2)/35)*GL51+(1-EXP(-LN(2)/35))/(LN(2)/35)*GH52*GI52*VLOOKUP('Données projet'!$B$17,Paramètres!$A$1:$I$89,3,0)*0.475*44/12</f>
        <v>0</v>
      </c>
      <c r="GM52" s="23">
        <f>EXP(-LN(2)/25)*GM51+(1-EXP(-LN(2)/25))/(LN(2)/25)*Calculateur!GH52*Calculateur!GJ52*VLOOKUP('Données projet'!$B$17,Paramètres!$A$1:$I$89,3,0)*0.475*44/12</f>
        <v>0</v>
      </c>
      <c r="GN52" s="23">
        <f>EXP(-LN(2)/2)*GN51+(1-EXP(-LN(2)/2))/(LN(2)/2)*GH52*GK52*VLOOKUP('Données projet'!$B$17,Paramètres!$A$1:$I$89,3,0)*0.475*44/12</f>
        <v>0</v>
      </c>
      <c r="GO52" s="23">
        <f t="shared" si="27"/>
        <v>0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4.8717948717948669</v>
      </c>
      <c r="GU52" s="13">
        <f>IF('Données projet'!$A$270&gt;35,GU51+GT52-HC51,IF(A52&lt;'Données projet'!$A$270,$GR$205^A52,IF(A52='Données projet'!$A$270,'Données projet'!$B$270,GU51+GT52-HC51)))</f>
        <v>272.69230769230745</v>
      </c>
      <c r="GV52" s="18">
        <f>GU52*VLOOKUP('Données projet'!$B$18,Paramètres!$A$1:$I$89,3,0)*VLOOKUP('Données projet'!$B$18,Paramètres!$A$1:$I$89,5,0)</f>
        <v>182.92199999999983</v>
      </c>
      <c r="GW52" s="14">
        <f t="shared" si="51"/>
        <v>45.971666817546755</v>
      </c>
      <c r="GX52" s="22">
        <f t="shared" si="28"/>
        <v>398.65646970722696</v>
      </c>
      <c r="GY52" s="62">
        <f t="shared" si="29"/>
        <v>691.98980304056022</v>
      </c>
      <c r="GZ52" s="62">
        <f ca="1">AVERAGE(OFFSET($GY$3,0,0,'Données projet'!$E$18+1,1))-AVERAGE(OFFSET($H$3,0,0,'Données projet'!$E$18+1,1))</f>
        <v>410.20186800287411</v>
      </c>
      <c r="HA52" s="62">
        <f t="shared" si="52"/>
        <v>321.99347958016057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>
        <f>EXP(-LN(2)/35)*HG51+(1-EXP(-LN(2)/35))/(LN(2)/35)*HC52*HD52*VLOOKUP('Données projet'!$B$18,Paramètres!$A$1:$I$89,3,0)*0.475*44/12</f>
        <v>0</v>
      </c>
      <c r="HH52" s="23">
        <f>EXP(-LN(2)/25)*HH51+(1-EXP(-LN(2)/25))/(LN(2)/25)*Calculateur!HC52*Calculateur!HE52*VLOOKUP('Données projet'!$B$18,Paramètres!$A$1:$I$89,3,0)*0.475*44/12</f>
        <v>0</v>
      </c>
      <c r="HI52" s="23">
        <f>EXP(-LN(2)/2)*HI51+(1-EXP(-LN(2)/2))/(LN(2)/2)*HC52*HF52*VLOOKUP('Données projet'!$B$18,Paramètres!$A$1:$I$89,3,0)*0.475*44/12</f>
        <v>0</v>
      </c>
      <c r="HJ52" s="24">
        <f t="shared" si="30"/>
        <v>0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231</v>
      </c>
      <c r="L53" s="13">
        <f>VLOOKUP(A53,'Données projet'!$A$35:$I$55,9,0)</f>
        <v>11</v>
      </c>
      <c r="M53" s="13">
        <f t="array" ref="M53">INDEX(L:L,MIN(IF(ISNUMBER(L53:L249),ROW(L53:L249),"")))</f>
        <v>11</v>
      </c>
      <c r="N53" s="14">
        <f>IF('Données projet'!$A$36&gt;35,N52+M53-V52,IF(A53&lt;'Données projet'!$A$36,$K$205^A53,IF(A53='Données projet'!$A$36,'Données projet'!$B$36,N52+M53-V52)))</f>
        <v>231.00000000000006</v>
      </c>
      <c r="O53" s="14">
        <f>N53*VLOOKUP('Données projet'!$B$9,Paramètres!$A$1:$I$89,3,0)*VLOOKUP('Données projet'!$B$9,Paramètres!$A$1:$I$89,5,0)</f>
        <v>209.00880000000004</v>
      </c>
      <c r="P53" s="14">
        <f t="shared" si="33"/>
        <v>51.718923953824252</v>
      </c>
      <c r="Q53" s="22">
        <f t="shared" si="53"/>
        <v>454.10078588624395</v>
      </c>
      <c r="R53" s="62">
        <f t="shared" si="0"/>
        <v>747.43411921957727</v>
      </c>
      <c r="S53" s="62">
        <f ca="1">AVERAGE(OFFSET($R$3,0,0,'Données projet'!$E$9+1,1))-AVERAGE(OFFSET($H$3,0,0,'Données projet'!$E$9+1,1))</f>
        <v>509.56241660612449</v>
      </c>
      <c r="T53" s="62">
        <f t="shared" si="34"/>
        <v>278.21741231699929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231</v>
      </c>
      <c r="AG53" s="13">
        <f>VLOOKUP(A53,'Données projet'!$A$61:$I$81,9,0)</f>
        <v>11</v>
      </c>
      <c r="AH53" s="13">
        <f t="array" ref="AH53">INDEX(AG:AG,MIN(IF(ISNUMBER(AG53:AG249),ROW(AG53:AG249),"")))</f>
        <v>11</v>
      </c>
      <c r="AI53" s="14">
        <f>IF('Données projet'!$A$62&gt;35,AI52+AH53-AQ52,IF(A53&lt;'Données projet'!$A$62,$AF$205^A53,IF(A53='Données projet'!$A$62,'Données projet'!$B$62,AI52+AH53-AQ52)))</f>
        <v>231.00000000000006</v>
      </c>
      <c r="AJ53" s="14">
        <f>AI53*VLOOKUP('Données projet'!$B$10,Paramètres!$A$1:$I$89,3,0)*VLOOKUP('Données projet'!$B$10,Paramètres!$A$1:$I$89,5,0)</f>
        <v>234.23400000000007</v>
      </c>
      <c r="AK53" s="14">
        <f t="shared" si="35"/>
        <v>57.197197133603488</v>
      </c>
      <c r="AL53" s="22">
        <f t="shared" si="4"/>
        <v>507.57600167435953</v>
      </c>
      <c r="AM53" s="62">
        <f t="shared" si="5"/>
        <v>800.90933500769279</v>
      </c>
      <c r="AN53" s="62">
        <f ca="1">AVERAGE(OFFSET($AM$3,0,0,'Données projet'!$E$10+1,1))-AVERAGE(OFFSET($H$3,0,0,'Données projet'!$E$10+1,1))</f>
        <v>565.72091871734051</v>
      </c>
      <c r="AO53" s="62">
        <f t="shared" si="36"/>
        <v>306.61893266146666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284.89999999999998</v>
      </c>
      <c r="BB53" s="13">
        <f>VLOOKUP(A53,'Données projet'!$A$87:$I$107,9,0)</f>
        <v>8.5399999999999974</v>
      </c>
      <c r="BC53" s="13">
        <f t="array" ref="BC53">INDEX(BB:BB,MIN(IF(ISNUMBER(BB53:BB249),ROW(BB53:BB249),"")))</f>
        <v>8.5399999999999974</v>
      </c>
      <c r="BD53" s="13">
        <f>IF('Données projet'!$A$88&gt;35,BD52+BC53-BL52,IF(A53&lt;'Données projet'!$A$88,$BA$205^A53,IF(A53='Données projet'!$A$88,'Données projet'!$B$88,BD52+BC53-BL52)))</f>
        <v>284.89999999999992</v>
      </c>
      <c r="BE53" s="14">
        <f>BD53*VLOOKUP('Données projet'!$B$11,Paramètres!$A$1:$I$89,3,0)*VLOOKUP('Données projet'!$B$11,Paramètres!$A$1:$I$89,5,0)</f>
        <v>208.88867999999994</v>
      </c>
      <c r="BF53" s="14">
        <f t="shared" si="37"/>
        <v>51.692659373318428</v>
      </c>
      <c r="BG53" s="22">
        <f t="shared" si="7"/>
        <v>453.84583274186275</v>
      </c>
      <c r="BH53" s="62">
        <f t="shared" si="8"/>
        <v>747.17916607519601</v>
      </c>
      <c r="BI53" s="62">
        <f ca="1">AVERAGE(OFFSET($BH$3,0,0,'Données projet'!$E$11+1,1))-AVERAGE(OFFSET($H$3,0,0,'Données projet'!$E$11+1,1))</f>
        <v>344.26020118887629</v>
      </c>
      <c r="BJ53" s="62">
        <f t="shared" si="38"/>
        <v>376.41441893222185</v>
      </c>
      <c r="BK53" s="16">
        <f>IF(ISNA(VLOOKUP(A53,'Données projet'!$A$87:$I$107,3,0)),0,VLOOKUP(A53,'Données projet'!$A$87:$I$107,3,0))</f>
        <v>4</v>
      </c>
      <c r="BL53" s="16">
        <f>IF(ISNA(VLOOKUP(A53,'Données projet'!$A$87:$I$107,4,0)),0,VLOOKUP(A53,'Données projet'!$A$87:$I$107,4,0))</f>
        <v>43.099999999999994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231</v>
      </c>
      <c r="BW53" s="13">
        <f>VLOOKUP(A53,'Données projet'!$A$113:$I$133,9,0)</f>
        <v>11</v>
      </c>
      <c r="BX53" s="13">
        <f t="array" ref="BX53">INDEX(BW:BW,MIN(IF(ISNUMBER(BW53:BW249),ROW(BW53:BW249),"")))</f>
        <v>11</v>
      </c>
      <c r="BY53" s="13">
        <f>IF('Données projet'!$A$114&gt;35,BY52+BX53-CG52,IF(A53&lt;'Données projet'!$A$114,$BV$205^A53,IF(A53='Données projet'!$A$114,'Données projet'!$B$114,BY52+BX53-CG52)))</f>
        <v>231.00000000000006</v>
      </c>
      <c r="BZ53" s="14">
        <f>BY53*VLOOKUP('Données projet'!$B$12,Paramètres!$A$1:$I$89,3,0)*VLOOKUP('Données projet'!$B$12,Paramètres!$A$1:$I$89,5,0)</f>
        <v>194.59440000000006</v>
      </c>
      <c r="CA53" s="14">
        <f t="shared" si="39"/>
        <v>48.554292648263456</v>
      </c>
      <c r="CB53" s="22">
        <f t="shared" si="10"/>
        <v>423.48397302905897</v>
      </c>
      <c r="CC53" s="62">
        <f t="shared" si="11"/>
        <v>716.81730636239229</v>
      </c>
      <c r="CD53" s="62">
        <f ca="1">AVERAGE(OFFSET($CC$3,0,0,'Données projet'!$E$12+1,1))-AVERAGE(OFFSET($H$3,0,0,'Données projet'!$E$12+1,1))</f>
        <v>477.4105367901771</v>
      </c>
      <c r="CE53" s="62">
        <f t="shared" si="40"/>
        <v>261.95434270986397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10.402930402930403</v>
      </c>
      <c r="CT53" s="13">
        <f>IF('Données projet'!$A$140&gt;35,CT52+CS53-DB52,IF(A53&lt;'Données projet'!$A$140,$CQ$205^A53,IF(A53='Données projet'!$A$140,'Données projet'!$B$140,CT52+CS53-DB52)))</f>
        <v>311.13553113553104</v>
      </c>
      <c r="CU53" s="18">
        <f>CT53*VLOOKUP('Données projet'!$B$13,Paramètres!$A$1:$I$89,3,0)*VLOOKUP('Données projet'!$B$13,Paramètres!$A$1:$I$89,5,0)</f>
        <v>145.61142857142852</v>
      </c>
      <c r="CV53" s="14">
        <f t="shared" si="41"/>
        <v>37.579550035203404</v>
      </c>
      <c r="CW53" s="22">
        <f t="shared" si="13"/>
        <v>319.05762107321726</v>
      </c>
      <c r="CX53" s="62">
        <f t="shared" si="14"/>
        <v>612.39095440655058</v>
      </c>
      <c r="CY53" s="62">
        <f ca="1">AVERAGE(OFFSET($CX$3,0,0,'Données projet'!$E$13+1,1))-AVERAGE(OFFSET($H$3,0,0,'Données projet'!$E$13+1,1))</f>
        <v>246.64907095367749</v>
      </c>
      <c r="CZ53" s="62">
        <f t="shared" si="42"/>
        <v>145.34368562171613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284.89999999999998</v>
      </c>
      <c r="DM53" s="13">
        <f>VLOOKUP(A53,'Données projet'!$A$165:$I$185,9,0)</f>
        <v>8.5399999999999974</v>
      </c>
      <c r="DN53" s="13">
        <f t="array" ref="DN53">INDEX(DM:DM,MIN(IF(ISNUMBER(DM53:DM249),ROW(DM53:DM249),"")))</f>
        <v>8.5399999999999974</v>
      </c>
      <c r="DO53" s="13">
        <f>IF('Données projet'!$A$166&gt;35,DO52+DN53-DW52,IF(A53&lt;'Données projet'!$A$166,$DL$205^A53,IF(A53='Données projet'!$A$166,'Données projet'!$B$166,DO52+DN53-DW52)))</f>
        <v>284.89999999999992</v>
      </c>
      <c r="DP53" s="18">
        <f>DO53*VLOOKUP('Données projet'!$B$14,Paramètres!$A$1:$I$89,3,0)*VLOOKUP('Données projet'!$B$14,Paramètres!$A$1:$I$89,5,0)</f>
        <v>226.66643999999994</v>
      </c>
      <c r="DQ53" s="14">
        <f t="shared" si="43"/>
        <v>55.561276600641385</v>
      </c>
      <c r="DR53" s="22">
        <f t="shared" si="16"/>
        <v>491.5466064127836</v>
      </c>
      <c r="DS53" s="62">
        <f t="shared" si="17"/>
        <v>784.87993974611686</v>
      </c>
      <c r="DT53" s="62">
        <f ca="1">AVERAGE(OFFSET($DS$3,0,0,'Données projet'!$E$14+1,1))-AVERAGE(OFFSET($H$3,0,0,'Données projet'!$E$14+1,1))</f>
        <v>370.38521334472284</v>
      </c>
      <c r="DU53" s="62">
        <f t="shared" si="44"/>
        <v>404.61777090709171</v>
      </c>
      <c r="DV53" s="16">
        <f>IF(ISNA(VLOOKUP(A53,'Données projet'!$A$165:$I$185,3,0)),0,VLOOKUP(A53,'Données projet'!$A$165:$I$185,3,0))</f>
        <v>4</v>
      </c>
      <c r="DW53" s="16">
        <f>IF(ISNA(VLOOKUP(A53,'Données projet'!$A$165:$I$185,4,0)),0,VLOOKUP(A53,'Données projet'!$A$165:$I$185,4,0))</f>
        <v>43.099999999999994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15.5</v>
      </c>
      <c r="EJ53" s="13">
        <f>IF('Données projet'!$A$192&gt;35,EJ52+EI53-ER52,IF(A53&lt;'Données projet'!$A$192,$EG$205^A53,IF(A53='Données projet'!$A$192,'Données projet'!$B$192,EJ52+EI53-ER52)))</f>
        <v>207.99999999999986</v>
      </c>
      <c r="EK53" s="18">
        <f>EJ53*VLOOKUP('Données projet'!$B$15,Paramètres!$A$1:$I$89,3,0)*VLOOKUP('Données projet'!$B$15,Paramètres!$A$1:$I$89,5,0)</f>
        <v>178.46399999999991</v>
      </c>
      <c r="EL53" s="14">
        <f t="shared" si="45"/>
        <v>44.980284206661821</v>
      </c>
      <c r="EM53" s="22">
        <f t="shared" si="19"/>
        <v>389.16546165993583</v>
      </c>
      <c r="EN53" s="62">
        <f t="shared" si="20"/>
        <v>682.49879499326914</v>
      </c>
      <c r="EO53" s="62">
        <f ca="1">AVERAGE(OFFSET($EN$3,0,0,'Données projet'!$E$15+1,1))-AVERAGE(OFFSET($H$3,0,0,'Données projet'!$E$15+1,1))</f>
        <v>445.81166342116865</v>
      </c>
      <c r="EP53" s="62">
        <f t="shared" si="46"/>
        <v>230.82970731138215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>
        <f>VLOOKUP(A53,'Données projet'!$A$217:$I$237,2,0)</f>
        <v>231</v>
      </c>
      <c r="FC53" s="13">
        <f>VLOOKUP(A53,'Données projet'!$A$217:$I$237,9,0)</f>
        <v>11</v>
      </c>
      <c r="FD53" s="13">
        <f t="array" ref="FD53">INDEX(FC:FC,MIN(IF(ISNUMBER(FC53:FC249),ROW(FC53:FC249),"")))</f>
        <v>11</v>
      </c>
      <c r="FE53" s="13">
        <f>IF('Données projet'!$A$218&gt;35,FE52+FD53-FM52,IF(A53&lt;'Données projet'!$A$218,$FB$205^A53,IF(A53='Données projet'!$A$218,'Données projet'!$B$218,FE52+FD53-FM52)))</f>
        <v>231.00000000000006</v>
      </c>
      <c r="FF53" s="18">
        <f>FE53*VLOOKUP('Données projet'!$B$16,Paramètres!$A$1:$I$89,3,0)*VLOOKUP('Données projet'!$B$16,Paramètres!$A$1:$I$89,5,0)</f>
        <v>223.42320000000004</v>
      </c>
      <c r="FG53" s="14">
        <f t="shared" si="47"/>
        <v>54.858231422257631</v>
      </c>
      <c r="FH53" s="22">
        <f t="shared" si="22"/>
        <v>484.67349306043207</v>
      </c>
      <c r="FI53" s="62">
        <f t="shared" si="23"/>
        <v>778.00682639376532</v>
      </c>
      <c r="FJ53" s="62">
        <f ca="1">AVERAGE(OFFSET($FI$3,0,0,'Données projet'!$E$16+1,1))-AVERAGE(OFFSET($H$3,0,0,'Données projet'!$E$16+1,1))</f>
        <v>541.66888676162716</v>
      </c>
      <c r="FK53" s="62">
        <f t="shared" si="48"/>
        <v>294.45557293177131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>
        <f>EXP(-LN(2)/35)*FQ52+(1-EXP(-LN(2)/35))/(LN(2)/35)*FM53*FN53*VLOOKUP('Données projet'!$B$16,Paramètres!$A$1:$I$89,3,0)*0.475*44/12</f>
        <v>0</v>
      </c>
      <c r="FR53" s="23">
        <f>EXP(-LN(2)/25)*FR52+(1-EXP(-LN(2)/25))/(LN(2)/25)*Calculateur!FM53*Calculateur!FO53*VLOOKUP('Données projet'!$B$16,Paramètres!$A$1:$I$89,3,0)*0.475*44/12</f>
        <v>0</v>
      </c>
      <c r="FS53" s="23">
        <f>EXP(-LN(2)/2)*FS52+(1-EXP(-LN(2)/2))/(LN(2)/2)*FM53*FP53*VLOOKUP('Données projet'!$B$16,Paramètres!$A$1:$I$89,3,0)*0.475*44/12</f>
        <v>0</v>
      </c>
      <c r="FT53" s="24">
        <f t="shared" si="24"/>
        <v>0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10.375</v>
      </c>
      <c r="FZ53" s="13">
        <f>IF('Données projet'!$A$244&gt;35,FZ52+FY53-GH52,IF(A53&lt;'Données projet'!$A$244,$FW$205^A53,IF(A53='Données projet'!$A$244,'Données projet'!$B$244,FZ52+FY53-GH52)))</f>
        <v>249.24999999999994</v>
      </c>
      <c r="GA53" s="18">
        <f>FZ53*VLOOKUP('Données projet'!$B$17,Paramètres!$A$1:$I$89,3,0)*VLOOKUP('Données projet'!$B$17,Paramètres!$A$1:$I$89,5,0)</f>
        <v>194.41499999999996</v>
      </c>
      <c r="GB53" s="14">
        <f t="shared" si="49"/>
        <v>48.514737888684969</v>
      </c>
      <c r="GC53" s="22">
        <f t="shared" si="25"/>
        <v>423.1026268227929</v>
      </c>
      <c r="GD53" s="62">
        <f t="shared" si="26"/>
        <v>716.43596015612616</v>
      </c>
      <c r="GE53" s="62">
        <f ca="1">AVERAGE(OFFSET($GD$3,0,0,'Données projet'!$E$17+1,1))-AVERAGE(OFFSET($H$3,0,0,'Données projet'!$E$17+1,1))</f>
        <v>292.57482726862594</v>
      </c>
      <c r="GF53" s="62">
        <f t="shared" si="50"/>
        <v>283.48738729114024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>
        <f>EXP(-LN(2)/35)*GL52+(1-EXP(-LN(2)/35))/(LN(2)/35)*GH53*GI53*VLOOKUP('Données projet'!$B$17,Paramètres!$A$1:$I$89,3,0)*0.475*44/12</f>
        <v>0</v>
      </c>
      <c r="GM53" s="23">
        <f>EXP(-LN(2)/25)*GM52+(1-EXP(-LN(2)/25))/(LN(2)/25)*Calculateur!GH53*Calculateur!GJ53*VLOOKUP('Données projet'!$B$17,Paramètres!$A$1:$I$89,3,0)*0.475*44/12</f>
        <v>0</v>
      </c>
      <c r="GN53" s="23">
        <f>EXP(-LN(2)/2)*GN52+(1-EXP(-LN(2)/2))/(LN(2)/2)*GH53*GK53*VLOOKUP('Données projet'!$B$17,Paramètres!$A$1:$I$89,3,0)*0.475*44/12</f>
        <v>0</v>
      </c>
      <c r="GO53" s="23">
        <f t="shared" si="27"/>
        <v>0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>
        <f>VLOOKUP(A53,'Données projet'!$A$269:$I$289,2,0)</f>
        <v>277.56410256410254</v>
      </c>
      <c r="GS53" s="13">
        <f>VLOOKUP(A53,'Données projet'!$A$269:$I$289,9,0)</f>
        <v>4.8717948717948669</v>
      </c>
      <c r="GT53" s="13">
        <f t="array" ref="GT53">INDEX(GS:GS,MIN(IF(ISNUMBER(GS53:GS249),ROW(GS53:GS249),"")))</f>
        <v>4.8717948717948669</v>
      </c>
      <c r="GU53" s="13">
        <f>IF('Données projet'!$A$270&gt;35,GU52+GT53-HC52,IF(A53&lt;'Données projet'!$A$270,$GR$205^A53,IF(A53='Données projet'!$A$270,'Données projet'!$B$270,GU52+GT53-HC52)))</f>
        <v>277.56410256410231</v>
      </c>
      <c r="GV53" s="18">
        <f>GU53*VLOOKUP('Données projet'!$B$18,Paramètres!$A$1:$I$89,3,0)*VLOOKUP('Données projet'!$B$18,Paramètres!$A$1:$I$89,5,0)</f>
        <v>186.18999999999983</v>
      </c>
      <c r="GW53" s="14">
        <f t="shared" si="51"/>
        <v>46.696625471391734</v>
      </c>
      <c r="GX53" s="22">
        <f t="shared" si="28"/>
        <v>405.61087269600699</v>
      </c>
      <c r="GY53" s="62">
        <f t="shared" si="29"/>
        <v>698.94420602934031</v>
      </c>
      <c r="GZ53" s="62">
        <f ca="1">AVERAGE(OFFSET($GY$3,0,0,'Données projet'!$E$18+1,1))-AVERAGE(OFFSET($H$3,0,0,'Données projet'!$E$18+1,1))</f>
        <v>410.20186800287411</v>
      </c>
      <c r="HA53" s="62">
        <f t="shared" si="52"/>
        <v>321.99347958016057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>
        <f>EXP(-LN(2)/35)*HG52+(1-EXP(-LN(2)/35))/(LN(2)/35)*HC53*HD53*VLOOKUP('Données projet'!$B$18,Paramètres!$A$1:$I$89,3,0)*0.475*44/12</f>
        <v>0</v>
      </c>
      <c r="HH53" s="23">
        <f>EXP(-LN(2)/25)*HH52+(1-EXP(-LN(2)/25))/(LN(2)/25)*Calculateur!HC53*Calculateur!HE53*VLOOKUP('Données projet'!$B$18,Paramètres!$A$1:$I$89,3,0)*0.475*44/12</f>
        <v>0</v>
      </c>
      <c r="HI53" s="23">
        <f>EXP(-LN(2)/2)*HI52+(1-EXP(-LN(2)/2))/(LN(2)/2)*HC53*HF53*VLOOKUP('Données projet'!$B$18,Paramètres!$A$1:$I$89,3,0)*0.475*44/12</f>
        <v>0</v>
      </c>
      <c r="HJ53" s="24">
        <f t="shared" si="30"/>
        <v>0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10.199999999999999</v>
      </c>
      <c r="N54" s="14">
        <f>IF('Données projet'!$A$36&gt;35,N53+M54-V53,IF(A54&lt;'Données projet'!$A$36,$K$205^A54,IF(A54='Données projet'!$A$36,'Données projet'!$B$36,N53+M54-V53)))</f>
        <v>241.20000000000005</v>
      </c>
      <c r="O54" s="14">
        <f>N54*VLOOKUP('Données projet'!$B$9,Paramètres!$A$1:$I$89,3,0)*VLOOKUP('Données projet'!$B$9,Paramètres!$A$1:$I$89,5,0)</f>
        <v>218.23776000000004</v>
      </c>
      <c r="P54" s="14">
        <f t="shared" si="33"/>
        <v>53.731692470599071</v>
      </c>
      <c r="Q54" s="22">
        <f t="shared" si="53"/>
        <v>473.68012971962668</v>
      </c>
      <c r="R54" s="62">
        <f t="shared" si="0"/>
        <v>767.01346305295999</v>
      </c>
      <c r="S54" s="62">
        <f ca="1">AVERAGE(OFFSET($R$3,0,0,'Données projet'!$E$9+1,1))-AVERAGE(OFFSET($H$3,0,0,'Données projet'!$E$9+1,1))</f>
        <v>509.56241660612449</v>
      </c>
      <c r="T54" s="62">
        <f t="shared" si="34"/>
        <v>278.21741231699929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10.199999999999999</v>
      </c>
      <c r="AI54" s="14">
        <f>IF('Données projet'!$A$62&gt;35,AI53+AH54-AQ53,IF(A54&lt;'Données projet'!$A$62,$AF$205^A54,IF(A54='Données projet'!$A$62,'Données projet'!$B$62,AI53+AH54-AQ53)))</f>
        <v>241.20000000000005</v>
      </c>
      <c r="AJ54" s="14">
        <f>AI54*VLOOKUP('Données projet'!$B$10,Paramètres!$A$1:$I$89,3,0)*VLOOKUP('Données projet'!$B$10,Paramètres!$A$1:$I$89,5,0)</f>
        <v>244.57680000000005</v>
      </c>
      <c r="AK54" s="14">
        <f t="shared" si="35"/>
        <v>59.423166060201147</v>
      </c>
      <c r="AL54" s="22">
        <f t="shared" si="4"/>
        <v>529.46660755485038</v>
      </c>
      <c r="AM54" s="62">
        <f t="shared" si="5"/>
        <v>822.79994088818376</v>
      </c>
      <c r="AN54" s="62">
        <f ca="1">AVERAGE(OFFSET($AM$3,0,0,'Données projet'!$E$10+1,1))-AVERAGE(OFFSET($H$3,0,0,'Données projet'!$E$10+1,1))</f>
        <v>565.72091871734051</v>
      </c>
      <c r="AO54" s="62">
        <f t="shared" si="36"/>
        <v>306.61893266146666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7.3600000000000083</v>
      </c>
      <c r="BD54" s="13">
        <f>IF('Données projet'!$A$88&gt;35,BD53+BC54-BL53,IF(A54&lt;'Données projet'!$A$88,$BA$205^A54,IF(A54='Données projet'!$A$88,'Données projet'!$B$88,BD53+BC54-BL53)))</f>
        <v>249.15999999999994</v>
      </c>
      <c r="BE54" s="14">
        <f>BD54*VLOOKUP('Données projet'!$B$11,Paramètres!$A$1:$I$89,3,0)*VLOOKUP('Données projet'!$B$11,Paramètres!$A$1:$I$89,5,0)</f>
        <v>182.68411199999994</v>
      </c>
      <c r="BF54" s="14">
        <f t="shared" si="37"/>
        <v>45.91883623040173</v>
      </c>
      <c r="BG54" s="22">
        <f t="shared" si="7"/>
        <v>398.15013483461621</v>
      </c>
      <c r="BH54" s="62">
        <f t="shared" si="8"/>
        <v>691.48346816794947</v>
      </c>
      <c r="BI54" s="62">
        <f ca="1">AVERAGE(OFFSET($BH$3,0,0,'Données projet'!$E$11+1,1))-AVERAGE(OFFSET($H$3,0,0,'Données projet'!$E$11+1,1))</f>
        <v>344.26020118887629</v>
      </c>
      <c r="BJ54" s="62">
        <f t="shared" si="38"/>
        <v>376.41441893222185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10.199999999999999</v>
      </c>
      <c r="BY54" s="13">
        <f>IF('Données projet'!$A$114&gt;35,BY53+BX54-CG53,IF(A54&lt;'Données projet'!$A$114,$BV$205^A54,IF(A54='Données projet'!$A$114,'Données projet'!$B$114,BY53+BX54-CG53)))</f>
        <v>241.20000000000005</v>
      </c>
      <c r="BZ54" s="14">
        <f>BY54*VLOOKUP('Données projet'!$B$12,Paramètres!$A$1:$I$89,3,0)*VLOOKUP('Données projet'!$B$12,Paramètres!$A$1:$I$89,5,0)</f>
        <v>203.18688000000009</v>
      </c>
      <c r="CA54" s="14">
        <f t="shared" si="39"/>
        <v>50.443901791793827</v>
      </c>
      <c r="CB54" s="22">
        <f t="shared" si="10"/>
        <v>441.74027828737439</v>
      </c>
      <c r="CC54" s="62">
        <f t="shared" si="11"/>
        <v>735.07361162070765</v>
      </c>
      <c r="CD54" s="62">
        <f ca="1">AVERAGE(OFFSET($CC$3,0,0,'Données projet'!$E$12+1,1))-AVERAGE(OFFSET($H$3,0,0,'Données projet'!$E$12+1,1))</f>
        <v>477.4105367901771</v>
      </c>
      <c r="CE54" s="62">
        <f t="shared" si="40"/>
        <v>261.95434270986397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>
        <f>VLOOKUP(A54,'Données projet'!$A$139:$I$159,2,0)</f>
        <v>321.53846153846155</v>
      </c>
      <c r="CR54" s="13">
        <f>VLOOKUP(A54,'Données projet'!$A$139:$I$159,9,0)</f>
        <v>10.402930402930403</v>
      </c>
      <c r="CS54" s="13">
        <f t="array" ref="CS54">INDEX(CR:CR,MIN(IF(ISNUMBER(CR54:CR250),ROW(CR54:CR250),"")))</f>
        <v>10.402930402930403</v>
      </c>
      <c r="CT54" s="13">
        <f>IF('Données projet'!$A$140&gt;35,CT53+CS54-DB53,IF(A54&lt;'Données projet'!$A$140,$CQ$205^A54,IF(A54='Données projet'!$A$140,'Données projet'!$B$140,CT53+CS54-DB53)))</f>
        <v>321.53846153846143</v>
      </c>
      <c r="CU54" s="18">
        <f>CT54*VLOOKUP('Données projet'!$B$13,Paramètres!$A$1:$I$89,3,0)*VLOOKUP('Données projet'!$B$13,Paramètres!$A$1:$I$89,5,0)</f>
        <v>150.47999999999996</v>
      </c>
      <c r="CV54" s="14">
        <f t="shared" si="41"/>
        <v>38.687647052039566</v>
      </c>
      <c r="CW54" s="22">
        <f t="shared" si="13"/>
        <v>329.46698528230218</v>
      </c>
      <c r="CX54" s="62">
        <f t="shared" si="14"/>
        <v>622.80031861563543</v>
      </c>
      <c r="CY54" s="62">
        <f ca="1">AVERAGE(OFFSET($CX$3,0,0,'Données projet'!$E$13+1,1))-AVERAGE(OFFSET($H$3,0,0,'Données projet'!$E$13+1,1))</f>
        <v>246.64907095367749</v>
      </c>
      <c r="CZ54" s="62">
        <f t="shared" si="42"/>
        <v>145.34368562171613</v>
      </c>
      <c r="DA54" s="16">
        <f>IF(ISNA(VLOOKUP(A54,'Données projet'!$A$139:$I$159,3,0)),0,VLOOKUP(A54,'Données projet'!$A$139:$I$159,3,0))</f>
        <v>1</v>
      </c>
      <c r="DB54" s="16">
        <f>IF(ISNA(VLOOKUP(A54,'Données projet'!$A$139:$I$159,4,0)),0,VLOOKUP(A54,'Données projet'!$A$139:$I$159,4,0))</f>
        <v>100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7.3600000000000083</v>
      </c>
      <c r="DO54" s="13">
        <f>IF('Données projet'!$A$166&gt;35,DO53+DN54-DW53,IF(A54&lt;'Données projet'!$A$166,$DL$205^A54,IF(A54='Données projet'!$A$166,'Données projet'!$B$166,DO53+DN54-DW53)))</f>
        <v>249.15999999999994</v>
      </c>
      <c r="DP54" s="18">
        <f>DO54*VLOOKUP('Données projet'!$B$14,Paramètres!$A$1:$I$89,3,0)*VLOOKUP('Données projet'!$B$14,Paramètres!$A$1:$I$89,5,0)</f>
        <v>198.23169599999997</v>
      </c>
      <c r="DQ54" s="14">
        <f t="shared" si="43"/>
        <v>49.355347391815158</v>
      </c>
      <c r="DR54" s="22">
        <f t="shared" si="16"/>
        <v>431.21410057407803</v>
      </c>
      <c r="DS54" s="62">
        <f t="shared" si="17"/>
        <v>724.54743390741135</v>
      </c>
      <c r="DT54" s="62">
        <f ca="1">AVERAGE(OFFSET($DS$3,0,0,'Données projet'!$E$14+1,1))-AVERAGE(OFFSET($H$3,0,0,'Données projet'!$E$14+1,1))</f>
        <v>370.38521334472284</v>
      </c>
      <c r="DU54" s="62">
        <f t="shared" si="44"/>
        <v>404.61777090709171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15.5</v>
      </c>
      <c r="EJ54" s="13">
        <f>IF('Données projet'!$A$192&gt;35,EJ53+EI54-ER53,IF(A54&lt;'Données projet'!$A$192,$EG$205^A54,IF(A54='Données projet'!$A$192,'Données projet'!$B$192,EJ53+EI54-ER53)))</f>
        <v>223.49999999999986</v>
      </c>
      <c r="EK54" s="18">
        <f>EJ54*VLOOKUP('Données projet'!$B$15,Paramètres!$A$1:$I$89,3,0)*VLOOKUP('Données projet'!$B$15,Paramètres!$A$1:$I$89,5,0)</f>
        <v>191.76299999999989</v>
      </c>
      <c r="EL54" s="14">
        <f t="shared" si="45"/>
        <v>47.929517351413239</v>
      </c>
      <c r="EM54" s="22">
        <f t="shared" si="19"/>
        <v>417.46446772037785</v>
      </c>
      <c r="EN54" s="62">
        <f t="shared" si="20"/>
        <v>710.79780105371117</v>
      </c>
      <c r="EO54" s="62">
        <f ca="1">AVERAGE(OFFSET($EN$3,0,0,'Données projet'!$E$15+1,1))-AVERAGE(OFFSET($H$3,0,0,'Données projet'!$E$15+1,1))</f>
        <v>445.81166342116865</v>
      </c>
      <c r="EP54" s="62">
        <f t="shared" si="46"/>
        <v>230.82970731138215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10.199999999999999</v>
      </c>
      <c r="FE54" s="13">
        <f>IF('Données projet'!$A$218&gt;35,FE53+FD54-FM53,IF(A54&lt;'Données projet'!$A$218,$FB$205^A54,IF(A54='Données projet'!$A$218,'Données projet'!$B$218,FE53+FD54-FM53)))</f>
        <v>241.20000000000005</v>
      </c>
      <c r="FF54" s="18">
        <f>FE54*VLOOKUP('Données projet'!$B$16,Paramètres!$A$1:$I$89,3,0)*VLOOKUP('Données projet'!$B$16,Paramètres!$A$1:$I$89,5,0)</f>
        <v>233.28864000000007</v>
      </c>
      <c r="FG54" s="14">
        <f t="shared" si="47"/>
        <v>56.993173773170618</v>
      </c>
      <c r="FH54" s="22">
        <f t="shared" si="22"/>
        <v>505.5741589882723</v>
      </c>
      <c r="FI54" s="62">
        <f t="shared" si="23"/>
        <v>798.90749232160556</v>
      </c>
      <c r="FJ54" s="62">
        <f ca="1">AVERAGE(OFFSET($FI$3,0,0,'Données projet'!$E$16+1,1))-AVERAGE(OFFSET($H$3,0,0,'Données projet'!$E$16+1,1))</f>
        <v>541.66888676162716</v>
      </c>
      <c r="FK54" s="62">
        <f t="shared" si="48"/>
        <v>294.45557293177131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>
        <f>EXP(-LN(2)/35)*FQ53+(1-EXP(-LN(2)/35))/(LN(2)/35)*FM54*FN54*VLOOKUP('Données projet'!$B$16,Paramètres!$A$1:$I$89,3,0)*0.475*44/12</f>
        <v>0</v>
      </c>
      <c r="FR54" s="23">
        <f>EXP(-LN(2)/25)*FR53+(1-EXP(-LN(2)/25))/(LN(2)/25)*Calculateur!FM54*Calculateur!FO54*VLOOKUP('Données projet'!$B$16,Paramètres!$A$1:$I$89,3,0)*0.475*44/12</f>
        <v>0</v>
      </c>
      <c r="FS54" s="23">
        <f>EXP(-LN(2)/2)*FS53+(1-EXP(-LN(2)/2))/(LN(2)/2)*FM54*FP54*VLOOKUP('Données projet'!$B$16,Paramètres!$A$1:$I$89,3,0)*0.475*44/12</f>
        <v>0</v>
      </c>
      <c r="FT54" s="24">
        <f t="shared" si="24"/>
        <v>0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10.375</v>
      </c>
      <c r="FZ54" s="13">
        <f>IF('Données projet'!$A$244&gt;35,FZ53+FY54-GH53,IF(A54&lt;'Données projet'!$A$244,$FW$205^A54,IF(A54='Données projet'!$A$244,'Données projet'!$B$244,FZ53+FY54-GH53)))</f>
        <v>259.62499999999994</v>
      </c>
      <c r="GA54" s="18">
        <f>FZ54*VLOOKUP('Données projet'!$B$17,Paramètres!$A$1:$I$89,3,0)*VLOOKUP('Données projet'!$B$17,Paramètres!$A$1:$I$89,5,0)</f>
        <v>202.50749999999996</v>
      </c>
      <c r="GB54" s="14">
        <f t="shared" si="49"/>
        <v>50.294840086606349</v>
      </c>
      <c r="GC54" s="22">
        <f t="shared" si="25"/>
        <v>440.29740898417259</v>
      </c>
      <c r="GD54" s="62">
        <f t="shared" si="26"/>
        <v>733.63074231750591</v>
      </c>
      <c r="GE54" s="62">
        <f ca="1">AVERAGE(OFFSET($GD$3,0,0,'Données projet'!$E$17+1,1))-AVERAGE(OFFSET($H$3,0,0,'Données projet'!$E$17+1,1))</f>
        <v>292.57482726862594</v>
      </c>
      <c r="GF54" s="62">
        <f t="shared" si="50"/>
        <v>283.48738729114024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>
        <f>EXP(-LN(2)/35)*GL53+(1-EXP(-LN(2)/35))/(LN(2)/35)*GH54*GI54*VLOOKUP('Données projet'!$B$17,Paramètres!$A$1:$I$89,3,0)*0.475*44/12</f>
        <v>0</v>
      </c>
      <c r="GM54" s="23">
        <f>EXP(-LN(2)/25)*GM53+(1-EXP(-LN(2)/25))/(LN(2)/25)*Calculateur!GH54*Calculateur!GJ54*VLOOKUP('Données projet'!$B$17,Paramètres!$A$1:$I$89,3,0)*0.475*44/12</f>
        <v>0</v>
      </c>
      <c r="GN54" s="23">
        <f>EXP(-LN(2)/2)*GN53+(1-EXP(-LN(2)/2))/(LN(2)/2)*GH54*GK54*VLOOKUP('Données projet'!$B$17,Paramètres!$A$1:$I$89,3,0)*0.475*44/12</f>
        <v>0</v>
      </c>
      <c r="GO54" s="23">
        <f t="shared" si="27"/>
        <v>0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7.1794871794871824</v>
      </c>
      <c r="GU54" s="13">
        <f>IF('Données projet'!$A$270&gt;35,GU53+GT54-HC53,IF(A54&lt;'Données projet'!$A$270,$GR$205^A54,IF(A54='Données projet'!$A$270,'Données projet'!$B$270,GU53+GT54-HC53)))</f>
        <v>284.7435897435895</v>
      </c>
      <c r="GV54" s="18">
        <f>GU54*VLOOKUP('Données projet'!$B$18,Paramètres!$A$1:$I$89,3,0)*VLOOKUP('Données projet'!$B$18,Paramètres!$A$1:$I$89,5,0)</f>
        <v>191.00599999999986</v>
      </c>
      <c r="GW54" s="14">
        <f t="shared" si="51"/>
        <v>47.762296765314993</v>
      </c>
      <c r="GX54" s="22">
        <f t="shared" si="28"/>
        <v>415.85478353292336</v>
      </c>
      <c r="GY54" s="62">
        <f t="shared" si="29"/>
        <v>709.18811686625668</v>
      </c>
      <c r="GZ54" s="62">
        <f ca="1">AVERAGE(OFFSET($GY$3,0,0,'Données projet'!$E$18+1,1))-AVERAGE(OFFSET($H$3,0,0,'Données projet'!$E$18+1,1))</f>
        <v>410.20186800287411</v>
      </c>
      <c r="HA54" s="62">
        <f t="shared" si="52"/>
        <v>321.99347958016057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>
        <f>EXP(-LN(2)/35)*HG53+(1-EXP(-LN(2)/35))/(LN(2)/35)*HC54*HD54*VLOOKUP('Données projet'!$B$18,Paramètres!$A$1:$I$89,3,0)*0.475*44/12</f>
        <v>0</v>
      </c>
      <c r="HH54" s="23">
        <f>EXP(-LN(2)/25)*HH53+(1-EXP(-LN(2)/25))/(LN(2)/25)*Calculateur!HC54*Calculateur!HE54*VLOOKUP('Données projet'!$B$18,Paramètres!$A$1:$I$89,3,0)*0.475*44/12</f>
        <v>0</v>
      </c>
      <c r="HI54" s="23">
        <f>EXP(-LN(2)/2)*HI53+(1-EXP(-LN(2)/2))/(LN(2)/2)*HC54*HF54*VLOOKUP('Données projet'!$B$18,Paramètres!$A$1:$I$89,3,0)*0.475*44/12</f>
        <v>0</v>
      </c>
      <c r="HJ54" s="24">
        <f t="shared" si="30"/>
        <v>0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10.199999999999999</v>
      </c>
      <c r="N55" s="14">
        <f>IF('Données projet'!$A$36&gt;35,N54+M55-V54,IF(A55&lt;'Données projet'!$A$36,$K$205^A55,IF(A55='Données projet'!$A$36,'Données projet'!$B$36,N54+M55-V54)))</f>
        <v>251.40000000000003</v>
      </c>
      <c r="O55" s="14">
        <f>N55*VLOOKUP('Données projet'!$B$9,Paramètres!$A$1:$I$89,3,0)*VLOOKUP('Données projet'!$B$9,Paramètres!$A$1:$I$89,5,0)</f>
        <v>227.46672000000004</v>
      </c>
      <c r="P55" s="14">
        <f t="shared" si="33"/>
        <v>55.734574592438989</v>
      </c>
      <c r="Q55" s="22">
        <f t="shared" si="53"/>
        <v>493.24225474849794</v>
      </c>
      <c r="R55" s="62">
        <f t="shared" si="0"/>
        <v>786.57558808183126</v>
      </c>
      <c r="S55" s="62">
        <f ca="1">AVERAGE(OFFSET($R$3,0,0,'Données projet'!$E$9+1,1))-AVERAGE(OFFSET($H$3,0,0,'Données projet'!$E$9+1,1))</f>
        <v>509.56241660612449</v>
      </c>
      <c r="T55" s="62">
        <f t="shared" si="34"/>
        <v>278.21741231699929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10.199999999999999</v>
      </c>
      <c r="AI55" s="14">
        <f>IF('Données projet'!$A$62&gt;35,AI54+AH55-AQ54,IF(A55&lt;'Données projet'!$A$62,$AF$205^A55,IF(A55='Données projet'!$A$62,'Données projet'!$B$62,AI54+AH55-AQ54)))</f>
        <v>251.40000000000003</v>
      </c>
      <c r="AJ55" s="14">
        <f>AI55*VLOOKUP('Données projet'!$B$10,Paramètres!$A$1:$I$89,3,0)*VLOOKUP('Données projet'!$B$10,Paramètres!$A$1:$I$89,5,0)</f>
        <v>254.91960000000006</v>
      </c>
      <c r="AK55" s="14">
        <f t="shared" si="35"/>
        <v>61.638201385772277</v>
      </c>
      <c r="AL55" s="22">
        <f t="shared" si="4"/>
        <v>551.33817074688682</v>
      </c>
      <c r="AM55" s="62">
        <f t="shared" si="5"/>
        <v>844.67150408022007</v>
      </c>
      <c r="AN55" s="62">
        <f ca="1">AVERAGE(OFFSET($AM$3,0,0,'Données projet'!$E$10+1,1))-AVERAGE(OFFSET($H$3,0,0,'Données projet'!$E$10+1,1))</f>
        <v>565.72091871734051</v>
      </c>
      <c r="AO55" s="62">
        <f t="shared" si="36"/>
        <v>306.61893266146666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7.3600000000000083</v>
      </c>
      <c r="BD55" s="13">
        <f>IF('Données projet'!$A$88&gt;35,BD54+BC55-BL54,IF(A55&lt;'Données projet'!$A$88,$BA$205^A55,IF(A55='Données projet'!$A$88,'Données projet'!$B$88,BD54+BC55-BL54)))</f>
        <v>256.51999999999992</v>
      </c>
      <c r="BE55" s="14">
        <f>BD55*VLOOKUP('Données projet'!$B$11,Paramètres!$A$1:$I$89,3,0)*VLOOKUP('Données projet'!$B$11,Paramètres!$A$1:$I$89,5,0)</f>
        <v>188.08046399999995</v>
      </c>
      <c r="BF55" s="14">
        <f t="shared" si="37"/>
        <v>47.115320222436289</v>
      </c>
      <c r="BG55" s="22">
        <f t="shared" si="7"/>
        <v>409.63265752074312</v>
      </c>
      <c r="BH55" s="62">
        <f t="shared" si="8"/>
        <v>702.96599085407638</v>
      </c>
      <c r="BI55" s="62">
        <f ca="1">AVERAGE(OFFSET($BH$3,0,0,'Données projet'!$E$11+1,1))-AVERAGE(OFFSET($H$3,0,0,'Données projet'!$E$11+1,1))</f>
        <v>344.26020118887629</v>
      </c>
      <c r="BJ55" s="62">
        <f t="shared" si="38"/>
        <v>376.41441893222185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10.199999999999999</v>
      </c>
      <c r="BY55" s="13">
        <f>IF('Données projet'!$A$114&gt;35,BY54+BX55-CG54,IF(A55&lt;'Données projet'!$A$114,$BV$205^A55,IF(A55='Données projet'!$A$114,'Données projet'!$B$114,BY54+BX55-CG54)))</f>
        <v>251.40000000000003</v>
      </c>
      <c r="BZ55" s="14">
        <f>BY55*VLOOKUP('Données projet'!$B$12,Paramètres!$A$1:$I$89,3,0)*VLOOKUP('Données projet'!$B$12,Paramètres!$A$1:$I$89,5,0)</f>
        <v>211.77936000000005</v>
      </c>
      <c r="CA55" s="14">
        <f t="shared" si="39"/>
        <v>52.324229479404138</v>
      </c>
      <c r="CB55" s="22">
        <f t="shared" si="10"/>
        <v>459.98041834329564</v>
      </c>
      <c r="CC55" s="62">
        <f t="shared" si="11"/>
        <v>753.31375167662895</v>
      </c>
      <c r="CD55" s="62">
        <f ca="1">AVERAGE(OFFSET($CC$3,0,0,'Données projet'!$E$12+1,1))-AVERAGE(OFFSET($H$3,0,0,'Données projet'!$E$12+1,1))</f>
        <v>477.4105367901771</v>
      </c>
      <c r="CE55" s="62">
        <f t="shared" si="40"/>
        <v>261.95434270986397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10.769230769230768</v>
      </c>
      <c r="CT55" s="13">
        <f>IF('Données projet'!$A$140&gt;35,CT54+CS55-DB54,IF(A55&lt;'Données projet'!$A$140,$CQ$205^A55,IF(A55='Données projet'!$A$140,'Données projet'!$B$140,CT54+CS55-DB54)))</f>
        <v>232.30769230769221</v>
      </c>
      <c r="CU55" s="18">
        <f>CT55*VLOOKUP('Données projet'!$B$13,Paramètres!$A$1:$I$89,3,0)*VLOOKUP('Données projet'!$B$13,Paramètres!$A$1:$I$89,5,0)</f>
        <v>108.71999999999996</v>
      </c>
      <c r="CV55" s="14">
        <f t="shared" si="41"/>
        <v>29.029201459451464</v>
      </c>
      <c r="CW55" s="22">
        <f t="shared" si="13"/>
        <v>239.91319254187792</v>
      </c>
      <c r="CX55" s="62">
        <f t="shared" si="14"/>
        <v>533.2465258752112</v>
      </c>
      <c r="CY55" s="62">
        <f ca="1">AVERAGE(OFFSET($CX$3,0,0,'Données projet'!$E$13+1,1))-AVERAGE(OFFSET($H$3,0,0,'Données projet'!$E$13+1,1))</f>
        <v>246.64907095367749</v>
      </c>
      <c r="CZ55" s="62">
        <f t="shared" si="42"/>
        <v>145.34368562171613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7.3600000000000083</v>
      </c>
      <c r="DO55" s="13">
        <f>IF('Données projet'!$A$166&gt;35,DO54+DN55-DW54,IF(A55&lt;'Données projet'!$A$166,$DL$205^A55,IF(A55='Données projet'!$A$166,'Données projet'!$B$166,DO54+DN55-DW54)))</f>
        <v>256.51999999999992</v>
      </c>
      <c r="DP55" s="18">
        <f>DO55*VLOOKUP('Données projet'!$B$14,Paramètres!$A$1:$I$89,3,0)*VLOOKUP('Données projet'!$B$14,Paramètres!$A$1:$I$89,5,0)</f>
        <v>204.08731199999997</v>
      </c>
      <c r="DQ55" s="14">
        <f t="shared" si="43"/>
        <v>50.641374824638383</v>
      </c>
      <c r="DR55" s="22">
        <f t="shared" si="16"/>
        <v>443.65246288624508</v>
      </c>
      <c r="DS55" s="62">
        <f t="shared" si="17"/>
        <v>736.98579621957833</v>
      </c>
      <c r="DT55" s="62">
        <f ca="1">AVERAGE(OFFSET($DS$3,0,0,'Données projet'!$E$14+1,1))-AVERAGE(OFFSET($H$3,0,0,'Données projet'!$E$14+1,1))</f>
        <v>370.38521334472284</v>
      </c>
      <c r="DU55" s="62">
        <f t="shared" si="44"/>
        <v>404.61777090709171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15.5</v>
      </c>
      <c r="EJ55" s="13">
        <f>IF('Données projet'!$A$192&gt;35,EJ54+EI55-ER54,IF(A55&lt;'Données projet'!$A$192,$EG$205^A55,IF(A55='Données projet'!$A$192,'Données projet'!$B$192,EJ54+EI55-ER54)))</f>
        <v>238.99999999999986</v>
      </c>
      <c r="EK55" s="18">
        <f>EJ55*VLOOKUP('Données projet'!$B$15,Paramètres!$A$1:$I$89,3,0)*VLOOKUP('Données projet'!$B$15,Paramètres!$A$1:$I$89,5,0)</f>
        <v>205.0619999999999</v>
      </c>
      <c r="EL55" s="14">
        <f t="shared" si="45"/>
        <v>50.855018623514823</v>
      </c>
      <c r="EM55" s="22">
        <f t="shared" si="19"/>
        <v>445.72214076928805</v>
      </c>
      <c r="EN55" s="62">
        <f t="shared" si="20"/>
        <v>739.05547410262136</v>
      </c>
      <c r="EO55" s="62">
        <f ca="1">AVERAGE(OFFSET($EN$3,0,0,'Données projet'!$E$15+1,1))-AVERAGE(OFFSET($H$3,0,0,'Données projet'!$E$15+1,1))</f>
        <v>445.81166342116865</v>
      </c>
      <c r="EP55" s="62">
        <f t="shared" si="46"/>
        <v>230.82970731138215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10.199999999999999</v>
      </c>
      <c r="FE55" s="13">
        <f>IF('Données projet'!$A$218&gt;35,FE54+FD55-FM54,IF(A55&lt;'Données projet'!$A$218,$FB$205^A55,IF(A55='Données projet'!$A$218,'Données projet'!$B$218,FE54+FD55-FM54)))</f>
        <v>251.40000000000003</v>
      </c>
      <c r="FF55" s="18">
        <f>FE55*VLOOKUP('Données projet'!$B$16,Paramètres!$A$1:$I$89,3,0)*VLOOKUP('Données projet'!$B$16,Paramètres!$A$1:$I$89,5,0)</f>
        <v>243.15408000000005</v>
      </c>
      <c r="FG55" s="14">
        <f t="shared" si="47"/>
        <v>59.117629630943199</v>
      </c>
      <c r="FH55" s="22">
        <f t="shared" si="22"/>
        <v>526.45656094055948</v>
      </c>
      <c r="FI55" s="62">
        <f t="shared" si="23"/>
        <v>819.78989427389274</v>
      </c>
      <c r="FJ55" s="62">
        <f ca="1">AVERAGE(OFFSET($FI$3,0,0,'Données projet'!$E$16+1,1))-AVERAGE(OFFSET($H$3,0,0,'Données projet'!$E$16+1,1))</f>
        <v>541.66888676162716</v>
      </c>
      <c r="FK55" s="62">
        <f t="shared" si="48"/>
        <v>294.45557293177131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>
        <f>EXP(-LN(2)/35)*FQ54+(1-EXP(-LN(2)/35))/(LN(2)/35)*FM55*FN55*VLOOKUP('Données projet'!$B$16,Paramètres!$A$1:$I$89,3,0)*0.475*44/12</f>
        <v>0</v>
      </c>
      <c r="FR55" s="23">
        <f>EXP(-LN(2)/25)*FR54+(1-EXP(-LN(2)/25))/(LN(2)/25)*Calculateur!FM55*Calculateur!FO55*VLOOKUP('Données projet'!$B$16,Paramètres!$A$1:$I$89,3,0)*0.475*44/12</f>
        <v>0</v>
      </c>
      <c r="FS55" s="23">
        <f>EXP(-LN(2)/2)*FS54+(1-EXP(-LN(2)/2))/(LN(2)/2)*FM55*FP55*VLOOKUP('Données projet'!$B$16,Paramètres!$A$1:$I$89,3,0)*0.475*44/12</f>
        <v>0</v>
      </c>
      <c r="FT55" s="24">
        <f t="shared" si="24"/>
        <v>0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>
        <f>VLOOKUP(A55,'Données projet'!$A$243:$I$263,2,0)</f>
        <v>270</v>
      </c>
      <c r="FX55" s="13">
        <f>VLOOKUP(A55,'Données projet'!$A$243:$I$263,9,0)</f>
        <v>10.375</v>
      </c>
      <c r="FY55" s="13">
        <f t="array" ref="FY55">INDEX(FX:FX,MIN(IF(ISNUMBER(FX55:FX251),ROW(FX55:FX251),"")))</f>
        <v>10.375</v>
      </c>
      <c r="FZ55" s="13">
        <f>IF('Données projet'!$A$244&gt;35,FZ54+FY55-GH54,IF(A55&lt;'Données projet'!$A$244,$FW$205^A55,IF(A55='Données projet'!$A$244,'Données projet'!$B$244,FZ54+FY55-GH54)))</f>
        <v>269.99999999999994</v>
      </c>
      <c r="GA55" s="18">
        <f>FZ55*VLOOKUP('Données projet'!$B$17,Paramètres!$A$1:$I$89,3,0)*VLOOKUP('Données projet'!$B$17,Paramètres!$A$1:$I$89,5,0)</f>
        <v>210.59999999999997</v>
      </c>
      <c r="GB55" s="14">
        <f t="shared" si="49"/>
        <v>52.066679014659961</v>
      </c>
      <c r="GC55" s="22">
        <f t="shared" si="25"/>
        <v>457.47779928386598</v>
      </c>
      <c r="GD55" s="62">
        <f t="shared" si="26"/>
        <v>750.81113261719929</v>
      </c>
      <c r="GE55" s="62">
        <f ca="1">AVERAGE(OFFSET($GD$3,0,0,'Données projet'!$E$17+1,1))-AVERAGE(OFFSET($H$3,0,0,'Données projet'!$E$17+1,1))</f>
        <v>292.57482726862594</v>
      </c>
      <c r="GF55" s="62">
        <f t="shared" si="50"/>
        <v>283.48738729114024</v>
      </c>
      <c r="GG55" s="16">
        <f>IF(ISNA(VLOOKUP(A55,'Données projet'!$A$243:$I$263,3,0)),0,VLOOKUP(A55,'Données projet'!$A$243:$I$263,3,0))</f>
        <v>5</v>
      </c>
      <c r="GH55" s="16">
        <f>IF(ISNA(VLOOKUP(A55,'Données projet'!$A$243:$I$263,4,0)),0,VLOOKUP(A55,'Données projet'!$A$243:$I$263,4,0))</f>
        <v>48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>
        <f>EXP(-LN(2)/35)*GL54+(1-EXP(-LN(2)/35))/(LN(2)/35)*GH55*GI55*VLOOKUP('Données projet'!$B$17,Paramètres!$A$1:$I$89,3,0)*0.475*44/12</f>
        <v>0</v>
      </c>
      <c r="GM55" s="23">
        <f>EXP(-LN(2)/25)*GM54+(1-EXP(-LN(2)/25))/(LN(2)/25)*Calculateur!GH55*Calculateur!GJ55*VLOOKUP('Données projet'!$B$17,Paramètres!$A$1:$I$89,3,0)*0.475*44/12</f>
        <v>0</v>
      </c>
      <c r="GN55" s="23">
        <f>EXP(-LN(2)/2)*GN54+(1-EXP(-LN(2)/2))/(LN(2)/2)*GH55*GK55*VLOOKUP('Données projet'!$B$17,Paramètres!$A$1:$I$89,3,0)*0.475*44/12</f>
        <v>0</v>
      </c>
      <c r="GO55" s="23">
        <f t="shared" si="27"/>
        <v>0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7.1794871794871824</v>
      </c>
      <c r="GU55" s="13">
        <f>IF('Données projet'!$A$270&gt;35,GU54+GT55-HC54,IF(A55&lt;'Données projet'!$A$270,$GR$205^A55,IF(A55='Données projet'!$A$270,'Données projet'!$B$270,GU54+GT55-HC54)))</f>
        <v>291.92307692307668</v>
      </c>
      <c r="GV55" s="18">
        <f>GU55*VLOOKUP('Données projet'!$B$18,Paramètres!$A$1:$I$89,3,0)*VLOOKUP('Données projet'!$B$18,Paramètres!$A$1:$I$89,5,0)</f>
        <v>195.82199999999983</v>
      </c>
      <c r="GW55" s="14">
        <f t="shared" si="51"/>
        <v>48.824844662150326</v>
      </c>
      <c r="GX55" s="22">
        <f t="shared" si="28"/>
        <v>426.09325445324481</v>
      </c>
      <c r="GY55" s="62">
        <f t="shared" si="29"/>
        <v>719.42658778657812</v>
      </c>
      <c r="GZ55" s="62">
        <f ca="1">AVERAGE(OFFSET($GY$3,0,0,'Données projet'!$E$18+1,1))-AVERAGE(OFFSET($H$3,0,0,'Données projet'!$E$18+1,1))</f>
        <v>410.20186800287411</v>
      </c>
      <c r="HA55" s="62">
        <f t="shared" si="52"/>
        <v>321.99347958016057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>
        <f>EXP(-LN(2)/35)*HG54+(1-EXP(-LN(2)/35))/(LN(2)/35)*HC55*HD55*VLOOKUP('Données projet'!$B$18,Paramètres!$A$1:$I$89,3,0)*0.475*44/12</f>
        <v>0</v>
      </c>
      <c r="HH55" s="23">
        <f>EXP(-LN(2)/25)*HH54+(1-EXP(-LN(2)/25))/(LN(2)/25)*Calculateur!HC55*Calculateur!HE55*VLOOKUP('Données projet'!$B$18,Paramètres!$A$1:$I$89,3,0)*0.475*44/12</f>
        <v>0</v>
      </c>
      <c r="HI55" s="23">
        <f>EXP(-LN(2)/2)*HI54+(1-EXP(-LN(2)/2))/(LN(2)/2)*HC55*HF55*VLOOKUP('Données projet'!$B$18,Paramètres!$A$1:$I$89,3,0)*0.475*44/12</f>
        <v>0</v>
      </c>
      <c r="HJ55" s="24">
        <f t="shared" si="30"/>
        <v>0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10.199999999999999</v>
      </c>
      <c r="N56" s="14">
        <f>IF('Données projet'!$A$36&gt;35,N55+M56-V55,IF(A56&lt;'Données projet'!$A$36,$K$205^A56,IF(A56='Données projet'!$A$36,'Données projet'!$B$36,N55+M56-V55)))</f>
        <v>261.60000000000002</v>
      </c>
      <c r="O56" s="14">
        <f>N56*VLOOKUP('Données projet'!$B$9,Paramètres!$A$1:$I$89,3,0)*VLOOKUP('Données projet'!$B$9,Paramètres!$A$1:$I$89,5,0)</f>
        <v>236.69568000000001</v>
      </c>
      <c r="P56" s="14">
        <f t="shared" si="33"/>
        <v>57.72801732243034</v>
      </c>
      <c r="Q56" s="22">
        <f t="shared" si="53"/>
        <v>512.78793950323291</v>
      </c>
      <c r="R56" s="62">
        <f t="shared" si="0"/>
        <v>806.12127283656628</v>
      </c>
      <c r="S56" s="62">
        <f ca="1">AVERAGE(OFFSET($R$3,0,0,'Données projet'!$E$9+1,1))-AVERAGE(OFFSET($H$3,0,0,'Données projet'!$E$9+1,1))</f>
        <v>509.56241660612449</v>
      </c>
      <c r="T56" s="62">
        <f t="shared" si="34"/>
        <v>278.21741231699929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10.199999999999999</v>
      </c>
      <c r="AI56" s="14">
        <f>IF('Données projet'!$A$62&gt;35,AI55+AH56-AQ55,IF(A56&lt;'Données projet'!$A$62,$AF$205^A56,IF(A56='Données projet'!$A$62,'Données projet'!$B$62,AI55+AH56-AQ55)))</f>
        <v>261.60000000000002</v>
      </c>
      <c r="AJ56" s="14">
        <f>AI56*VLOOKUP('Données projet'!$B$10,Paramètres!$A$1:$I$89,3,0)*VLOOKUP('Données projet'!$B$10,Paramètres!$A$1:$I$89,5,0)</f>
        <v>265.26240000000001</v>
      </c>
      <c r="AK56" s="14">
        <f t="shared" si="35"/>
        <v>63.842797461739814</v>
      </c>
      <c r="AL56" s="22">
        <f t="shared" si="4"/>
        <v>573.19155224586348</v>
      </c>
      <c r="AM56" s="62">
        <f t="shared" si="5"/>
        <v>866.52488557919673</v>
      </c>
      <c r="AN56" s="62">
        <f ca="1">AVERAGE(OFFSET($AM$3,0,0,'Données projet'!$E$10+1,1))-AVERAGE(OFFSET($H$3,0,0,'Données projet'!$E$10+1,1))</f>
        <v>565.72091871734051</v>
      </c>
      <c r="AO56" s="62">
        <f t="shared" si="36"/>
        <v>306.61893266146666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7.3600000000000083</v>
      </c>
      <c r="BD56" s="13">
        <f>IF('Données projet'!$A$88&gt;35,BD55+BC56-BL55,IF(A56&lt;'Données projet'!$A$88,$BA$205^A56,IF(A56='Données projet'!$A$88,'Données projet'!$B$88,BD55+BC56-BL55)))</f>
        <v>263.87999999999994</v>
      </c>
      <c r="BE56" s="14">
        <f>BD56*VLOOKUP('Données projet'!$B$11,Paramètres!$A$1:$I$89,3,0)*VLOOKUP('Données projet'!$B$11,Paramètres!$A$1:$I$89,5,0)</f>
        <v>193.47681599999996</v>
      </c>
      <c r="BF56" s="14">
        <f t="shared" si="37"/>
        <v>48.307814384267459</v>
      </c>
      <c r="BG56" s="22">
        <f t="shared" si="7"/>
        <v>421.10823125259907</v>
      </c>
      <c r="BH56" s="62">
        <f t="shared" si="8"/>
        <v>714.44156458593238</v>
      </c>
      <c r="BI56" s="62">
        <f ca="1">AVERAGE(OFFSET($BH$3,0,0,'Données projet'!$E$11+1,1))-AVERAGE(OFFSET($H$3,0,0,'Données projet'!$E$11+1,1))</f>
        <v>344.26020118887629</v>
      </c>
      <c r="BJ56" s="62">
        <f t="shared" si="38"/>
        <v>376.41441893222185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10.199999999999999</v>
      </c>
      <c r="BY56" s="13">
        <f>IF('Données projet'!$A$114&gt;35,BY55+BX56-CG55,IF(A56&lt;'Données projet'!$A$114,$BV$205^A56,IF(A56='Données projet'!$A$114,'Données projet'!$B$114,BY55+BX56-CG55)))</f>
        <v>261.60000000000002</v>
      </c>
      <c r="BZ56" s="14">
        <f>BY56*VLOOKUP('Données projet'!$B$12,Paramètres!$A$1:$I$89,3,0)*VLOOKUP('Données projet'!$B$12,Paramètres!$A$1:$I$89,5,0)</f>
        <v>220.37184000000002</v>
      </c>
      <c r="CA56" s="14">
        <f t="shared" si="39"/>
        <v>54.195695362491193</v>
      </c>
      <c r="CB56" s="22">
        <f t="shared" si="10"/>
        <v>478.20512408967215</v>
      </c>
      <c r="CC56" s="62">
        <f t="shared" si="11"/>
        <v>771.53845742300541</v>
      </c>
      <c r="CD56" s="62">
        <f ca="1">AVERAGE(OFFSET($CC$3,0,0,'Données projet'!$E$12+1,1))-AVERAGE(OFFSET($H$3,0,0,'Données projet'!$E$12+1,1))</f>
        <v>477.4105367901771</v>
      </c>
      <c r="CE56" s="62">
        <f t="shared" si="40"/>
        <v>261.95434270986397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10.769230769230768</v>
      </c>
      <c r="CT56" s="13">
        <f>IF('Données projet'!$A$140&gt;35,CT55+CS56-DB55,IF(A56&lt;'Données projet'!$A$140,$CQ$205^A56,IF(A56='Données projet'!$A$140,'Données projet'!$B$140,CT55+CS56-DB55)))</f>
        <v>243.07692307692298</v>
      </c>
      <c r="CU56" s="18">
        <f>CT56*VLOOKUP('Données projet'!$B$13,Paramètres!$A$1:$I$89,3,0)*VLOOKUP('Données projet'!$B$13,Paramètres!$A$1:$I$89,5,0)</f>
        <v>113.75999999999995</v>
      </c>
      <c r="CV56" s="14">
        <f t="shared" si="41"/>
        <v>30.215129555931622</v>
      </c>
      <c r="CW56" s="22">
        <f t="shared" si="13"/>
        <v>250.7566839765808</v>
      </c>
      <c r="CX56" s="62">
        <f t="shared" si="14"/>
        <v>544.09001730991417</v>
      </c>
      <c r="CY56" s="62">
        <f ca="1">AVERAGE(OFFSET($CX$3,0,0,'Données projet'!$E$13+1,1))-AVERAGE(OFFSET($H$3,0,0,'Données projet'!$E$13+1,1))</f>
        <v>246.64907095367749</v>
      </c>
      <c r="CZ56" s="62">
        <f t="shared" si="42"/>
        <v>145.34368562171613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7.3600000000000083</v>
      </c>
      <c r="DO56" s="13">
        <f>IF('Données projet'!$A$166&gt;35,DO55+DN56-DW55,IF(A56&lt;'Données projet'!$A$166,$DL$205^A56,IF(A56='Données projet'!$A$166,'Données projet'!$B$166,DO55+DN56-DW55)))</f>
        <v>263.87999999999994</v>
      </c>
      <c r="DP56" s="18">
        <f>DO56*VLOOKUP('Données projet'!$B$14,Paramètres!$A$1:$I$89,3,0)*VLOOKUP('Données projet'!$B$14,Paramètres!$A$1:$I$89,5,0)</f>
        <v>209.94292799999997</v>
      </c>
      <c r="DQ56" s="14">
        <f t="shared" si="43"/>
        <v>51.9231138331048</v>
      </c>
      <c r="DR56" s="22">
        <f t="shared" si="16"/>
        <v>456.08335619265745</v>
      </c>
      <c r="DS56" s="62">
        <f t="shared" si="17"/>
        <v>749.41668952599071</v>
      </c>
      <c r="DT56" s="62">
        <f ca="1">AVERAGE(OFFSET($DS$3,0,0,'Données projet'!$E$14+1,1))-AVERAGE(OFFSET($H$3,0,0,'Données projet'!$E$14+1,1))</f>
        <v>370.38521334472284</v>
      </c>
      <c r="DU56" s="62">
        <f t="shared" si="44"/>
        <v>404.61777090709171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15.5</v>
      </c>
      <c r="EJ56" s="13">
        <f>IF('Données projet'!$A$192&gt;35,EJ55+EI56-ER55,IF(A56&lt;'Données projet'!$A$192,$EG$205^A56,IF(A56='Données projet'!$A$192,'Données projet'!$B$192,EJ55+EI56-ER55)))</f>
        <v>254.49999999999986</v>
      </c>
      <c r="EK56" s="18">
        <f>EJ56*VLOOKUP('Données projet'!$B$15,Paramètres!$A$1:$I$89,3,0)*VLOOKUP('Données projet'!$B$15,Paramètres!$A$1:$I$89,5,0)</f>
        <v>218.3609999999999</v>
      </c>
      <c r="EL56" s="14">
        <f t="shared" si="45"/>
        <v>53.758502281527136</v>
      </c>
      <c r="EM56" s="22">
        <f t="shared" si="19"/>
        <v>473.94146647365955</v>
      </c>
      <c r="EN56" s="62">
        <f t="shared" si="20"/>
        <v>767.27479980699286</v>
      </c>
      <c r="EO56" s="62">
        <f ca="1">AVERAGE(OFFSET($EN$3,0,0,'Données projet'!$E$15+1,1))-AVERAGE(OFFSET($H$3,0,0,'Données projet'!$E$15+1,1))</f>
        <v>445.81166342116865</v>
      </c>
      <c r="EP56" s="62">
        <f t="shared" si="46"/>
        <v>230.82970731138215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10.199999999999999</v>
      </c>
      <c r="FE56" s="13">
        <f>IF('Données projet'!$A$218&gt;35,FE55+FD56-FM55,IF(A56&lt;'Données projet'!$A$218,$FB$205^A56,IF(A56='Données projet'!$A$218,'Données projet'!$B$218,FE55+FD56-FM55)))</f>
        <v>261.60000000000002</v>
      </c>
      <c r="FF56" s="18">
        <f>FE56*VLOOKUP('Données projet'!$B$16,Paramètres!$A$1:$I$89,3,0)*VLOOKUP('Données projet'!$B$16,Paramètres!$A$1:$I$89,5,0)</f>
        <v>253.01952000000003</v>
      </c>
      <c r="FG56" s="14">
        <f t="shared" si="47"/>
        <v>61.232073131479261</v>
      </c>
      <c r="FH56" s="22">
        <f t="shared" si="22"/>
        <v>547.32152470399308</v>
      </c>
      <c r="FI56" s="62">
        <f t="shared" si="23"/>
        <v>840.65485803732645</v>
      </c>
      <c r="FJ56" s="62">
        <f ca="1">AVERAGE(OFFSET($FI$3,0,0,'Données projet'!$E$16+1,1))-AVERAGE(OFFSET($H$3,0,0,'Données projet'!$E$16+1,1))</f>
        <v>541.66888676162716</v>
      </c>
      <c r="FK56" s="62">
        <f t="shared" si="48"/>
        <v>294.45557293177131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>
        <f>EXP(-LN(2)/35)*FQ55+(1-EXP(-LN(2)/35))/(LN(2)/35)*FM56*FN56*VLOOKUP('Données projet'!$B$16,Paramètres!$A$1:$I$89,3,0)*0.475*44/12</f>
        <v>0</v>
      </c>
      <c r="FR56" s="23">
        <f>EXP(-LN(2)/25)*FR55+(1-EXP(-LN(2)/25))/(LN(2)/25)*Calculateur!FM56*Calculateur!FO56*VLOOKUP('Données projet'!$B$16,Paramètres!$A$1:$I$89,3,0)*0.475*44/12</f>
        <v>0</v>
      </c>
      <c r="FS56" s="23">
        <f>EXP(-LN(2)/2)*FS55+(1-EXP(-LN(2)/2))/(LN(2)/2)*FM56*FP56*VLOOKUP('Données projet'!$B$16,Paramètres!$A$1:$I$89,3,0)*0.475*44/12</f>
        <v>0</v>
      </c>
      <c r="FT56" s="24">
        <f t="shared" si="24"/>
        <v>0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9.375</v>
      </c>
      <c r="FZ56" s="13">
        <f>IF('Données projet'!$A$244&gt;35,FZ55+FY56-GH55,IF(A56&lt;'Données projet'!$A$244,$FW$205^A56,IF(A56='Données projet'!$A$244,'Données projet'!$B$244,FZ55+FY56-GH55)))</f>
        <v>231.37499999999994</v>
      </c>
      <c r="GA56" s="18">
        <f>FZ56*VLOOKUP('Données projet'!$B$17,Paramètres!$A$1:$I$89,3,0)*VLOOKUP('Données projet'!$B$17,Paramètres!$A$1:$I$89,5,0)</f>
        <v>180.47249999999997</v>
      </c>
      <c r="GB56" s="14">
        <f t="shared" si="49"/>
        <v>45.427292666837829</v>
      </c>
      <c r="GC56" s="22">
        <f t="shared" si="25"/>
        <v>393.44213889474253</v>
      </c>
      <c r="GD56" s="62">
        <f t="shared" si="26"/>
        <v>686.77547222807584</v>
      </c>
      <c r="GE56" s="62">
        <f ca="1">AVERAGE(OFFSET($GD$3,0,0,'Données projet'!$E$17+1,1))-AVERAGE(OFFSET($H$3,0,0,'Données projet'!$E$17+1,1))</f>
        <v>292.57482726862594</v>
      </c>
      <c r="GF56" s="62">
        <f t="shared" si="50"/>
        <v>283.48738729114024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>
        <f>EXP(-LN(2)/35)*GL55+(1-EXP(-LN(2)/35))/(LN(2)/35)*GH56*GI56*VLOOKUP('Données projet'!$B$17,Paramètres!$A$1:$I$89,3,0)*0.475*44/12</f>
        <v>0</v>
      </c>
      <c r="GM56" s="23">
        <f>EXP(-LN(2)/25)*GM55+(1-EXP(-LN(2)/25))/(LN(2)/25)*Calculateur!GH56*Calculateur!GJ56*VLOOKUP('Données projet'!$B$17,Paramètres!$A$1:$I$89,3,0)*0.475*44/12</f>
        <v>0</v>
      </c>
      <c r="GN56" s="23">
        <f>EXP(-LN(2)/2)*GN55+(1-EXP(-LN(2)/2))/(LN(2)/2)*GH56*GK56*VLOOKUP('Données projet'!$B$17,Paramètres!$A$1:$I$89,3,0)*0.475*44/12</f>
        <v>0</v>
      </c>
      <c r="GO56" s="23">
        <f t="shared" si="27"/>
        <v>0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7.1794871794871824</v>
      </c>
      <c r="GU56" s="13">
        <f>IF('Données projet'!$A$270&gt;35,GU55+GT56-HC55,IF(A56&lt;'Données projet'!$A$270,$GR$205^A56,IF(A56='Données projet'!$A$270,'Données projet'!$B$270,GU55+GT56-HC55)))</f>
        <v>299.10256410256386</v>
      </c>
      <c r="GV56" s="18">
        <f>GU56*VLOOKUP('Données projet'!$B$18,Paramètres!$A$1:$I$89,3,0)*VLOOKUP('Données projet'!$B$18,Paramètres!$A$1:$I$89,5,0)</f>
        <v>200.63799999999986</v>
      </c>
      <c r="GW56" s="14">
        <f t="shared" si="51"/>
        <v>49.884354814212465</v>
      </c>
      <c r="GX56" s="22">
        <f t="shared" si="28"/>
        <v>436.32643463475307</v>
      </c>
      <c r="GY56" s="62">
        <f t="shared" si="29"/>
        <v>729.65976796808638</v>
      </c>
      <c r="GZ56" s="62">
        <f ca="1">AVERAGE(OFFSET($GY$3,0,0,'Données projet'!$E$18+1,1))-AVERAGE(OFFSET($H$3,0,0,'Données projet'!$E$18+1,1))</f>
        <v>410.20186800287411</v>
      </c>
      <c r="HA56" s="62">
        <f t="shared" si="52"/>
        <v>321.99347958016057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>
        <f>EXP(-LN(2)/35)*HG55+(1-EXP(-LN(2)/35))/(LN(2)/35)*HC56*HD56*VLOOKUP('Données projet'!$B$18,Paramètres!$A$1:$I$89,3,0)*0.475*44/12</f>
        <v>0</v>
      </c>
      <c r="HH56" s="23">
        <f>EXP(-LN(2)/25)*HH55+(1-EXP(-LN(2)/25))/(LN(2)/25)*Calculateur!HC56*Calculateur!HE56*VLOOKUP('Données projet'!$B$18,Paramètres!$A$1:$I$89,3,0)*0.475*44/12</f>
        <v>0</v>
      </c>
      <c r="HI56" s="23">
        <f>EXP(-LN(2)/2)*HI55+(1-EXP(-LN(2)/2))/(LN(2)/2)*HC56*HF56*VLOOKUP('Données projet'!$B$18,Paramètres!$A$1:$I$89,3,0)*0.475*44/12</f>
        <v>0</v>
      </c>
      <c r="HJ56" s="24">
        <f t="shared" si="30"/>
        <v>0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10.199999999999999</v>
      </c>
      <c r="N57" s="14">
        <f>IF('Données projet'!$A$36&gt;35,N56+M57-V56,IF(A57&lt;'Données projet'!$A$36,$K$205^A57,IF(A57='Données projet'!$A$36,'Données projet'!$B$36,N56+M57-V56)))</f>
        <v>271.8</v>
      </c>
      <c r="O57" s="14">
        <f>N57*VLOOKUP('Données projet'!$B$9,Paramètres!$A$1:$I$89,3,0)*VLOOKUP('Données projet'!$B$9,Paramètres!$A$1:$I$89,5,0)</f>
        <v>245.92464000000001</v>
      </c>
      <c r="P57" s="14">
        <f t="shared" si="33"/>
        <v>59.712430831913537</v>
      </c>
      <c r="Q57" s="22">
        <f t="shared" si="53"/>
        <v>532.31789836558266</v>
      </c>
      <c r="R57" s="62">
        <f t="shared" si="0"/>
        <v>825.65123169891604</v>
      </c>
      <c r="S57" s="62">
        <f ca="1">AVERAGE(OFFSET($R$3,0,0,'Données projet'!$E$9+1,1))-AVERAGE(OFFSET($H$3,0,0,'Données projet'!$E$9+1,1))</f>
        <v>509.56241660612449</v>
      </c>
      <c r="T57" s="62">
        <f t="shared" si="34"/>
        <v>278.21741231699929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10.199999999999999</v>
      </c>
      <c r="AI57" s="14">
        <f>IF('Données projet'!$A$62&gt;35,AI56+AH57-AQ56,IF(A57&lt;'Données projet'!$A$62,$AF$205^A57,IF(A57='Données projet'!$A$62,'Données projet'!$B$62,AI56+AH57-AQ56)))</f>
        <v>271.8</v>
      </c>
      <c r="AJ57" s="14">
        <f>AI57*VLOOKUP('Données projet'!$B$10,Paramètres!$A$1:$I$89,3,0)*VLOOKUP('Données projet'!$B$10,Paramètres!$A$1:$I$89,5,0)</f>
        <v>275.60520000000002</v>
      </c>
      <c r="AK57" s="14">
        <f t="shared" si="35"/>
        <v>66.037407906416391</v>
      </c>
      <c r="AL57" s="22">
        <f t="shared" si="4"/>
        <v>595.02754210367516</v>
      </c>
      <c r="AM57" s="62">
        <f t="shared" si="5"/>
        <v>888.36087543700842</v>
      </c>
      <c r="AN57" s="62">
        <f ca="1">AVERAGE(OFFSET($AM$3,0,0,'Données projet'!$E$10+1,1))-AVERAGE(OFFSET($H$3,0,0,'Données projet'!$E$10+1,1))</f>
        <v>565.72091871734051</v>
      </c>
      <c r="AO57" s="62">
        <f t="shared" si="36"/>
        <v>306.61893266146666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7.3600000000000083</v>
      </c>
      <c r="BD57" s="13">
        <f>IF('Données projet'!$A$88&gt;35,BD56+BC57-BL56,IF(A57&lt;'Données projet'!$A$88,$BA$205^A57,IF(A57='Données projet'!$A$88,'Données projet'!$B$88,BD56+BC57-BL56)))</f>
        <v>271.23999999999995</v>
      </c>
      <c r="BE57" s="14">
        <f>BD57*VLOOKUP('Données projet'!$B$11,Paramètres!$A$1:$I$89,3,0)*VLOOKUP('Données projet'!$B$11,Paramètres!$A$1:$I$89,5,0)</f>
        <v>198.87316799999996</v>
      </c>
      <c r="BF57" s="14">
        <f t="shared" si="37"/>
        <v>49.496442782493347</v>
      </c>
      <c r="BG57" s="22">
        <f t="shared" si="7"/>
        <v>432.57707211284247</v>
      </c>
      <c r="BH57" s="62">
        <f t="shared" si="8"/>
        <v>725.91040544617579</v>
      </c>
      <c r="BI57" s="62">
        <f ca="1">AVERAGE(OFFSET($BH$3,0,0,'Données projet'!$E$11+1,1))-AVERAGE(OFFSET($H$3,0,0,'Données projet'!$E$11+1,1))</f>
        <v>344.26020118887629</v>
      </c>
      <c r="BJ57" s="62">
        <f t="shared" si="38"/>
        <v>376.41441893222185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10.199999999999999</v>
      </c>
      <c r="BY57" s="13">
        <f>IF('Données projet'!$A$114&gt;35,BY56+BX57-CG56,IF(A57&lt;'Données projet'!$A$114,$BV$205^A57,IF(A57='Données projet'!$A$114,'Données projet'!$B$114,BY56+BX57-CG56)))</f>
        <v>271.8</v>
      </c>
      <c r="BZ57" s="14">
        <f>BY57*VLOOKUP('Données projet'!$B$12,Paramètres!$A$1:$I$89,3,0)*VLOOKUP('Données projet'!$B$12,Paramètres!$A$1:$I$89,5,0)</f>
        <v>228.96432000000004</v>
      </c>
      <c r="CA57" s="14">
        <f t="shared" si="39"/>
        <v>56.058684514404661</v>
      </c>
      <c r="CB57" s="22">
        <f t="shared" si="10"/>
        <v>496.4150661959215</v>
      </c>
      <c r="CC57" s="62">
        <f t="shared" si="11"/>
        <v>789.74839952925481</v>
      </c>
      <c r="CD57" s="62">
        <f ca="1">AVERAGE(OFFSET($CC$3,0,0,'Données projet'!$E$12+1,1))-AVERAGE(OFFSET($H$3,0,0,'Données projet'!$E$12+1,1))</f>
        <v>477.4105367901771</v>
      </c>
      <c r="CE57" s="62">
        <f t="shared" si="40"/>
        <v>261.95434270986397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10.769230769230768</v>
      </c>
      <c r="CT57" s="13">
        <f>IF('Données projet'!$A$140&gt;35,CT56+CS57-DB56,IF(A57&lt;'Données projet'!$A$140,$CQ$205^A57,IF(A57='Données projet'!$A$140,'Données projet'!$B$140,CT56+CS57-DB56)))</f>
        <v>253.84615384615375</v>
      </c>
      <c r="CU57" s="18">
        <f>CT57*VLOOKUP('Données projet'!$B$13,Paramètres!$A$1:$I$89,3,0)*VLOOKUP('Données projet'!$B$13,Paramètres!$A$1:$I$89,5,0)</f>
        <v>118.79999999999995</v>
      </c>
      <c r="CV57" s="14">
        <f t="shared" si="41"/>
        <v>31.394955500632594</v>
      </c>
      <c r="CW57" s="22">
        <f t="shared" si="13"/>
        <v>261.58954749693504</v>
      </c>
      <c r="CX57" s="62">
        <f t="shared" si="14"/>
        <v>554.92288083026835</v>
      </c>
      <c r="CY57" s="62">
        <f ca="1">AVERAGE(OFFSET($CX$3,0,0,'Données projet'!$E$13+1,1))-AVERAGE(OFFSET($H$3,0,0,'Données projet'!$E$13+1,1))</f>
        <v>246.64907095367749</v>
      </c>
      <c r="CZ57" s="62">
        <f t="shared" si="42"/>
        <v>145.34368562171613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7.3600000000000083</v>
      </c>
      <c r="DO57" s="13">
        <f>IF('Données projet'!$A$166&gt;35,DO56+DN57-DW56,IF(A57&lt;'Données projet'!$A$166,$DL$205^A57,IF(A57='Données projet'!$A$166,'Données projet'!$B$166,DO56+DN57-DW56)))</f>
        <v>271.23999999999995</v>
      </c>
      <c r="DP57" s="18">
        <f>DO57*VLOOKUP('Données projet'!$B$14,Paramètres!$A$1:$I$89,3,0)*VLOOKUP('Données projet'!$B$14,Paramètres!$A$1:$I$89,5,0)</f>
        <v>215.79854399999996</v>
      </c>
      <c r="DQ57" s="14">
        <f t="shared" si="43"/>
        <v>53.200697768809484</v>
      </c>
      <c r="DR57" s="22">
        <f t="shared" si="16"/>
        <v>468.50701274734303</v>
      </c>
      <c r="DS57" s="62">
        <f t="shared" si="17"/>
        <v>761.84034608067634</v>
      </c>
      <c r="DT57" s="62">
        <f ca="1">AVERAGE(OFFSET($DS$3,0,0,'Données projet'!$E$14+1,1))-AVERAGE(OFFSET($H$3,0,0,'Données projet'!$E$14+1,1))</f>
        <v>370.38521334472284</v>
      </c>
      <c r="DU57" s="62">
        <f t="shared" si="44"/>
        <v>404.61777090709171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>
        <f>VLOOKUP(A57,'Données projet'!$A$191:$I$211,2,0)</f>
        <v>270</v>
      </c>
      <c r="EH57" s="13">
        <f>VLOOKUP(A57,'Données projet'!$A$191:$I$211,9,0)</f>
        <v>15.5</v>
      </c>
      <c r="EI57" s="13">
        <f t="array" ref="EI57">INDEX(EH:EH,MIN(IF(ISNUMBER(EH57:EH253),ROW(EH57:EH253),"")))</f>
        <v>15.5</v>
      </c>
      <c r="EJ57" s="13">
        <f>IF('Données projet'!$A$192&gt;35,EJ56+EI57-ER56,IF(A57&lt;'Données projet'!$A$192,$EG$205^A57,IF(A57='Données projet'!$A$192,'Données projet'!$B$192,EJ56+EI57-ER56)))</f>
        <v>269.99999999999989</v>
      </c>
      <c r="EK57" s="18">
        <f>EJ57*VLOOKUP('Données projet'!$B$15,Paramètres!$A$1:$I$89,3,0)*VLOOKUP('Données projet'!$B$15,Paramètres!$A$1:$I$89,5,0)</f>
        <v>231.65999999999991</v>
      </c>
      <c r="EL57" s="14">
        <f t="shared" si="45"/>
        <v>56.641461975682766</v>
      </c>
      <c r="EM57" s="22">
        <f t="shared" si="19"/>
        <v>502.125046274314</v>
      </c>
      <c r="EN57" s="62">
        <f t="shared" si="20"/>
        <v>795.45837960764732</v>
      </c>
      <c r="EO57" s="62">
        <f ca="1">AVERAGE(OFFSET($EN$3,0,0,'Données projet'!$E$15+1,1))-AVERAGE(OFFSET($H$3,0,0,'Données projet'!$E$15+1,1))</f>
        <v>445.81166342116865</v>
      </c>
      <c r="EP57" s="62">
        <f t="shared" si="46"/>
        <v>230.82970731138215</v>
      </c>
      <c r="EQ57" s="16">
        <f>IF(ISNA(VLOOKUP(A57,'Données projet'!$A$191:$I$211,3,0)),0,VLOOKUP(A57,'Données projet'!$A$191:$I$211,3,0))</f>
        <v>6</v>
      </c>
      <c r="ER57" s="16">
        <f>IF(ISNA(VLOOKUP(A57,'Données projet'!$A$191:$I$211,4,0)),0,VLOOKUP(A57,'Données projet'!$A$191:$I$211,4,0))</f>
        <v>64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10.199999999999999</v>
      </c>
      <c r="FE57" s="13">
        <f>IF('Données projet'!$A$218&gt;35,FE56+FD57-FM56,IF(A57&lt;'Données projet'!$A$218,$FB$205^A57,IF(A57='Données projet'!$A$218,'Données projet'!$B$218,FE56+FD57-FM56)))</f>
        <v>271.8</v>
      </c>
      <c r="FF57" s="18">
        <f>FE57*VLOOKUP('Données projet'!$B$16,Paramètres!$A$1:$I$89,3,0)*VLOOKUP('Données projet'!$B$16,Paramètres!$A$1:$I$89,5,0)</f>
        <v>262.88496000000004</v>
      </c>
      <c r="FG57" s="14">
        <f t="shared" si="47"/>
        <v>63.336939343271965</v>
      </c>
      <c r="FH57" s="22">
        <f t="shared" si="22"/>
        <v>568.16980802286537</v>
      </c>
      <c r="FI57" s="62">
        <f t="shared" si="23"/>
        <v>861.50314135619874</v>
      </c>
      <c r="FJ57" s="62">
        <f ca="1">AVERAGE(OFFSET($FI$3,0,0,'Données projet'!$E$16+1,1))-AVERAGE(OFFSET($H$3,0,0,'Données projet'!$E$16+1,1))</f>
        <v>541.66888676162716</v>
      </c>
      <c r="FK57" s="62">
        <f t="shared" si="48"/>
        <v>294.45557293177131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>
        <f>EXP(-LN(2)/35)*FQ56+(1-EXP(-LN(2)/35))/(LN(2)/35)*FM57*FN57*VLOOKUP('Données projet'!$B$16,Paramètres!$A$1:$I$89,3,0)*0.475*44/12</f>
        <v>0</v>
      </c>
      <c r="FR57" s="23">
        <f>EXP(-LN(2)/25)*FR56+(1-EXP(-LN(2)/25))/(LN(2)/25)*Calculateur!FM57*Calculateur!FO57*VLOOKUP('Données projet'!$B$16,Paramètres!$A$1:$I$89,3,0)*0.475*44/12</f>
        <v>0</v>
      </c>
      <c r="FS57" s="23">
        <f>EXP(-LN(2)/2)*FS56+(1-EXP(-LN(2)/2))/(LN(2)/2)*FM57*FP57*VLOOKUP('Données projet'!$B$16,Paramètres!$A$1:$I$89,3,0)*0.475*44/12</f>
        <v>0</v>
      </c>
      <c r="FT57" s="24">
        <f t="shared" si="24"/>
        <v>0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9.375</v>
      </c>
      <c r="FZ57" s="13">
        <f>IF('Données projet'!$A$244&gt;35,FZ56+FY57-GH56,IF(A57&lt;'Données projet'!$A$244,$FW$205^A57,IF(A57='Données projet'!$A$244,'Données projet'!$B$244,FZ56+FY57-GH56)))</f>
        <v>240.74999999999994</v>
      </c>
      <c r="GA57" s="18">
        <f>FZ57*VLOOKUP('Données projet'!$B$17,Paramètres!$A$1:$I$89,3,0)*VLOOKUP('Données projet'!$B$17,Paramètres!$A$1:$I$89,5,0)</f>
        <v>187.78499999999997</v>
      </c>
      <c r="GB57" s="14">
        <f t="shared" si="49"/>
        <v>47.049914090154054</v>
      </c>
      <c r="GC57" s="22">
        <f t="shared" si="25"/>
        <v>409.00414204035161</v>
      </c>
      <c r="GD57" s="62">
        <f t="shared" si="26"/>
        <v>702.33747537368492</v>
      </c>
      <c r="GE57" s="62">
        <f ca="1">AVERAGE(OFFSET($GD$3,0,0,'Données projet'!$E$17+1,1))-AVERAGE(OFFSET($H$3,0,0,'Données projet'!$E$17+1,1))</f>
        <v>292.57482726862594</v>
      </c>
      <c r="GF57" s="62">
        <f t="shared" si="50"/>
        <v>283.48738729114024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>
        <f>EXP(-LN(2)/35)*GL56+(1-EXP(-LN(2)/35))/(LN(2)/35)*GH57*GI57*VLOOKUP('Données projet'!$B$17,Paramètres!$A$1:$I$89,3,0)*0.475*44/12</f>
        <v>0</v>
      </c>
      <c r="GM57" s="23">
        <f>EXP(-LN(2)/25)*GM56+(1-EXP(-LN(2)/25))/(LN(2)/25)*Calculateur!GH57*Calculateur!GJ57*VLOOKUP('Données projet'!$B$17,Paramètres!$A$1:$I$89,3,0)*0.475*44/12</f>
        <v>0</v>
      </c>
      <c r="GN57" s="23">
        <f>EXP(-LN(2)/2)*GN56+(1-EXP(-LN(2)/2))/(LN(2)/2)*GH57*GK57*VLOOKUP('Données projet'!$B$17,Paramètres!$A$1:$I$89,3,0)*0.475*44/12</f>
        <v>0</v>
      </c>
      <c r="GO57" s="23">
        <f t="shared" si="27"/>
        <v>0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7.1794871794871824</v>
      </c>
      <c r="GU57" s="13">
        <f>IF('Données projet'!$A$270&gt;35,GU56+GT57-HC56,IF(A57&lt;'Données projet'!$A$270,$GR$205^A57,IF(A57='Données projet'!$A$270,'Données projet'!$B$270,GU56+GT57-HC56)))</f>
        <v>306.28205128205104</v>
      </c>
      <c r="GV57" s="18">
        <f>GU57*VLOOKUP('Données projet'!$B$18,Paramètres!$A$1:$I$89,3,0)*VLOOKUP('Données projet'!$B$18,Paramètres!$A$1:$I$89,5,0)</f>
        <v>205.45399999999984</v>
      </c>
      <c r="GW57" s="14">
        <f t="shared" si="51"/>
        <v>50.940908527421215</v>
      </c>
      <c r="GX57" s="22">
        <f t="shared" si="28"/>
        <v>446.55446568525832</v>
      </c>
      <c r="GY57" s="62">
        <f t="shared" si="29"/>
        <v>739.88779901859164</v>
      </c>
      <c r="GZ57" s="62">
        <f ca="1">AVERAGE(OFFSET($GY$3,0,0,'Données projet'!$E$18+1,1))-AVERAGE(OFFSET($H$3,0,0,'Données projet'!$E$18+1,1))</f>
        <v>410.20186800287411</v>
      </c>
      <c r="HA57" s="62">
        <f t="shared" si="52"/>
        <v>321.99347958016057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>
        <f>EXP(-LN(2)/35)*HG56+(1-EXP(-LN(2)/35))/(LN(2)/35)*HC57*HD57*VLOOKUP('Données projet'!$B$18,Paramètres!$A$1:$I$89,3,0)*0.475*44/12</f>
        <v>0</v>
      </c>
      <c r="HH57" s="23">
        <f>EXP(-LN(2)/25)*HH56+(1-EXP(-LN(2)/25))/(LN(2)/25)*Calculateur!HC57*Calculateur!HE57*VLOOKUP('Données projet'!$B$18,Paramètres!$A$1:$I$89,3,0)*0.475*44/12</f>
        <v>0</v>
      </c>
      <c r="HI57" s="23">
        <f>EXP(-LN(2)/2)*HI56+(1-EXP(-LN(2)/2))/(LN(2)/2)*HC57*HF57*VLOOKUP('Données projet'!$B$18,Paramètres!$A$1:$I$89,3,0)*0.475*44/12</f>
        <v>0</v>
      </c>
      <c r="HJ57" s="24">
        <f t="shared" si="30"/>
        <v>0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282</v>
      </c>
      <c r="L58" s="13">
        <f>VLOOKUP(A58,'Données projet'!$A$35:$I$55,9,0)</f>
        <v>10.199999999999999</v>
      </c>
      <c r="M58" s="13">
        <f t="array" ref="M58">INDEX(L:L,MIN(IF(ISNUMBER(L58:L254),ROW(L58:L254),"")))</f>
        <v>10.199999999999999</v>
      </c>
      <c r="N58" s="14">
        <f>IF('Données projet'!$A$36&gt;35,N57+M58-V57,IF(A58&lt;'Données projet'!$A$36,$K$205^A58,IF(A58='Données projet'!$A$36,'Données projet'!$B$36,N57+M58-V57)))</f>
        <v>282</v>
      </c>
      <c r="O58" s="14">
        <f>N58*VLOOKUP('Données projet'!$B$9,Paramètres!$A$1:$I$89,3,0)*VLOOKUP('Données projet'!$B$9,Paramètres!$A$1:$I$89,5,0)</f>
        <v>255.15360000000001</v>
      </c>
      <c r="P58" s="14">
        <f t="shared" si="33"/>
        <v>61.688192762754426</v>
      </c>
      <c r="Q58" s="22">
        <f t="shared" si="53"/>
        <v>551.83278906179726</v>
      </c>
      <c r="R58" s="62">
        <f t="shared" si="0"/>
        <v>845.16612239513051</v>
      </c>
      <c r="S58" s="62">
        <f ca="1">AVERAGE(OFFSET($R$3,0,0,'Données projet'!$E$9+1,1))-AVERAGE(OFFSET($H$3,0,0,'Données projet'!$E$9+1,1))</f>
        <v>509.56241660612449</v>
      </c>
      <c r="T58" s="62">
        <f t="shared" si="34"/>
        <v>278.21741231699929</v>
      </c>
      <c r="U58" s="16">
        <f>IF(ISNA(VLOOKUP(A58,'Données projet'!$A$35:$I$55,3,0)),0,VLOOKUP(A58,'Données projet'!$A$35:$I$55,3,0))</f>
        <v>4</v>
      </c>
      <c r="V58" s="16">
        <f>IF(ISNA(VLOOKUP(A58,'Données projet'!$A$35:$I$55,4,0)),0,VLOOKUP(A58,'Données projet'!$A$35:$I$55,4,0))</f>
        <v>56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282</v>
      </c>
      <c r="AG58" s="13">
        <f>VLOOKUP(A58,'Données projet'!$A$61:$I$81,9,0)</f>
        <v>10.199999999999999</v>
      </c>
      <c r="AH58" s="13">
        <f t="array" ref="AH58">INDEX(AG:AG,MIN(IF(ISNUMBER(AG58:AG254),ROW(AG58:AG254),"")))</f>
        <v>10.199999999999999</v>
      </c>
      <c r="AI58" s="14">
        <f>IF('Données projet'!$A$62&gt;35,AI57+AH58-AQ57,IF(A58&lt;'Données projet'!$A$62,$AF$205^A58,IF(A58='Données projet'!$A$62,'Données projet'!$B$62,AI57+AH58-AQ57)))</f>
        <v>282</v>
      </c>
      <c r="AJ58" s="14">
        <f>AI58*VLOOKUP('Données projet'!$B$10,Paramètres!$A$1:$I$89,3,0)*VLOOKUP('Données projet'!$B$10,Paramètres!$A$1:$I$89,5,0)</f>
        <v>285.94800000000004</v>
      </c>
      <c r="AK58" s="14">
        <f t="shared" si="35"/>
        <v>68.222450362989363</v>
      </c>
      <c r="AL58" s="22">
        <f t="shared" si="4"/>
        <v>616.84686771553982</v>
      </c>
      <c r="AM58" s="62">
        <f t="shared" si="5"/>
        <v>910.18020104887319</v>
      </c>
      <c r="AN58" s="62">
        <f ca="1">AVERAGE(OFFSET($AM$3,0,0,'Données projet'!$E$10+1,1))-AVERAGE(OFFSET($H$3,0,0,'Données projet'!$E$10+1,1))</f>
        <v>565.72091871734051</v>
      </c>
      <c r="AO58" s="62">
        <f t="shared" si="36"/>
        <v>306.61893266146666</v>
      </c>
      <c r="AP58" s="16">
        <f>IF(ISNA(VLOOKUP(A58,'Données projet'!$A$61:$I$81,3,0)),0,VLOOKUP(A58,'Données projet'!$A$61:$I$81,3,0))</f>
        <v>4</v>
      </c>
      <c r="AQ58" s="16">
        <f>IF(ISNA(VLOOKUP(A58,'Données projet'!$A$61:$I$81,4,0)),0,VLOOKUP(A58,'Données projet'!$A$61:$I$81,4,0))</f>
        <v>56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278.60000000000002</v>
      </c>
      <c r="BB58" s="13">
        <f>VLOOKUP(A58,'Données projet'!$A$87:$I$107,9,0)</f>
        <v>7.3600000000000083</v>
      </c>
      <c r="BC58" s="13">
        <f t="array" ref="BC58">INDEX(BB:BB,MIN(IF(ISNUMBER(BB58:BB254),ROW(BB58:BB254),"")))</f>
        <v>7.3600000000000083</v>
      </c>
      <c r="BD58" s="13">
        <f>IF('Données projet'!$A$88&gt;35,BD57+BC58-BL57,IF(A58&lt;'Données projet'!$A$88,$BA$205^A58,IF(A58='Données projet'!$A$88,'Données projet'!$B$88,BD57+BC58-BL57)))</f>
        <v>278.59999999999997</v>
      </c>
      <c r="BE58" s="14">
        <f>BD58*VLOOKUP('Données projet'!$B$11,Paramètres!$A$1:$I$89,3,0)*VLOOKUP('Données projet'!$B$11,Paramètres!$A$1:$I$89,5,0)</f>
        <v>204.26951999999997</v>
      </c>
      <c r="BF58" s="14">
        <f t="shared" si="37"/>
        <v>50.681322367447613</v>
      </c>
      <c r="BG58" s="22">
        <f t="shared" si="7"/>
        <v>444.03938378997123</v>
      </c>
      <c r="BH58" s="62">
        <f t="shared" si="8"/>
        <v>737.37271712330448</v>
      </c>
      <c r="BI58" s="62">
        <f ca="1">AVERAGE(OFFSET($BH$3,0,0,'Données projet'!$E$11+1,1))-AVERAGE(OFFSET($H$3,0,0,'Données projet'!$E$11+1,1))</f>
        <v>344.26020118887629</v>
      </c>
      <c r="BJ58" s="62">
        <f t="shared" si="38"/>
        <v>376.41441893222185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282</v>
      </c>
      <c r="BW58" s="13">
        <f>VLOOKUP(A58,'Données projet'!$A$113:$I$133,9,0)</f>
        <v>10.199999999999999</v>
      </c>
      <c r="BX58" s="13">
        <f t="array" ref="BX58">INDEX(BW:BW,MIN(IF(ISNUMBER(BW58:BW254),ROW(BW58:BW254),"")))</f>
        <v>10.199999999999999</v>
      </c>
      <c r="BY58" s="13">
        <f>IF('Données projet'!$A$114&gt;35,BY57+BX58-CG57,IF(A58&lt;'Données projet'!$A$114,$BV$205^A58,IF(A58='Données projet'!$A$114,'Données projet'!$B$114,BY57+BX58-CG57)))</f>
        <v>282</v>
      </c>
      <c r="BZ58" s="14">
        <f>BY58*VLOOKUP('Données projet'!$B$12,Paramètres!$A$1:$I$89,3,0)*VLOOKUP('Données projet'!$B$12,Paramètres!$A$1:$I$89,5,0)</f>
        <v>237.55680000000001</v>
      </c>
      <c r="CA58" s="14">
        <f t="shared" si="39"/>
        <v>57.913551469467357</v>
      </c>
      <c r="CB58" s="22">
        <f t="shared" si="10"/>
        <v>514.61086214265561</v>
      </c>
      <c r="CC58" s="62">
        <f t="shared" si="11"/>
        <v>807.94419547598886</v>
      </c>
      <c r="CD58" s="62">
        <f ca="1">AVERAGE(OFFSET($CC$3,0,0,'Données projet'!$E$12+1,1))-AVERAGE(OFFSET($H$3,0,0,'Données projet'!$E$12+1,1))</f>
        <v>477.4105367901771</v>
      </c>
      <c r="CE58" s="62">
        <f t="shared" si="40"/>
        <v>261.95434270986397</v>
      </c>
      <c r="CF58" s="16">
        <f>IF(ISNA(VLOOKUP(A58,'Données projet'!$A$113:$I$133,3,0)),0,VLOOKUP(A58,'Données projet'!$A$113:$I$133,3,0))</f>
        <v>4</v>
      </c>
      <c r="CG58" s="16">
        <f>IF(ISNA(VLOOKUP(A58,'Données projet'!$A$113:$I$133,4,0)),0,VLOOKUP(A58,'Données projet'!$A$113:$I$133,4,0))</f>
        <v>56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10.769230769230768</v>
      </c>
      <c r="CT58" s="13">
        <f>IF('Données projet'!$A$140&gt;35,CT57+CS58-DB57,IF(A58&lt;'Données projet'!$A$140,$CQ$205^A58,IF(A58='Données projet'!$A$140,'Données projet'!$B$140,CT57+CS58-DB57)))</f>
        <v>264.61538461538453</v>
      </c>
      <c r="CU58" s="18">
        <f>CT58*VLOOKUP('Données projet'!$B$13,Paramètres!$A$1:$I$89,3,0)*VLOOKUP('Données projet'!$B$13,Paramètres!$A$1:$I$89,5,0)</f>
        <v>123.83999999999995</v>
      </c>
      <c r="CV58" s="14">
        <f t="shared" si="41"/>
        <v>32.56896777038807</v>
      </c>
      <c r="CW58" s="22">
        <f t="shared" si="13"/>
        <v>272.4122855334258</v>
      </c>
      <c r="CX58" s="62">
        <f t="shared" si="14"/>
        <v>565.74561886675906</v>
      </c>
      <c r="CY58" s="62">
        <f ca="1">AVERAGE(OFFSET($CX$3,0,0,'Données projet'!$E$13+1,1))-AVERAGE(OFFSET($H$3,0,0,'Données projet'!$E$13+1,1))</f>
        <v>246.64907095367749</v>
      </c>
      <c r="CZ58" s="62">
        <f t="shared" si="42"/>
        <v>145.34368562171613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278.60000000000002</v>
      </c>
      <c r="DM58" s="13">
        <f>VLOOKUP(A58,'Données projet'!$A$165:$I$185,9,0)</f>
        <v>7.3600000000000083</v>
      </c>
      <c r="DN58" s="13">
        <f t="array" ref="DN58">INDEX(DM:DM,MIN(IF(ISNUMBER(DM58:DM254),ROW(DM58:DM254),"")))</f>
        <v>7.3600000000000083</v>
      </c>
      <c r="DO58" s="13">
        <f>IF('Données projet'!$A$166&gt;35,DO57+DN58-DW57,IF(A58&lt;'Données projet'!$A$166,$DL$205^A58,IF(A58='Données projet'!$A$166,'Données projet'!$B$166,DO57+DN58-DW57)))</f>
        <v>278.59999999999997</v>
      </c>
      <c r="DP58" s="18">
        <f>DO58*VLOOKUP('Données projet'!$B$14,Paramètres!$A$1:$I$89,3,0)*VLOOKUP('Données projet'!$B$14,Paramètres!$A$1:$I$89,5,0)</f>
        <v>221.65415999999999</v>
      </c>
      <c r="DQ58" s="14">
        <f t="shared" si="43"/>
        <v>54.474252334510162</v>
      </c>
      <c r="DR58" s="22">
        <f t="shared" si="16"/>
        <v>480.92365148260507</v>
      </c>
      <c r="DS58" s="62">
        <f t="shared" si="17"/>
        <v>774.25698481593838</v>
      </c>
      <c r="DT58" s="62">
        <f ca="1">AVERAGE(OFFSET($DS$3,0,0,'Données projet'!$E$14+1,1))-AVERAGE(OFFSET($H$3,0,0,'Données projet'!$E$14+1,1))</f>
        <v>370.38521334472284</v>
      </c>
      <c r="DU58" s="62">
        <f t="shared" si="44"/>
        <v>404.61777090709171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14.833333333333334</v>
      </c>
      <c r="EJ58" s="13">
        <f>IF('Données projet'!$A$192&gt;35,EJ57+EI58-ER57,IF(A58&lt;'Données projet'!$A$192,$EG$205^A58,IF(A58='Données projet'!$A$192,'Données projet'!$B$192,EJ57+EI58-ER57)))</f>
        <v>220.8333333333332</v>
      </c>
      <c r="EK58" s="18">
        <f>EJ58*VLOOKUP('Données projet'!$B$15,Paramètres!$A$1:$I$89,3,0)*VLOOKUP('Données projet'!$B$15,Paramètres!$A$1:$I$89,5,0)</f>
        <v>189.47499999999991</v>
      </c>
      <c r="EL58" s="14">
        <f t="shared" si="45"/>
        <v>47.423864120172716</v>
      </c>
      <c r="EM58" s="22">
        <f t="shared" si="19"/>
        <v>412.59885500930062</v>
      </c>
      <c r="EN58" s="62">
        <f t="shared" si="20"/>
        <v>705.93218834263394</v>
      </c>
      <c r="EO58" s="62">
        <f ca="1">AVERAGE(OFFSET($EN$3,0,0,'Données projet'!$E$15+1,1))-AVERAGE(OFFSET($H$3,0,0,'Données projet'!$E$15+1,1))</f>
        <v>445.81166342116865</v>
      </c>
      <c r="EP58" s="62">
        <f t="shared" si="46"/>
        <v>230.82970731138215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>
        <f>VLOOKUP(A58,'Données projet'!$A$217:$I$237,2,0)</f>
        <v>282</v>
      </c>
      <c r="FC58" s="13">
        <f>VLOOKUP(A58,'Données projet'!$A$217:$I$237,9,0)</f>
        <v>10.199999999999999</v>
      </c>
      <c r="FD58" s="13">
        <f t="array" ref="FD58">INDEX(FC:FC,MIN(IF(ISNUMBER(FC58:FC254),ROW(FC58:FC254),"")))</f>
        <v>10.199999999999999</v>
      </c>
      <c r="FE58" s="13">
        <f>IF('Données projet'!$A$218&gt;35,FE57+FD58-FM57,IF(A58&lt;'Données projet'!$A$218,$FB$205^A58,IF(A58='Données projet'!$A$218,'Données projet'!$B$218,FE57+FD58-FM57)))</f>
        <v>282</v>
      </c>
      <c r="FF58" s="18">
        <f>FE58*VLOOKUP('Données projet'!$B$16,Paramètres!$A$1:$I$89,3,0)*VLOOKUP('Données projet'!$B$16,Paramètres!$A$1:$I$89,5,0)</f>
        <v>272.75040000000001</v>
      </c>
      <c r="FG58" s="14">
        <f t="shared" si="47"/>
        <v>65.43262883082069</v>
      </c>
      <c r="FH58" s="22">
        <f t="shared" si="22"/>
        <v>589.00210854701277</v>
      </c>
      <c r="FI58" s="62">
        <f t="shared" si="23"/>
        <v>882.33544188034602</v>
      </c>
      <c r="FJ58" s="62">
        <f ca="1">AVERAGE(OFFSET($FI$3,0,0,'Données projet'!$E$16+1,1))-AVERAGE(OFFSET($H$3,0,0,'Données projet'!$E$16+1,1))</f>
        <v>541.66888676162716</v>
      </c>
      <c r="FK58" s="62">
        <f t="shared" si="48"/>
        <v>294.45557293177131</v>
      </c>
      <c r="FL58" s="16">
        <f>IF(ISNA(VLOOKUP(A58,'Données projet'!$A$217:$I$237,3,0)),0,VLOOKUP(A58,'Données projet'!$A$217:$I$237,3,0))</f>
        <v>4</v>
      </c>
      <c r="FM58" s="16">
        <f>IF(ISNA(VLOOKUP(A58,'Données projet'!$A$217:$I$237,4,0)),0,VLOOKUP(A58,'Données projet'!$A$217:$I$237,4,0))</f>
        <v>56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>
        <f>EXP(-LN(2)/35)*FQ57+(1-EXP(-LN(2)/35))/(LN(2)/35)*FM58*FN58*VLOOKUP('Données projet'!$B$16,Paramètres!$A$1:$I$89,3,0)*0.475*44/12</f>
        <v>0</v>
      </c>
      <c r="FR58" s="23">
        <f>EXP(-LN(2)/25)*FR57+(1-EXP(-LN(2)/25))/(LN(2)/25)*Calculateur!FM58*Calculateur!FO58*VLOOKUP('Données projet'!$B$16,Paramètres!$A$1:$I$89,3,0)*0.475*44/12</f>
        <v>0</v>
      </c>
      <c r="FS58" s="23">
        <f>EXP(-LN(2)/2)*FS57+(1-EXP(-LN(2)/2))/(LN(2)/2)*FM58*FP58*VLOOKUP('Données projet'!$B$16,Paramètres!$A$1:$I$89,3,0)*0.475*44/12</f>
        <v>0</v>
      </c>
      <c r="FT58" s="24">
        <f t="shared" si="24"/>
        <v>0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9.375</v>
      </c>
      <c r="FZ58" s="13">
        <f>IF('Données projet'!$A$244&gt;35,FZ57+FY58-GH57,IF(A58&lt;'Données projet'!$A$244,$FW$205^A58,IF(A58='Données projet'!$A$244,'Données projet'!$B$244,FZ57+FY58-GH57)))</f>
        <v>250.12499999999994</v>
      </c>
      <c r="GA58" s="18">
        <f>FZ58*VLOOKUP('Données projet'!$B$17,Paramètres!$A$1:$I$89,3,0)*VLOOKUP('Données projet'!$B$17,Paramètres!$A$1:$I$89,5,0)</f>
        <v>195.09749999999997</v>
      </c>
      <c r="GB58" s="14">
        <f t="shared" si="49"/>
        <v>48.66519532492584</v>
      </c>
      <c r="GC58" s="22">
        <f t="shared" si="25"/>
        <v>424.55336102424576</v>
      </c>
      <c r="GD58" s="62">
        <f t="shared" si="26"/>
        <v>717.88669435757902</v>
      </c>
      <c r="GE58" s="62">
        <f ca="1">AVERAGE(OFFSET($GD$3,0,0,'Données projet'!$E$17+1,1))-AVERAGE(OFFSET($H$3,0,0,'Données projet'!$E$17+1,1))</f>
        <v>292.57482726862594</v>
      </c>
      <c r="GF58" s="62">
        <f t="shared" si="50"/>
        <v>283.48738729114024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>
        <f>EXP(-LN(2)/35)*GL57+(1-EXP(-LN(2)/35))/(LN(2)/35)*GH58*GI58*VLOOKUP('Données projet'!$B$17,Paramètres!$A$1:$I$89,3,0)*0.475*44/12</f>
        <v>0</v>
      </c>
      <c r="GM58" s="23">
        <f>EXP(-LN(2)/25)*GM57+(1-EXP(-LN(2)/25))/(LN(2)/25)*Calculateur!GH58*Calculateur!GJ58*VLOOKUP('Données projet'!$B$17,Paramètres!$A$1:$I$89,3,0)*0.475*44/12</f>
        <v>0</v>
      </c>
      <c r="GN58" s="23">
        <f>EXP(-LN(2)/2)*GN57+(1-EXP(-LN(2)/2))/(LN(2)/2)*GH58*GK58*VLOOKUP('Données projet'!$B$17,Paramètres!$A$1:$I$89,3,0)*0.475*44/12</f>
        <v>0</v>
      </c>
      <c r="GO58" s="23">
        <f t="shared" si="27"/>
        <v>0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>
        <f>VLOOKUP(A58,'Données projet'!$A$269:$I$289,2,0)</f>
        <v>313.46153846153845</v>
      </c>
      <c r="GS58" s="13">
        <f>VLOOKUP(A58,'Données projet'!$A$269:$I$289,9,0)</f>
        <v>7.1794871794871824</v>
      </c>
      <c r="GT58" s="13">
        <f t="array" ref="GT58">INDEX(GS:GS,MIN(IF(ISNUMBER(GS58:GS254),ROW(GS58:GS254),"")))</f>
        <v>7.1794871794871824</v>
      </c>
      <c r="GU58" s="13">
        <f>IF('Données projet'!$A$270&gt;35,GU57+GT58-HC57,IF(A58&lt;'Données projet'!$A$270,$GR$205^A58,IF(A58='Données projet'!$A$270,'Données projet'!$B$270,GU57+GT58-HC57)))</f>
        <v>313.46153846153823</v>
      </c>
      <c r="GV58" s="18">
        <f>GU58*VLOOKUP('Données projet'!$B$18,Paramètres!$A$1:$I$89,3,0)*VLOOKUP('Données projet'!$B$18,Paramètres!$A$1:$I$89,5,0)</f>
        <v>210.26999999999984</v>
      </c>
      <c r="GW58" s="14">
        <f t="shared" si="51"/>
        <v>51.994583078493029</v>
      </c>
      <c r="GX58" s="22">
        <f t="shared" si="28"/>
        <v>456.77748219504173</v>
      </c>
      <c r="GY58" s="62">
        <f t="shared" si="29"/>
        <v>750.11081552837504</v>
      </c>
      <c r="GZ58" s="62">
        <f ca="1">AVERAGE(OFFSET($GY$3,0,0,'Données projet'!$E$18+1,1))-AVERAGE(OFFSET($H$3,0,0,'Données projet'!$E$18+1,1))</f>
        <v>410.20186800287411</v>
      </c>
      <c r="HA58" s="62">
        <f t="shared" si="52"/>
        <v>321.99347958016057</v>
      </c>
      <c r="HB58" s="16">
        <f>IF(ISNA(VLOOKUP(A58,'Données projet'!$A$269:$I$289,3,0)),0,VLOOKUP(A58,'Données projet'!$A$269:$I$289,3,0))</f>
        <v>5</v>
      </c>
      <c r="HC58" s="16">
        <f>IF(ISNA(VLOOKUP(A58,'Données projet'!$A$269:$I$289,4,0)),0,VLOOKUP(A58,'Données projet'!$A$269:$I$289,4,0))</f>
        <v>39.743589743589745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>
        <f>EXP(-LN(2)/35)*HG57+(1-EXP(-LN(2)/35))/(LN(2)/35)*HC58*HD58*VLOOKUP('Données projet'!$B$18,Paramètres!$A$1:$I$89,3,0)*0.475*44/12</f>
        <v>0</v>
      </c>
      <c r="HH58" s="23">
        <f>EXP(-LN(2)/25)*HH57+(1-EXP(-LN(2)/25))/(LN(2)/25)*Calculateur!HC58*Calculateur!HE58*VLOOKUP('Données projet'!$B$18,Paramètres!$A$1:$I$89,3,0)*0.475*44/12</f>
        <v>0</v>
      </c>
      <c r="HI58" s="23">
        <f>EXP(-LN(2)/2)*HI57+(1-EXP(-LN(2)/2))/(LN(2)/2)*HC58*HF58*VLOOKUP('Données projet'!$B$18,Paramètres!$A$1:$I$89,3,0)*0.475*44/12</f>
        <v>0</v>
      </c>
      <c r="HJ58" s="24">
        <f t="shared" si="30"/>
        <v>0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9.4</v>
      </c>
      <c r="N59" s="14">
        <f>IF('Données projet'!$A$36&gt;35,N58+M59-V58,IF(A59&lt;'Données projet'!$A$36,$K$205^A59,IF(A59='Données projet'!$A$36,'Données projet'!$B$36,N58+M59-V58)))</f>
        <v>235.39999999999998</v>
      </c>
      <c r="O59" s="14">
        <f>N59*VLOOKUP('Données projet'!$B$9,Paramètres!$A$1:$I$89,3,0)*VLOOKUP('Données projet'!$B$9,Paramètres!$A$1:$I$89,5,0)</f>
        <v>212.98991999999998</v>
      </c>
      <c r="P59" s="14">
        <f t="shared" si="33"/>
        <v>52.588419883221171</v>
      </c>
      <c r="Q59" s="22">
        <f t="shared" si="53"/>
        <v>462.54894196327677</v>
      </c>
      <c r="R59" s="62">
        <f t="shared" si="0"/>
        <v>755.88227529661003</v>
      </c>
      <c r="S59" s="62">
        <f ca="1">AVERAGE(OFFSET($R$3,0,0,'Données projet'!$E$9+1,1))-AVERAGE(OFFSET($H$3,0,0,'Données projet'!$E$9+1,1))</f>
        <v>509.56241660612449</v>
      </c>
      <c r="T59" s="62">
        <f t="shared" si="34"/>
        <v>278.21741231699929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9.4</v>
      </c>
      <c r="AI59" s="14">
        <f>IF('Données projet'!$A$62&gt;35,AI58+AH59-AQ58,IF(A59&lt;'Données projet'!$A$62,$AF$205^A59,IF(A59='Données projet'!$A$62,'Données projet'!$B$62,AI58+AH59-AQ58)))</f>
        <v>235.39999999999998</v>
      </c>
      <c r="AJ59" s="14">
        <f>AI59*VLOOKUP('Données projet'!$B$10,Paramètres!$A$1:$I$89,3,0)*VLOOKUP('Données projet'!$B$10,Paramètres!$A$1:$I$89,5,0)</f>
        <v>238.69559999999998</v>
      </c>
      <c r="AK59" s="14">
        <f t="shared" si="35"/>
        <v>58.158793514165929</v>
      </c>
      <c r="AL59" s="22">
        <f t="shared" si="4"/>
        <v>517.02140203717238</v>
      </c>
      <c r="AM59" s="62">
        <f t="shared" si="5"/>
        <v>810.35473537050575</v>
      </c>
      <c r="AN59" s="62">
        <f ca="1">AVERAGE(OFFSET($AM$3,0,0,'Données projet'!$E$10+1,1))-AVERAGE(OFFSET($H$3,0,0,'Données projet'!$E$10+1,1))</f>
        <v>565.72091871734051</v>
      </c>
      <c r="AO59" s="62">
        <f t="shared" si="36"/>
        <v>306.61893266146666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6.2799999999999958</v>
      </c>
      <c r="BD59" s="13">
        <f>IF('Données projet'!$A$88&gt;35,BD58+BC59-BL58,IF(A59&lt;'Données projet'!$A$88,$BA$205^A59,IF(A59='Données projet'!$A$88,'Données projet'!$B$88,BD58+BC59-BL58)))</f>
        <v>284.87999999999994</v>
      </c>
      <c r="BE59" s="14">
        <f>BD59*VLOOKUP('Données projet'!$B$11,Paramètres!$A$1:$I$89,3,0)*VLOOKUP('Données projet'!$B$11,Paramètres!$A$1:$I$89,5,0)</f>
        <v>208.87401599999995</v>
      </c>
      <c r="BF59" s="14">
        <f t="shared" si="37"/>
        <v>51.689452927517024</v>
      </c>
      <c r="BG59" s="22">
        <f t="shared" si="7"/>
        <v>453.81470838209202</v>
      </c>
      <c r="BH59" s="62">
        <f t="shared" si="8"/>
        <v>747.14804171542528</v>
      </c>
      <c r="BI59" s="62">
        <f ca="1">AVERAGE(OFFSET($BH$3,0,0,'Données projet'!$E$11+1,1))-AVERAGE(OFFSET($H$3,0,0,'Données projet'!$E$11+1,1))</f>
        <v>344.26020118887629</v>
      </c>
      <c r="BJ59" s="62">
        <f t="shared" si="38"/>
        <v>376.41441893222185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9.4</v>
      </c>
      <c r="BY59" s="13">
        <f>IF('Données projet'!$A$114&gt;35,BY58+BX59-CG58,IF(A59&lt;'Données projet'!$A$114,$BV$205^A59,IF(A59='Données projet'!$A$114,'Données projet'!$B$114,BY58+BX59-CG58)))</f>
        <v>235.39999999999998</v>
      </c>
      <c r="BZ59" s="14">
        <f>BY59*VLOOKUP('Données projet'!$B$12,Paramètres!$A$1:$I$89,3,0)*VLOOKUP('Données projet'!$B$12,Paramètres!$A$1:$I$89,5,0)</f>
        <v>198.30096</v>
      </c>
      <c r="CA59" s="14">
        <f t="shared" si="39"/>
        <v>49.3705849564736</v>
      </c>
      <c r="CB59" s="22">
        <f t="shared" si="10"/>
        <v>431.36127413252484</v>
      </c>
      <c r="CC59" s="62">
        <f t="shared" si="11"/>
        <v>724.6946074658581</v>
      </c>
      <c r="CD59" s="62">
        <f ca="1">AVERAGE(OFFSET($CC$3,0,0,'Données projet'!$E$12+1,1))-AVERAGE(OFFSET($H$3,0,0,'Données projet'!$E$12+1,1))</f>
        <v>477.4105367901771</v>
      </c>
      <c r="CE59" s="62">
        <f t="shared" si="40"/>
        <v>261.95434270986397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10.769230769230768</v>
      </c>
      <c r="CT59" s="13">
        <f>IF('Données projet'!$A$140&gt;35,CT58+CS59-DB58,IF(A59&lt;'Données projet'!$A$140,$CQ$205^A59,IF(A59='Données projet'!$A$140,'Données projet'!$B$140,CT58+CS59-DB58)))</f>
        <v>275.3846153846153</v>
      </c>
      <c r="CU59" s="18">
        <f>CT59*VLOOKUP('Données projet'!$B$13,Paramètres!$A$1:$I$89,3,0)*VLOOKUP('Données projet'!$B$13,Paramètres!$A$1:$I$89,5,0)</f>
        <v>128.87999999999997</v>
      </c>
      <c r="CV59" s="14">
        <f t="shared" si="41"/>
        <v>33.73743003255538</v>
      </c>
      <c r="CW59" s="22">
        <f t="shared" si="13"/>
        <v>283.22535730670057</v>
      </c>
      <c r="CX59" s="62">
        <f t="shared" si="14"/>
        <v>576.55869064003389</v>
      </c>
      <c r="CY59" s="62">
        <f ca="1">AVERAGE(OFFSET($CX$3,0,0,'Données projet'!$E$13+1,1))-AVERAGE(OFFSET($H$3,0,0,'Données projet'!$E$13+1,1))</f>
        <v>246.64907095367749</v>
      </c>
      <c r="CZ59" s="62">
        <f t="shared" si="42"/>
        <v>145.34368562171613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6.2799999999999958</v>
      </c>
      <c r="DO59" s="13">
        <f>IF('Données projet'!$A$166&gt;35,DO58+DN59-DW58,IF(A59&lt;'Données projet'!$A$166,$DL$205^A59,IF(A59='Données projet'!$A$166,'Données projet'!$B$166,DO58+DN59-DW58)))</f>
        <v>284.87999999999994</v>
      </c>
      <c r="DP59" s="18">
        <f>DO59*VLOOKUP('Données projet'!$B$14,Paramètres!$A$1:$I$89,3,0)*VLOOKUP('Données projet'!$B$14,Paramètres!$A$1:$I$89,5,0)</f>
        <v>226.65052799999998</v>
      </c>
      <c r="DQ59" s="14">
        <f t="shared" si="43"/>
        <v>55.557830188244751</v>
      </c>
      <c r="DR59" s="22">
        <f t="shared" si="16"/>
        <v>491.51289051119289</v>
      </c>
      <c r="DS59" s="62">
        <f t="shared" si="17"/>
        <v>784.84622384452621</v>
      </c>
      <c r="DT59" s="62">
        <f ca="1">AVERAGE(OFFSET($DS$3,0,0,'Données projet'!$E$14+1,1))-AVERAGE(OFFSET($H$3,0,0,'Données projet'!$E$14+1,1))</f>
        <v>370.38521334472284</v>
      </c>
      <c r="DU59" s="62">
        <f t="shared" si="44"/>
        <v>404.61777090709171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14.833333333333334</v>
      </c>
      <c r="EJ59" s="13">
        <f>IF('Données projet'!$A$192&gt;35,EJ58+EI59-ER58,IF(A59&lt;'Données projet'!$A$192,$EG$205^A59,IF(A59='Données projet'!$A$192,'Données projet'!$B$192,EJ58+EI59-ER58)))</f>
        <v>235.66666666666654</v>
      </c>
      <c r="EK59" s="18">
        <f>EJ59*VLOOKUP('Données projet'!$B$15,Paramètres!$A$1:$I$89,3,0)*VLOOKUP('Données projet'!$B$15,Paramètres!$A$1:$I$89,5,0)</f>
        <v>202.20199999999994</v>
      </c>
      <c r="EL59" s="14">
        <f t="shared" si="45"/>
        <v>50.227791845116698</v>
      </c>
      <c r="EM59" s="22">
        <f t="shared" si="19"/>
        <v>439.6485541302448</v>
      </c>
      <c r="EN59" s="62">
        <f t="shared" si="20"/>
        <v>732.98188746357812</v>
      </c>
      <c r="EO59" s="62">
        <f ca="1">AVERAGE(OFFSET($EN$3,0,0,'Données projet'!$E$15+1,1))-AVERAGE(OFFSET($H$3,0,0,'Données projet'!$E$15+1,1))</f>
        <v>445.81166342116865</v>
      </c>
      <c r="EP59" s="62">
        <f t="shared" si="46"/>
        <v>230.82970731138215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9.4</v>
      </c>
      <c r="FE59" s="13">
        <f>IF('Données projet'!$A$218&gt;35,FE58+FD59-FM58,IF(A59&lt;'Données projet'!$A$218,$FB$205^A59,IF(A59='Données projet'!$A$218,'Données projet'!$B$218,FE58+FD59-FM58)))</f>
        <v>235.39999999999998</v>
      </c>
      <c r="FF59" s="18">
        <f>FE59*VLOOKUP('Données projet'!$B$16,Paramètres!$A$1:$I$89,3,0)*VLOOKUP('Données projet'!$B$16,Paramètres!$A$1:$I$89,5,0)</f>
        <v>227.67887999999996</v>
      </c>
      <c r="FG59" s="14">
        <f t="shared" si="47"/>
        <v>55.780505229774469</v>
      </c>
      <c r="FH59" s="22">
        <f t="shared" si="22"/>
        <v>493.69176260852379</v>
      </c>
      <c r="FI59" s="62">
        <f t="shared" si="23"/>
        <v>787.0250959418571</v>
      </c>
      <c r="FJ59" s="62">
        <f ca="1">AVERAGE(OFFSET($FI$3,0,0,'Données projet'!$E$16+1,1))-AVERAGE(OFFSET($H$3,0,0,'Données projet'!$E$16+1,1))</f>
        <v>541.66888676162716</v>
      </c>
      <c r="FK59" s="62">
        <f t="shared" si="48"/>
        <v>294.45557293177131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>
        <f>EXP(-LN(2)/35)*FQ58+(1-EXP(-LN(2)/35))/(LN(2)/35)*FM59*FN59*VLOOKUP('Données projet'!$B$16,Paramètres!$A$1:$I$89,3,0)*0.475*44/12</f>
        <v>0</v>
      </c>
      <c r="FR59" s="23">
        <f>EXP(-LN(2)/25)*FR58+(1-EXP(-LN(2)/25))/(LN(2)/25)*Calculateur!FM59*Calculateur!FO59*VLOOKUP('Données projet'!$B$16,Paramètres!$A$1:$I$89,3,0)*0.475*44/12</f>
        <v>0</v>
      </c>
      <c r="FS59" s="23">
        <f>EXP(-LN(2)/2)*FS58+(1-EXP(-LN(2)/2))/(LN(2)/2)*FM59*FP59*VLOOKUP('Données projet'!$B$16,Paramètres!$A$1:$I$89,3,0)*0.475*44/12</f>
        <v>0</v>
      </c>
      <c r="FT59" s="24">
        <f t="shared" si="24"/>
        <v>0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9.375</v>
      </c>
      <c r="FZ59" s="13">
        <f>IF('Données projet'!$A$244&gt;35,FZ58+FY59-GH58,IF(A59&lt;'Données projet'!$A$244,$FW$205^A59,IF(A59='Données projet'!$A$244,'Données projet'!$B$244,FZ58+FY59-GH58)))</f>
        <v>259.49999999999994</v>
      </c>
      <c r="GA59" s="18">
        <f>FZ59*VLOOKUP('Données projet'!$B$17,Paramètres!$A$1:$I$89,3,0)*VLOOKUP('Données projet'!$B$17,Paramètres!$A$1:$I$89,5,0)</f>
        <v>202.40999999999997</v>
      </c>
      <c r="GB59" s="14">
        <f t="shared" si="49"/>
        <v>50.273442991661867</v>
      </c>
      <c r="GC59" s="22">
        <f t="shared" si="25"/>
        <v>440.09032987714431</v>
      </c>
      <c r="GD59" s="62">
        <f t="shared" si="26"/>
        <v>733.42366321047757</v>
      </c>
      <c r="GE59" s="62">
        <f ca="1">AVERAGE(OFFSET($GD$3,0,0,'Données projet'!$E$17+1,1))-AVERAGE(OFFSET($H$3,0,0,'Données projet'!$E$17+1,1))</f>
        <v>292.57482726862594</v>
      </c>
      <c r="GF59" s="62">
        <f t="shared" si="50"/>
        <v>283.48738729114024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>
        <f>EXP(-LN(2)/35)*GL58+(1-EXP(-LN(2)/35))/(LN(2)/35)*GH59*GI59*VLOOKUP('Données projet'!$B$17,Paramètres!$A$1:$I$89,3,0)*0.475*44/12</f>
        <v>0</v>
      </c>
      <c r="GM59" s="23">
        <f>EXP(-LN(2)/25)*GM58+(1-EXP(-LN(2)/25))/(LN(2)/25)*Calculateur!GH59*Calculateur!GJ59*VLOOKUP('Données projet'!$B$17,Paramètres!$A$1:$I$89,3,0)*0.475*44/12</f>
        <v>0</v>
      </c>
      <c r="GN59" s="23">
        <f>EXP(-LN(2)/2)*GN58+(1-EXP(-LN(2)/2))/(LN(2)/2)*GH59*GK59*VLOOKUP('Données projet'!$B$17,Paramètres!$A$1:$I$89,3,0)*0.475*44/12</f>
        <v>0</v>
      </c>
      <c r="GO59" s="23">
        <f t="shared" si="27"/>
        <v>0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6.5384615384615357</v>
      </c>
      <c r="GU59" s="13">
        <f>IF('Données projet'!$A$270&gt;35,GU58+GT59-HC58,IF(A59&lt;'Données projet'!$A$270,$GR$205^A59,IF(A59='Données projet'!$A$270,'Données projet'!$B$270,GU58+GT59-HC58)))</f>
        <v>280.25641025641005</v>
      </c>
      <c r="GV59" s="18">
        <f>GU59*VLOOKUP('Données projet'!$B$18,Paramètres!$A$1:$I$89,3,0)*VLOOKUP('Données projet'!$B$18,Paramètres!$A$1:$I$89,5,0)</f>
        <v>187.99599999999987</v>
      </c>
      <c r="GW59" s="14">
        <f t="shared" si="51"/>
        <v>47.096623858026533</v>
      </c>
      <c r="GX59" s="22">
        <f t="shared" si="28"/>
        <v>409.45298655272927</v>
      </c>
      <c r="GY59" s="62">
        <f t="shared" si="29"/>
        <v>702.78631988606253</v>
      </c>
      <c r="GZ59" s="62">
        <f ca="1">AVERAGE(OFFSET($GY$3,0,0,'Données projet'!$E$18+1,1))-AVERAGE(OFFSET($H$3,0,0,'Données projet'!$E$18+1,1))</f>
        <v>410.20186800287411</v>
      </c>
      <c r="HA59" s="62">
        <f t="shared" si="52"/>
        <v>321.99347958016057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>
        <f>EXP(-LN(2)/35)*HG58+(1-EXP(-LN(2)/35))/(LN(2)/35)*HC59*HD59*VLOOKUP('Données projet'!$B$18,Paramètres!$A$1:$I$89,3,0)*0.475*44/12</f>
        <v>0</v>
      </c>
      <c r="HH59" s="23">
        <f>EXP(-LN(2)/25)*HH58+(1-EXP(-LN(2)/25))/(LN(2)/25)*Calculateur!HC59*Calculateur!HE59*VLOOKUP('Données projet'!$B$18,Paramètres!$A$1:$I$89,3,0)*0.475*44/12</f>
        <v>0</v>
      </c>
      <c r="HI59" s="23">
        <f>EXP(-LN(2)/2)*HI58+(1-EXP(-LN(2)/2))/(LN(2)/2)*HC59*HF59*VLOOKUP('Données projet'!$B$18,Paramètres!$A$1:$I$89,3,0)*0.475*44/12</f>
        <v>0</v>
      </c>
      <c r="HJ59" s="24">
        <f t="shared" si="30"/>
        <v>0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9.4</v>
      </c>
      <c r="N60" s="14">
        <f>IF('Données projet'!$A$36&gt;35,N59+M60-V59,IF(A60&lt;'Données projet'!$A$36,$K$205^A60,IF(A60='Données projet'!$A$36,'Données projet'!$B$36,N59+M60-V59)))</f>
        <v>244.79999999999998</v>
      </c>
      <c r="O60" s="14">
        <f>N60*VLOOKUP('Données projet'!$B$9,Paramètres!$A$1:$I$89,3,0)*VLOOKUP('Données projet'!$B$9,Paramètres!$A$1:$I$89,5,0)</f>
        <v>221.49503999999999</v>
      </c>
      <c r="P60" s="14">
        <f t="shared" si="33"/>
        <v>54.439697086174412</v>
      </c>
      <c r="Q60" s="22">
        <f t="shared" si="53"/>
        <v>480.58633375842032</v>
      </c>
      <c r="R60" s="62">
        <f t="shared" si="0"/>
        <v>773.91966709175358</v>
      </c>
      <c r="S60" s="62">
        <f ca="1">AVERAGE(OFFSET($R$3,0,0,'Données projet'!$E$9+1,1))-AVERAGE(OFFSET($H$3,0,0,'Données projet'!$E$9+1,1))</f>
        <v>509.56241660612449</v>
      </c>
      <c r="T60" s="62">
        <f t="shared" si="34"/>
        <v>278.21741231699929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9.4</v>
      </c>
      <c r="AI60" s="14">
        <f>IF('Données projet'!$A$62&gt;35,AI59+AH60-AQ59,IF(A60&lt;'Données projet'!$A$62,$AF$205^A60,IF(A60='Données projet'!$A$62,'Données projet'!$B$62,AI59+AH60-AQ59)))</f>
        <v>244.79999999999998</v>
      </c>
      <c r="AJ60" s="14">
        <f>AI60*VLOOKUP('Données projet'!$B$10,Paramètres!$A$1:$I$89,3,0)*VLOOKUP('Données projet'!$B$10,Paramètres!$A$1:$I$89,5,0)</f>
        <v>248.22720000000001</v>
      </c>
      <c r="AK60" s="14">
        <f t="shared" si="35"/>
        <v>60.20616532763993</v>
      </c>
      <c r="AL60" s="22">
        <f t="shared" si="4"/>
        <v>537.18811127897277</v>
      </c>
      <c r="AM60" s="62">
        <f t="shared" si="5"/>
        <v>830.52144461230614</v>
      </c>
      <c r="AN60" s="62">
        <f ca="1">AVERAGE(OFFSET($AM$3,0,0,'Données projet'!$E$10+1,1))-AVERAGE(OFFSET($H$3,0,0,'Données projet'!$E$10+1,1))</f>
        <v>565.72091871734051</v>
      </c>
      <c r="AO60" s="62">
        <f t="shared" si="36"/>
        <v>306.61893266146666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6.2799999999999958</v>
      </c>
      <c r="BD60" s="13">
        <f>IF('Données projet'!$A$88&gt;35,BD59+BC60-BL59,IF(A60&lt;'Données projet'!$A$88,$BA$205^A60,IF(A60='Données projet'!$A$88,'Données projet'!$B$88,BD59+BC60-BL59)))</f>
        <v>291.15999999999991</v>
      </c>
      <c r="BE60" s="14">
        <f>BD60*VLOOKUP('Données projet'!$B$11,Paramètres!$A$1:$I$89,3,0)*VLOOKUP('Données projet'!$B$11,Paramètres!$A$1:$I$89,5,0)</f>
        <v>213.47851199999994</v>
      </c>
      <c r="BF60" s="14">
        <f t="shared" si="37"/>
        <v>52.694999755073347</v>
      </c>
      <c r="BG60" s="22">
        <f t="shared" si="7"/>
        <v>463.58553297341928</v>
      </c>
      <c r="BH60" s="62">
        <f t="shared" si="8"/>
        <v>756.91886630675253</v>
      </c>
      <c r="BI60" s="62">
        <f ca="1">AVERAGE(OFFSET($BH$3,0,0,'Données projet'!$E$11+1,1))-AVERAGE(OFFSET($H$3,0,0,'Données projet'!$E$11+1,1))</f>
        <v>344.26020118887629</v>
      </c>
      <c r="BJ60" s="62">
        <f t="shared" si="38"/>
        <v>376.41441893222185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9.4</v>
      </c>
      <c r="BY60" s="13">
        <f>IF('Données projet'!$A$114&gt;35,BY59+BX60-CG59,IF(A60&lt;'Données projet'!$A$114,$BV$205^A60,IF(A60='Données projet'!$A$114,'Données projet'!$B$114,BY59+BX60-CG59)))</f>
        <v>244.79999999999998</v>
      </c>
      <c r="BZ60" s="14">
        <f>BY60*VLOOKUP('Données projet'!$B$12,Paramètres!$A$1:$I$89,3,0)*VLOOKUP('Données projet'!$B$12,Paramètres!$A$1:$I$89,5,0)</f>
        <v>206.21952000000002</v>
      </c>
      <c r="CA60" s="14">
        <f t="shared" si="39"/>
        <v>51.108584284640322</v>
      </c>
      <c r="CB60" s="22">
        <f t="shared" si="10"/>
        <v>448.1797816290819</v>
      </c>
      <c r="CC60" s="62">
        <f t="shared" si="11"/>
        <v>741.51311496241522</v>
      </c>
      <c r="CD60" s="62">
        <f ca="1">AVERAGE(OFFSET($CC$3,0,0,'Données projet'!$E$12+1,1))-AVERAGE(OFFSET($H$3,0,0,'Données projet'!$E$12+1,1))</f>
        <v>477.4105367901771</v>
      </c>
      <c r="CE60" s="62">
        <f t="shared" si="40"/>
        <v>261.95434270986397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10.769230769230768</v>
      </c>
      <c r="CT60" s="13">
        <f>IF('Données projet'!$A$140&gt;35,CT59+CS60-DB59,IF(A60&lt;'Données projet'!$A$140,$CQ$205^A60,IF(A60='Données projet'!$A$140,'Données projet'!$B$140,CT59+CS60-DB59)))</f>
        <v>286.15384615384608</v>
      </c>
      <c r="CU60" s="18">
        <f>CT60*VLOOKUP('Données projet'!$B$13,Paramètres!$A$1:$I$89,3,0)*VLOOKUP('Données projet'!$B$13,Paramètres!$A$1:$I$89,5,0)</f>
        <v>133.91999999999996</v>
      </c>
      <c r="CV60" s="14">
        <f t="shared" si="41"/>
        <v>34.900584164862018</v>
      </c>
      <c r="CW60" s="22">
        <f t="shared" si="13"/>
        <v>294.02918408713464</v>
      </c>
      <c r="CX60" s="62">
        <f t="shared" si="14"/>
        <v>587.36251742046795</v>
      </c>
      <c r="CY60" s="62">
        <f ca="1">AVERAGE(OFFSET($CX$3,0,0,'Données projet'!$E$13+1,1))-AVERAGE(OFFSET($H$3,0,0,'Données projet'!$E$13+1,1))</f>
        <v>246.64907095367749</v>
      </c>
      <c r="CZ60" s="62">
        <f t="shared" si="42"/>
        <v>145.34368562171613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6.2799999999999958</v>
      </c>
      <c r="DO60" s="13">
        <f>IF('Données projet'!$A$166&gt;35,DO59+DN60-DW59,IF(A60&lt;'Données projet'!$A$166,$DL$205^A60,IF(A60='Données projet'!$A$166,'Données projet'!$B$166,DO59+DN60-DW59)))</f>
        <v>291.15999999999991</v>
      </c>
      <c r="DP60" s="18">
        <f>DO60*VLOOKUP('Données projet'!$B$14,Paramètres!$A$1:$I$89,3,0)*VLOOKUP('Données projet'!$B$14,Paramètres!$A$1:$I$89,5,0)</f>
        <v>231.64689599999994</v>
      </c>
      <c r="DQ60" s="14">
        <f t="shared" si="43"/>
        <v>56.63863094599396</v>
      </c>
      <c r="DR60" s="22">
        <f t="shared" si="16"/>
        <v>502.09729276427265</v>
      </c>
      <c r="DS60" s="62">
        <f t="shared" si="17"/>
        <v>795.43062609760591</v>
      </c>
      <c r="DT60" s="62">
        <f ca="1">AVERAGE(OFFSET($DS$3,0,0,'Données projet'!$E$14+1,1))-AVERAGE(OFFSET($H$3,0,0,'Données projet'!$E$14+1,1))</f>
        <v>370.38521334472284</v>
      </c>
      <c r="DU60" s="62">
        <f t="shared" si="44"/>
        <v>404.61777090709171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14.833333333333334</v>
      </c>
      <c r="EJ60" s="13">
        <f>IF('Données projet'!$A$192&gt;35,EJ59+EI60-ER59,IF(A60&lt;'Données projet'!$A$192,$EG$205^A60,IF(A60='Données projet'!$A$192,'Données projet'!$B$192,EJ59+EI60-ER59)))</f>
        <v>250.49999999999989</v>
      </c>
      <c r="EK60" s="18">
        <f>EJ60*VLOOKUP('Données projet'!$B$15,Paramètres!$A$1:$I$89,3,0)*VLOOKUP('Données projet'!$B$15,Paramètres!$A$1:$I$89,5,0)</f>
        <v>214.92899999999992</v>
      </c>
      <c r="EL60" s="14">
        <f t="shared" si="45"/>
        <v>53.011237531572512</v>
      </c>
      <c r="EM60" s="22">
        <f t="shared" si="19"/>
        <v>466.66258036748872</v>
      </c>
      <c r="EN60" s="62">
        <f t="shared" si="20"/>
        <v>759.99591370082203</v>
      </c>
      <c r="EO60" s="62">
        <f ca="1">AVERAGE(OFFSET($EN$3,0,0,'Données projet'!$E$15+1,1))-AVERAGE(OFFSET($H$3,0,0,'Données projet'!$E$15+1,1))</f>
        <v>445.81166342116865</v>
      </c>
      <c r="EP60" s="62">
        <f t="shared" si="46"/>
        <v>230.82970731138215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9.4</v>
      </c>
      <c r="FE60" s="13">
        <f>IF('Données projet'!$A$218&gt;35,FE59+FD60-FM59,IF(A60&lt;'Données projet'!$A$218,$FB$205^A60,IF(A60='Données projet'!$A$218,'Données projet'!$B$218,FE59+FD60-FM59)))</f>
        <v>244.79999999999998</v>
      </c>
      <c r="FF60" s="18">
        <f>FE60*VLOOKUP('Données projet'!$B$16,Paramètres!$A$1:$I$89,3,0)*VLOOKUP('Données projet'!$B$16,Paramètres!$A$1:$I$89,5,0)</f>
        <v>236.77055999999999</v>
      </c>
      <c r="FG60" s="14">
        <f t="shared" si="47"/>
        <v>57.744153841586929</v>
      </c>
      <c r="FH60" s="22">
        <f t="shared" si="22"/>
        <v>512.94645994076382</v>
      </c>
      <c r="FI60" s="62">
        <f t="shared" si="23"/>
        <v>806.27979327409707</v>
      </c>
      <c r="FJ60" s="62">
        <f ca="1">AVERAGE(OFFSET($FI$3,0,0,'Données projet'!$E$16+1,1))-AVERAGE(OFFSET($H$3,0,0,'Données projet'!$E$16+1,1))</f>
        <v>541.66888676162716</v>
      </c>
      <c r="FK60" s="62">
        <f t="shared" si="48"/>
        <v>294.45557293177131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>
        <f>EXP(-LN(2)/35)*FQ59+(1-EXP(-LN(2)/35))/(LN(2)/35)*FM60*FN60*VLOOKUP('Données projet'!$B$16,Paramètres!$A$1:$I$89,3,0)*0.475*44/12</f>
        <v>0</v>
      </c>
      <c r="FR60" s="23">
        <f>EXP(-LN(2)/25)*FR59+(1-EXP(-LN(2)/25))/(LN(2)/25)*Calculateur!FM60*Calculateur!FO60*VLOOKUP('Données projet'!$B$16,Paramètres!$A$1:$I$89,3,0)*0.475*44/12</f>
        <v>0</v>
      </c>
      <c r="FS60" s="23">
        <f>EXP(-LN(2)/2)*FS59+(1-EXP(-LN(2)/2))/(LN(2)/2)*FM60*FP60*VLOOKUP('Données projet'!$B$16,Paramètres!$A$1:$I$89,3,0)*0.475*44/12</f>
        <v>0</v>
      </c>
      <c r="FT60" s="24">
        <f t="shared" si="24"/>
        <v>0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9.375</v>
      </c>
      <c r="FZ60" s="13">
        <f>IF('Données projet'!$A$244&gt;35,FZ59+FY60-GH59,IF(A60&lt;'Données projet'!$A$244,$FW$205^A60,IF(A60='Données projet'!$A$244,'Données projet'!$B$244,FZ59+FY60-GH59)))</f>
        <v>268.87499999999994</v>
      </c>
      <c r="GA60" s="18">
        <f>FZ60*VLOOKUP('Données projet'!$B$17,Paramètres!$A$1:$I$89,3,0)*VLOOKUP('Données projet'!$B$17,Paramètres!$A$1:$I$89,5,0)</f>
        <v>209.72249999999997</v>
      </c>
      <c r="GB60" s="14">
        <f t="shared" si="49"/>
        <v>51.874940300502296</v>
      </c>
      <c r="GC60" s="22">
        <f t="shared" si="25"/>
        <v>455.61554185670815</v>
      </c>
      <c r="GD60" s="62">
        <f t="shared" si="26"/>
        <v>748.94887519004146</v>
      </c>
      <c r="GE60" s="62">
        <f ca="1">AVERAGE(OFFSET($GD$3,0,0,'Données projet'!$E$17+1,1))-AVERAGE(OFFSET($H$3,0,0,'Données projet'!$E$17+1,1))</f>
        <v>292.57482726862594</v>
      </c>
      <c r="GF60" s="62">
        <f t="shared" si="50"/>
        <v>283.48738729114024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>
        <f>EXP(-LN(2)/35)*GL59+(1-EXP(-LN(2)/35))/(LN(2)/35)*GH60*GI60*VLOOKUP('Données projet'!$B$17,Paramètres!$A$1:$I$89,3,0)*0.475*44/12</f>
        <v>0</v>
      </c>
      <c r="GM60" s="23">
        <f>EXP(-LN(2)/25)*GM59+(1-EXP(-LN(2)/25))/(LN(2)/25)*Calculateur!GH60*Calculateur!GJ60*VLOOKUP('Données projet'!$B$17,Paramètres!$A$1:$I$89,3,0)*0.475*44/12</f>
        <v>0</v>
      </c>
      <c r="GN60" s="23">
        <f>EXP(-LN(2)/2)*GN59+(1-EXP(-LN(2)/2))/(LN(2)/2)*GH60*GK60*VLOOKUP('Données projet'!$B$17,Paramètres!$A$1:$I$89,3,0)*0.475*44/12</f>
        <v>0</v>
      </c>
      <c r="GO60" s="23">
        <f t="shared" si="27"/>
        <v>0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6.5384615384615357</v>
      </c>
      <c r="GU60" s="13">
        <f>IF('Données projet'!$A$270&gt;35,GU59+GT60-HC59,IF(A60&lt;'Données projet'!$A$270,$GR$205^A60,IF(A60='Données projet'!$A$270,'Données projet'!$B$270,GU59+GT60-HC59)))</f>
        <v>286.7948717948716</v>
      </c>
      <c r="GV60" s="18">
        <f>GU60*VLOOKUP('Données projet'!$B$18,Paramètres!$A$1:$I$89,3,0)*VLOOKUP('Données projet'!$B$18,Paramètres!$A$1:$I$89,5,0)</f>
        <v>192.38199999999986</v>
      </c>
      <c r="GW60" s="14">
        <f t="shared" si="51"/>
        <v>48.066196762064585</v>
      </c>
      <c r="GX60" s="22">
        <f t="shared" si="28"/>
        <v>418.78060936059552</v>
      </c>
      <c r="GY60" s="62">
        <f t="shared" si="29"/>
        <v>712.11394269392883</v>
      </c>
      <c r="GZ60" s="62">
        <f ca="1">AVERAGE(OFFSET($GY$3,0,0,'Données projet'!$E$18+1,1))-AVERAGE(OFFSET($H$3,0,0,'Données projet'!$E$18+1,1))</f>
        <v>410.20186800287411</v>
      </c>
      <c r="HA60" s="62">
        <f t="shared" si="52"/>
        <v>321.99347958016057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>
        <f>EXP(-LN(2)/35)*HG59+(1-EXP(-LN(2)/35))/(LN(2)/35)*HC60*HD60*VLOOKUP('Données projet'!$B$18,Paramètres!$A$1:$I$89,3,0)*0.475*44/12</f>
        <v>0</v>
      </c>
      <c r="HH60" s="23">
        <f>EXP(-LN(2)/25)*HH59+(1-EXP(-LN(2)/25))/(LN(2)/25)*Calculateur!HC60*Calculateur!HE60*VLOOKUP('Données projet'!$B$18,Paramètres!$A$1:$I$89,3,0)*0.475*44/12</f>
        <v>0</v>
      </c>
      <c r="HI60" s="23">
        <f>EXP(-LN(2)/2)*HI59+(1-EXP(-LN(2)/2))/(LN(2)/2)*HC60*HF60*VLOOKUP('Données projet'!$B$18,Paramètres!$A$1:$I$89,3,0)*0.475*44/12</f>
        <v>0</v>
      </c>
      <c r="HJ60" s="24">
        <f t="shared" si="30"/>
        <v>0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9.4</v>
      </c>
      <c r="N61" s="14">
        <f>IF('Données projet'!$A$36&gt;35,N60+M61-V60,IF(A61&lt;'Données projet'!$A$36,$K$205^A61,IF(A61='Données projet'!$A$36,'Données projet'!$B$36,N60+M61-V60)))</f>
        <v>254.2</v>
      </c>
      <c r="O61" s="14">
        <f>N61*VLOOKUP('Données projet'!$B$9,Paramètres!$A$1:$I$89,3,0)*VLOOKUP('Données projet'!$B$9,Paramètres!$A$1:$I$89,5,0)</f>
        <v>230.00015999999997</v>
      </c>
      <c r="P61" s="14">
        <f t="shared" si="33"/>
        <v>56.282716126880423</v>
      </c>
      <c r="Q61" s="22">
        <f t="shared" si="53"/>
        <v>498.60934258765002</v>
      </c>
      <c r="R61" s="62">
        <f t="shared" si="0"/>
        <v>791.94267592098333</v>
      </c>
      <c r="S61" s="62">
        <f ca="1">AVERAGE(OFFSET($R$3,0,0,'Données projet'!$E$9+1,1))-AVERAGE(OFFSET($H$3,0,0,'Données projet'!$E$9+1,1))</f>
        <v>509.56241660612449</v>
      </c>
      <c r="T61" s="62">
        <f t="shared" si="34"/>
        <v>278.21741231699929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9.4</v>
      </c>
      <c r="AI61" s="14">
        <f>IF('Données projet'!$A$62&gt;35,AI60+AH61-AQ60,IF(A61&lt;'Données projet'!$A$62,$AF$205^A61,IF(A61='Données projet'!$A$62,'Données projet'!$B$62,AI60+AH61-AQ60)))</f>
        <v>254.2</v>
      </c>
      <c r="AJ61" s="14">
        <f>AI61*VLOOKUP('Données projet'!$B$10,Paramètres!$A$1:$I$89,3,0)*VLOOKUP('Données projet'!$B$10,Paramètres!$A$1:$I$89,5,0)</f>
        <v>257.75880000000001</v>
      </c>
      <c r="AK61" s="14">
        <f t="shared" si="35"/>
        <v>62.244404241627407</v>
      </c>
      <c r="AL61" s="22">
        <f t="shared" si="4"/>
        <v>557.33891405416773</v>
      </c>
      <c r="AM61" s="62">
        <f t="shared" si="5"/>
        <v>850.6722473875011</v>
      </c>
      <c r="AN61" s="62">
        <f ca="1">AVERAGE(OFFSET($AM$3,0,0,'Données projet'!$E$10+1,1))-AVERAGE(OFFSET($H$3,0,0,'Données projet'!$E$10+1,1))</f>
        <v>565.72091871734051</v>
      </c>
      <c r="AO61" s="62">
        <f t="shared" si="36"/>
        <v>306.61893266146666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6.2799999999999958</v>
      </c>
      <c r="BD61" s="13">
        <f>IF('Données projet'!$A$88&gt;35,BD60+BC61-BL60,IF(A61&lt;'Données projet'!$A$88,$BA$205^A61,IF(A61='Données projet'!$A$88,'Données projet'!$B$88,BD60+BC61-BL60)))</f>
        <v>297.43999999999988</v>
      </c>
      <c r="BE61" s="14">
        <f>BD61*VLOOKUP('Données projet'!$B$11,Paramètres!$A$1:$I$89,3,0)*VLOOKUP('Données projet'!$B$11,Paramètres!$A$1:$I$89,5,0)</f>
        <v>218.08300799999989</v>
      </c>
      <c r="BF61" s="14">
        <f t="shared" si="37"/>
        <v>53.698024996844545</v>
      </c>
      <c r="BG61" s="22">
        <f t="shared" si="7"/>
        <v>473.35196580283736</v>
      </c>
      <c r="BH61" s="62">
        <f t="shared" si="8"/>
        <v>766.68529913617067</v>
      </c>
      <c r="BI61" s="62">
        <f ca="1">AVERAGE(OFFSET($BH$3,0,0,'Données projet'!$E$11+1,1))-AVERAGE(OFFSET($H$3,0,0,'Données projet'!$E$11+1,1))</f>
        <v>344.26020118887629</v>
      </c>
      <c r="BJ61" s="62">
        <f t="shared" si="38"/>
        <v>376.41441893222185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9.4</v>
      </c>
      <c r="BY61" s="13">
        <f>IF('Données projet'!$A$114&gt;35,BY60+BX61-CG60,IF(A61&lt;'Données projet'!$A$114,$BV$205^A61,IF(A61='Données projet'!$A$114,'Données projet'!$B$114,BY60+BX61-CG60)))</f>
        <v>254.2</v>
      </c>
      <c r="BZ61" s="14">
        <f>BY61*VLOOKUP('Données projet'!$B$12,Paramètres!$A$1:$I$89,3,0)*VLOOKUP('Données projet'!$B$12,Paramètres!$A$1:$I$89,5,0)</f>
        <v>214.13808</v>
      </c>
      <c r="CA61" s="14">
        <f t="shared" si="39"/>
        <v>52.838830759579693</v>
      </c>
      <c r="CB61" s="22">
        <f t="shared" si="10"/>
        <v>464.98478623960131</v>
      </c>
      <c r="CC61" s="62">
        <f t="shared" si="11"/>
        <v>758.31811957293462</v>
      </c>
      <c r="CD61" s="62">
        <f ca="1">AVERAGE(OFFSET($CC$3,0,0,'Données projet'!$E$12+1,1))-AVERAGE(OFFSET($H$3,0,0,'Données projet'!$E$12+1,1))</f>
        <v>477.4105367901771</v>
      </c>
      <c r="CE61" s="62">
        <f t="shared" si="40"/>
        <v>261.95434270986397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10.769230769230768</v>
      </c>
      <c r="CT61" s="13">
        <f>IF('Données projet'!$A$140&gt;35,CT60+CS61-DB60,IF(A61&lt;'Données projet'!$A$140,$CQ$205^A61,IF(A61='Données projet'!$A$140,'Données projet'!$B$140,CT60+CS61-DB60)))</f>
        <v>296.92307692307685</v>
      </c>
      <c r="CU61" s="18">
        <f>CT61*VLOOKUP('Données projet'!$B$13,Paramètres!$A$1:$I$89,3,0)*VLOOKUP('Données projet'!$B$13,Paramètres!$A$1:$I$89,5,0)</f>
        <v>138.95999999999998</v>
      </c>
      <c r="CV61" s="14">
        <f t="shared" si="41"/>
        <v>36.058652807868881</v>
      </c>
      <c r="CW61" s="22">
        <f t="shared" si="13"/>
        <v>304.82415364037161</v>
      </c>
      <c r="CX61" s="62">
        <f t="shared" si="14"/>
        <v>598.15748697370486</v>
      </c>
      <c r="CY61" s="62">
        <f ca="1">AVERAGE(OFFSET($CX$3,0,0,'Données projet'!$E$13+1,1))-AVERAGE(OFFSET($H$3,0,0,'Données projet'!$E$13+1,1))</f>
        <v>246.64907095367749</v>
      </c>
      <c r="CZ61" s="62">
        <f t="shared" si="42"/>
        <v>145.34368562171613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6.2799999999999958</v>
      </c>
      <c r="DO61" s="13">
        <f>IF('Données projet'!$A$166&gt;35,DO60+DN61-DW60,IF(A61&lt;'Données projet'!$A$166,$DL$205^A61,IF(A61='Données projet'!$A$166,'Données projet'!$B$166,DO60+DN61-DW60)))</f>
        <v>297.43999999999988</v>
      </c>
      <c r="DP61" s="18">
        <f>DO61*VLOOKUP('Données projet'!$B$14,Paramètres!$A$1:$I$89,3,0)*VLOOKUP('Données projet'!$B$14,Paramètres!$A$1:$I$89,5,0)</f>
        <v>236.64326399999993</v>
      </c>
      <c r="DQ61" s="14">
        <f t="shared" si="43"/>
        <v>57.716721405473052</v>
      </c>
      <c r="DR61" s="22">
        <f t="shared" si="16"/>
        <v>512.67697458119881</v>
      </c>
      <c r="DS61" s="62">
        <f t="shared" si="17"/>
        <v>806.01030791453218</v>
      </c>
      <c r="DT61" s="62">
        <f ca="1">AVERAGE(OFFSET($DS$3,0,0,'Données projet'!$E$14+1,1))-AVERAGE(OFFSET($H$3,0,0,'Données projet'!$E$14+1,1))</f>
        <v>370.38521334472284</v>
      </c>
      <c r="DU61" s="62">
        <f t="shared" si="44"/>
        <v>404.61777090709171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14.833333333333334</v>
      </c>
      <c r="EJ61" s="13">
        <f>IF('Données projet'!$A$192&gt;35,EJ60+EI61-ER60,IF(A61&lt;'Données projet'!$A$192,$EG$205^A61,IF(A61='Données projet'!$A$192,'Données projet'!$B$192,EJ60+EI61-ER60)))</f>
        <v>265.3333333333332</v>
      </c>
      <c r="EK61" s="18">
        <f>EJ61*VLOOKUP('Données projet'!$B$15,Paramètres!$A$1:$I$89,3,0)*VLOOKUP('Données projet'!$B$15,Paramètres!$A$1:$I$89,5,0)</f>
        <v>227.65599999999992</v>
      </c>
      <c r="EL61" s="14">
        <f t="shared" si="45"/>
        <v>55.775552165489643</v>
      </c>
      <c r="EM61" s="22">
        <f t="shared" si="19"/>
        <v>493.64328668822759</v>
      </c>
      <c r="EN61" s="62">
        <f t="shared" si="20"/>
        <v>786.97662002156085</v>
      </c>
      <c r="EO61" s="62">
        <f ca="1">AVERAGE(OFFSET($EN$3,0,0,'Données projet'!$E$15+1,1))-AVERAGE(OFFSET($H$3,0,0,'Données projet'!$E$15+1,1))</f>
        <v>445.81166342116865</v>
      </c>
      <c r="EP61" s="62">
        <f t="shared" si="46"/>
        <v>230.82970731138215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9.4</v>
      </c>
      <c r="FE61" s="13">
        <f>IF('Données projet'!$A$218&gt;35,FE60+FD61-FM60,IF(A61&lt;'Données projet'!$A$218,$FB$205^A61,IF(A61='Données projet'!$A$218,'Données projet'!$B$218,FE60+FD61-FM60)))</f>
        <v>254.2</v>
      </c>
      <c r="FF61" s="18">
        <f>FE61*VLOOKUP('Données projet'!$B$16,Paramètres!$A$1:$I$89,3,0)*VLOOKUP('Données projet'!$B$16,Paramètres!$A$1:$I$89,5,0)</f>
        <v>245.86223999999999</v>
      </c>
      <c r="FG61" s="14">
        <f t="shared" si="47"/>
        <v>59.699043025687963</v>
      </c>
      <c r="FH61" s="22">
        <f t="shared" si="22"/>
        <v>532.18590126973982</v>
      </c>
      <c r="FI61" s="62">
        <f t="shared" si="23"/>
        <v>825.51923460307307</v>
      </c>
      <c r="FJ61" s="62">
        <f ca="1">AVERAGE(OFFSET($FI$3,0,0,'Données projet'!$E$16+1,1))-AVERAGE(OFFSET($H$3,0,0,'Données projet'!$E$16+1,1))</f>
        <v>541.66888676162716</v>
      </c>
      <c r="FK61" s="62">
        <f t="shared" si="48"/>
        <v>294.45557293177131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>
        <f>EXP(-LN(2)/35)*FQ60+(1-EXP(-LN(2)/35))/(LN(2)/35)*FM61*FN61*VLOOKUP('Données projet'!$B$16,Paramètres!$A$1:$I$89,3,0)*0.475*44/12</f>
        <v>0</v>
      </c>
      <c r="FR61" s="23">
        <f>EXP(-LN(2)/25)*FR60+(1-EXP(-LN(2)/25))/(LN(2)/25)*Calculateur!FM61*Calculateur!FO61*VLOOKUP('Données projet'!$B$16,Paramètres!$A$1:$I$89,3,0)*0.475*44/12</f>
        <v>0</v>
      </c>
      <c r="FS61" s="23">
        <f>EXP(-LN(2)/2)*FS60+(1-EXP(-LN(2)/2))/(LN(2)/2)*FM61*FP61*VLOOKUP('Données projet'!$B$16,Paramètres!$A$1:$I$89,3,0)*0.475*44/12</f>
        <v>0</v>
      </c>
      <c r="FT61" s="24">
        <f t="shared" si="24"/>
        <v>0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9.375</v>
      </c>
      <c r="FZ61" s="13">
        <f>IF('Données projet'!$A$244&gt;35,FZ60+FY61-GH60,IF(A61&lt;'Données projet'!$A$244,$FW$205^A61,IF(A61='Données projet'!$A$244,'Données projet'!$B$244,FZ60+FY61-GH60)))</f>
        <v>278.24999999999994</v>
      </c>
      <c r="GA61" s="18">
        <f>FZ61*VLOOKUP('Données projet'!$B$17,Paramètres!$A$1:$I$89,3,0)*VLOOKUP('Données projet'!$B$17,Paramètres!$A$1:$I$89,5,0)</f>
        <v>217.03499999999997</v>
      </c>
      <c r="GB61" s="14">
        <f t="shared" si="49"/>
        <v>53.469949591969474</v>
      </c>
      <c r="GC61" s="22">
        <f t="shared" si="25"/>
        <v>471.12945387268002</v>
      </c>
      <c r="GD61" s="62">
        <f t="shared" si="26"/>
        <v>764.46278720601333</v>
      </c>
      <c r="GE61" s="62">
        <f ca="1">AVERAGE(OFFSET($GD$3,0,0,'Données projet'!$E$17+1,1))-AVERAGE(OFFSET($H$3,0,0,'Données projet'!$E$17+1,1))</f>
        <v>292.57482726862594</v>
      </c>
      <c r="GF61" s="62">
        <f t="shared" si="50"/>
        <v>283.48738729114024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>
        <f>EXP(-LN(2)/35)*GL60+(1-EXP(-LN(2)/35))/(LN(2)/35)*GH61*GI61*VLOOKUP('Données projet'!$B$17,Paramètres!$A$1:$I$89,3,0)*0.475*44/12</f>
        <v>0</v>
      </c>
      <c r="GM61" s="23">
        <f>EXP(-LN(2)/25)*GM60+(1-EXP(-LN(2)/25))/(LN(2)/25)*Calculateur!GH61*Calculateur!GJ61*VLOOKUP('Données projet'!$B$17,Paramètres!$A$1:$I$89,3,0)*0.475*44/12</f>
        <v>0</v>
      </c>
      <c r="GN61" s="23">
        <f>EXP(-LN(2)/2)*GN60+(1-EXP(-LN(2)/2))/(LN(2)/2)*GH61*GK61*VLOOKUP('Données projet'!$B$17,Paramètres!$A$1:$I$89,3,0)*0.475*44/12</f>
        <v>0</v>
      </c>
      <c r="GO61" s="23">
        <f t="shared" si="27"/>
        <v>0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6.5384615384615357</v>
      </c>
      <c r="GU61" s="13">
        <f>IF('Données projet'!$A$270&gt;35,GU60+GT61-HC60,IF(A61&lt;'Données projet'!$A$270,$GR$205^A61,IF(A61='Données projet'!$A$270,'Données projet'!$B$270,GU60+GT61-HC60)))</f>
        <v>293.33333333333314</v>
      </c>
      <c r="GV61" s="18">
        <f>GU61*VLOOKUP('Données projet'!$B$18,Paramètres!$A$1:$I$89,3,0)*VLOOKUP('Données projet'!$B$18,Paramètres!$A$1:$I$89,5,0)</f>
        <v>196.76799999999989</v>
      </c>
      <c r="GW61" s="14">
        <f t="shared" si="51"/>
        <v>49.033199854505511</v>
      </c>
      <c r="GX61" s="22">
        <f t="shared" si="28"/>
        <v>428.10375641326351</v>
      </c>
      <c r="GY61" s="62">
        <f t="shared" si="29"/>
        <v>721.43708974659683</v>
      </c>
      <c r="GZ61" s="62">
        <f ca="1">AVERAGE(OFFSET($GY$3,0,0,'Données projet'!$E$18+1,1))-AVERAGE(OFFSET($H$3,0,0,'Données projet'!$E$18+1,1))</f>
        <v>410.20186800287411</v>
      </c>
      <c r="HA61" s="62">
        <f t="shared" si="52"/>
        <v>321.99347958016057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>
        <f>EXP(-LN(2)/35)*HG60+(1-EXP(-LN(2)/35))/(LN(2)/35)*HC61*HD61*VLOOKUP('Données projet'!$B$18,Paramètres!$A$1:$I$89,3,0)*0.475*44/12</f>
        <v>0</v>
      </c>
      <c r="HH61" s="23">
        <f>EXP(-LN(2)/25)*HH60+(1-EXP(-LN(2)/25))/(LN(2)/25)*Calculateur!HC61*Calculateur!HE61*VLOOKUP('Données projet'!$B$18,Paramètres!$A$1:$I$89,3,0)*0.475*44/12</f>
        <v>0</v>
      </c>
      <c r="HI61" s="23">
        <f>EXP(-LN(2)/2)*HI60+(1-EXP(-LN(2)/2))/(LN(2)/2)*HC61*HF61*VLOOKUP('Données projet'!$B$18,Paramètres!$A$1:$I$89,3,0)*0.475*44/12</f>
        <v>0</v>
      </c>
      <c r="HJ61" s="24">
        <f t="shared" si="30"/>
        <v>0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9.4</v>
      </c>
      <c r="N62" s="14">
        <f>IF('Données projet'!$A$36&gt;35,N61+M62-V61,IF(A62&lt;'Données projet'!$A$36,$K$205^A62,IF(A62='Données projet'!$A$36,'Données projet'!$B$36,N61+M62-V61)))</f>
        <v>263.59999999999997</v>
      </c>
      <c r="O62" s="14">
        <f>N62*VLOOKUP('Données projet'!$B$9,Paramètres!$A$1:$I$89,3,0)*VLOOKUP('Données projet'!$B$9,Paramètres!$A$1:$I$89,5,0)</f>
        <v>238.50527999999997</v>
      </c>
      <c r="P62" s="14">
        <f t="shared" si="33"/>
        <v>58.117817352909881</v>
      </c>
      <c r="Q62" s="22">
        <f t="shared" si="53"/>
        <v>516.61856122298457</v>
      </c>
      <c r="R62" s="62">
        <f t="shared" si="0"/>
        <v>809.95189455631794</v>
      </c>
      <c r="S62" s="62">
        <f ca="1">AVERAGE(OFFSET($R$3,0,0,'Données projet'!$E$9+1,1))-AVERAGE(OFFSET($H$3,0,0,'Données projet'!$E$9+1,1))</f>
        <v>509.56241660612449</v>
      </c>
      <c r="T62" s="62">
        <f t="shared" si="34"/>
        <v>278.21741231699929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9.4</v>
      </c>
      <c r="AI62" s="14">
        <f>IF('Données projet'!$A$62&gt;35,AI61+AH62-AQ61,IF(A62&lt;'Données projet'!$A$62,$AF$205^A62,IF(A62='Données projet'!$A$62,'Données projet'!$B$62,AI61+AH62-AQ61)))</f>
        <v>263.59999999999997</v>
      </c>
      <c r="AJ62" s="14">
        <f>AI62*VLOOKUP('Données projet'!$B$10,Paramètres!$A$1:$I$89,3,0)*VLOOKUP('Données projet'!$B$10,Paramètres!$A$1:$I$89,5,0)</f>
        <v>267.29039999999998</v>
      </c>
      <c r="AK62" s="14">
        <f t="shared" si="35"/>
        <v>64.273886654661325</v>
      </c>
      <c r="AL62" s="22">
        <f t="shared" si="4"/>
        <v>577.47446592353515</v>
      </c>
      <c r="AM62" s="62">
        <f t="shared" si="5"/>
        <v>870.80779925686852</v>
      </c>
      <c r="AN62" s="62">
        <f ca="1">AVERAGE(OFFSET($AM$3,0,0,'Données projet'!$E$10+1,1))-AVERAGE(OFFSET($H$3,0,0,'Données projet'!$E$10+1,1))</f>
        <v>565.72091871734051</v>
      </c>
      <c r="AO62" s="62">
        <f t="shared" si="36"/>
        <v>306.61893266146666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6.2799999999999958</v>
      </c>
      <c r="BD62" s="13">
        <f>IF('Données projet'!$A$88&gt;35,BD61+BC62-BL61,IF(A62&lt;'Données projet'!$A$88,$BA$205^A62,IF(A62='Données projet'!$A$88,'Données projet'!$B$88,BD61+BC62-BL61)))</f>
        <v>303.71999999999986</v>
      </c>
      <c r="BE62" s="14">
        <f>BD62*VLOOKUP('Données projet'!$B$11,Paramètres!$A$1:$I$89,3,0)*VLOOKUP('Données projet'!$B$11,Paramètres!$A$1:$I$89,5,0)</f>
        <v>222.68750399999988</v>
      </c>
      <c r="BF62" s="14">
        <f t="shared" si="37"/>
        <v>54.698588025346766</v>
      </c>
      <c r="BG62" s="22">
        <f t="shared" si="7"/>
        <v>483.1141102774788</v>
      </c>
      <c r="BH62" s="62">
        <f t="shared" si="8"/>
        <v>776.44744361081212</v>
      </c>
      <c r="BI62" s="62">
        <f ca="1">AVERAGE(OFFSET($BH$3,0,0,'Données projet'!$E$11+1,1))-AVERAGE(OFFSET($H$3,0,0,'Données projet'!$E$11+1,1))</f>
        <v>344.26020118887629</v>
      </c>
      <c r="BJ62" s="62">
        <f t="shared" si="38"/>
        <v>376.41441893222185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9.4</v>
      </c>
      <c r="BY62" s="13">
        <f>IF('Données projet'!$A$114&gt;35,BY61+BX62-CG61,IF(A62&lt;'Données projet'!$A$114,$BV$205^A62,IF(A62='Données projet'!$A$114,'Données projet'!$B$114,BY61+BX62-CG61)))</f>
        <v>263.59999999999997</v>
      </c>
      <c r="BZ62" s="14">
        <f>BY62*VLOOKUP('Données projet'!$B$12,Paramètres!$A$1:$I$89,3,0)*VLOOKUP('Données projet'!$B$12,Paramètres!$A$1:$I$89,5,0)</f>
        <v>222.05663999999999</v>
      </c>
      <c r="CA62" s="14">
        <f t="shared" si="39"/>
        <v>54.561643903321311</v>
      </c>
      <c r="CB62" s="22">
        <f t="shared" si="10"/>
        <v>481.77684446495124</v>
      </c>
      <c r="CC62" s="62">
        <f t="shared" si="11"/>
        <v>775.11017779828455</v>
      </c>
      <c r="CD62" s="62">
        <f ca="1">AVERAGE(OFFSET($CC$3,0,0,'Données projet'!$E$12+1,1))-AVERAGE(OFFSET($H$3,0,0,'Données projet'!$E$12+1,1))</f>
        <v>477.4105367901771</v>
      </c>
      <c r="CE62" s="62">
        <f t="shared" si="40"/>
        <v>261.95434270986397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10.769230769230768</v>
      </c>
      <c r="CT62" s="13">
        <f>IF('Données projet'!$A$140&gt;35,CT61+CS62-DB61,IF(A62&lt;'Données projet'!$A$140,$CQ$205^A62,IF(A62='Données projet'!$A$140,'Données projet'!$B$140,CT61+CS62-DB61)))</f>
        <v>307.69230769230762</v>
      </c>
      <c r="CU62" s="18">
        <f>CT62*VLOOKUP('Données projet'!$B$13,Paramètres!$A$1:$I$89,3,0)*VLOOKUP('Données projet'!$B$13,Paramètres!$A$1:$I$89,5,0)</f>
        <v>143.99999999999997</v>
      </c>
      <c r="CV62" s="14">
        <f t="shared" si="41"/>
        <v>37.211841536720947</v>
      </c>
      <c r="CW62" s="22">
        <f t="shared" si="13"/>
        <v>315.61062400978892</v>
      </c>
      <c r="CX62" s="62">
        <f t="shared" si="14"/>
        <v>608.94395734312229</v>
      </c>
      <c r="CY62" s="62">
        <f ca="1">AVERAGE(OFFSET($CX$3,0,0,'Données projet'!$E$13+1,1))-AVERAGE(OFFSET($H$3,0,0,'Données projet'!$E$13+1,1))</f>
        <v>246.64907095367749</v>
      </c>
      <c r="CZ62" s="62">
        <f t="shared" si="42"/>
        <v>145.34368562171613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6.2799999999999958</v>
      </c>
      <c r="DO62" s="13">
        <f>IF('Données projet'!$A$166&gt;35,DO61+DN62-DW61,IF(A62&lt;'Données projet'!$A$166,$DL$205^A62,IF(A62='Données projet'!$A$166,'Données projet'!$B$166,DO61+DN62-DW61)))</f>
        <v>303.71999999999986</v>
      </c>
      <c r="DP62" s="18">
        <f>DO62*VLOOKUP('Données projet'!$B$14,Paramètres!$A$1:$I$89,3,0)*VLOOKUP('Données projet'!$B$14,Paramètres!$A$1:$I$89,5,0)</f>
        <v>241.63963199999992</v>
      </c>
      <c r="DQ62" s="14">
        <f t="shared" si="43"/>
        <v>58.792165382566672</v>
      </c>
      <c r="DR62" s="22">
        <f t="shared" si="16"/>
        <v>523.25204710797016</v>
      </c>
      <c r="DS62" s="62">
        <f t="shared" si="17"/>
        <v>816.58538044130341</v>
      </c>
      <c r="DT62" s="62">
        <f ca="1">AVERAGE(OFFSET($DS$3,0,0,'Données projet'!$E$14+1,1))-AVERAGE(OFFSET($H$3,0,0,'Données projet'!$E$14+1,1))</f>
        <v>370.38521334472284</v>
      </c>
      <c r="DU62" s="62">
        <f t="shared" si="44"/>
        <v>404.61777090709171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14.833333333333334</v>
      </c>
      <c r="EJ62" s="13">
        <f>IF('Données projet'!$A$192&gt;35,EJ61+EI62-ER61,IF(A62&lt;'Données projet'!$A$192,$EG$205^A62,IF(A62='Données projet'!$A$192,'Données projet'!$B$192,EJ61+EI62-ER61)))</f>
        <v>280.16666666666652</v>
      </c>
      <c r="EK62" s="18">
        <f>EJ62*VLOOKUP('Données projet'!$B$15,Paramètres!$A$1:$I$89,3,0)*VLOOKUP('Données projet'!$B$15,Paramètres!$A$1:$I$89,5,0)</f>
        <v>240.38299999999987</v>
      </c>
      <c r="EL62" s="14">
        <f t="shared" si="45"/>
        <v>58.521927148992098</v>
      </c>
      <c r="EM62" s="22">
        <f t="shared" si="19"/>
        <v>520.59274811782768</v>
      </c>
      <c r="EN62" s="62">
        <f t="shared" si="20"/>
        <v>813.92608145116105</v>
      </c>
      <c r="EO62" s="62">
        <f ca="1">AVERAGE(OFFSET($EN$3,0,0,'Données projet'!$E$15+1,1))-AVERAGE(OFFSET($H$3,0,0,'Données projet'!$E$15+1,1))</f>
        <v>445.81166342116865</v>
      </c>
      <c r="EP62" s="62">
        <f t="shared" si="46"/>
        <v>230.82970731138215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9.4</v>
      </c>
      <c r="FE62" s="13">
        <f>IF('Données projet'!$A$218&gt;35,FE61+FD62-FM61,IF(A62&lt;'Données projet'!$A$218,$FB$205^A62,IF(A62='Données projet'!$A$218,'Données projet'!$B$218,FE61+FD62-FM61)))</f>
        <v>263.59999999999997</v>
      </c>
      <c r="FF62" s="18">
        <f>FE62*VLOOKUP('Données projet'!$B$16,Paramètres!$A$1:$I$89,3,0)*VLOOKUP('Données projet'!$B$16,Paramètres!$A$1:$I$89,5,0)</f>
        <v>254.95391999999998</v>
      </c>
      <c r="FG62" s="14">
        <f t="shared" si="47"/>
        <v>61.645533788540583</v>
      </c>
      <c r="FH62" s="22">
        <f t="shared" si="22"/>
        <v>551.41071534837477</v>
      </c>
      <c r="FI62" s="62">
        <f t="shared" si="23"/>
        <v>844.74404868170814</v>
      </c>
      <c r="FJ62" s="62">
        <f ca="1">AVERAGE(OFFSET($FI$3,0,0,'Données projet'!$E$16+1,1))-AVERAGE(OFFSET($H$3,0,0,'Données projet'!$E$16+1,1))</f>
        <v>541.66888676162716</v>
      </c>
      <c r="FK62" s="62">
        <f t="shared" si="48"/>
        <v>294.45557293177131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>
        <f>EXP(-LN(2)/35)*FQ61+(1-EXP(-LN(2)/35))/(LN(2)/35)*FM62*FN62*VLOOKUP('Données projet'!$B$16,Paramètres!$A$1:$I$89,3,0)*0.475*44/12</f>
        <v>0</v>
      </c>
      <c r="FR62" s="23">
        <f>EXP(-LN(2)/25)*FR61+(1-EXP(-LN(2)/25))/(LN(2)/25)*Calculateur!FM62*Calculateur!FO62*VLOOKUP('Données projet'!$B$16,Paramètres!$A$1:$I$89,3,0)*0.475*44/12</f>
        <v>0</v>
      </c>
      <c r="FS62" s="23">
        <f>EXP(-LN(2)/2)*FS61+(1-EXP(-LN(2)/2))/(LN(2)/2)*FM62*FP62*VLOOKUP('Données projet'!$B$16,Paramètres!$A$1:$I$89,3,0)*0.475*44/12</f>
        <v>0</v>
      </c>
      <c r="FT62" s="24">
        <f t="shared" si="24"/>
        <v>0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9.375</v>
      </c>
      <c r="FZ62" s="13">
        <f>IF('Données projet'!$A$244&gt;35,FZ61+FY62-GH61,IF(A62&lt;'Données projet'!$A$244,$FW$205^A62,IF(A62='Données projet'!$A$244,'Données projet'!$B$244,FZ61+FY62-GH61)))</f>
        <v>287.62499999999994</v>
      </c>
      <c r="GA62" s="18">
        <f>FZ62*VLOOKUP('Données projet'!$B$17,Paramètres!$A$1:$I$89,3,0)*VLOOKUP('Données projet'!$B$17,Paramètres!$A$1:$I$89,5,0)</f>
        <v>224.34749999999997</v>
      </c>
      <c r="GB62" s="14">
        <f t="shared" si="49"/>
        <v>55.058714525680479</v>
      </c>
      <c r="GC62" s="22">
        <f t="shared" si="25"/>
        <v>486.63249029889352</v>
      </c>
      <c r="GD62" s="62">
        <f t="shared" si="26"/>
        <v>779.96582363222683</v>
      </c>
      <c r="GE62" s="62">
        <f ca="1">AVERAGE(OFFSET($GD$3,0,0,'Données projet'!$E$17+1,1))-AVERAGE(OFFSET($H$3,0,0,'Données projet'!$E$17+1,1))</f>
        <v>292.57482726862594</v>
      </c>
      <c r="GF62" s="62">
        <f t="shared" si="50"/>
        <v>283.48738729114024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>
        <f>EXP(-LN(2)/35)*GL61+(1-EXP(-LN(2)/35))/(LN(2)/35)*GH62*GI62*VLOOKUP('Données projet'!$B$17,Paramètres!$A$1:$I$89,3,0)*0.475*44/12</f>
        <v>0</v>
      </c>
      <c r="GM62" s="23">
        <f>EXP(-LN(2)/25)*GM61+(1-EXP(-LN(2)/25))/(LN(2)/25)*Calculateur!GH62*Calculateur!GJ62*VLOOKUP('Données projet'!$B$17,Paramètres!$A$1:$I$89,3,0)*0.475*44/12</f>
        <v>0</v>
      </c>
      <c r="GN62" s="23">
        <f>EXP(-LN(2)/2)*GN61+(1-EXP(-LN(2)/2))/(LN(2)/2)*GH62*GK62*VLOOKUP('Données projet'!$B$17,Paramètres!$A$1:$I$89,3,0)*0.475*44/12</f>
        <v>0</v>
      </c>
      <c r="GO62" s="23">
        <f t="shared" si="27"/>
        <v>0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6.5384615384615357</v>
      </c>
      <c r="GU62" s="13">
        <f>IF('Données projet'!$A$270&gt;35,GU61+GT62-HC61,IF(A62&lt;'Données projet'!$A$270,$GR$205^A62,IF(A62='Données projet'!$A$270,'Données projet'!$B$270,GU61+GT62-HC61)))</f>
        <v>299.87179487179469</v>
      </c>
      <c r="GV62" s="18">
        <f>GU62*VLOOKUP('Données projet'!$B$18,Paramètres!$A$1:$I$89,3,0)*VLOOKUP('Données projet'!$B$18,Paramètres!$A$1:$I$89,5,0)</f>
        <v>201.15399999999988</v>
      </c>
      <c r="GW62" s="14">
        <f t="shared" si="51"/>
        <v>49.997697012370018</v>
      </c>
      <c r="GX62" s="22">
        <f t="shared" si="28"/>
        <v>437.42253896321091</v>
      </c>
      <c r="GY62" s="62">
        <f t="shared" si="29"/>
        <v>730.75587229654423</v>
      </c>
      <c r="GZ62" s="62">
        <f ca="1">AVERAGE(OFFSET($GY$3,0,0,'Données projet'!$E$18+1,1))-AVERAGE(OFFSET($H$3,0,0,'Données projet'!$E$18+1,1))</f>
        <v>410.20186800287411</v>
      </c>
      <c r="HA62" s="62">
        <f t="shared" si="52"/>
        <v>321.99347958016057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>
        <f>EXP(-LN(2)/35)*HG61+(1-EXP(-LN(2)/35))/(LN(2)/35)*HC62*HD62*VLOOKUP('Données projet'!$B$18,Paramètres!$A$1:$I$89,3,0)*0.475*44/12</f>
        <v>0</v>
      </c>
      <c r="HH62" s="23">
        <f>EXP(-LN(2)/25)*HH61+(1-EXP(-LN(2)/25))/(LN(2)/25)*Calculateur!HC62*Calculateur!HE62*VLOOKUP('Données projet'!$B$18,Paramètres!$A$1:$I$89,3,0)*0.475*44/12</f>
        <v>0</v>
      </c>
      <c r="HI62" s="23">
        <f>EXP(-LN(2)/2)*HI61+(1-EXP(-LN(2)/2))/(LN(2)/2)*HC62*HF62*VLOOKUP('Données projet'!$B$18,Paramètres!$A$1:$I$89,3,0)*0.475*44/12</f>
        <v>0</v>
      </c>
      <c r="HJ62" s="24">
        <f t="shared" si="30"/>
        <v>0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273</v>
      </c>
      <c r="L63" s="13">
        <f>VLOOKUP(A63,'Données projet'!$A$35:$I$55,9,0)</f>
        <v>9.4</v>
      </c>
      <c r="M63" s="13">
        <f t="array" ref="M63">INDEX(L:L,MIN(IF(ISNUMBER(L63:L259),ROW(L63:L259),"")))</f>
        <v>9.4</v>
      </c>
      <c r="N63" s="14">
        <f>IF('Données projet'!$A$36&gt;35,N62+M63-V62,IF(A63&lt;'Données projet'!$A$36,$K$205^A63,IF(A63='Données projet'!$A$36,'Données projet'!$B$36,N62+M63-V62)))</f>
        <v>272.99999999999994</v>
      </c>
      <c r="O63" s="14">
        <f>N63*VLOOKUP('Données projet'!$B$9,Paramètres!$A$1:$I$89,3,0)*VLOOKUP('Données projet'!$B$9,Paramètres!$A$1:$I$89,5,0)</f>
        <v>247.01039999999992</v>
      </c>
      <c r="P63" s="14">
        <f t="shared" si="33"/>
        <v>59.945315462121812</v>
      </c>
      <c r="Q63" s="22">
        <f t="shared" si="53"/>
        <v>534.61453776319524</v>
      </c>
      <c r="R63" s="62">
        <f t="shared" si="0"/>
        <v>827.94787109652862</v>
      </c>
      <c r="S63" s="62">
        <f ca="1">AVERAGE(OFFSET($R$3,0,0,'Données projet'!$E$9+1,1))-AVERAGE(OFFSET($H$3,0,0,'Données projet'!$E$9+1,1))</f>
        <v>509.56241660612449</v>
      </c>
      <c r="T63" s="62">
        <f t="shared" si="34"/>
        <v>278.21741231699929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273</v>
      </c>
      <c r="AG63" s="13">
        <f>VLOOKUP(A63,'Données projet'!$A$61:$I$81,9,0)</f>
        <v>9.4</v>
      </c>
      <c r="AH63" s="13">
        <f t="array" ref="AH63">INDEX(AG:AG,MIN(IF(ISNUMBER(AG63:AG259),ROW(AG63:AG259),"")))</f>
        <v>9.4</v>
      </c>
      <c r="AI63" s="14">
        <f>IF('Données projet'!$A$62&gt;35,AI62+AH63-AQ62,IF(A63&lt;'Données projet'!$A$62,$AF$205^A63,IF(A63='Données projet'!$A$62,'Données projet'!$B$62,AI62+AH63-AQ62)))</f>
        <v>272.99999999999994</v>
      </c>
      <c r="AJ63" s="14">
        <f>AI63*VLOOKUP('Données projet'!$B$10,Paramètres!$A$1:$I$89,3,0)*VLOOKUP('Données projet'!$B$10,Paramètres!$A$1:$I$89,5,0)</f>
        <v>276.82199999999995</v>
      </c>
      <c r="AK63" s="14">
        <f t="shared" si="35"/>
        <v>66.29496059864374</v>
      </c>
      <c r="AL63" s="22">
        <f t="shared" si="4"/>
        <v>597.59537304263779</v>
      </c>
      <c r="AM63" s="62">
        <f t="shared" si="5"/>
        <v>890.92870637597116</v>
      </c>
      <c r="AN63" s="62">
        <f ca="1">AVERAGE(OFFSET($AM$3,0,0,'Données projet'!$E$10+1,1))-AVERAGE(OFFSET($H$3,0,0,'Données projet'!$E$10+1,1))</f>
        <v>565.72091871734051</v>
      </c>
      <c r="AO63" s="62">
        <f t="shared" si="36"/>
        <v>306.61893266146666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310</v>
      </c>
      <c r="BB63" s="13">
        <f>VLOOKUP(A63,'Données projet'!$A$87:$I$107,9,0)</f>
        <v>6.2799999999999958</v>
      </c>
      <c r="BC63" s="13">
        <f t="array" ref="BC63">INDEX(BB:BB,MIN(IF(ISNUMBER(BB63:BB259),ROW(BB63:BB259),"")))</f>
        <v>6.2799999999999958</v>
      </c>
      <c r="BD63" s="13">
        <f>IF('Données projet'!$A$88&gt;35,BD62+BC63-BL62,IF(A63&lt;'Données projet'!$A$88,$BA$205^A63,IF(A63='Données projet'!$A$88,'Données projet'!$B$88,BD62+BC63-BL62)))</f>
        <v>309.99999999999983</v>
      </c>
      <c r="BE63" s="14">
        <f>BD63*VLOOKUP('Données projet'!$B$11,Paramètres!$A$1:$I$89,3,0)*VLOOKUP('Données projet'!$B$11,Paramètres!$A$1:$I$89,5,0)</f>
        <v>227.29199999999986</v>
      </c>
      <c r="BF63" s="14">
        <f t="shared" si="37"/>
        <v>55.69674561748365</v>
      </c>
      <c r="BG63" s="22">
        <f t="shared" si="7"/>
        <v>492.8720652837838</v>
      </c>
      <c r="BH63" s="62">
        <f t="shared" si="8"/>
        <v>786.20539861711711</v>
      </c>
      <c r="BI63" s="62">
        <f ca="1">AVERAGE(OFFSET($BH$3,0,0,'Données projet'!$E$11+1,1))-AVERAGE(OFFSET($H$3,0,0,'Données projet'!$E$11+1,1))</f>
        <v>344.26020118887629</v>
      </c>
      <c r="BJ63" s="62">
        <f t="shared" si="38"/>
        <v>376.41441893222185</v>
      </c>
      <c r="BK63" s="16">
        <f>IF(ISNA(VLOOKUP(A63,'Données projet'!$A$87:$I$107,3,0)),0,VLOOKUP(A63,'Données projet'!$A$87:$I$107,3,0))</f>
        <v>5</v>
      </c>
      <c r="BL63" s="16">
        <f>IF(ISNA(VLOOKUP(A63,'Données projet'!$A$87:$I$107,4,0)),0,VLOOKUP(A63,'Données projet'!$A$87:$I$107,4,0))</f>
        <v>30.2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273</v>
      </c>
      <c r="BW63" s="13">
        <f>VLOOKUP(A63,'Données projet'!$A$113:$I$133,9,0)</f>
        <v>9.4</v>
      </c>
      <c r="BX63" s="13">
        <f t="array" ref="BX63">INDEX(BW:BW,MIN(IF(ISNUMBER(BW63:BW259),ROW(BW63:BW259),"")))</f>
        <v>9.4</v>
      </c>
      <c r="BY63" s="13">
        <f>IF('Données projet'!$A$114&gt;35,BY62+BX63-CG62,IF(A63&lt;'Données projet'!$A$114,$BV$205^A63,IF(A63='Données projet'!$A$114,'Données projet'!$B$114,BY62+BX63-CG62)))</f>
        <v>272.99999999999994</v>
      </c>
      <c r="BZ63" s="14">
        <f>BY63*VLOOKUP('Données projet'!$B$12,Paramètres!$A$1:$I$89,3,0)*VLOOKUP('Données projet'!$B$12,Paramètres!$A$1:$I$89,5,0)</f>
        <v>229.9752</v>
      </c>
      <c r="CA63" s="14">
        <f t="shared" si="39"/>
        <v>56.277319157664316</v>
      </c>
      <c r="CB63" s="22">
        <f t="shared" si="10"/>
        <v>498.55647086626527</v>
      </c>
      <c r="CC63" s="62">
        <f t="shared" si="11"/>
        <v>791.88980419959853</v>
      </c>
      <c r="CD63" s="62">
        <f ca="1">AVERAGE(OFFSET($CC$3,0,0,'Données projet'!$E$12+1,1))-AVERAGE(OFFSET($H$3,0,0,'Données projet'!$E$12+1,1))</f>
        <v>477.4105367901771</v>
      </c>
      <c r="CE63" s="62">
        <f t="shared" si="40"/>
        <v>261.95434270986397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10.769230769230768</v>
      </c>
      <c r="CT63" s="13">
        <f>IF('Données projet'!$A$140&gt;35,CT62+CS63-DB62,IF(A63&lt;'Données projet'!$A$140,$CQ$205^A63,IF(A63='Données projet'!$A$140,'Données projet'!$B$140,CT62+CS63-DB62)))</f>
        <v>318.4615384615384</v>
      </c>
      <c r="CU63" s="18">
        <f>CT63*VLOOKUP('Données projet'!$B$13,Paramètres!$A$1:$I$89,3,0)*VLOOKUP('Données projet'!$B$13,Paramètres!$A$1:$I$89,5,0)</f>
        <v>149.03999999999996</v>
      </c>
      <c r="CV63" s="14">
        <f t="shared" si="41"/>
        <v>38.360340720309644</v>
      </c>
      <c r="CW63" s="22">
        <f t="shared" si="13"/>
        <v>326.38892675453917</v>
      </c>
      <c r="CX63" s="62">
        <f t="shared" si="14"/>
        <v>619.72226008787243</v>
      </c>
      <c r="CY63" s="62">
        <f ca="1">AVERAGE(OFFSET($CX$3,0,0,'Données projet'!$E$13+1,1))-AVERAGE(OFFSET($H$3,0,0,'Données projet'!$E$13+1,1))</f>
        <v>246.64907095367749</v>
      </c>
      <c r="CZ63" s="62">
        <f t="shared" si="42"/>
        <v>145.34368562171613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310</v>
      </c>
      <c r="DM63" s="13">
        <f>VLOOKUP(A63,'Données projet'!$A$165:$I$185,9,0)</f>
        <v>6.2799999999999958</v>
      </c>
      <c r="DN63" s="13">
        <f t="array" ref="DN63">INDEX(DM:DM,MIN(IF(ISNUMBER(DM63:DM259),ROW(DM63:DM259),"")))</f>
        <v>6.2799999999999958</v>
      </c>
      <c r="DO63" s="13">
        <f>IF('Données projet'!$A$166&gt;35,DO62+DN63-DW62,IF(A63&lt;'Données projet'!$A$166,$DL$205^A63,IF(A63='Données projet'!$A$166,'Données projet'!$B$166,DO62+DN63-DW62)))</f>
        <v>309.99999999999983</v>
      </c>
      <c r="DP63" s="18">
        <f>DO63*VLOOKUP('Données projet'!$B$14,Paramètres!$A$1:$I$89,3,0)*VLOOKUP('Données projet'!$B$14,Paramètres!$A$1:$I$89,5,0)</f>
        <v>246.63599999999985</v>
      </c>
      <c r="DQ63" s="14">
        <f t="shared" si="43"/>
        <v>59.865023903294535</v>
      </c>
      <c r="DR63" s="22">
        <f t="shared" si="16"/>
        <v>533.8226166315709</v>
      </c>
      <c r="DS63" s="62">
        <f t="shared" si="17"/>
        <v>827.15594996490427</v>
      </c>
      <c r="DT63" s="62">
        <f ca="1">AVERAGE(OFFSET($DS$3,0,0,'Données projet'!$E$14+1,1))-AVERAGE(OFFSET($H$3,0,0,'Données projet'!$E$14+1,1))</f>
        <v>370.38521334472284</v>
      </c>
      <c r="DU63" s="62">
        <f t="shared" si="44"/>
        <v>404.61777090709171</v>
      </c>
      <c r="DV63" s="16">
        <f>IF(ISNA(VLOOKUP(A63,'Données projet'!$A$165:$I$185,3,0)),0,VLOOKUP(A63,'Données projet'!$A$165:$I$185,3,0))</f>
        <v>5</v>
      </c>
      <c r="DW63" s="16">
        <f>IF(ISNA(VLOOKUP(A63,'Données projet'!$A$165:$I$185,4,0)),0,VLOOKUP(A63,'Données projet'!$A$165:$I$185,4,0))</f>
        <v>30.2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295</v>
      </c>
      <c r="EH63" s="13">
        <f>VLOOKUP(A63,'Données projet'!$A$191:$I$211,9,0)</f>
        <v>14.833333333333334</v>
      </c>
      <c r="EI63" s="13">
        <f t="array" ref="EI63">INDEX(EH:EH,MIN(IF(ISNUMBER(EH63:EH259),ROW(EH63:EH259),"")))</f>
        <v>14.833333333333334</v>
      </c>
      <c r="EJ63" s="13">
        <f>IF('Données projet'!$A$192&gt;35,EJ62+EI63-ER62,IF(A63&lt;'Données projet'!$A$192,$EG$205^A63,IF(A63='Données projet'!$A$192,'Données projet'!$B$192,EJ62+EI63-ER62)))</f>
        <v>294.99999999999983</v>
      </c>
      <c r="EK63" s="18">
        <f>EJ63*VLOOKUP('Données projet'!$B$15,Paramètres!$A$1:$I$89,3,0)*VLOOKUP('Données projet'!$B$15,Paramètres!$A$1:$I$89,5,0)</f>
        <v>253.10999999999987</v>
      </c>
      <c r="EL63" s="14">
        <f t="shared" si="45"/>
        <v>61.251420602177625</v>
      </c>
      <c r="EM63" s="22">
        <f t="shared" si="19"/>
        <v>547.51280754879247</v>
      </c>
      <c r="EN63" s="62">
        <f t="shared" si="20"/>
        <v>840.84614088212584</v>
      </c>
      <c r="EO63" s="62">
        <f ca="1">AVERAGE(OFFSET($EN$3,0,0,'Données projet'!$E$15+1,1))-AVERAGE(OFFSET($H$3,0,0,'Données projet'!$E$15+1,1))</f>
        <v>445.81166342116865</v>
      </c>
      <c r="EP63" s="62">
        <f t="shared" si="46"/>
        <v>230.82970731138215</v>
      </c>
      <c r="EQ63" s="16">
        <f>IF(ISNA(VLOOKUP(A63,'Données projet'!$A$191:$I$211,3,0)),0,VLOOKUP(A63,'Données projet'!$A$191:$I$211,3,0))</f>
        <v>7</v>
      </c>
      <c r="ER63" s="16">
        <f>IF(ISNA(VLOOKUP(A63,'Données projet'!$A$191:$I$211,4,0)),0,VLOOKUP(A63,'Données projet'!$A$191:$I$211,4,0))</f>
        <v>61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>
        <f>VLOOKUP(A63,'Données projet'!$A$217:$I$237,2,0)</f>
        <v>273</v>
      </c>
      <c r="FC63" s="13">
        <f>VLOOKUP(A63,'Données projet'!$A$217:$I$237,9,0)</f>
        <v>9.4</v>
      </c>
      <c r="FD63" s="13">
        <f t="array" ref="FD63">INDEX(FC:FC,MIN(IF(ISNUMBER(FC63:FC259),ROW(FC63:FC259),"")))</f>
        <v>9.4</v>
      </c>
      <c r="FE63" s="13">
        <f>IF('Données projet'!$A$218&gt;35,FE62+FD63-FM62,IF(A63&lt;'Données projet'!$A$218,$FB$205^A63,IF(A63='Données projet'!$A$218,'Données projet'!$B$218,FE62+FD63-FM62)))</f>
        <v>272.99999999999994</v>
      </c>
      <c r="FF63" s="18">
        <f>FE63*VLOOKUP('Données projet'!$B$16,Paramètres!$A$1:$I$89,3,0)*VLOOKUP('Données projet'!$B$16,Paramètres!$A$1:$I$89,5,0)</f>
        <v>264.04559999999992</v>
      </c>
      <c r="FG63" s="14">
        <f t="shared" si="47"/>
        <v>63.58395992997368</v>
      </c>
      <c r="FH63" s="22">
        <f t="shared" si="22"/>
        <v>570.62148354470401</v>
      </c>
      <c r="FI63" s="62">
        <f t="shared" si="23"/>
        <v>863.95481687803726</v>
      </c>
      <c r="FJ63" s="62">
        <f ca="1">AVERAGE(OFFSET($FI$3,0,0,'Données projet'!$E$16+1,1))-AVERAGE(OFFSET($H$3,0,0,'Données projet'!$E$16+1,1))</f>
        <v>541.66888676162716</v>
      </c>
      <c r="FK63" s="62">
        <f t="shared" si="48"/>
        <v>294.45557293177131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>
        <f>EXP(-LN(2)/35)*FQ62+(1-EXP(-LN(2)/35))/(LN(2)/35)*FM63*FN63*VLOOKUP('Données projet'!$B$16,Paramètres!$A$1:$I$89,3,0)*0.475*44/12</f>
        <v>0</v>
      </c>
      <c r="FR63" s="23">
        <f>EXP(-LN(2)/25)*FR62+(1-EXP(-LN(2)/25))/(LN(2)/25)*Calculateur!FM63*Calculateur!FO63*VLOOKUP('Données projet'!$B$16,Paramètres!$A$1:$I$89,3,0)*0.475*44/12</f>
        <v>0</v>
      </c>
      <c r="FS63" s="23">
        <f>EXP(-LN(2)/2)*FS62+(1-EXP(-LN(2)/2))/(LN(2)/2)*FM63*FP63*VLOOKUP('Données projet'!$B$16,Paramètres!$A$1:$I$89,3,0)*0.475*44/12</f>
        <v>0</v>
      </c>
      <c r="FT63" s="24">
        <f t="shared" si="24"/>
        <v>0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>
        <f>VLOOKUP(A63,'Données projet'!$A$243:$I$263,2,0)</f>
        <v>297</v>
      </c>
      <c r="FX63" s="13">
        <f>VLOOKUP(A63,'Données projet'!$A$243:$I$263,9,0)</f>
        <v>9.375</v>
      </c>
      <c r="FY63" s="13">
        <f t="array" ref="FY63">INDEX(FX:FX,MIN(IF(ISNUMBER(FX63:FX259),ROW(FX63:FX259),"")))</f>
        <v>9.375</v>
      </c>
      <c r="FZ63" s="13">
        <f>IF('Données projet'!$A$244&gt;35,FZ62+FY63-GH62,IF(A63&lt;'Données projet'!$A$244,$FW$205^A63,IF(A63='Données projet'!$A$244,'Données projet'!$B$244,FZ62+FY63-GH62)))</f>
        <v>296.99999999999994</v>
      </c>
      <c r="GA63" s="18">
        <f>FZ63*VLOOKUP('Données projet'!$B$17,Paramètres!$A$1:$I$89,3,0)*VLOOKUP('Données projet'!$B$17,Paramètres!$A$1:$I$89,5,0)</f>
        <v>231.65999999999997</v>
      </c>
      <c r="GB63" s="14">
        <f t="shared" si="49"/>
        <v>56.641461975682766</v>
      </c>
      <c r="GC63" s="22">
        <f t="shared" si="25"/>
        <v>502.12504627431412</v>
      </c>
      <c r="GD63" s="62">
        <f t="shared" si="26"/>
        <v>795.45837960764743</v>
      </c>
      <c r="GE63" s="62">
        <f ca="1">AVERAGE(OFFSET($GD$3,0,0,'Données projet'!$E$17+1,1))-AVERAGE(OFFSET($H$3,0,0,'Données projet'!$E$17+1,1))</f>
        <v>292.57482726862594</v>
      </c>
      <c r="GF63" s="62">
        <f t="shared" si="50"/>
        <v>283.48738729114024</v>
      </c>
      <c r="GG63" s="16">
        <f>IF(ISNA(VLOOKUP(A63,'Données projet'!$A$243:$I$263,3,0)),0,VLOOKUP(A63,'Données projet'!$A$243:$I$263,3,0))</f>
        <v>6</v>
      </c>
      <c r="GH63" s="16">
        <f>IF(ISNA(VLOOKUP(A63,'Données projet'!$A$243:$I$263,4,0)),0,VLOOKUP(A63,'Données projet'!$A$243:$I$263,4,0))</f>
        <v>47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>
        <f>EXP(-LN(2)/35)*GL62+(1-EXP(-LN(2)/35))/(LN(2)/35)*GH63*GI63*VLOOKUP('Données projet'!$B$17,Paramètres!$A$1:$I$89,3,0)*0.475*44/12</f>
        <v>0</v>
      </c>
      <c r="GM63" s="23">
        <f>EXP(-LN(2)/25)*GM62+(1-EXP(-LN(2)/25))/(LN(2)/25)*Calculateur!GH63*Calculateur!GJ63*VLOOKUP('Données projet'!$B$17,Paramètres!$A$1:$I$89,3,0)*0.475*44/12</f>
        <v>0</v>
      </c>
      <c r="GN63" s="23">
        <f>EXP(-LN(2)/2)*GN62+(1-EXP(-LN(2)/2))/(LN(2)/2)*GH63*GK63*VLOOKUP('Données projet'!$B$17,Paramètres!$A$1:$I$89,3,0)*0.475*44/12</f>
        <v>0</v>
      </c>
      <c r="GO63" s="23">
        <f t="shared" si="27"/>
        <v>0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>
        <f>VLOOKUP(A63,'Données projet'!$A$269:$I$289,2,0)</f>
        <v>306.41025641025641</v>
      </c>
      <c r="GS63" s="13">
        <f>VLOOKUP(A63,'Données projet'!$A$269:$I$289,9,0)</f>
        <v>6.5384615384615357</v>
      </c>
      <c r="GT63" s="13">
        <f t="array" ref="GT63">INDEX(GS:GS,MIN(IF(ISNUMBER(GS63:GS259),ROW(GS63:GS259),"")))</f>
        <v>6.5384615384615357</v>
      </c>
      <c r="GU63" s="13">
        <f>IF('Données projet'!$A$270&gt;35,GU62+GT63-HC62,IF(A63&lt;'Données projet'!$A$270,$GR$205^A63,IF(A63='Données projet'!$A$270,'Données projet'!$B$270,GU62+GT63-HC62)))</f>
        <v>306.41025641025624</v>
      </c>
      <c r="GV63" s="18">
        <f>GU63*VLOOKUP('Données projet'!$B$18,Paramètres!$A$1:$I$89,3,0)*VLOOKUP('Données projet'!$B$18,Paramètres!$A$1:$I$89,5,0)</f>
        <v>205.53999999999991</v>
      </c>
      <c r="GW63" s="14">
        <f t="shared" si="51"/>
        <v>50.95974916802129</v>
      </c>
      <c r="GX63" s="22">
        <f t="shared" si="28"/>
        <v>446.73706313430358</v>
      </c>
      <c r="GY63" s="62">
        <f t="shared" si="29"/>
        <v>740.0703964676369</v>
      </c>
      <c r="GZ63" s="62">
        <f ca="1">AVERAGE(OFFSET($GY$3,0,0,'Données projet'!$E$18+1,1))-AVERAGE(OFFSET($H$3,0,0,'Données projet'!$E$18+1,1))</f>
        <v>410.20186800287411</v>
      </c>
      <c r="HA63" s="62">
        <f t="shared" si="52"/>
        <v>321.99347958016057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>
        <f>EXP(-LN(2)/35)*HG62+(1-EXP(-LN(2)/35))/(LN(2)/35)*HC63*HD63*VLOOKUP('Données projet'!$B$18,Paramètres!$A$1:$I$89,3,0)*0.475*44/12</f>
        <v>0</v>
      </c>
      <c r="HH63" s="23">
        <f>EXP(-LN(2)/25)*HH62+(1-EXP(-LN(2)/25))/(LN(2)/25)*Calculateur!HC63*Calculateur!HE63*VLOOKUP('Données projet'!$B$18,Paramètres!$A$1:$I$89,3,0)*0.475*44/12</f>
        <v>0</v>
      </c>
      <c r="HI63" s="23">
        <f>EXP(-LN(2)/2)*HI62+(1-EXP(-LN(2)/2))/(LN(2)/2)*HC63*HF63*VLOOKUP('Données projet'!$B$18,Paramètres!$A$1:$I$89,3,0)*0.475*44/12</f>
        <v>0</v>
      </c>
      <c r="HJ63" s="24">
        <f t="shared" si="30"/>
        <v>0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8.8000000000000007</v>
      </c>
      <c r="N64" s="14">
        <f>IF('Données projet'!$A$36&gt;35,N63+M64-V63,IF(A64&lt;'Données projet'!$A$36,$K$205^A64,IF(A64='Données projet'!$A$36,'Données projet'!$B$36,N63+M64-V63)))</f>
        <v>281.79999999999995</v>
      </c>
      <c r="O64" s="14">
        <f>N64*VLOOKUP('Données projet'!$B$9,Paramètres!$A$1:$I$89,3,0)*VLOOKUP('Données projet'!$B$9,Paramètres!$A$1:$I$89,5,0)</f>
        <v>254.97263999999996</v>
      </c>
      <c r="P64" s="14">
        <f t="shared" si="33"/>
        <v>61.649533232533919</v>
      </c>
      <c r="Q64" s="22">
        <f t="shared" si="53"/>
        <v>551.45028504666311</v>
      </c>
      <c r="R64" s="62">
        <f t="shared" si="0"/>
        <v>844.78361837999637</v>
      </c>
      <c r="S64" s="62">
        <f ca="1">AVERAGE(OFFSET($R$3,0,0,'Données projet'!$E$9+1,1))-AVERAGE(OFFSET($H$3,0,0,'Données projet'!$E$9+1,1))</f>
        <v>509.56241660612449</v>
      </c>
      <c r="T64" s="62">
        <f t="shared" si="34"/>
        <v>278.21741231699929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8.8000000000000007</v>
      </c>
      <c r="AI64" s="14">
        <f>IF('Données projet'!$A$62&gt;35,AI63+AH64-AQ63,IF(A64&lt;'Données projet'!$A$62,$AF$205^A64,IF(A64='Données projet'!$A$62,'Données projet'!$B$62,AI63+AH64-AQ63)))</f>
        <v>281.79999999999995</v>
      </c>
      <c r="AJ64" s="14">
        <f>AI64*VLOOKUP('Données projet'!$B$10,Paramètres!$A$1:$I$89,3,0)*VLOOKUP('Données projet'!$B$10,Paramètres!$A$1:$I$89,5,0)</f>
        <v>285.74520000000001</v>
      </c>
      <c r="AK64" s="14">
        <f t="shared" si="35"/>
        <v>68.179695862275295</v>
      </c>
      <c r="AL64" s="22">
        <f t="shared" si="4"/>
        <v>616.41919362679607</v>
      </c>
      <c r="AM64" s="62">
        <f t="shared" si="5"/>
        <v>909.75252696012944</v>
      </c>
      <c r="AN64" s="62">
        <f ca="1">AVERAGE(OFFSET($AM$3,0,0,'Données projet'!$E$10+1,1))-AVERAGE(OFFSET($H$3,0,0,'Données projet'!$E$10+1,1))</f>
        <v>565.72091871734051</v>
      </c>
      <c r="AO64" s="62">
        <f t="shared" si="36"/>
        <v>306.61893266146666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5.2399999999999975</v>
      </c>
      <c r="BD64" s="13">
        <f>IF('Données projet'!$A$88&gt;35,BD63+BC64-BL63,IF(A64&lt;'Données projet'!$A$88,$BA$205^A64,IF(A64='Données projet'!$A$88,'Données projet'!$B$88,BD63+BC64-BL63)))</f>
        <v>285.03999999999985</v>
      </c>
      <c r="BE64" s="14">
        <f>BD64*VLOOKUP('Données projet'!$B$11,Paramètres!$A$1:$I$89,3,0)*VLOOKUP('Données projet'!$B$11,Paramètres!$A$1:$I$89,5,0)</f>
        <v>208.9913279999999</v>
      </c>
      <c r="BF64" s="14">
        <f t="shared" si="37"/>
        <v>51.715103760424256</v>
      </c>
      <c r="BG64" s="22">
        <f t="shared" si="7"/>
        <v>454.06370198273868</v>
      </c>
      <c r="BH64" s="62">
        <f t="shared" si="8"/>
        <v>747.39703531607199</v>
      </c>
      <c r="BI64" s="62">
        <f ca="1">AVERAGE(OFFSET($BH$3,0,0,'Données projet'!$E$11+1,1))-AVERAGE(OFFSET($H$3,0,0,'Données projet'!$E$11+1,1))</f>
        <v>344.26020118887629</v>
      </c>
      <c r="BJ64" s="62">
        <f t="shared" si="38"/>
        <v>376.41441893222185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8.8000000000000007</v>
      </c>
      <c r="BY64" s="13">
        <f>IF('Données projet'!$A$114&gt;35,BY63+BX64-CG63,IF(A64&lt;'Données projet'!$A$114,$BV$205^A64,IF(A64='Données projet'!$A$114,'Données projet'!$B$114,BY63+BX64-CG63)))</f>
        <v>281.79999999999995</v>
      </c>
      <c r="BZ64" s="14">
        <f>BY64*VLOOKUP('Données projet'!$B$12,Paramètres!$A$1:$I$89,3,0)*VLOOKUP('Données projet'!$B$12,Paramètres!$A$1:$I$89,5,0)</f>
        <v>237.38831999999999</v>
      </c>
      <c r="CA64" s="14">
        <f t="shared" si="39"/>
        <v>57.877257478787087</v>
      </c>
      <c r="CB64" s="22">
        <f t="shared" si="10"/>
        <v>514.25421410888737</v>
      </c>
      <c r="CC64" s="62">
        <f t="shared" si="11"/>
        <v>807.58754744222074</v>
      </c>
      <c r="CD64" s="62">
        <f ca="1">AVERAGE(OFFSET($CC$3,0,0,'Données projet'!$E$12+1,1))-AVERAGE(OFFSET($H$3,0,0,'Données projet'!$E$12+1,1))</f>
        <v>477.4105367901771</v>
      </c>
      <c r="CE64" s="62">
        <f t="shared" si="40"/>
        <v>261.95434270986397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10.769230769230768</v>
      </c>
      <c r="CT64" s="13">
        <f>IF('Données projet'!$A$140&gt;35,CT63+CS64-DB63,IF(A64&lt;'Données projet'!$A$140,$CQ$205^A64,IF(A64='Données projet'!$A$140,'Données projet'!$B$140,CT63+CS64-DB63)))</f>
        <v>329.23076923076917</v>
      </c>
      <c r="CU64" s="18">
        <f>CT64*VLOOKUP('Données projet'!$B$13,Paramètres!$A$1:$I$89,3,0)*VLOOKUP('Données projet'!$B$13,Paramètres!$A$1:$I$89,5,0)</f>
        <v>154.07999999999998</v>
      </c>
      <c r="CV64" s="14">
        <f t="shared" si="41"/>
        <v>39.504327121889922</v>
      </c>
      <c r="CW64" s="22">
        <f t="shared" si="13"/>
        <v>337.15936973729157</v>
      </c>
      <c r="CX64" s="62">
        <f t="shared" si="14"/>
        <v>630.49270307062488</v>
      </c>
      <c r="CY64" s="62">
        <f ca="1">AVERAGE(OFFSET($CX$3,0,0,'Données projet'!$E$13+1,1))-AVERAGE(OFFSET($H$3,0,0,'Données projet'!$E$13+1,1))</f>
        <v>246.64907095367749</v>
      </c>
      <c r="CZ64" s="62">
        <f t="shared" si="42"/>
        <v>145.34368562171613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5.2399999999999975</v>
      </c>
      <c r="DO64" s="13">
        <f>IF('Données projet'!$A$166&gt;35,DO63+DN64-DW63,IF(A64&lt;'Données projet'!$A$166,$DL$205^A64,IF(A64='Données projet'!$A$166,'Données projet'!$B$166,DO63+DN64-DW63)))</f>
        <v>285.03999999999985</v>
      </c>
      <c r="DP64" s="18">
        <f>DO64*VLOOKUP('Données projet'!$B$14,Paramètres!$A$1:$I$89,3,0)*VLOOKUP('Données projet'!$B$14,Paramètres!$A$1:$I$89,5,0)</f>
        <v>226.7778239999999</v>
      </c>
      <c r="DQ64" s="14">
        <f t="shared" si="43"/>
        <v>55.585400699018884</v>
      </c>
      <c r="DR64" s="22">
        <f t="shared" si="16"/>
        <v>491.78261635079099</v>
      </c>
      <c r="DS64" s="62">
        <f t="shared" si="17"/>
        <v>785.1159496841243</v>
      </c>
      <c r="DT64" s="62">
        <f ca="1">AVERAGE(OFFSET($DS$3,0,0,'Données projet'!$E$14+1,1))-AVERAGE(OFFSET($H$3,0,0,'Données projet'!$E$14+1,1))</f>
        <v>370.38521334472284</v>
      </c>
      <c r="DU64" s="62">
        <f t="shared" si="44"/>
        <v>404.61777090709171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13.777777777777779</v>
      </c>
      <c r="EJ64" s="13">
        <f>IF('Données projet'!$A$192&gt;35,EJ63+EI64-ER63,IF(A64&lt;'Données projet'!$A$192,$EG$205^A64,IF(A64='Données projet'!$A$192,'Données projet'!$B$192,EJ63+EI64-ER63)))</f>
        <v>247.7777777777776</v>
      </c>
      <c r="EK64" s="18">
        <f>EJ64*VLOOKUP('Données projet'!$B$15,Paramètres!$A$1:$I$89,3,0)*VLOOKUP('Données projet'!$B$15,Paramètres!$A$1:$I$89,5,0)</f>
        <v>212.59333333333319</v>
      </c>
      <c r="EL64" s="14">
        <f t="shared" si="45"/>
        <v>52.501888831663351</v>
      </c>
      <c r="EM64" s="22">
        <f t="shared" si="19"/>
        <v>461.70751193736891</v>
      </c>
      <c r="EN64" s="62">
        <f t="shared" si="20"/>
        <v>755.04084527070222</v>
      </c>
      <c r="EO64" s="62">
        <f ca="1">AVERAGE(OFFSET($EN$3,0,0,'Données projet'!$E$15+1,1))-AVERAGE(OFFSET($H$3,0,0,'Données projet'!$E$15+1,1))</f>
        <v>445.81166342116865</v>
      </c>
      <c r="EP64" s="62">
        <f t="shared" si="46"/>
        <v>230.82970731138215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8.8000000000000007</v>
      </c>
      <c r="FE64" s="13">
        <f>IF('Données projet'!$A$218&gt;35,FE63+FD64-FM63,IF(A64&lt;'Données projet'!$A$218,$FB$205^A64,IF(A64='Données projet'!$A$218,'Données projet'!$B$218,FE63+FD64-FM63)))</f>
        <v>281.79999999999995</v>
      </c>
      <c r="FF64" s="18">
        <f>FE64*VLOOKUP('Données projet'!$B$16,Paramètres!$A$1:$I$89,3,0)*VLOOKUP('Données projet'!$B$16,Paramètres!$A$1:$I$89,5,0)</f>
        <v>272.55696</v>
      </c>
      <c r="FG64" s="14">
        <f t="shared" si="47"/>
        <v>65.391622690449097</v>
      </c>
      <c r="FH64" s="22">
        <f t="shared" si="22"/>
        <v>588.59378151919873</v>
      </c>
      <c r="FI64" s="62">
        <f t="shared" si="23"/>
        <v>881.92711485253199</v>
      </c>
      <c r="FJ64" s="62">
        <f ca="1">AVERAGE(OFFSET($FI$3,0,0,'Données projet'!$E$16+1,1))-AVERAGE(OFFSET($H$3,0,0,'Données projet'!$E$16+1,1))</f>
        <v>541.66888676162716</v>
      </c>
      <c r="FK64" s="62">
        <f t="shared" si="48"/>
        <v>294.45557293177131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>
        <f>EXP(-LN(2)/35)*FQ63+(1-EXP(-LN(2)/35))/(LN(2)/35)*FM64*FN64*VLOOKUP('Données projet'!$B$16,Paramètres!$A$1:$I$89,3,0)*0.475*44/12</f>
        <v>0</v>
      </c>
      <c r="FR64" s="23">
        <f>EXP(-LN(2)/25)*FR63+(1-EXP(-LN(2)/25))/(LN(2)/25)*Calculateur!FM64*Calculateur!FO64*VLOOKUP('Données projet'!$B$16,Paramètres!$A$1:$I$89,3,0)*0.475*44/12</f>
        <v>0</v>
      </c>
      <c r="FS64" s="23">
        <f>EXP(-LN(2)/2)*FS63+(1-EXP(-LN(2)/2))/(LN(2)/2)*FM64*FP64*VLOOKUP('Données projet'!$B$16,Paramètres!$A$1:$I$89,3,0)*0.475*44/12</f>
        <v>0</v>
      </c>
      <c r="FT64" s="24">
        <f t="shared" si="24"/>
        <v>0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8.6666666666666661</v>
      </c>
      <c r="FZ64" s="13">
        <f>IF('Données projet'!$A$244&gt;35,FZ63+FY64-GH63,IF(A64&lt;'Données projet'!$A$244,$FW$205^A64,IF(A64='Données projet'!$A$244,'Données projet'!$B$244,FZ63+FY64-GH63)))</f>
        <v>258.66666666666663</v>
      </c>
      <c r="GA64" s="18">
        <f>FZ64*VLOOKUP('Données projet'!$B$17,Paramètres!$A$1:$I$89,3,0)*VLOOKUP('Données projet'!$B$17,Paramètres!$A$1:$I$89,5,0)</f>
        <v>201.76</v>
      </c>
      <c r="GB64" s="14">
        <f t="shared" si="49"/>
        <v>50.130765000424212</v>
      </c>
      <c r="GC64" s="22">
        <f t="shared" si="25"/>
        <v>438.70974904240546</v>
      </c>
      <c r="GD64" s="62">
        <f t="shared" si="26"/>
        <v>732.04308237573878</v>
      </c>
      <c r="GE64" s="62">
        <f ca="1">AVERAGE(OFFSET($GD$3,0,0,'Données projet'!$E$17+1,1))-AVERAGE(OFFSET($H$3,0,0,'Données projet'!$E$17+1,1))</f>
        <v>292.57482726862594</v>
      </c>
      <c r="GF64" s="62">
        <f t="shared" si="50"/>
        <v>283.48738729114024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>
        <f>EXP(-LN(2)/35)*GL63+(1-EXP(-LN(2)/35))/(LN(2)/35)*GH64*GI64*VLOOKUP('Données projet'!$B$17,Paramètres!$A$1:$I$89,3,0)*0.475*44/12</f>
        <v>0</v>
      </c>
      <c r="GM64" s="23">
        <f>EXP(-LN(2)/25)*GM63+(1-EXP(-LN(2)/25))/(LN(2)/25)*Calculateur!GH64*Calculateur!GJ64*VLOOKUP('Données projet'!$B$17,Paramètres!$A$1:$I$89,3,0)*0.475*44/12</f>
        <v>0</v>
      </c>
      <c r="GN64" s="23">
        <f>EXP(-LN(2)/2)*GN63+(1-EXP(-LN(2)/2))/(LN(2)/2)*GH64*GK64*VLOOKUP('Données projet'!$B$17,Paramètres!$A$1:$I$89,3,0)*0.475*44/12</f>
        <v>0</v>
      </c>
      <c r="GO64" s="23">
        <f t="shared" si="27"/>
        <v>0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6.2820512820512819</v>
      </c>
      <c r="GU64" s="13">
        <f>IF('Données projet'!$A$270&gt;35,GU63+GT64-HC63,IF(A64&lt;'Données projet'!$A$270,$GR$205^A64,IF(A64='Données projet'!$A$270,'Données projet'!$B$270,GU63+GT64-HC63)))</f>
        <v>312.69230769230751</v>
      </c>
      <c r="GV64" s="18">
        <f>GU64*VLOOKUP('Données projet'!$B$18,Paramètres!$A$1:$I$89,3,0)*VLOOKUP('Données projet'!$B$18,Paramètres!$A$1:$I$89,5,0)</f>
        <v>209.75399999999985</v>
      </c>
      <c r="GW64" s="14">
        <f t="shared" si="51"/>
        <v>51.881824842420862</v>
      </c>
      <c r="GX64" s="22">
        <f t="shared" si="28"/>
        <v>455.68239493388273</v>
      </c>
      <c r="GY64" s="62">
        <f t="shared" si="29"/>
        <v>749.01572826721599</v>
      </c>
      <c r="GZ64" s="62">
        <f ca="1">AVERAGE(OFFSET($GY$3,0,0,'Données projet'!$E$18+1,1))-AVERAGE(OFFSET($H$3,0,0,'Données projet'!$E$18+1,1))</f>
        <v>410.20186800287411</v>
      </c>
      <c r="HA64" s="62">
        <f t="shared" si="52"/>
        <v>321.99347958016057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>
        <f>EXP(-LN(2)/35)*HG63+(1-EXP(-LN(2)/35))/(LN(2)/35)*HC64*HD64*VLOOKUP('Données projet'!$B$18,Paramètres!$A$1:$I$89,3,0)*0.475*44/12</f>
        <v>0</v>
      </c>
      <c r="HH64" s="23">
        <f>EXP(-LN(2)/25)*HH63+(1-EXP(-LN(2)/25))/(LN(2)/25)*Calculateur!HC64*Calculateur!HE64*VLOOKUP('Données projet'!$B$18,Paramètres!$A$1:$I$89,3,0)*0.475*44/12</f>
        <v>0</v>
      </c>
      <c r="HI64" s="23">
        <f>EXP(-LN(2)/2)*HI63+(1-EXP(-LN(2)/2))/(LN(2)/2)*HC64*HF64*VLOOKUP('Données projet'!$B$18,Paramètres!$A$1:$I$89,3,0)*0.475*44/12</f>
        <v>0</v>
      </c>
      <c r="HJ64" s="24">
        <f t="shared" si="30"/>
        <v>0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8.8000000000000007</v>
      </c>
      <c r="N65" s="14">
        <f>IF('Données projet'!$A$36&gt;35,N64+M65-V64,IF(A65&lt;'Données projet'!$A$36,$K$205^A65,IF(A65='Données projet'!$A$36,'Données projet'!$B$36,N64+M65-V64)))</f>
        <v>290.59999999999997</v>
      </c>
      <c r="O65" s="14">
        <f>N65*VLOOKUP('Données projet'!$B$9,Paramètres!$A$1:$I$89,3,0)*VLOOKUP('Données projet'!$B$9,Paramètres!$A$1:$I$89,5,0)</f>
        <v>262.93487999999996</v>
      </c>
      <c r="P65" s="14">
        <f t="shared" si="33"/>
        <v>63.347566493432765</v>
      </c>
      <c r="Q65" s="22">
        <f t="shared" si="53"/>
        <v>568.27526097606199</v>
      </c>
      <c r="R65" s="62">
        <f t="shared" si="0"/>
        <v>861.60859430939536</v>
      </c>
      <c r="S65" s="62">
        <f ca="1">AVERAGE(OFFSET($R$3,0,0,'Données projet'!$E$9+1,1))-AVERAGE(OFFSET($H$3,0,0,'Données projet'!$E$9+1,1))</f>
        <v>509.56241660612449</v>
      </c>
      <c r="T65" s="62">
        <f t="shared" si="34"/>
        <v>278.21741231699929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8.8000000000000007</v>
      </c>
      <c r="AI65" s="14">
        <f>IF('Données projet'!$A$62&gt;35,AI64+AH65-AQ64,IF(A65&lt;'Données projet'!$A$62,$AF$205^A65,IF(A65='Données projet'!$A$62,'Données projet'!$B$62,AI64+AH65-AQ64)))</f>
        <v>290.59999999999997</v>
      </c>
      <c r="AJ65" s="14">
        <f>AI65*VLOOKUP('Données projet'!$B$10,Paramètres!$A$1:$I$89,3,0)*VLOOKUP('Données projet'!$B$10,Paramètres!$A$1:$I$89,5,0)</f>
        <v>294.66839999999996</v>
      </c>
      <c r="AK65" s="14">
        <f t="shared" si="35"/>
        <v>70.057591528661547</v>
      </c>
      <c r="AL65" s="22">
        <f t="shared" si="4"/>
        <v>635.23110191241869</v>
      </c>
      <c r="AM65" s="62">
        <f t="shared" si="5"/>
        <v>928.56443524575207</v>
      </c>
      <c r="AN65" s="62">
        <f ca="1">AVERAGE(OFFSET($AM$3,0,0,'Données projet'!$E$10+1,1))-AVERAGE(OFFSET($H$3,0,0,'Données projet'!$E$10+1,1))</f>
        <v>565.72091871734051</v>
      </c>
      <c r="AO65" s="62">
        <f t="shared" si="36"/>
        <v>306.61893266146666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5.2399999999999975</v>
      </c>
      <c r="BD65" s="13">
        <f>IF('Données projet'!$A$88&gt;35,BD64+BC65-BL64,IF(A65&lt;'Données projet'!$A$88,$BA$205^A65,IF(A65='Données projet'!$A$88,'Données projet'!$B$88,BD64+BC65-BL64)))</f>
        <v>290.27999999999986</v>
      </c>
      <c r="BE65" s="14">
        <f>BD65*VLOOKUP('Données projet'!$B$11,Paramètres!$A$1:$I$89,3,0)*VLOOKUP('Données projet'!$B$11,Paramètres!$A$1:$I$89,5,0)</f>
        <v>212.83329599999988</v>
      </c>
      <c r="BF65" s="14">
        <f t="shared" si="37"/>
        <v>52.554248411686309</v>
      </c>
      <c r="BG65" s="22">
        <f t="shared" si="7"/>
        <v>462.21663985035343</v>
      </c>
      <c r="BH65" s="62">
        <f t="shared" si="8"/>
        <v>755.54997318368669</v>
      </c>
      <c r="BI65" s="62">
        <f ca="1">AVERAGE(OFFSET($BH$3,0,0,'Données projet'!$E$11+1,1))-AVERAGE(OFFSET($H$3,0,0,'Données projet'!$E$11+1,1))</f>
        <v>344.26020118887629</v>
      </c>
      <c r="BJ65" s="62">
        <f t="shared" si="38"/>
        <v>376.41441893222185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8.8000000000000007</v>
      </c>
      <c r="BY65" s="13">
        <f>IF('Données projet'!$A$114&gt;35,BY64+BX65-CG64,IF(A65&lt;'Données projet'!$A$114,$BV$205^A65,IF(A65='Données projet'!$A$114,'Données projet'!$B$114,BY64+BX65-CG64)))</f>
        <v>290.59999999999997</v>
      </c>
      <c r="BZ65" s="14">
        <f>BY65*VLOOKUP('Données projet'!$B$12,Paramètres!$A$1:$I$89,3,0)*VLOOKUP('Données projet'!$B$12,Paramètres!$A$1:$I$89,5,0)</f>
        <v>244.80143999999999</v>
      </c>
      <c r="CA65" s="14">
        <f t="shared" si="39"/>
        <v>59.471389714596519</v>
      </c>
      <c r="CB65" s="22">
        <f t="shared" si="10"/>
        <v>529.94184508625551</v>
      </c>
      <c r="CC65" s="62">
        <f t="shared" si="11"/>
        <v>823.27517841958888</v>
      </c>
      <c r="CD65" s="62">
        <f ca="1">AVERAGE(OFFSET($CC$3,0,0,'Données projet'!$E$12+1,1))-AVERAGE(OFFSET($H$3,0,0,'Données projet'!$E$12+1,1))</f>
        <v>477.4105367901771</v>
      </c>
      <c r="CE65" s="62">
        <f t="shared" si="40"/>
        <v>261.95434270986397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10.769230769230768</v>
      </c>
      <c r="CT65" s="13">
        <f>IF('Données projet'!$A$140&gt;35,CT64+CS65-DB64,IF(A65&lt;'Données projet'!$A$140,$CQ$205^A65,IF(A65='Données projet'!$A$140,'Données projet'!$B$140,CT64+CS65-DB64)))</f>
        <v>339.99999999999994</v>
      </c>
      <c r="CU65" s="18">
        <f>CT65*VLOOKUP('Données projet'!$B$13,Paramètres!$A$1:$I$89,3,0)*VLOOKUP('Données projet'!$B$13,Paramètres!$A$1:$I$89,5,0)</f>
        <v>159.11999999999998</v>
      </c>
      <c r="CV65" s="14">
        <f t="shared" si="41"/>
        <v>40.643965284387697</v>
      </c>
      <c r="CW65" s="22">
        <f t="shared" si="13"/>
        <v>347.92223953697516</v>
      </c>
      <c r="CX65" s="62">
        <f t="shared" si="14"/>
        <v>641.25557287030847</v>
      </c>
      <c r="CY65" s="62">
        <f ca="1">AVERAGE(OFFSET($CX$3,0,0,'Données projet'!$E$13+1,1))-AVERAGE(OFFSET($H$3,0,0,'Données projet'!$E$13+1,1))</f>
        <v>246.64907095367749</v>
      </c>
      <c r="CZ65" s="62">
        <f t="shared" si="42"/>
        <v>145.34368562171613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5.2399999999999975</v>
      </c>
      <c r="DO65" s="13">
        <f>IF('Données projet'!$A$166&gt;35,DO64+DN65-DW64,IF(A65&lt;'Données projet'!$A$166,$DL$205^A65,IF(A65='Données projet'!$A$166,'Données projet'!$B$166,DO64+DN65-DW64)))</f>
        <v>290.27999999999986</v>
      </c>
      <c r="DP65" s="18">
        <f>DO65*VLOOKUP('Données projet'!$B$14,Paramètres!$A$1:$I$89,3,0)*VLOOKUP('Données projet'!$B$14,Paramètres!$A$1:$I$89,5,0)</f>
        <v>230.94676799999991</v>
      </c>
      <c r="DQ65" s="14">
        <f t="shared" si="43"/>
        <v>56.487345939251334</v>
      </c>
      <c r="DR65" s="22">
        <f t="shared" si="16"/>
        <v>500.61441511086258</v>
      </c>
      <c r="DS65" s="62">
        <f t="shared" si="17"/>
        <v>793.94774844419589</v>
      </c>
      <c r="DT65" s="62">
        <f ca="1">AVERAGE(OFFSET($DS$3,0,0,'Données projet'!$E$14+1,1))-AVERAGE(OFFSET($H$3,0,0,'Données projet'!$E$14+1,1))</f>
        <v>370.38521334472284</v>
      </c>
      <c r="DU65" s="62">
        <f t="shared" si="44"/>
        <v>404.61777090709171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13.777777777777779</v>
      </c>
      <c r="EJ65" s="13">
        <f>IF('Données projet'!$A$192&gt;35,EJ64+EI65-ER64,IF(A65&lt;'Données projet'!$A$192,$EG$205^A65,IF(A65='Données projet'!$A$192,'Données projet'!$B$192,EJ64+EI65-ER64)))</f>
        <v>261.55555555555537</v>
      </c>
      <c r="EK65" s="18">
        <f>EJ65*VLOOKUP('Données projet'!$B$15,Paramètres!$A$1:$I$89,3,0)*VLOOKUP('Données projet'!$B$15,Paramètres!$A$1:$I$89,5,0)</f>
        <v>224.41466666666653</v>
      </c>
      <c r="EL65" s="14">
        <f t="shared" si="45"/>
        <v>55.073279400945509</v>
      </c>
      <c r="EM65" s="22">
        <f t="shared" si="19"/>
        <v>486.77483940109096</v>
      </c>
      <c r="EN65" s="62">
        <f t="shared" si="20"/>
        <v>780.10817273442422</v>
      </c>
      <c r="EO65" s="62">
        <f ca="1">AVERAGE(OFFSET($EN$3,0,0,'Données projet'!$E$15+1,1))-AVERAGE(OFFSET($H$3,0,0,'Données projet'!$E$15+1,1))</f>
        <v>445.81166342116865</v>
      </c>
      <c r="EP65" s="62">
        <f t="shared" si="46"/>
        <v>230.82970731138215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8.8000000000000007</v>
      </c>
      <c r="FE65" s="13">
        <f>IF('Données projet'!$A$218&gt;35,FE64+FD65-FM64,IF(A65&lt;'Données projet'!$A$218,$FB$205^A65,IF(A65='Données projet'!$A$218,'Données projet'!$B$218,FE64+FD65-FM64)))</f>
        <v>290.59999999999997</v>
      </c>
      <c r="FF65" s="18">
        <f>FE65*VLOOKUP('Données projet'!$B$16,Paramètres!$A$1:$I$89,3,0)*VLOOKUP('Données projet'!$B$16,Paramètres!$A$1:$I$89,5,0)</f>
        <v>281.06831999999997</v>
      </c>
      <c r="FG65" s="14">
        <f t="shared" si="47"/>
        <v>67.19272554541665</v>
      </c>
      <c r="FH65" s="22">
        <f t="shared" si="22"/>
        <v>606.55465432493395</v>
      </c>
      <c r="FI65" s="62">
        <f t="shared" si="23"/>
        <v>899.88798765826732</v>
      </c>
      <c r="FJ65" s="62">
        <f ca="1">AVERAGE(OFFSET($FI$3,0,0,'Données projet'!$E$16+1,1))-AVERAGE(OFFSET($H$3,0,0,'Données projet'!$E$16+1,1))</f>
        <v>541.66888676162716</v>
      </c>
      <c r="FK65" s="62">
        <f t="shared" si="48"/>
        <v>294.45557293177131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>
        <f>EXP(-LN(2)/35)*FQ64+(1-EXP(-LN(2)/35))/(LN(2)/35)*FM65*FN65*VLOOKUP('Données projet'!$B$16,Paramètres!$A$1:$I$89,3,0)*0.475*44/12</f>
        <v>0</v>
      </c>
      <c r="FR65" s="23">
        <f>EXP(-LN(2)/25)*FR64+(1-EXP(-LN(2)/25))/(LN(2)/25)*Calculateur!FM65*Calculateur!FO65*VLOOKUP('Données projet'!$B$16,Paramètres!$A$1:$I$89,3,0)*0.475*44/12</f>
        <v>0</v>
      </c>
      <c r="FS65" s="23">
        <f>EXP(-LN(2)/2)*FS64+(1-EXP(-LN(2)/2))/(LN(2)/2)*FM65*FP65*VLOOKUP('Données projet'!$B$16,Paramètres!$A$1:$I$89,3,0)*0.475*44/12</f>
        <v>0</v>
      </c>
      <c r="FT65" s="24">
        <f t="shared" si="24"/>
        <v>0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8.6666666666666661</v>
      </c>
      <c r="FZ65" s="13">
        <f>IF('Données projet'!$A$244&gt;35,FZ64+FY65-GH64,IF(A65&lt;'Données projet'!$A$244,$FW$205^A65,IF(A65='Données projet'!$A$244,'Données projet'!$B$244,FZ64+FY65-GH64)))</f>
        <v>267.33333333333331</v>
      </c>
      <c r="GA65" s="18">
        <f>FZ65*VLOOKUP('Données projet'!$B$17,Paramètres!$A$1:$I$89,3,0)*VLOOKUP('Données projet'!$B$17,Paramètres!$A$1:$I$89,5,0)</f>
        <v>208.51999999999998</v>
      </c>
      <c r="GB65" s="14">
        <f t="shared" si="49"/>
        <v>51.612035456318509</v>
      </c>
      <c r="GC65" s="22">
        <f t="shared" si="25"/>
        <v>453.06329508642131</v>
      </c>
      <c r="GD65" s="62">
        <f t="shared" si="26"/>
        <v>746.39662841975462</v>
      </c>
      <c r="GE65" s="62">
        <f ca="1">AVERAGE(OFFSET($GD$3,0,0,'Données projet'!$E$17+1,1))-AVERAGE(OFFSET($H$3,0,0,'Données projet'!$E$17+1,1))</f>
        <v>292.57482726862594</v>
      </c>
      <c r="GF65" s="62">
        <f t="shared" si="50"/>
        <v>283.48738729114024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>
        <f>EXP(-LN(2)/35)*GL64+(1-EXP(-LN(2)/35))/(LN(2)/35)*GH65*GI65*VLOOKUP('Données projet'!$B$17,Paramètres!$A$1:$I$89,3,0)*0.475*44/12</f>
        <v>0</v>
      </c>
      <c r="GM65" s="23">
        <f>EXP(-LN(2)/25)*GM64+(1-EXP(-LN(2)/25))/(LN(2)/25)*Calculateur!GH65*Calculateur!GJ65*VLOOKUP('Données projet'!$B$17,Paramètres!$A$1:$I$89,3,0)*0.475*44/12</f>
        <v>0</v>
      </c>
      <c r="GN65" s="23">
        <f>EXP(-LN(2)/2)*GN64+(1-EXP(-LN(2)/2))/(LN(2)/2)*GH65*GK65*VLOOKUP('Données projet'!$B$17,Paramètres!$A$1:$I$89,3,0)*0.475*44/12</f>
        <v>0</v>
      </c>
      <c r="GO65" s="23">
        <f t="shared" si="27"/>
        <v>0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6.2820512820512819</v>
      </c>
      <c r="GU65" s="13">
        <f>IF('Données projet'!$A$270&gt;35,GU64+GT65-HC64,IF(A65&lt;'Données projet'!$A$270,$GR$205^A65,IF(A65='Données projet'!$A$270,'Données projet'!$B$270,GU64+GT65-HC64)))</f>
        <v>318.97435897435878</v>
      </c>
      <c r="GV65" s="18">
        <f>GU65*VLOOKUP('Données projet'!$B$18,Paramètres!$A$1:$I$89,3,0)*VLOOKUP('Données projet'!$B$18,Paramètres!$A$1:$I$89,5,0)</f>
        <v>213.96799999999985</v>
      </c>
      <c r="GW65" s="14">
        <f t="shared" si="51"/>
        <v>52.801746609520308</v>
      </c>
      <c r="GX65" s="22">
        <f t="shared" si="28"/>
        <v>464.62397534491424</v>
      </c>
      <c r="GY65" s="62">
        <f t="shared" si="29"/>
        <v>757.9573086782475</v>
      </c>
      <c r="GZ65" s="62">
        <f ca="1">AVERAGE(OFFSET($GY$3,0,0,'Données projet'!$E$18+1,1))-AVERAGE(OFFSET($H$3,0,0,'Données projet'!$E$18+1,1))</f>
        <v>410.20186800287411</v>
      </c>
      <c r="HA65" s="62">
        <f t="shared" si="52"/>
        <v>321.99347958016057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>
        <f>EXP(-LN(2)/35)*HG64+(1-EXP(-LN(2)/35))/(LN(2)/35)*HC65*HD65*VLOOKUP('Données projet'!$B$18,Paramètres!$A$1:$I$89,3,0)*0.475*44/12</f>
        <v>0</v>
      </c>
      <c r="HH65" s="23">
        <f>EXP(-LN(2)/25)*HH64+(1-EXP(-LN(2)/25))/(LN(2)/25)*Calculateur!HC65*Calculateur!HE65*VLOOKUP('Données projet'!$B$18,Paramètres!$A$1:$I$89,3,0)*0.475*44/12</f>
        <v>0</v>
      </c>
      <c r="HI65" s="23">
        <f>EXP(-LN(2)/2)*HI64+(1-EXP(-LN(2)/2))/(LN(2)/2)*HC65*HF65*VLOOKUP('Données projet'!$B$18,Paramètres!$A$1:$I$89,3,0)*0.475*44/12</f>
        <v>0</v>
      </c>
      <c r="HJ65" s="24">
        <f t="shared" si="30"/>
        <v>0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8.8000000000000007</v>
      </c>
      <c r="N66" s="14">
        <f>IF('Données projet'!$A$36&gt;35,N65+M66-V65,IF(A66&lt;'Données projet'!$A$36,$K$205^A66,IF(A66='Données projet'!$A$36,'Données projet'!$B$36,N65+M66-V65)))</f>
        <v>299.39999999999998</v>
      </c>
      <c r="O66" s="14">
        <f>N66*VLOOKUP('Données projet'!$B$9,Paramètres!$A$1:$I$89,3,0)*VLOOKUP('Données projet'!$B$9,Paramètres!$A$1:$I$89,5,0)</f>
        <v>270.89711999999997</v>
      </c>
      <c r="P66" s="14">
        <f t="shared" si="33"/>
        <v>65.039624021315475</v>
      </c>
      <c r="Q66" s="22">
        <f t="shared" si="53"/>
        <v>585.08982917045773</v>
      </c>
      <c r="R66" s="62">
        <f t="shared" si="0"/>
        <v>878.42316250379099</v>
      </c>
      <c r="S66" s="62">
        <f ca="1">AVERAGE(OFFSET($R$3,0,0,'Données projet'!$E$9+1,1))-AVERAGE(OFFSET($H$3,0,0,'Données projet'!$E$9+1,1))</f>
        <v>509.56241660612449</v>
      </c>
      <c r="T66" s="62">
        <f t="shared" si="34"/>
        <v>278.21741231699929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8.8000000000000007</v>
      </c>
      <c r="AI66" s="14">
        <f>IF('Données projet'!$A$62&gt;35,AI65+AH66-AQ65,IF(A66&lt;'Données projet'!$A$62,$AF$205^A66,IF(A66='Données projet'!$A$62,'Données projet'!$B$62,AI65+AH66-AQ65)))</f>
        <v>299.39999999999998</v>
      </c>
      <c r="AJ66" s="14">
        <f>AI66*VLOOKUP('Données projet'!$B$10,Paramètres!$A$1:$I$89,3,0)*VLOOKUP('Données projet'!$B$10,Paramètres!$A$1:$I$89,5,0)</f>
        <v>303.59159999999997</v>
      </c>
      <c r="AK66" s="14">
        <f t="shared" si="35"/>
        <v>71.928878488732749</v>
      </c>
      <c r="AL66" s="22">
        <f t="shared" si="4"/>
        <v>654.03150003454277</v>
      </c>
      <c r="AM66" s="62">
        <f t="shared" si="5"/>
        <v>947.36483336787614</v>
      </c>
      <c r="AN66" s="62">
        <f ca="1">AVERAGE(OFFSET($AM$3,0,0,'Données projet'!$E$10+1,1))-AVERAGE(OFFSET($H$3,0,0,'Données projet'!$E$10+1,1))</f>
        <v>565.72091871734051</v>
      </c>
      <c r="AO66" s="62">
        <f t="shared" si="36"/>
        <v>306.61893266146666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5.2399999999999975</v>
      </c>
      <c r="BD66" s="13">
        <f>IF('Données projet'!$A$88&gt;35,BD65+BC66-BL65,IF(A66&lt;'Données projet'!$A$88,$BA$205^A66,IF(A66='Données projet'!$A$88,'Données projet'!$B$88,BD65+BC66-BL65)))</f>
        <v>295.51999999999987</v>
      </c>
      <c r="BE66" s="14">
        <f>BD66*VLOOKUP('Données projet'!$B$11,Paramètres!$A$1:$I$89,3,0)*VLOOKUP('Données projet'!$B$11,Paramètres!$A$1:$I$89,5,0)</f>
        <v>216.67526399999991</v>
      </c>
      <c r="BF66" s="14">
        <f t="shared" si="37"/>
        <v>53.391631603175213</v>
      </c>
      <c r="BG66" s="22">
        <f t="shared" si="7"/>
        <v>470.36650984219659</v>
      </c>
      <c r="BH66" s="62">
        <f t="shared" si="8"/>
        <v>763.69984317552985</v>
      </c>
      <c r="BI66" s="62">
        <f ca="1">AVERAGE(OFFSET($BH$3,0,0,'Données projet'!$E$11+1,1))-AVERAGE(OFFSET($H$3,0,0,'Données projet'!$E$11+1,1))</f>
        <v>344.26020118887629</v>
      </c>
      <c r="BJ66" s="62">
        <f t="shared" si="38"/>
        <v>376.41441893222185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8.8000000000000007</v>
      </c>
      <c r="BY66" s="13">
        <f>IF('Données projet'!$A$114&gt;35,BY65+BX66-CG65,IF(A66&lt;'Données projet'!$A$114,$BV$205^A66,IF(A66='Données projet'!$A$114,'Données projet'!$B$114,BY65+BX66-CG65)))</f>
        <v>299.39999999999998</v>
      </c>
      <c r="BZ66" s="14">
        <f>BY66*VLOOKUP('Données projet'!$B$12,Paramètres!$A$1:$I$89,3,0)*VLOOKUP('Données projet'!$B$12,Paramètres!$A$1:$I$89,5,0)</f>
        <v>252.21455999999998</v>
      </c>
      <c r="CA66" s="14">
        <f t="shared" si="39"/>
        <v>61.059911866756252</v>
      </c>
      <c r="CB66" s="22">
        <f t="shared" si="10"/>
        <v>545.61970516793383</v>
      </c>
      <c r="CC66" s="62">
        <f t="shared" si="11"/>
        <v>838.9530385012672</v>
      </c>
      <c r="CD66" s="62">
        <f ca="1">AVERAGE(OFFSET($CC$3,0,0,'Données projet'!$E$12+1,1))-AVERAGE(OFFSET($H$3,0,0,'Données projet'!$E$12+1,1))</f>
        <v>477.4105367901771</v>
      </c>
      <c r="CE66" s="62">
        <f t="shared" si="40"/>
        <v>261.95434270986397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>
        <f>VLOOKUP(A66,'Données projet'!$A$139:$I$159,2,0)</f>
        <v>350.76923076923077</v>
      </c>
      <c r="CR66" s="13">
        <f>VLOOKUP(A66,'Données projet'!$A$139:$I$159,9,0)</f>
        <v>10.769230769230768</v>
      </c>
      <c r="CS66" s="13">
        <f t="array" ref="CS66">INDEX(CR:CR,MIN(IF(ISNUMBER(CR66:CR262),ROW(CR66:CR262),"")))</f>
        <v>10.769230769230768</v>
      </c>
      <c r="CT66" s="13">
        <f>IF('Données projet'!$A$140&gt;35,CT65+CS66-DB65,IF(A66&lt;'Données projet'!$A$140,$CQ$205^A66,IF(A66='Données projet'!$A$140,'Données projet'!$B$140,CT65+CS66-DB65)))</f>
        <v>350.76923076923072</v>
      </c>
      <c r="CU66" s="18">
        <f>CT66*VLOOKUP('Données projet'!$B$13,Paramètres!$A$1:$I$89,3,0)*VLOOKUP('Données projet'!$B$13,Paramètres!$A$1:$I$89,5,0)</f>
        <v>164.15999999999997</v>
      </c>
      <c r="CV66" s="14">
        <f t="shared" si="41"/>
        <v>41.779408735262933</v>
      </c>
      <c r="CW66" s="22">
        <f t="shared" si="13"/>
        <v>358.67780354724954</v>
      </c>
      <c r="CX66" s="62">
        <f t="shared" si="14"/>
        <v>652.01113688058285</v>
      </c>
      <c r="CY66" s="62">
        <f ca="1">AVERAGE(OFFSET($CX$3,0,0,'Données projet'!$E$13+1,1))-AVERAGE(OFFSET($H$3,0,0,'Données projet'!$E$13+1,1))</f>
        <v>246.64907095367749</v>
      </c>
      <c r="CZ66" s="62">
        <f t="shared" si="42"/>
        <v>145.34368562171613</v>
      </c>
      <c r="DA66" s="16">
        <f>IF(ISNA(VLOOKUP(A66,'Données projet'!$A$139:$I$159,3,0)),0,VLOOKUP(A66,'Données projet'!$A$139:$I$159,3,0))</f>
        <v>2</v>
      </c>
      <c r="DB66" s="16">
        <f>IF(ISNA(VLOOKUP(A66,'Données projet'!$A$139:$I$159,4,0)),0,VLOOKUP(A66,'Données projet'!$A$139:$I$159,4,0))</f>
        <v>108.46153846153845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5.2399999999999975</v>
      </c>
      <c r="DO66" s="13">
        <f>IF('Données projet'!$A$166&gt;35,DO65+DN66-DW65,IF(A66&lt;'Données projet'!$A$166,$DL$205^A66,IF(A66='Données projet'!$A$166,'Données projet'!$B$166,DO65+DN66-DW65)))</f>
        <v>295.51999999999987</v>
      </c>
      <c r="DP66" s="18">
        <f>DO66*VLOOKUP('Données projet'!$B$14,Paramètres!$A$1:$I$89,3,0)*VLOOKUP('Données projet'!$B$14,Paramètres!$A$1:$I$89,5,0)</f>
        <v>235.11571199999989</v>
      </c>
      <c r="DQ66" s="14">
        <f t="shared" si="43"/>
        <v>57.387397894153374</v>
      </c>
      <c r="DR66" s="22">
        <f t="shared" si="16"/>
        <v>509.44291639898364</v>
      </c>
      <c r="DS66" s="62">
        <f t="shared" si="17"/>
        <v>802.77624973231696</v>
      </c>
      <c r="DT66" s="62">
        <f ca="1">AVERAGE(OFFSET($DS$3,0,0,'Données projet'!$E$14+1,1))-AVERAGE(OFFSET($H$3,0,0,'Données projet'!$E$14+1,1))</f>
        <v>370.38521334472284</v>
      </c>
      <c r="DU66" s="62">
        <f t="shared" si="44"/>
        <v>404.61777090709171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13.777777777777779</v>
      </c>
      <c r="EJ66" s="13">
        <f>IF('Données projet'!$A$192&gt;35,EJ65+EI66-ER65,IF(A66&lt;'Données projet'!$A$192,$EG$205^A66,IF(A66='Données projet'!$A$192,'Données projet'!$B$192,EJ65+EI66-ER65)))</f>
        <v>275.33333333333314</v>
      </c>
      <c r="EK66" s="18">
        <f>EJ66*VLOOKUP('Données projet'!$B$15,Paramètres!$A$1:$I$89,3,0)*VLOOKUP('Données projet'!$B$15,Paramètres!$A$1:$I$89,5,0)</f>
        <v>236.23599999999988</v>
      </c>
      <c r="EL66" s="14">
        <f t="shared" si="45"/>
        <v>57.628943995616872</v>
      </c>
      <c r="EM66" s="22">
        <f t="shared" si="19"/>
        <v>511.81477745903248</v>
      </c>
      <c r="EN66" s="62">
        <f t="shared" si="20"/>
        <v>805.14811079236574</v>
      </c>
      <c r="EO66" s="62">
        <f ca="1">AVERAGE(OFFSET($EN$3,0,0,'Données projet'!$E$15+1,1))-AVERAGE(OFFSET($H$3,0,0,'Données projet'!$E$15+1,1))</f>
        <v>445.81166342116865</v>
      </c>
      <c r="EP66" s="62">
        <f t="shared" si="46"/>
        <v>230.82970731138215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8.8000000000000007</v>
      </c>
      <c r="FE66" s="13">
        <f>IF('Données projet'!$A$218&gt;35,FE65+FD66-FM65,IF(A66&lt;'Données projet'!$A$218,$FB$205^A66,IF(A66='Données projet'!$A$218,'Données projet'!$B$218,FE65+FD66-FM65)))</f>
        <v>299.39999999999998</v>
      </c>
      <c r="FF66" s="18">
        <f>FE66*VLOOKUP('Données projet'!$B$16,Paramètres!$A$1:$I$89,3,0)*VLOOKUP('Données projet'!$B$16,Paramètres!$A$1:$I$89,5,0)</f>
        <v>289.57968</v>
      </c>
      <c r="FG66" s="14">
        <f t="shared" si="47"/>
        <v>68.987489943980663</v>
      </c>
      <c r="FH66" s="22">
        <f t="shared" si="22"/>
        <v>624.504487652433</v>
      </c>
      <c r="FI66" s="62">
        <f t="shared" si="23"/>
        <v>917.83782098576626</v>
      </c>
      <c r="FJ66" s="62">
        <f ca="1">AVERAGE(OFFSET($FI$3,0,0,'Données projet'!$E$16+1,1))-AVERAGE(OFFSET($H$3,0,0,'Données projet'!$E$16+1,1))</f>
        <v>541.66888676162716</v>
      </c>
      <c r="FK66" s="62">
        <f t="shared" si="48"/>
        <v>294.45557293177131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>
        <f>EXP(-LN(2)/35)*FQ65+(1-EXP(-LN(2)/35))/(LN(2)/35)*FM66*FN66*VLOOKUP('Données projet'!$B$16,Paramètres!$A$1:$I$89,3,0)*0.475*44/12</f>
        <v>0</v>
      </c>
      <c r="FR66" s="23">
        <f>EXP(-LN(2)/25)*FR65+(1-EXP(-LN(2)/25))/(LN(2)/25)*Calculateur!FM66*Calculateur!FO66*VLOOKUP('Données projet'!$B$16,Paramètres!$A$1:$I$89,3,0)*0.475*44/12</f>
        <v>0</v>
      </c>
      <c r="FS66" s="23">
        <f>EXP(-LN(2)/2)*FS65+(1-EXP(-LN(2)/2))/(LN(2)/2)*FM66*FP66*VLOOKUP('Données projet'!$B$16,Paramètres!$A$1:$I$89,3,0)*0.475*44/12</f>
        <v>0</v>
      </c>
      <c r="FT66" s="24">
        <f t="shared" si="24"/>
        <v>0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8.6666666666666661</v>
      </c>
      <c r="FZ66" s="13">
        <f>IF('Données projet'!$A$244&gt;35,FZ65+FY66-GH65,IF(A66&lt;'Données projet'!$A$244,$FW$205^A66,IF(A66='Données projet'!$A$244,'Données projet'!$B$244,FZ65+FY66-GH65)))</f>
        <v>276</v>
      </c>
      <c r="GA66" s="18">
        <f>FZ66*VLOOKUP('Données projet'!$B$17,Paramètres!$A$1:$I$89,3,0)*VLOOKUP('Données projet'!$B$17,Paramètres!$A$1:$I$89,5,0)</f>
        <v>215.28</v>
      </c>
      <c r="GB66" s="14">
        <f t="shared" si="49"/>
        <v>53.087725740853138</v>
      </c>
      <c r="GC66" s="22">
        <f t="shared" si="25"/>
        <v>467.40712233198587</v>
      </c>
      <c r="GD66" s="62">
        <f t="shared" si="26"/>
        <v>760.74045566531913</v>
      </c>
      <c r="GE66" s="62">
        <f ca="1">AVERAGE(OFFSET($GD$3,0,0,'Données projet'!$E$17+1,1))-AVERAGE(OFFSET($H$3,0,0,'Données projet'!$E$17+1,1))</f>
        <v>292.57482726862594</v>
      </c>
      <c r="GF66" s="62">
        <f t="shared" si="50"/>
        <v>283.48738729114024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>
        <f>EXP(-LN(2)/35)*GL65+(1-EXP(-LN(2)/35))/(LN(2)/35)*GH66*GI66*VLOOKUP('Données projet'!$B$17,Paramètres!$A$1:$I$89,3,0)*0.475*44/12</f>
        <v>0</v>
      </c>
      <c r="GM66" s="23">
        <f>EXP(-LN(2)/25)*GM65+(1-EXP(-LN(2)/25))/(LN(2)/25)*Calculateur!GH66*Calculateur!GJ66*VLOOKUP('Données projet'!$B$17,Paramètres!$A$1:$I$89,3,0)*0.475*44/12</f>
        <v>0</v>
      </c>
      <c r="GN66" s="23">
        <f>EXP(-LN(2)/2)*GN65+(1-EXP(-LN(2)/2))/(LN(2)/2)*GH66*GK66*VLOOKUP('Données projet'!$B$17,Paramètres!$A$1:$I$89,3,0)*0.475*44/12</f>
        <v>0</v>
      </c>
      <c r="GO66" s="23">
        <f t="shared" si="27"/>
        <v>0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6.2820512820512819</v>
      </c>
      <c r="GU66" s="13">
        <f>IF('Données projet'!$A$270&gt;35,GU65+GT66-HC65,IF(A66&lt;'Données projet'!$A$270,$GR$205^A66,IF(A66='Données projet'!$A$270,'Données projet'!$B$270,GU65+GT66-HC65)))</f>
        <v>325.25641025641005</v>
      </c>
      <c r="GV66" s="18">
        <f>GU66*VLOOKUP('Données projet'!$B$18,Paramètres!$A$1:$I$89,3,0)*VLOOKUP('Données projet'!$B$18,Paramètres!$A$1:$I$89,5,0)</f>
        <v>218.18199999999985</v>
      </c>
      <c r="GW66" s="14">
        <f t="shared" si="51"/>
        <v>53.719561779161474</v>
      </c>
      <c r="GX66" s="22">
        <f t="shared" si="28"/>
        <v>473.56188676537266</v>
      </c>
      <c r="GY66" s="62">
        <f t="shared" si="29"/>
        <v>766.89522009870598</v>
      </c>
      <c r="GZ66" s="62">
        <f ca="1">AVERAGE(OFFSET($GY$3,0,0,'Données projet'!$E$18+1,1))-AVERAGE(OFFSET($H$3,0,0,'Données projet'!$E$18+1,1))</f>
        <v>410.20186800287411</v>
      </c>
      <c r="HA66" s="62">
        <f t="shared" si="52"/>
        <v>321.99347958016057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>
        <f>EXP(-LN(2)/35)*HG65+(1-EXP(-LN(2)/35))/(LN(2)/35)*HC66*HD66*VLOOKUP('Données projet'!$B$18,Paramètres!$A$1:$I$89,3,0)*0.475*44/12</f>
        <v>0</v>
      </c>
      <c r="HH66" s="23">
        <f>EXP(-LN(2)/25)*HH65+(1-EXP(-LN(2)/25))/(LN(2)/25)*Calculateur!HC66*Calculateur!HE66*VLOOKUP('Données projet'!$B$18,Paramètres!$A$1:$I$89,3,0)*0.475*44/12</f>
        <v>0</v>
      </c>
      <c r="HI66" s="23">
        <f>EXP(-LN(2)/2)*HI65+(1-EXP(-LN(2)/2))/(LN(2)/2)*HC66*HF66*VLOOKUP('Données projet'!$B$18,Paramètres!$A$1:$I$89,3,0)*0.475*44/12</f>
        <v>0</v>
      </c>
      <c r="HJ66" s="24">
        <f t="shared" si="30"/>
        <v>0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8.8000000000000007</v>
      </c>
      <c r="N67" s="14">
        <f>IF('Données projet'!$A$36&gt;35,N66+M67-V66,IF(A67&lt;'Données projet'!$A$36,$K$205^A67,IF(A67='Données projet'!$A$36,'Données projet'!$B$36,N66+M67-V66)))</f>
        <v>308.2</v>
      </c>
      <c r="O67" s="14">
        <f>N67*VLOOKUP('Données projet'!$B$9,Paramètres!$A$1:$I$89,3,0)*VLOOKUP('Données projet'!$B$9,Paramètres!$A$1:$I$89,5,0)</f>
        <v>278.85935999999998</v>
      </c>
      <c r="P67" s="14">
        <f t="shared" si="33"/>
        <v>66.725901622172444</v>
      </c>
      <c r="Q67" s="22">
        <f t="shared" ref="Q67:Q98" si="54">(O67+P67)*0.475*44/12</f>
        <v>601.89433065861692</v>
      </c>
      <c r="R67" s="62">
        <f t="shared" ref="R67:R130" si="55">Q67+(I67+J67)*44/12</f>
        <v>895.22766399195029</v>
      </c>
      <c r="S67" s="62">
        <f ca="1">AVERAGE(OFFSET($R$3,0,0,'Données projet'!$E$9+1,1))-AVERAGE(OFFSET($H$3,0,0,'Données projet'!$E$9+1,1))</f>
        <v>509.56241660612449</v>
      </c>
      <c r="T67" s="62">
        <f t="shared" si="34"/>
        <v>278.21741231699929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8.8000000000000007</v>
      </c>
      <c r="AI67" s="14">
        <f>IF('Données projet'!$A$62&gt;35,AI66+AH67-AQ66,IF(A67&lt;'Données projet'!$A$62,$AF$205^A67,IF(A67='Données projet'!$A$62,'Données projet'!$B$62,AI66+AH67-AQ66)))</f>
        <v>308.2</v>
      </c>
      <c r="AJ67" s="14">
        <f>AI67*VLOOKUP('Données projet'!$B$10,Paramètres!$A$1:$I$89,3,0)*VLOOKUP('Données projet'!$B$10,Paramètres!$A$1:$I$89,5,0)</f>
        <v>312.51480000000004</v>
      </c>
      <c r="AK67" s="14">
        <f t="shared" si="35"/>
        <v>73.793773289024969</v>
      </c>
      <c r="AL67" s="22">
        <f t="shared" si="4"/>
        <v>672.82076514505184</v>
      </c>
      <c r="AM67" s="62">
        <f t="shared" si="5"/>
        <v>966.15409847838509</v>
      </c>
      <c r="AN67" s="62">
        <f ca="1">AVERAGE(OFFSET($AM$3,0,0,'Données projet'!$E$10+1,1))-AVERAGE(OFFSET($H$3,0,0,'Données projet'!$E$10+1,1))</f>
        <v>565.72091871734051</v>
      </c>
      <c r="AO67" s="62">
        <f t="shared" si="36"/>
        <v>306.61893266146666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5.2399999999999975</v>
      </c>
      <c r="BD67" s="13">
        <f>IF('Données projet'!$A$88&gt;35,BD66+BC67-BL66,IF(A67&lt;'Données projet'!$A$88,$BA$205^A67,IF(A67='Données projet'!$A$88,'Données projet'!$B$88,BD66+BC67-BL66)))</f>
        <v>300.75999999999988</v>
      </c>
      <c r="BE67" s="14">
        <f>BD67*VLOOKUP('Données projet'!$B$11,Paramètres!$A$1:$I$89,3,0)*VLOOKUP('Données projet'!$B$11,Paramètres!$A$1:$I$89,5,0)</f>
        <v>220.51723199999989</v>
      </c>
      <c r="BF67" s="14">
        <f t="shared" si="37"/>
        <v>54.22728817140964</v>
      </c>
      <c r="BG67" s="22">
        <f t="shared" si="7"/>
        <v>478.51337263187162</v>
      </c>
      <c r="BH67" s="62">
        <f t="shared" si="8"/>
        <v>771.84670596520493</v>
      </c>
      <c r="BI67" s="62">
        <f ca="1">AVERAGE(OFFSET($BH$3,0,0,'Données projet'!$E$11+1,1))-AVERAGE(OFFSET($H$3,0,0,'Données projet'!$E$11+1,1))</f>
        <v>344.26020118887629</v>
      </c>
      <c r="BJ67" s="62">
        <f t="shared" si="38"/>
        <v>376.41441893222185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8.8000000000000007</v>
      </c>
      <c r="BY67" s="13">
        <f>IF('Données projet'!$A$114&gt;35,BY66+BX67-CG66,IF(A67&lt;'Données projet'!$A$114,$BV$205^A67,IF(A67='Données projet'!$A$114,'Données projet'!$B$114,BY66+BX67-CG66)))</f>
        <v>308.2</v>
      </c>
      <c r="BZ67" s="14">
        <f>BY67*VLOOKUP('Données projet'!$B$12,Paramètres!$A$1:$I$89,3,0)*VLOOKUP('Données projet'!$B$12,Paramètres!$A$1:$I$89,5,0)</f>
        <v>259.62768</v>
      </c>
      <c r="CA67" s="14">
        <f t="shared" si="39"/>
        <v>62.643007760076095</v>
      </c>
      <c r="CB67" s="22">
        <f t="shared" si="10"/>
        <v>561.28811451546585</v>
      </c>
      <c r="CC67" s="62">
        <f t="shared" si="11"/>
        <v>854.62144784879911</v>
      </c>
      <c r="CD67" s="62">
        <f ca="1">AVERAGE(OFFSET($CC$3,0,0,'Données projet'!$E$12+1,1))-AVERAGE(OFFSET($H$3,0,0,'Données projet'!$E$12+1,1))</f>
        <v>477.4105367901771</v>
      </c>
      <c r="CE67" s="62">
        <f t="shared" si="40"/>
        <v>261.95434270986397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9.8717948717948705</v>
      </c>
      <c r="CT67" s="13">
        <f>IF('Données projet'!$A$140&gt;35,CT66+CS67-DB66,IF(A67&lt;'Données projet'!$A$140,$CQ$205^A67,IF(A67='Données projet'!$A$140,'Données projet'!$B$140,CT66+CS67-DB66)))</f>
        <v>252.17948717948713</v>
      </c>
      <c r="CU67" s="18">
        <f>CT67*VLOOKUP('Données projet'!$B$13,Paramètres!$A$1:$I$89,3,0)*VLOOKUP('Données projet'!$B$13,Paramètres!$A$1:$I$89,5,0)</f>
        <v>118.01999999999998</v>
      </c>
      <c r="CV67" s="14">
        <f t="shared" si="41"/>
        <v>31.212750593480965</v>
      </c>
      <c r="CW67" s="22">
        <f t="shared" si="13"/>
        <v>259.91370728364598</v>
      </c>
      <c r="CX67" s="62">
        <f t="shared" si="14"/>
        <v>553.24704061697935</v>
      </c>
      <c r="CY67" s="62">
        <f ca="1">AVERAGE(OFFSET($CX$3,0,0,'Données projet'!$E$13+1,1))-AVERAGE(OFFSET($H$3,0,0,'Données projet'!$E$13+1,1))</f>
        <v>246.64907095367749</v>
      </c>
      <c r="CZ67" s="62">
        <f t="shared" si="42"/>
        <v>145.34368562171613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5.2399999999999975</v>
      </c>
      <c r="DO67" s="13">
        <f>IF('Données projet'!$A$166&gt;35,DO66+DN67-DW66,IF(A67&lt;'Données projet'!$A$166,$DL$205^A67,IF(A67='Données projet'!$A$166,'Données projet'!$B$166,DO66+DN67-DW66)))</f>
        <v>300.75999999999988</v>
      </c>
      <c r="DP67" s="18">
        <f>DO67*VLOOKUP('Données projet'!$B$14,Paramètres!$A$1:$I$89,3,0)*VLOOKUP('Données projet'!$B$14,Paramètres!$A$1:$I$89,5,0)</f>
        <v>239.2846559999999</v>
      </c>
      <c r="DQ67" s="14">
        <f t="shared" si="43"/>
        <v>58.285594007367486</v>
      </c>
      <c r="DR67" s="22">
        <f t="shared" si="16"/>
        <v>518.2681854294982</v>
      </c>
      <c r="DS67" s="62">
        <f t="shared" si="17"/>
        <v>811.60151876283157</v>
      </c>
      <c r="DT67" s="62">
        <f ca="1">AVERAGE(OFFSET($DS$3,0,0,'Données projet'!$E$14+1,1))-AVERAGE(OFFSET($H$3,0,0,'Données projet'!$E$14+1,1))</f>
        <v>370.38521334472284</v>
      </c>
      <c r="DU67" s="62">
        <f t="shared" si="44"/>
        <v>404.61777090709171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13.777777777777779</v>
      </c>
      <c r="EJ67" s="13">
        <f>IF('Données projet'!$A$192&gt;35,EJ66+EI67-ER66,IF(A67&lt;'Données projet'!$A$192,$EG$205^A67,IF(A67='Données projet'!$A$192,'Données projet'!$B$192,EJ66+EI67-ER66)))</f>
        <v>289.11111111111092</v>
      </c>
      <c r="EK67" s="18">
        <f>EJ67*VLOOKUP('Données projet'!$B$15,Paramètres!$A$1:$I$89,3,0)*VLOOKUP('Données projet'!$B$15,Paramètres!$A$1:$I$89,5,0)</f>
        <v>248.05733333333319</v>
      </c>
      <c r="EL67" s="14">
        <f t="shared" si="45"/>
        <v>60.169759343876592</v>
      </c>
      <c r="EM67" s="22">
        <f t="shared" si="19"/>
        <v>536.82885307947356</v>
      </c>
      <c r="EN67" s="62">
        <f t="shared" si="20"/>
        <v>830.16218641280693</v>
      </c>
      <c r="EO67" s="62">
        <f ca="1">AVERAGE(OFFSET($EN$3,0,0,'Données projet'!$E$15+1,1))-AVERAGE(OFFSET($H$3,0,0,'Données projet'!$E$15+1,1))</f>
        <v>445.81166342116865</v>
      </c>
      <c r="EP67" s="62">
        <f t="shared" si="46"/>
        <v>230.82970731138215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8.8000000000000007</v>
      </c>
      <c r="FE67" s="13">
        <f>IF('Données projet'!$A$218&gt;35,FE66+FD67-FM66,IF(A67&lt;'Données projet'!$A$218,$FB$205^A67,IF(A67='Données projet'!$A$218,'Données projet'!$B$218,FE66+FD67-FM66)))</f>
        <v>308.2</v>
      </c>
      <c r="FF67" s="18">
        <f>FE67*VLOOKUP('Données projet'!$B$16,Paramètres!$A$1:$I$89,3,0)*VLOOKUP('Données projet'!$B$16,Paramètres!$A$1:$I$89,5,0)</f>
        <v>298.09104000000002</v>
      </c>
      <c r="FG67" s="14">
        <f t="shared" si="47"/>
        <v>70.776123577436934</v>
      </c>
      <c r="FH67" s="22">
        <f t="shared" si="22"/>
        <v>642.44364323070261</v>
      </c>
      <c r="FI67" s="62">
        <f t="shared" si="23"/>
        <v>935.77697656403598</v>
      </c>
      <c r="FJ67" s="62">
        <f ca="1">AVERAGE(OFFSET($FI$3,0,0,'Données projet'!$E$16+1,1))-AVERAGE(OFFSET($H$3,0,0,'Données projet'!$E$16+1,1))</f>
        <v>541.66888676162716</v>
      </c>
      <c r="FK67" s="62">
        <f t="shared" si="48"/>
        <v>294.45557293177131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>
        <f>EXP(-LN(2)/35)*FQ66+(1-EXP(-LN(2)/35))/(LN(2)/35)*FM67*FN67*VLOOKUP('Données projet'!$B$16,Paramètres!$A$1:$I$89,3,0)*0.475*44/12</f>
        <v>0</v>
      </c>
      <c r="FR67" s="23">
        <f>EXP(-LN(2)/25)*FR66+(1-EXP(-LN(2)/25))/(LN(2)/25)*Calculateur!FM67*Calculateur!FO67*VLOOKUP('Données projet'!$B$16,Paramètres!$A$1:$I$89,3,0)*0.475*44/12</f>
        <v>0</v>
      </c>
      <c r="FS67" s="23">
        <f>EXP(-LN(2)/2)*FS66+(1-EXP(-LN(2)/2))/(LN(2)/2)*FM67*FP67*VLOOKUP('Données projet'!$B$16,Paramètres!$A$1:$I$89,3,0)*0.475*44/12</f>
        <v>0</v>
      </c>
      <c r="FT67" s="24">
        <f t="shared" si="24"/>
        <v>0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8.6666666666666661</v>
      </c>
      <c r="FZ67" s="13">
        <f>IF('Données projet'!$A$244&gt;35,FZ66+FY67-GH66,IF(A67&lt;'Données projet'!$A$244,$FW$205^A67,IF(A67='Données projet'!$A$244,'Données projet'!$B$244,FZ66+FY67-GH66)))</f>
        <v>284.66666666666669</v>
      </c>
      <c r="GA67" s="18">
        <f>FZ67*VLOOKUP('Données projet'!$B$17,Paramètres!$A$1:$I$89,3,0)*VLOOKUP('Données projet'!$B$17,Paramètres!$A$1:$I$89,5,0)</f>
        <v>222.04000000000002</v>
      </c>
      <c r="GB67" s="14">
        <f t="shared" si="49"/>
        <v>54.558031180803596</v>
      </c>
      <c r="GC67" s="22">
        <f t="shared" si="25"/>
        <v>481.74157097323291</v>
      </c>
      <c r="GD67" s="62">
        <f t="shared" si="26"/>
        <v>775.07490430656617</v>
      </c>
      <c r="GE67" s="62">
        <f ca="1">AVERAGE(OFFSET($GD$3,0,0,'Données projet'!$E$17+1,1))-AVERAGE(OFFSET($H$3,0,0,'Données projet'!$E$17+1,1))</f>
        <v>292.57482726862594</v>
      </c>
      <c r="GF67" s="62">
        <f t="shared" si="50"/>
        <v>283.48738729114024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>
        <f>EXP(-LN(2)/35)*GL66+(1-EXP(-LN(2)/35))/(LN(2)/35)*GH67*GI67*VLOOKUP('Données projet'!$B$17,Paramètres!$A$1:$I$89,3,0)*0.475*44/12</f>
        <v>0</v>
      </c>
      <c r="GM67" s="23">
        <f>EXP(-LN(2)/25)*GM66+(1-EXP(-LN(2)/25))/(LN(2)/25)*Calculateur!GH67*Calculateur!GJ67*VLOOKUP('Données projet'!$B$17,Paramètres!$A$1:$I$89,3,0)*0.475*44/12</f>
        <v>0</v>
      </c>
      <c r="GN67" s="23">
        <f>EXP(-LN(2)/2)*GN66+(1-EXP(-LN(2)/2))/(LN(2)/2)*GH67*GK67*VLOOKUP('Données projet'!$B$17,Paramètres!$A$1:$I$89,3,0)*0.475*44/12</f>
        <v>0</v>
      </c>
      <c r="GO67" s="23">
        <f t="shared" si="27"/>
        <v>0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6.2820512820512819</v>
      </c>
      <c r="GU67" s="13">
        <f>IF('Données projet'!$A$270&gt;35,GU66+GT67-HC66,IF(A67&lt;'Données projet'!$A$270,$GR$205^A67,IF(A67='Données projet'!$A$270,'Données projet'!$B$270,GU66+GT67-HC66)))</f>
        <v>331.53846153846132</v>
      </c>
      <c r="GV67" s="18">
        <f>GU67*VLOOKUP('Données projet'!$B$18,Paramètres!$A$1:$I$89,3,0)*VLOOKUP('Données projet'!$B$18,Paramètres!$A$1:$I$89,5,0)</f>
        <v>222.39599999999984</v>
      </c>
      <c r="GW67" s="14">
        <f t="shared" si="51"/>
        <v>54.635315729138988</v>
      </c>
      <c r="GX67" s="22">
        <f t="shared" si="28"/>
        <v>482.49620822825017</v>
      </c>
      <c r="GY67" s="62">
        <f t="shared" si="29"/>
        <v>775.82954156158348</v>
      </c>
      <c r="GZ67" s="62">
        <f ca="1">AVERAGE(OFFSET($GY$3,0,0,'Données projet'!$E$18+1,1))-AVERAGE(OFFSET($H$3,0,0,'Données projet'!$E$18+1,1))</f>
        <v>410.20186800287411</v>
      </c>
      <c r="HA67" s="62">
        <f t="shared" si="52"/>
        <v>321.99347958016057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>
        <f>EXP(-LN(2)/35)*HG66+(1-EXP(-LN(2)/35))/(LN(2)/35)*HC67*HD67*VLOOKUP('Données projet'!$B$18,Paramètres!$A$1:$I$89,3,0)*0.475*44/12</f>
        <v>0</v>
      </c>
      <c r="HH67" s="23">
        <f>EXP(-LN(2)/25)*HH66+(1-EXP(-LN(2)/25))/(LN(2)/25)*Calculateur!HC67*Calculateur!HE67*VLOOKUP('Données projet'!$B$18,Paramètres!$A$1:$I$89,3,0)*0.475*44/12</f>
        <v>0</v>
      </c>
      <c r="HI67" s="23">
        <f>EXP(-LN(2)/2)*HI66+(1-EXP(-LN(2)/2))/(LN(2)/2)*HC67*HF67*VLOOKUP('Données projet'!$B$18,Paramètres!$A$1:$I$89,3,0)*0.475*44/12</f>
        <v>0</v>
      </c>
      <c r="HJ67" s="24">
        <f t="shared" si="30"/>
        <v>0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317</v>
      </c>
      <c r="L68" s="13">
        <f>VLOOKUP(A68,'Données projet'!$A$35:$I$55,9,0)</f>
        <v>8.8000000000000007</v>
      </c>
      <c r="M68" s="13">
        <f t="array" ref="M68">INDEX(L:L,MIN(IF(ISNUMBER(L68:L264),ROW(L68:L264),"")))</f>
        <v>8.8000000000000007</v>
      </c>
      <c r="N68" s="14">
        <f>IF('Données projet'!$A$36&gt;35,N67+M68-V67,IF(A68&lt;'Données projet'!$A$36,$K$205^A68,IF(A68='Données projet'!$A$36,'Données projet'!$B$36,N67+M68-V67)))</f>
        <v>317</v>
      </c>
      <c r="O68" s="14">
        <f>N68*VLOOKUP('Données projet'!$B$9,Paramètres!$A$1:$I$89,3,0)*VLOOKUP('Données projet'!$B$9,Paramètres!$A$1:$I$89,5,0)</f>
        <v>286.82159999999999</v>
      </c>
      <c r="P68" s="14">
        <f t="shared" si="33"/>
        <v>68.406583284351484</v>
      </c>
      <c r="Q68" s="22">
        <f t="shared" si="54"/>
        <v>618.68908588691215</v>
      </c>
      <c r="R68" s="62">
        <f t="shared" si="55"/>
        <v>912.02241922024541</v>
      </c>
      <c r="S68" s="62">
        <f ca="1">AVERAGE(OFFSET($R$3,0,0,'Données projet'!$E$9+1,1))-AVERAGE(OFFSET($H$3,0,0,'Données projet'!$E$9+1,1))</f>
        <v>509.56241660612449</v>
      </c>
      <c r="T68" s="62">
        <f t="shared" si="34"/>
        <v>278.21741231699929</v>
      </c>
      <c r="U68" s="16">
        <f>IF(ISNA(VLOOKUP(A68,'Données projet'!$A$35:$I$55,3,0)),0,VLOOKUP(A68,'Données projet'!$A$35:$I$55,3,0))</f>
        <v>5</v>
      </c>
      <c r="V68" s="16">
        <f>IF(ISNA(VLOOKUP(A68,'Données projet'!$A$35:$I$55,4,0)),0,VLOOKUP(A68,'Données projet'!$A$35:$I$55,4,0))</f>
        <v>56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317</v>
      </c>
      <c r="AG68" s="13">
        <f>VLOOKUP(A68,'Données projet'!$A$61:$I$81,9,0)</f>
        <v>8.8000000000000007</v>
      </c>
      <c r="AH68" s="13">
        <f t="array" ref="AH68">INDEX(AG:AG,MIN(IF(ISNUMBER(AG68:AG264),ROW(AG68:AG264),"")))</f>
        <v>8.8000000000000007</v>
      </c>
      <c r="AI68" s="14">
        <f>IF('Données projet'!$A$62&gt;35,AI67+AH68-AQ67,IF(A68&lt;'Données projet'!$A$62,$AF$205^A68,IF(A68='Données projet'!$A$62,'Données projet'!$B$62,AI67+AH68-AQ67)))</f>
        <v>317</v>
      </c>
      <c r="AJ68" s="14">
        <f>AI68*VLOOKUP('Données projet'!$B$10,Paramètres!$A$1:$I$89,3,0)*VLOOKUP('Données projet'!$B$10,Paramètres!$A$1:$I$89,5,0)</f>
        <v>321.43800000000005</v>
      </c>
      <c r="AK68" s="14">
        <f t="shared" si="35"/>
        <v>75.652479406660248</v>
      </c>
      <c r="AL68" s="22">
        <f t="shared" ref="AL68:AL131" si="58">(AJ68+AK68)*0.475*44/12</f>
        <v>691.59925163326659</v>
      </c>
      <c r="AM68" s="62">
        <f t="shared" ref="AM68:AM131" si="59">AL68+(AD68+AE68)*44/12</f>
        <v>984.93258496659996</v>
      </c>
      <c r="AN68" s="62">
        <f ca="1">AVERAGE(OFFSET($AM$3,0,0,'Données projet'!$E$10+1,1))-AVERAGE(OFFSET($H$3,0,0,'Données projet'!$E$10+1,1))</f>
        <v>565.72091871734051</v>
      </c>
      <c r="AO68" s="62">
        <f t="shared" si="36"/>
        <v>306.61893266146666</v>
      </c>
      <c r="AP68" s="16">
        <f>IF(ISNA(VLOOKUP(A68,'Données projet'!$A$61:$I$81,3,0)),0,VLOOKUP(A68,'Données projet'!$A$61:$I$81,3,0))</f>
        <v>5</v>
      </c>
      <c r="AQ68" s="16">
        <f>IF(ISNA(VLOOKUP(A68,'Données projet'!$A$61:$I$81,4,0)),0,VLOOKUP(A68,'Données projet'!$A$61:$I$81,4,0))</f>
        <v>56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306</v>
      </c>
      <c r="BB68" s="13">
        <f>VLOOKUP(A68,'Données projet'!$A$87:$I$107,9,0)</f>
        <v>5.2399999999999975</v>
      </c>
      <c r="BC68" s="13">
        <f t="array" ref="BC68">INDEX(BB:BB,MIN(IF(ISNUMBER(BB68:BB264),ROW(BB68:BB264),"")))</f>
        <v>5.2399999999999975</v>
      </c>
      <c r="BD68" s="13">
        <f>IF('Données projet'!$A$88&gt;35,BD67+BC68-BL67,IF(A68&lt;'Données projet'!$A$88,$BA$205^A68,IF(A68='Données projet'!$A$88,'Données projet'!$B$88,BD67+BC68-BL67)))</f>
        <v>305.99999999999989</v>
      </c>
      <c r="BE68" s="14">
        <f>BD68*VLOOKUP('Données projet'!$B$11,Paramètres!$A$1:$I$89,3,0)*VLOOKUP('Données projet'!$B$11,Paramètres!$A$1:$I$89,5,0)</f>
        <v>224.3591999999999</v>
      </c>
      <c r="BF68" s="14">
        <f t="shared" si="37"/>
        <v>55.061251669487255</v>
      </c>
      <c r="BG68" s="22">
        <f t="shared" ref="BG68:BG131" si="61">(BE68+BF68)*0.475*44/12</f>
        <v>486.65728665769001</v>
      </c>
      <c r="BH68" s="62">
        <f t="shared" ref="BH68:BH131" si="62">BG68+(AY68+AZ68)*44/12</f>
        <v>779.99061999102332</v>
      </c>
      <c r="BI68" s="62">
        <f ca="1">AVERAGE(OFFSET($BH$3,0,0,'Données projet'!$E$11+1,1))-AVERAGE(OFFSET($H$3,0,0,'Données projet'!$E$11+1,1))</f>
        <v>344.26020118887629</v>
      </c>
      <c r="BJ68" s="62">
        <f t="shared" si="38"/>
        <v>376.41441893222185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317</v>
      </c>
      <c r="BW68" s="13">
        <f>VLOOKUP(A68,'Données projet'!$A$113:$I$133,9,0)</f>
        <v>8.8000000000000007</v>
      </c>
      <c r="BX68" s="13">
        <f t="array" ref="BX68">INDEX(BW:BW,MIN(IF(ISNUMBER(BW68:BW264),ROW(BW68:BW264),"")))</f>
        <v>8.8000000000000007</v>
      </c>
      <c r="BY68" s="13">
        <f>IF('Données projet'!$A$114&gt;35,BY67+BX68-CG67,IF(A68&lt;'Données projet'!$A$114,$BV$205^A68,IF(A68='Données projet'!$A$114,'Données projet'!$B$114,BY67+BX68-CG67)))</f>
        <v>317</v>
      </c>
      <c r="BZ68" s="14">
        <f>BY68*VLOOKUP('Données projet'!$B$12,Paramètres!$A$1:$I$89,3,0)*VLOOKUP('Données projet'!$B$12,Paramètres!$A$1:$I$89,5,0)</f>
        <v>267.04080000000005</v>
      </c>
      <c r="CA68" s="14">
        <f t="shared" si="39"/>
        <v>64.220850124833518</v>
      </c>
      <c r="CB68" s="22">
        <f t="shared" ref="CB68:CB131" si="64">(BZ68+CA68)*0.475*44/12</f>
        <v>576.94737396741846</v>
      </c>
      <c r="CC68" s="62">
        <f t="shared" ref="CC68:CC131" si="65">CB68+(BT68+BU68)*44/12</f>
        <v>870.28070730075183</v>
      </c>
      <c r="CD68" s="62">
        <f ca="1">AVERAGE(OFFSET($CC$3,0,0,'Données projet'!$E$12+1,1))-AVERAGE(OFFSET($H$3,0,0,'Données projet'!$E$12+1,1))</f>
        <v>477.4105367901771</v>
      </c>
      <c r="CE68" s="62">
        <f t="shared" si="40"/>
        <v>261.95434270986397</v>
      </c>
      <c r="CF68" s="16">
        <f>IF(ISNA(VLOOKUP(A68,'Données projet'!$A$113:$I$133,3,0)),0,VLOOKUP(A68,'Données projet'!$A$113:$I$133,3,0))</f>
        <v>5</v>
      </c>
      <c r="CG68" s="16">
        <f>IF(ISNA(VLOOKUP(A68,'Données projet'!$A$113:$I$133,4,0)),0,VLOOKUP(A68,'Données projet'!$A$113:$I$133,4,0))</f>
        <v>56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9.8717948717948705</v>
      </c>
      <c r="CT68" s="13">
        <f>IF('Données projet'!$A$140&gt;35,CT67+CS68-DB67,IF(A68&lt;'Données projet'!$A$140,$CQ$205^A68,IF(A68='Données projet'!$A$140,'Données projet'!$B$140,CT67+CS68-DB67)))</f>
        <v>262.05128205128199</v>
      </c>
      <c r="CU68" s="18">
        <f>CT68*VLOOKUP('Données projet'!$B$13,Paramètres!$A$1:$I$89,3,0)*VLOOKUP('Données projet'!$B$13,Paramètres!$A$1:$I$89,5,0)</f>
        <v>122.63999999999997</v>
      </c>
      <c r="CV68" s="14">
        <f t="shared" si="41"/>
        <v>32.289953931572668</v>
      </c>
      <c r="CW68" s="22">
        <f t="shared" ref="CW68:CW131" si="67">(CU68+CV68)*0.475*44/12</f>
        <v>269.83633643082231</v>
      </c>
      <c r="CX68" s="62">
        <f t="shared" ref="CX68:CX131" si="68">CW68+(CO68+CP68)*44/12</f>
        <v>563.16966976415563</v>
      </c>
      <c r="CY68" s="62">
        <f ca="1">AVERAGE(OFFSET($CX$3,0,0,'Données projet'!$E$13+1,1))-AVERAGE(OFFSET($H$3,0,0,'Données projet'!$E$13+1,1))</f>
        <v>246.64907095367749</v>
      </c>
      <c r="CZ68" s="62">
        <f t="shared" si="42"/>
        <v>145.34368562171613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306</v>
      </c>
      <c r="DM68" s="13">
        <f>VLOOKUP(A68,'Données projet'!$A$165:$I$185,9,0)</f>
        <v>5.2399999999999975</v>
      </c>
      <c r="DN68" s="13">
        <f t="array" ref="DN68">INDEX(DM:DM,MIN(IF(ISNUMBER(DM68:DM264),ROW(DM68:DM264),"")))</f>
        <v>5.2399999999999975</v>
      </c>
      <c r="DO68" s="13">
        <f>IF('Données projet'!$A$166&gt;35,DO67+DN68-DW67,IF(A68&lt;'Données projet'!$A$166,$DL$205^A68,IF(A68='Données projet'!$A$166,'Données projet'!$B$166,DO67+DN68-DW67)))</f>
        <v>305.99999999999989</v>
      </c>
      <c r="DP68" s="18">
        <f>DO68*VLOOKUP('Données projet'!$B$14,Paramètres!$A$1:$I$89,3,0)*VLOOKUP('Données projet'!$B$14,Paramètres!$A$1:$I$89,5,0)</f>
        <v>243.45359999999991</v>
      </c>
      <c r="DQ68" s="14">
        <f t="shared" si="43"/>
        <v>59.181970343065267</v>
      </c>
      <c r="DR68" s="22">
        <f t="shared" ref="DR68:DR131" si="70">(DP68+DQ68)*0.475*44/12</f>
        <v>527.09028501417185</v>
      </c>
      <c r="DS68" s="62">
        <f t="shared" ref="DS68:DS131" si="71">DR68+(DJ68+DK68)*44/12</f>
        <v>820.42361834750523</v>
      </c>
      <c r="DT68" s="62">
        <f ca="1">AVERAGE(OFFSET($DS$3,0,0,'Données projet'!$E$14+1,1))-AVERAGE(OFFSET($H$3,0,0,'Données projet'!$E$14+1,1))</f>
        <v>370.38521334472284</v>
      </c>
      <c r="DU68" s="62">
        <f t="shared" si="44"/>
        <v>404.61777090709171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13.777777777777779</v>
      </c>
      <c r="EJ68" s="13">
        <f>IF('Données projet'!$A$192&gt;35,EJ67+EI68-ER67,IF(A68&lt;'Données projet'!$A$192,$EG$205^A68,IF(A68='Données projet'!$A$192,'Données projet'!$B$192,EJ67+EI68-ER67)))</f>
        <v>302.88888888888869</v>
      </c>
      <c r="EK68" s="18">
        <f>EJ68*VLOOKUP('Données projet'!$B$15,Paramètres!$A$1:$I$89,3,0)*VLOOKUP('Données projet'!$B$15,Paramètres!$A$1:$I$89,5,0)</f>
        <v>259.8786666666665</v>
      </c>
      <c r="EL68" s="14">
        <f t="shared" si="45"/>
        <v>62.69651389011603</v>
      </c>
      <c r="EM68" s="22">
        <f t="shared" ref="EM68:EM131" si="73">(EK68+EL68)*0.475*44/12</f>
        <v>561.81843946972958</v>
      </c>
      <c r="EN68" s="62">
        <f t="shared" ref="EN68:EN131" si="74">EM68+(EE68+EF68)*44/12</f>
        <v>855.15177280306284</v>
      </c>
      <c r="EO68" s="62">
        <f ca="1">AVERAGE(OFFSET($EN$3,0,0,'Données projet'!$E$15+1,1))-AVERAGE(OFFSET($H$3,0,0,'Données projet'!$E$15+1,1))</f>
        <v>445.81166342116865</v>
      </c>
      <c r="EP68" s="62">
        <f t="shared" si="46"/>
        <v>230.82970731138215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0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>
        <f>VLOOKUP(A68,'Données projet'!$A$217:$I$237,2,0)</f>
        <v>317</v>
      </c>
      <c r="FC68" s="13">
        <f>VLOOKUP(A68,'Données projet'!$A$217:$I$237,9,0)</f>
        <v>8.8000000000000007</v>
      </c>
      <c r="FD68" s="13">
        <f t="array" ref="FD68">INDEX(FC:FC,MIN(IF(ISNUMBER(FC68:FC264),ROW(FC68:FC264),"")))</f>
        <v>8.8000000000000007</v>
      </c>
      <c r="FE68" s="13">
        <f>IF('Données projet'!$A$218&gt;35,FE67+FD68-FM67,IF(A68&lt;'Données projet'!$A$218,$FB$205^A68,IF(A68='Données projet'!$A$218,'Données projet'!$B$218,FE67+FD68-FM67)))</f>
        <v>317</v>
      </c>
      <c r="FF68" s="18">
        <f>FE68*VLOOKUP('Données projet'!$B$16,Paramètres!$A$1:$I$89,3,0)*VLOOKUP('Données projet'!$B$16,Paramètres!$A$1:$I$89,5,0)</f>
        <v>306.60239999999999</v>
      </c>
      <c r="FG68" s="14">
        <f t="shared" si="47"/>
        <v>72.558821602115088</v>
      </c>
      <c r="FH68" s="22">
        <f t="shared" ref="FH68:FH131" si="76">(FF68+FG68)*0.475*44/12</f>
        <v>660.3724609570171</v>
      </c>
      <c r="FI68" s="62">
        <f t="shared" ref="FI68:FI131" si="77">FH68+(EZ68+FA68)*44/12</f>
        <v>953.70579429035047</v>
      </c>
      <c r="FJ68" s="62">
        <f ca="1">AVERAGE(OFFSET($FI$3,0,0,'Données projet'!$E$16+1,1))-AVERAGE(OFFSET($H$3,0,0,'Données projet'!$E$16+1,1))</f>
        <v>541.66888676162716</v>
      </c>
      <c r="FK68" s="62">
        <f t="shared" si="48"/>
        <v>294.45557293177131</v>
      </c>
      <c r="FL68" s="16">
        <f>IF(ISNA(VLOOKUP(A68,'Données projet'!$A$217:$I$237,3,0)),0,VLOOKUP(A68,'Données projet'!$A$217:$I$237,3,0))</f>
        <v>5</v>
      </c>
      <c r="FM68" s="16">
        <f>IF(ISNA(VLOOKUP(A68,'Données projet'!$A$217:$I$237,4,0)),0,VLOOKUP(A68,'Données projet'!$A$217:$I$237,4,0))</f>
        <v>56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>
        <f>EXP(-LN(2)/35)*FQ67+(1-EXP(-LN(2)/35))/(LN(2)/35)*FM68*FN68*VLOOKUP('Données projet'!$B$16,Paramètres!$A$1:$I$89,3,0)*0.475*44/12</f>
        <v>0</v>
      </c>
      <c r="FR68" s="23">
        <f>EXP(-LN(2)/25)*FR67+(1-EXP(-LN(2)/25))/(LN(2)/25)*Calculateur!FM68*Calculateur!FO68*VLOOKUP('Données projet'!$B$16,Paramètres!$A$1:$I$89,3,0)*0.475*44/12</f>
        <v>0</v>
      </c>
      <c r="FS68" s="23">
        <f>EXP(-LN(2)/2)*FS67+(1-EXP(-LN(2)/2))/(LN(2)/2)*FM68*FP68*VLOOKUP('Données projet'!$B$16,Paramètres!$A$1:$I$89,3,0)*0.475*44/12</f>
        <v>0</v>
      </c>
      <c r="FT68" s="24">
        <f t="shared" ref="FT68:FT131" si="78">SUM(FQ68:FS68)</f>
        <v>0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8.6666666666666661</v>
      </c>
      <c r="FZ68" s="13">
        <f>IF('Données projet'!$A$244&gt;35,FZ67+FY68-GH67,IF(A68&lt;'Données projet'!$A$244,$FW$205^A68,IF(A68='Données projet'!$A$244,'Données projet'!$B$244,FZ67+FY68-GH67)))</f>
        <v>293.33333333333337</v>
      </c>
      <c r="GA68" s="18">
        <f>FZ68*VLOOKUP('Données projet'!$B$17,Paramètres!$A$1:$I$89,3,0)*VLOOKUP('Données projet'!$B$17,Paramètres!$A$1:$I$89,5,0)</f>
        <v>228.80000000000004</v>
      </c>
      <c r="GB68" s="14">
        <f t="shared" si="49"/>
        <v>56.023134533701196</v>
      </c>
      <c r="GC68" s="22">
        <f t="shared" ref="GC68:GC131" si="79">(GA68+GB68)*0.475*44/12</f>
        <v>496.06695931286299</v>
      </c>
      <c r="GD68" s="62">
        <f t="shared" ref="GD68:GD131" si="80">GC68+(FU68+FV68)*44/12</f>
        <v>789.40029264619625</v>
      </c>
      <c r="GE68" s="62">
        <f ca="1">AVERAGE(OFFSET($GD$3,0,0,'Données projet'!$E$17+1,1))-AVERAGE(OFFSET($H$3,0,0,'Données projet'!$E$17+1,1))</f>
        <v>292.57482726862594</v>
      </c>
      <c r="GF68" s="62">
        <f t="shared" si="50"/>
        <v>283.48738729114024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>
        <f>EXP(-LN(2)/35)*GL67+(1-EXP(-LN(2)/35))/(LN(2)/35)*GH68*GI68*VLOOKUP('Données projet'!$B$17,Paramètres!$A$1:$I$89,3,0)*0.475*44/12</f>
        <v>0</v>
      </c>
      <c r="GM68" s="23">
        <f>EXP(-LN(2)/25)*GM67+(1-EXP(-LN(2)/25))/(LN(2)/25)*Calculateur!GH68*Calculateur!GJ68*VLOOKUP('Données projet'!$B$17,Paramètres!$A$1:$I$89,3,0)*0.475*44/12</f>
        <v>0</v>
      </c>
      <c r="GN68" s="23">
        <f>EXP(-LN(2)/2)*GN67+(1-EXP(-LN(2)/2))/(LN(2)/2)*GH68*GK68*VLOOKUP('Données projet'!$B$17,Paramètres!$A$1:$I$89,3,0)*0.475*44/12</f>
        <v>0</v>
      </c>
      <c r="GO68" s="23">
        <f t="shared" ref="GO68:GO131" si="81">SUM(GL68:GN68)</f>
        <v>0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>
        <f>VLOOKUP(A68,'Données projet'!$A$269:$I$289,2,0)</f>
        <v>337.82051282051282</v>
      </c>
      <c r="GS68" s="13">
        <f>VLOOKUP(A68,'Données projet'!$A$269:$I$289,9,0)</f>
        <v>6.2820512820512819</v>
      </c>
      <c r="GT68" s="13">
        <f t="array" ref="GT68">INDEX(GS:GS,MIN(IF(ISNUMBER(GS68:GS264),ROW(GS68:GS264),"")))</f>
        <v>6.2820512820512819</v>
      </c>
      <c r="GU68" s="13">
        <f>IF('Données projet'!$A$270&gt;35,GU67+GT68-HC67,IF(A68&lt;'Données projet'!$A$270,$GR$205^A68,IF(A68='Données projet'!$A$270,'Données projet'!$B$270,GU67+GT68-HC67)))</f>
        <v>337.82051282051259</v>
      </c>
      <c r="GV68" s="18">
        <f>GU68*VLOOKUP('Données projet'!$B$18,Paramètres!$A$1:$I$89,3,0)*VLOOKUP('Données projet'!$B$18,Paramètres!$A$1:$I$89,5,0)</f>
        <v>226.60999999999984</v>
      </c>
      <c r="GW68" s="14">
        <f t="shared" si="51"/>
        <v>55.549052019189645</v>
      </c>
      <c r="GX68" s="22">
        <f t="shared" ref="GX68:GX131" si="82">(GV68+GW68)*0.475*44/12</f>
        <v>491.4270156000884</v>
      </c>
      <c r="GY68" s="62">
        <f t="shared" ref="GY68:GY131" si="83">GX68+(GP68+GQ68)*44/12</f>
        <v>784.76034893342171</v>
      </c>
      <c r="GZ68" s="62">
        <f ca="1">AVERAGE(OFFSET($GY$3,0,0,'Données projet'!$E$18+1,1))-AVERAGE(OFFSET($H$3,0,0,'Données projet'!$E$18+1,1))</f>
        <v>410.20186800287411</v>
      </c>
      <c r="HA68" s="62">
        <f t="shared" si="52"/>
        <v>321.99347958016057</v>
      </c>
      <c r="HB68" s="16">
        <f>IF(ISNA(VLOOKUP(A68,'Données projet'!$A$269:$I$289,3,0)),0,VLOOKUP(A68,'Données projet'!$A$269:$I$289,3,0))</f>
        <v>6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>
        <f>EXP(-LN(2)/35)*HG67+(1-EXP(-LN(2)/35))/(LN(2)/35)*HC68*HD68*VLOOKUP('Données projet'!$B$18,Paramètres!$A$1:$I$89,3,0)*0.475*44/12</f>
        <v>0</v>
      </c>
      <c r="HH68" s="23">
        <f>EXP(-LN(2)/25)*HH67+(1-EXP(-LN(2)/25))/(LN(2)/25)*Calculateur!HC68*Calculateur!HE68*VLOOKUP('Données projet'!$B$18,Paramètres!$A$1:$I$89,3,0)*0.475*44/12</f>
        <v>0</v>
      </c>
      <c r="HI68" s="23">
        <f>EXP(-LN(2)/2)*HI67+(1-EXP(-LN(2)/2))/(LN(2)/2)*HC68*HF68*VLOOKUP('Données projet'!$B$18,Paramètres!$A$1:$I$89,3,0)*0.475*44/12</f>
        <v>0</v>
      </c>
      <c r="HJ68" s="24">
        <f t="shared" ref="HJ68:HJ131" si="84">SUM(HG68:HI68)</f>
        <v>0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8.1999999999999993</v>
      </c>
      <c r="N69" s="14">
        <f>IF('Données projet'!$A$36&gt;35,N68+M69-V68,IF(A69&lt;'Données projet'!$A$36,$K$205^A69,IF(A69='Données projet'!$A$36,'Données projet'!$B$36,N68+M69-V68)))</f>
        <v>269.2</v>
      </c>
      <c r="O69" s="14">
        <f>N69*VLOOKUP('Données projet'!$B$9,Paramètres!$A$1:$I$89,3,0)*VLOOKUP('Données projet'!$B$9,Paramètres!$A$1:$I$89,5,0)</f>
        <v>243.57216</v>
      </c>
      <c r="P69" s="14">
        <f t="shared" ref="P69:P132" si="87">EXP(-1.0587+0.8836*LN(O69)+0.284)</f>
        <v>59.207435995642292</v>
      </c>
      <c r="Q69" s="22">
        <f t="shared" si="54"/>
        <v>527.34112969241028</v>
      </c>
      <c r="R69" s="62">
        <f t="shared" si="55"/>
        <v>820.67446302574353</v>
      </c>
      <c r="S69" s="62">
        <f ca="1">AVERAGE(OFFSET($R$3,0,0,'Données projet'!$E$9+1,1))-AVERAGE(OFFSET($H$3,0,0,'Données projet'!$E$9+1,1))</f>
        <v>509.56241660612449</v>
      </c>
      <c r="T69" s="62">
        <f t="shared" ref="T69:T132" si="88">$T$3</f>
        <v>278.21741231699929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8.1999999999999993</v>
      </c>
      <c r="AI69" s="14">
        <f>IF('Données projet'!$A$62&gt;35,AI68+AH69-AQ68,IF(A69&lt;'Données projet'!$A$62,$AF$205^A69,IF(A69='Données projet'!$A$62,'Données projet'!$B$62,AI68+AH69-AQ68)))</f>
        <v>269.2</v>
      </c>
      <c r="AJ69" s="14">
        <f>AI69*VLOOKUP('Données projet'!$B$10,Paramètres!$A$1:$I$89,3,0)*VLOOKUP('Données projet'!$B$10,Paramètres!$A$1:$I$89,5,0)</f>
        <v>272.96879999999999</v>
      </c>
      <c r="AK69" s="14">
        <f t="shared" ref="AK69:AK132" si="89">EXP(-1.0587+0.8836*LN(AJ69)+0.284)</f>
        <v>65.478922017818945</v>
      </c>
      <c r="AL69" s="22">
        <f t="shared" si="58"/>
        <v>589.46311584770126</v>
      </c>
      <c r="AM69" s="62">
        <f t="shared" si="59"/>
        <v>882.79644918103463</v>
      </c>
      <c r="AN69" s="62">
        <f ca="1">AVERAGE(OFFSET($AM$3,0,0,'Données projet'!$E$10+1,1))-AVERAGE(OFFSET($H$3,0,0,'Données projet'!$E$10+1,1))</f>
        <v>565.72091871734051</v>
      </c>
      <c r="AO69" s="62">
        <f t="shared" ref="AO69:AO132" si="90">$AO$3</f>
        <v>306.61893266146666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4.5</v>
      </c>
      <c r="BD69" s="13">
        <f>IF('Données projet'!$A$88&gt;35,BD68+BC69-BL68,IF(A69&lt;'Données projet'!$A$88,$BA$205^A69,IF(A69='Données projet'!$A$88,'Données projet'!$B$88,BD68+BC69-BL68)))</f>
        <v>310.49999999999989</v>
      </c>
      <c r="BE69" s="14">
        <f>BD69*VLOOKUP('Données projet'!$B$11,Paramètres!$A$1:$I$89,3,0)*VLOOKUP('Données projet'!$B$11,Paramètres!$A$1:$I$89,5,0)</f>
        <v>227.65859999999992</v>
      </c>
      <c r="BF69" s="14">
        <f t="shared" ref="BF69:BF132" si="91">EXP(-1.0587+0.8836*LN(BE69)+0.284)</f>
        <v>55.776115016621809</v>
      </c>
      <c r="BG69" s="22">
        <f t="shared" si="61"/>
        <v>493.64879532061622</v>
      </c>
      <c r="BH69" s="62">
        <f t="shared" si="62"/>
        <v>786.98212865394953</v>
      </c>
      <c r="BI69" s="62">
        <f ca="1">AVERAGE(OFFSET($BH$3,0,0,'Données projet'!$E$11+1,1))-AVERAGE(OFFSET($H$3,0,0,'Données projet'!$E$11+1,1))</f>
        <v>344.26020118887629</v>
      </c>
      <c r="BJ69" s="62">
        <f t="shared" ref="BJ69:BJ132" si="92">$BJ$3</f>
        <v>376.41441893222185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8.1999999999999993</v>
      </c>
      <c r="BY69" s="13">
        <f>IF('Données projet'!$A$114&gt;35,BY68+BX69-CG68,IF(A69&lt;'Données projet'!$A$114,$BV$205^A69,IF(A69='Données projet'!$A$114,'Données projet'!$B$114,BY68+BX69-CG68)))</f>
        <v>269.2</v>
      </c>
      <c r="BZ69" s="14">
        <f>BY69*VLOOKUP('Données projet'!$B$12,Paramètres!$A$1:$I$89,3,0)*VLOOKUP('Données projet'!$B$12,Paramètres!$A$1:$I$89,5,0)</f>
        <v>226.77408</v>
      </c>
      <c r="CA69" s="14">
        <f t="shared" ref="CA69:CA132" si="93">EXP(-1.0587+0.8836*LN(BZ69)+0.284)</f>
        <v>55.584589827360034</v>
      </c>
      <c r="CB69" s="22">
        <f t="shared" si="64"/>
        <v>491.77468328265195</v>
      </c>
      <c r="CC69" s="62">
        <f t="shared" si="65"/>
        <v>785.10801661598521</v>
      </c>
      <c r="CD69" s="62">
        <f ca="1">AVERAGE(OFFSET($CC$3,0,0,'Données projet'!$E$12+1,1))-AVERAGE(OFFSET($H$3,0,0,'Données projet'!$E$12+1,1))</f>
        <v>477.4105367901771</v>
      </c>
      <c r="CE69" s="62">
        <f t="shared" ref="CE69:CE132" si="94">$CE$3</f>
        <v>261.95434270986397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9.8717948717948705</v>
      </c>
      <c r="CT69" s="13">
        <f>IF('Données projet'!$A$140&gt;35,CT68+CS69-DB68,IF(A69&lt;'Données projet'!$A$140,$CQ$205^A69,IF(A69='Données projet'!$A$140,'Données projet'!$B$140,CT68+CS69-DB68)))</f>
        <v>271.92307692307685</v>
      </c>
      <c r="CU69" s="18">
        <f>CT69*VLOOKUP('Données projet'!$B$13,Paramètres!$A$1:$I$89,3,0)*VLOOKUP('Données projet'!$B$13,Paramètres!$A$1:$I$89,5,0)</f>
        <v>127.25999999999998</v>
      </c>
      <c r="CV69" s="14">
        <f t="shared" ref="CV69:CV132" si="95">EXP(-1.0587+0.8836*LN(CU69)+0.284)</f>
        <v>33.362442969975817</v>
      </c>
      <c r="CW69" s="22">
        <f t="shared" si="67"/>
        <v>279.75075483937445</v>
      </c>
      <c r="CX69" s="62">
        <f t="shared" si="68"/>
        <v>573.08408817270777</v>
      </c>
      <c r="CY69" s="62">
        <f ca="1">AVERAGE(OFFSET($CX$3,0,0,'Données projet'!$E$13+1,1))-AVERAGE(OFFSET($H$3,0,0,'Données projet'!$E$13+1,1))</f>
        <v>246.64907095367749</v>
      </c>
      <c r="CZ69" s="62">
        <f t="shared" ref="CZ69:CZ132" si="96">$CZ$3</f>
        <v>145.34368562171613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4.5</v>
      </c>
      <c r="DO69" s="13">
        <f>IF('Données projet'!$A$166&gt;35,DO68+DN69-DW68,IF(A69&lt;'Données projet'!$A$166,$DL$205^A69,IF(A69='Données projet'!$A$166,'Données projet'!$B$166,DO68+DN69-DW68)))</f>
        <v>310.49999999999989</v>
      </c>
      <c r="DP69" s="18">
        <f>DO69*VLOOKUP('Données projet'!$B$14,Paramètres!$A$1:$I$89,3,0)*VLOOKUP('Données projet'!$B$14,Paramètres!$A$1:$I$89,5,0)</f>
        <v>247.0337999999999</v>
      </c>
      <c r="DQ69" s="14">
        <f t="shared" ref="DQ69:DQ132" si="97">EXP(-1.0587+0.8836*LN(DP69)+0.284)</f>
        <v>59.950333213989722</v>
      </c>
      <c r="DR69" s="22">
        <f t="shared" si="70"/>
        <v>534.66403201436515</v>
      </c>
      <c r="DS69" s="62">
        <f t="shared" si="71"/>
        <v>827.99736534769841</v>
      </c>
      <c r="DT69" s="62">
        <f ca="1">AVERAGE(OFFSET($DS$3,0,0,'Données projet'!$E$14+1,1))-AVERAGE(OFFSET($H$3,0,0,'Données projet'!$E$14+1,1))</f>
        <v>370.38521334472284</v>
      </c>
      <c r="DU69" s="62">
        <f t="shared" ref="DU69:DU132" si="98">$DU$3</f>
        <v>404.61777090709171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13.777777777777779</v>
      </c>
      <c r="EJ69" s="13">
        <f>IF('Données projet'!$A$192&gt;35,EJ68+EI69-ER68,IF(A69&lt;'Données projet'!$A$192,$EG$205^A69,IF(A69='Données projet'!$A$192,'Données projet'!$B$192,EJ68+EI69-ER68)))</f>
        <v>316.66666666666646</v>
      </c>
      <c r="EK69" s="18">
        <f>EJ69*VLOOKUP('Données projet'!$B$15,Paramètres!$A$1:$I$89,3,0)*VLOOKUP('Données projet'!$B$15,Paramètres!$A$1:$I$89,5,0)</f>
        <v>271.69999999999987</v>
      </c>
      <c r="EL69" s="14">
        <f t="shared" ref="EL69:EL132" si="99">EXP(-1.0587+0.8836*LN(EK69)+0.284)</f>
        <v>65.209920294809322</v>
      </c>
      <c r="EM69" s="22">
        <f t="shared" si="73"/>
        <v>586.78477784679262</v>
      </c>
      <c r="EN69" s="62">
        <f t="shared" si="74"/>
        <v>880.11811118012588</v>
      </c>
      <c r="EO69" s="62">
        <f ca="1">AVERAGE(OFFSET($EN$3,0,0,'Données projet'!$E$15+1,1))-AVERAGE(OFFSET($H$3,0,0,'Données projet'!$E$15+1,1))</f>
        <v>445.81166342116865</v>
      </c>
      <c r="EP69" s="62">
        <f t="shared" ref="EP69:EP132" si="100">$EP$3</f>
        <v>230.82970731138215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0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8.1999999999999993</v>
      </c>
      <c r="FE69" s="13">
        <f>IF('Données projet'!$A$218&gt;35,FE68+FD69-FM68,IF(A69&lt;'Données projet'!$A$218,$FB$205^A69,IF(A69='Données projet'!$A$218,'Données projet'!$B$218,FE68+FD69-FM68)))</f>
        <v>269.2</v>
      </c>
      <c r="FF69" s="18">
        <f>FE69*VLOOKUP('Données projet'!$B$16,Paramètres!$A$1:$I$89,3,0)*VLOOKUP('Données projet'!$B$16,Paramètres!$A$1:$I$89,5,0)</f>
        <v>260.37024000000002</v>
      </c>
      <c r="FG69" s="14">
        <f t="shared" ref="FG69:FG132" si="101">EXP(-1.0587+0.8836*LN(FF69)+0.284)</f>
        <v>62.801291625234725</v>
      </c>
      <c r="FH69" s="22">
        <f t="shared" si="76"/>
        <v>562.85708424728386</v>
      </c>
      <c r="FI69" s="62">
        <f t="shared" si="77"/>
        <v>856.19041758061712</v>
      </c>
      <c r="FJ69" s="62">
        <f ca="1">AVERAGE(OFFSET($FI$3,0,0,'Données projet'!$E$16+1,1))-AVERAGE(OFFSET($H$3,0,0,'Données projet'!$E$16+1,1))</f>
        <v>541.66888676162716</v>
      </c>
      <c r="FK69" s="62">
        <f t="shared" ref="FK69:FK132" si="102">$FK$3</f>
        <v>294.45557293177131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>
        <f>EXP(-LN(2)/35)*FQ68+(1-EXP(-LN(2)/35))/(LN(2)/35)*FM69*FN69*VLOOKUP('Données projet'!$B$16,Paramètres!$A$1:$I$89,3,0)*0.475*44/12</f>
        <v>0</v>
      </c>
      <c r="FR69" s="23">
        <f>EXP(-LN(2)/25)*FR68+(1-EXP(-LN(2)/25))/(LN(2)/25)*Calculateur!FM69*Calculateur!FO69*VLOOKUP('Données projet'!$B$16,Paramètres!$A$1:$I$89,3,0)*0.475*44/12</f>
        <v>0</v>
      </c>
      <c r="FS69" s="23">
        <f>EXP(-LN(2)/2)*FS68+(1-EXP(-LN(2)/2))/(LN(2)/2)*FM69*FP69*VLOOKUP('Données projet'!$B$16,Paramètres!$A$1:$I$89,3,0)*0.475*44/12</f>
        <v>0</v>
      </c>
      <c r="FT69" s="24">
        <f t="shared" si="78"/>
        <v>0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8.6666666666666661</v>
      </c>
      <c r="FZ69" s="13">
        <f>IF('Données projet'!$A$244&gt;35,FZ68+FY69-GH68,IF(A69&lt;'Données projet'!$A$244,$FW$205^A69,IF(A69='Données projet'!$A$244,'Données projet'!$B$244,FZ68+FY69-GH68)))</f>
        <v>302.00000000000006</v>
      </c>
      <c r="GA69" s="18">
        <f>FZ69*VLOOKUP('Données projet'!$B$17,Paramètres!$A$1:$I$89,3,0)*VLOOKUP('Données projet'!$B$17,Paramètres!$A$1:$I$89,5,0)</f>
        <v>235.56000000000006</v>
      </c>
      <c r="GB69" s="14">
        <f t="shared" ref="GB69:GB132" si="103">EXP(-1.0587+0.8836*LN(GA69)+0.284)</f>
        <v>57.483207143847771</v>
      </c>
      <c r="GC69" s="22">
        <f t="shared" si="79"/>
        <v>510.38358577553487</v>
      </c>
      <c r="GD69" s="62">
        <f t="shared" si="80"/>
        <v>803.71691910886818</v>
      </c>
      <c r="GE69" s="62">
        <f ca="1">AVERAGE(OFFSET($GD$3,0,0,'Données projet'!$E$17+1,1))-AVERAGE(OFFSET($H$3,0,0,'Données projet'!$E$17+1,1))</f>
        <v>292.57482726862594</v>
      </c>
      <c r="GF69" s="62">
        <f t="shared" ref="GF69:GF132" si="104">$GF$3</f>
        <v>283.48738729114024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>
        <f>EXP(-LN(2)/35)*GL68+(1-EXP(-LN(2)/35))/(LN(2)/35)*GH69*GI69*VLOOKUP('Données projet'!$B$17,Paramètres!$A$1:$I$89,3,0)*0.475*44/12</f>
        <v>0</v>
      </c>
      <c r="GM69" s="23">
        <f>EXP(-LN(2)/25)*GM68+(1-EXP(-LN(2)/25))/(LN(2)/25)*Calculateur!GH69*Calculateur!GJ69*VLOOKUP('Données projet'!$B$17,Paramètres!$A$1:$I$89,3,0)*0.475*44/12</f>
        <v>0</v>
      </c>
      <c r="GN69" s="23">
        <f>EXP(-LN(2)/2)*GN68+(1-EXP(-LN(2)/2))/(LN(2)/2)*GH69*GK69*VLOOKUP('Données projet'!$B$17,Paramètres!$A$1:$I$89,3,0)*0.475*44/12</f>
        <v>0</v>
      </c>
      <c r="GO69" s="23">
        <f t="shared" si="81"/>
        <v>0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-1.4102564102564088</v>
      </c>
      <c r="GU69" s="13">
        <f>IF('Données projet'!$A$270&gt;35,GU68+GT69-HC68,IF(A69&lt;'Données projet'!$A$270,$GR$205^A69,IF(A69='Données projet'!$A$270,'Données projet'!$B$270,GU68+GT69-HC68)))</f>
        <v>336.41025641025618</v>
      </c>
      <c r="GV69" s="18">
        <f>GU69*VLOOKUP('Données projet'!$B$18,Paramètres!$A$1:$I$89,3,0)*VLOOKUP('Données projet'!$B$18,Paramètres!$A$1:$I$89,5,0)</f>
        <v>225.66399999999987</v>
      </c>
      <c r="GW69" s="14">
        <f t="shared" ref="GW69:GW132" si="105">EXP(-1.0587+0.8836*LN(GV69)+0.284)</f>
        <v>55.344100995293566</v>
      </c>
      <c r="GX69" s="22">
        <f t="shared" si="82"/>
        <v>489.42244256680277</v>
      </c>
      <c r="GY69" s="62">
        <f t="shared" si="83"/>
        <v>782.75577590013609</v>
      </c>
      <c r="GZ69" s="62">
        <f ca="1">AVERAGE(OFFSET($GY$3,0,0,'Données projet'!$E$18+1,1))-AVERAGE(OFFSET($H$3,0,0,'Données projet'!$E$18+1,1))</f>
        <v>410.20186800287411</v>
      </c>
      <c r="HA69" s="62">
        <f t="shared" ref="HA69:HA132" si="106">$HA$3</f>
        <v>321.99347958016057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>
        <f>EXP(-LN(2)/35)*HG68+(1-EXP(-LN(2)/35))/(LN(2)/35)*HC69*HD69*VLOOKUP('Données projet'!$B$18,Paramètres!$A$1:$I$89,3,0)*0.475*44/12</f>
        <v>0</v>
      </c>
      <c r="HH69" s="23">
        <f>EXP(-LN(2)/25)*HH68+(1-EXP(-LN(2)/25))/(LN(2)/25)*Calculateur!HC69*Calculateur!HE69*VLOOKUP('Données projet'!$B$18,Paramètres!$A$1:$I$89,3,0)*0.475*44/12</f>
        <v>0</v>
      </c>
      <c r="HI69" s="23">
        <f>EXP(-LN(2)/2)*HI68+(1-EXP(-LN(2)/2))/(LN(2)/2)*HC69*HF69*VLOOKUP('Données projet'!$B$18,Paramètres!$A$1:$I$89,3,0)*0.475*44/12</f>
        <v>0</v>
      </c>
      <c r="HJ69" s="24">
        <f t="shared" si="84"/>
        <v>0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8.1999999999999993</v>
      </c>
      <c r="N70" s="14">
        <f>IF('Données projet'!$A$36&gt;35,N69+M70-V69,IF(A70&lt;'Données projet'!$A$36,$K$205^A70,IF(A70='Données projet'!$A$36,'Données projet'!$B$36,N69+M70-V69)))</f>
        <v>277.39999999999998</v>
      </c>
      <c r="O70" s="14">
        <f>N70*VLOOKUP('Données projet'!$B$9,Paramètres!$A$1:$I$89,3,0)*VLOOKUP('Données projet'!$B$9,Paramètres!$A$1:$I$89,5,0)</f>
        <v>250.99151999999995</v>
      </c>
      <c r="P70" s="14">
        <f t="shared" si="87"/>
        <v>60.798211000769406</v>
      </c>
      <c r="Q70" s="22">
        <f t="shared" si="54"/>
        <v>543.03378149300659</v>
      </c>
      <c r="R70" s="62">
        <f t="shared" si="55"/>
        <v>836.36711482633996</v>
      </c>
      <c r="S70" s="62">
        <f ca="1">AVERAGE(OFFSET($R$3,0,0,'Données projet'!$E$9+1,1))-AVERAGE(OFFSET($H$3,0,0,'Données projet'!$E$9+1,1))</f>
        <v>509.56241660612449</v>
      </c>
      <c r="T70" s="62">
        <f t="shared" si="88"/>
        <v>278.21741231699929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8.1999999999999993</v>
      </c>
      <c r="AI70" s="14">
        <f>IF('Données projet'!$A$62&gt;35,AI69+AH70-AQ69,IF(A70&lt;'Données projet'!$A$62,$AF$205^A70,IF(A70='Données projet'!$A$62,'Données projet'!$B$62,AI69+AH70-AQ69)))</f>
        <v>277.39999999999998</v>
      </c>
      <c r="AJ70" s="14">
        <f>AI70*VLOOKUP('Données projet'!$B$10,Paramètres!$A$1:$I$89,3,0)*VLOOKUP('Données projet'!$B$10,Paramètres!$A$1:$I$89,5,0)</f>
        <v>281.28360000000004</v>
      </c>
      <c r="AK70" s="14">
        <f t="shared" si="89"/>
        <v>67.238198209347928</v>
      </c>
      <c r="AL70" s="22">
        <f t="shared" si="58"/>
        <v>607.00879854794766</v>
      </c>
      <c r="AM70" s="62">
        <f t="shared" si="59"/>
        <v>900.34213188128092</v>
      </c>
      <c r="AN70" s="62">
        <f ca="1">AVERAGE(OFFSET($AM$3,0,0,'Données projet'!$E$10+1,1))-AVERAGE(OFFSET($H$3,0,0,'Données projet'!$E$10+1,1))</f>
        <v>565.72091871734051</v>
      </c>
      <c r="AO70" s="62">
        <f t="shared" si="90"/>
        <v>306.61893266146666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4.5</v>
      </c>
      <c r="BD70" s="13">
        <f>IF('Données projet'!$A$88&gt;35,BD69+BC70-BL69,IF(A70&lt;'Données projet'!$A$88,$BA$205^A70,IF(A70='Données projet'!$A$88,'Données projet'!$B$88,BD69+BC70-BL69)))</f>
        <v>314.99999999999989</v>
      </c>
      <c r="BE70" s="14">
        <f>BD70*VLOOKUP('Données projet'!$B$11,Paramètres!$A$1:$I$89,3,0)*VLOOKUP('Données projet'!$B$11,Paramètres!$A$1:$I$89,5,0)</f>
        <v>230.95799999999988</v>
      </c>
      <c r="BF70" s="14">
        <f t="shared" si="91"/>
        <v>56.489773392384429</v>
      </c>
      <c r="BG70" s="22">
        <f t="shared" si="61"/>
        <v>500.63820532506929</v>
      </c>
      <c r="BH70" s="62">
        <f t="shared" si="62"/>
        <v>793.97153865840255</v>
      </c>
      <c r="BI70" s="62">
        <f ca="1">AVERAGE(OFFSET($BH$3,0,0,'Données projet'!$E$11+1,1))-AVERAGE(OFFSET($H$3,0,0,'Données projet'!$E$11+1,1))</f>
        <v>344.26020118887629</v>
      </c>
      <c r="BJ70" s="62">
        <f t="shared" si="92"/>
        <v>376.41441893222185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8.1999999999999993</v>
      </c>
      <c r="BY70" s="13">
        <f>IF('Données projet'!$A$114&gt;35,BY69+BX70-CG69,IF(A70&lt;'Données projet'!$A$114,$BV$205^A70,IF(A70='Données projet'!$A$114,'Données projet'!$B$114,BY69+BX70-CG69)))</f>
        <v>277.39999999999998</v>
      </c>
      <c r="BZ70" s="14">
        <f>BY70*VLOOKUP('Données projet'!$B$12,Paramètres!$A$1:$I$89,3,0)*VLOOKUP('Données projet'!$B$12,Paramètres!$A$1:$I$89,5,0)</f>
        <v>233.68176</v>
      </c>
      <c r="CA70" s="14">
        <f t="shared" si="93"/>
        <v>57.078026837098335</v>
      </c>
      <c r="CB70" s="22">
        <f t="shared" si="64"/>
        <v>506.40662874127952</v>
      </c>
      <c r="CC70" s="62">
        <f t="shared" si="65"/>
        <v>799.73996207461278</v>
      </c>
      <c r="CD70" s="62">
        <f ca="1">AVERAGE(OFFSET($CC$3,0,0,'Données projet'!$E$12+1,1))-AVERAGE(OFFSET($H$3,0,0,'Données projet'!$E$12+1,1))</f>
        <v>477.4105367901771</v>
      </c>
      <c r="CE70" s="62">
        <f t="shared" si="94"/>
        <v>261.95434270986397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9.8717948717948705</v>
      </c>
      <c r="CT70" s="13">
        <f>IF('Données projet'!$A$140&gt;35,CT69+CS70-DB69,IF(A70&lt;'Données projet'!$A$140,$CQ$205^A70,IF(A70='Données projet'!$A$140,'Données projet'!$B$140,CT69+CS70-DB69)))</f>
        <v>281.79487179487171</v>
      </c>
      <c r="CU70" s="18">
        <f>CT70*VLOOKUP('Données projet'!$B$13,Paramètres!$A$1:$I$89,3,0)*VLOOKUP('Données projet'!$B$13,Paramètres!$A$1:$I$89,5,0)</f>
        <v>131.87999999999994</v>
      </c>
      <c r="CV70" s="14">
        <f t="shared" si="95"/>
        <v>34.430408458396784</v>
      </c>
      <c r="CW70" s="22">
        <f t="shared" si="67"/>
        <v>289.65729473170762</v>
      </c>
      <c r="CX70" s="62">
        <f t="shared" si="68"/>
        <v>582.99062806504094</v>
      </c>
      <c r="CY70" s="62">
        <f ca="1">AVERAGE(OFFSET($CX$3,0,0,'Données projet'!$E$13+1,1))-AVERAGE(OFFSET($H$3,0,0,'Données projet'!$E$13+1,1))</f>
        <v>246.64907095367749</v>
      </c>
      <c r="CZ70" s="62">
        <f t="shared" si="96"/>
        <v>145.34368562171613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4.5</v>
      </c>
      <c r="DO70" s="13">
        <f>IF('Données projet'!$A$166&gt;35,DO69+DN70-DW69,IF(A70&lt;'Données projet'!$A$166,$DL$205^A70,IF(A70='Données projet'!$A$166,'Données projet'!$B$166,DO69+DN70-DW69)))</f>
        <v>314.99999999999989</v>
      </c>
      <c r="DP70" s="18">
        <f>DO70*VLOOKUP('Données projet'!$B$14,Paramètres!$A$1:$I$89,3,0)*VLOOKUP('Données projet'!$B$14,Paramètres!$A$1:$I$89,5,0)</f>
        <v>250.61399999999992</v>
      </c>
      <c r="DQ70" s="14">
        <f t="shared" si="97"/>
        <v>60.717400934916043</v>
      </c>
      <c r="DR70" s="22">
        <f t="shared" si="70"/>
        <v>542.23552329497863</v>
      </c>
      <c r="DS70" s="62">
        <f t="shared" si="71"/>
        <v>835.56885662831201</v>
      </c>
      <c r="DT70" s="62">
        <f ca="1">AVERAGE(OFFSET($DS$3,0,0,'Données projet'!$E$14+1,1))-AVERAGE(OFFSET($H$3,0,0,'Données projet'!$E$14+1,1))</f>
        <v>370.38521334472284</v>
      </c>
      <c r="DU70" s="62">
        <f t="shared" si="98"/>
        <v>404.61777090709171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13.777777777777779</v>
      </c>
      <c r="EJ70" s="13">
        <f>IF('Données projet'!$A$192&gt;35,EJ69+EI70-ER69,IF(A70&lt;'Données projet'!$A$192,$EG$205^A70,IF(A70='Données projet'!$A$192,'Données projet'!$B$192,EJ69+EI70-ER69)))</f>
        <v>330.44444444444423</v>
      </c>
      <c r="EK70" s="18">
        <f>EJ70*VLOOKUP('Données projet'!$B$15,Paramètres!$A$1:$I$89,3,0)*VLOOKUP('Données projet'!$B$15,Paramètres!$A$1:$I$89,5,0)</f>
        <v>283.52133333333319</v>
      </c>
      <c r="EL70" s="14">
        <f t="shared" si="99"/>
        <v>67.71062569759917</v>
      </c>
      <c r="EM70" s="22">
        <f t="shared" si="73"/>
        <v>611.72899531220708</v>
      </c>
      <c r="EN70" s="62">
        <f t="shared" si="74"/>
        <v>905.06232864554045</v>
      </c>
      <c r="EO70" s="62">
        <f ca="1">AVERAGE(OFFSET($EN$3,0,0,'Données projet'!$E$15+1,1))-AVERAGE(OFFSET($H$3,0,0,'Données projet'!$E$15+1,1))</f>
        <v>445.81166342116865</v>
      </c>
      <c r="EP70" s="62">
        <f t="shared" si="100"/>
        <v>230.82970731138215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0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8.1999999999999993</v>
      </c>
      <c r="FE70" s="13">
        <f>IF('Données projet'!$A$218&gt;35,FE69+FD70-FM69,IF(A70&lt;'Données projet'!$A$218,$FB$205^A70,IF(A70='Données projet'!$A$218,'Données projet'!$B$218,FE69+FD70-FM69)))</f>
        <v>277.39999999999998</v>
      </c>
      <c r="FF70" s="18">
        <f>FE70*VLOOKUP('Données projet'!$B$16,Paramètres!$A$1:$I$89,3,0)*VLOOKUP('Données projet'!$B$16,Paramètres!$A$1:$I$89,5,0)</f>
        <v>268.30127999999996</v>
      </c>
      <c r="FG70" s="14">
        <f t="shared" si="101"/>
        <v>64.488625713042012</v>
      </c>
      <c r="FH70" s="22">
        <f t="shared" si="76"/>
        <v>579.60908578354815</v>
      </c>
      <c r="FI70" s="62">
        <f t="shared" si="77"/>
        <v>872.94241911688141</v>
      </c>
      <c r="FJ70" s="62">
        <f ca="1">AVERAGE(OFFSET($FI$3,0,0,'Données projet'!$E$16+1,1))-AVERAGE(OFFSET($H$3,0,0,'Données projet'!$E$16+1,1))</f>
        <v>541.66888676162716</v>
      </c>
      <c r="FK70" s="62">
        <f t="shared" si="102"/>
        <v>294.45557293177131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>
        <f>EXP(-LN(2)/35)*FQ69+(1-EXP(-LN(2)/35))/(LN(2)/35)*FM70*FN70*VLOOKUP('Données projet'!$B$16,Paramètres!$A$1:$I$89,3,0)*0.475*44/12</f>
        <v>0</v>
      </c>
      <c r="FR70" s="23">
        <f>EXP(-LN(2)/25)*FR69+(1-EXP(-LN(2)/25))/(LN(2)/25)*Calculateur!FM70*Calculateur!FO70*VLOOKUP('Données projet'!$B$16,Paramètres!$A$1:$I$89,3,0)*0.475*44/12</f>
        <v>0</v>
      </c>
      <c r="FS70" s="23">
        <f>EXP(-LN(2)/2)*FS69+(1-EXP(-LN(2)/2))/(LN(2)/2)*FM70*FP70*VLOOKUP('Données projet'!$B$16,Paramètres!$A$1:$I$89,3,0)*0.475*44/12</f>
        <v>0</v>
      </c>
      <c r="FT70" s="24">
        <f t="shared" si="78"/>
        <v>0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8.6666666666666661</v>
      </c>
      <c r="FZ70" s="13">
        <f>IF('Données projet'!$A$244&gt;35,FZ69+FY70-GH69,IF(A70&lt;'Données projet'!$A$244,$FW$205^A70,IF(A70='Données projet'!$A$244,'Données projet'!$B$244,FZ69+FY70-GH69)))</f>
        <v>310.66666666666674</v>
      </c>
      <c r="GA70" s="18">
        <f>FZ70*VLOOKUP('Données projet'!$B$17,Paramètres!$A$1:$I$89,3,0)*VLOOKUP('Données projet'!$B$17,Paramètres!$A$1:$I$89,5,0)</f>
        <v>242.32000000000008</v>
      </c>
      <c r="GB70" s="14">
        <f t="shared" si="103"/>
        <v>58.938409961900909</v>
      </c>
      <c r="GC70" s="22">
        <f t="shared" si="79"/>
        <v>524.69173068364421</v>
      </c>
      <c r="GD70" s="62">
        <f t="shared" si="80"/>
        <v>818.02506401697747</v>
      </c>
      <c r="GE70" s="62">
        <f ca="1">AVERAGE(OFFSET($GD$3,0,0,'Données projet'!$E$17+1,1))-AVERAGE(OFFSET($H$3,0,0,'Données projet'!$E$17+1,1))</f>
        <v>292.57482726862594</v>
      </c>
      <c r="GF70" s="62">
        <f t="shared" si="104"/>
        <v>283.48738729114024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>
        <f>EXP(-LN(2)/35)*GL69+(1-EXP(-LN(2)/35))/(LN(2)/35)*GH70*GI70*VLOOKUP('Données projet'!$B$17,Paramètres!$A$1:$I$89,3,0)*0.475*44/12</f>
        <v>0</v>
      </c>
      <c r="GM70" s="23">
        <f>EXP(-LN(2)/25)*GM69+(1-EXP(-LN(2)/25))/(LN(2)/25)*Calculateur!GH70*Calculateur!GJ70*VLOOKUP('Données projet'!$B$17,Paramètres!$A$1:$I$89,3,0)*0.475*44/12</f>
        <v>0</v>
      </c>
      <c r="GN70" s="23">
        <f>EXP(-LN(2)/2)*GN69+(1-EXP(-LN(2)/2))/(LN(2)/2)*GH70*GK70*VLOOKUP('Données projet'!$B$17,Paramètres!$A$1:$I$89,3,0)*0.475*44/12</f>
        <v>0</v>
      </c>
      <c r="GO70" s="23">
        <f t="shared" si="81"/>
        <v>0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-1.4102564102564088</v>
      </c>
      <c r="GU70" s="13">
        <f>IF('Données projet'!$A$270&gt;35,GU69+GT70-HC69,IF(A70&lt;'Données projet'!$A$270,$GR$205^A70,IF(A70='Données projet'!$A$270,'Données projet'!$B$270,GU69+GT70-HC69)))</f>
        <v>334.99999999999977</v>
      </c>
      <c r="GV70" s="18">
        <f>GU70*VLOOKUP('Données projet'!$B$18,Paramètres!$A$1:$I$89,3,0)*VLOOKUP('Données projet'!$B$18,Paramètres!$A$1:$I$89,5,0)</f>
        <v>224.71799999999985</v>
      </c>
      <c r="GW70" s="14">
        <f t="shared" si="105"/>
        <v>55.13904993933194</v>
      </c>
      <c r="GX70" s="22">
        <f t="shared" si="82"/>
        <v>487.41769531100289</v>
      </c>
      <c r="GY70" s="62">
        <f t="shared" si="83"/>
        <v>780.7510286443362</v>
      </c>
      <c r="GZ70" s="62">
        <f ca="1">AVERAGE(OFFSET($GY$3,0,0,'Données projet'!$E$18+1,1))-AVERAGE(OFFSET($H$3,0,0,'Données projet'!$E$18+1,1))</f>
        <v>410.20186800287411</v>
      </c>
      <c r="HA70" s="62">
        <f t="shared" si="106"/>
        <v>321.99347958016057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>
        <f>EXP(-LN(2)/35)*HG69+(1-EXP(-LN(2)/35))/(LN(2)/35)*HC70*HD70*VLOOKUP('Données projet'!$B$18,Paramètres!$A$1:$I$89,3,0)*0.475*44/12</f>
        <v>0</v>
      </c>
      <c r="HH70" s="23">
        <f>EXP(-LN(2)/25)*HH69+(1-EXP(-LN(2)/25))/(LN(2)/25)*Calculateur!HC70*Calculateur!HE70*VLOOKUP('Données projet'!$B$18,Paramètres!$A$1:$I$89,3,0)*0.475*44/12</f>
        <v>0</v>
      </c>
      <c r="HI70" s="23">
        <f>EXP(-LN(2)/2)*HI69+(1-EXP(-LN(2)/2))/(LN(2)/2)*HC70*HF70*VLOOKUP('Données projet'!$B$18,Paramètres!$A$1:$I$89,3,0)*0.475*44/12</f>
        <v>0</v>
      </c>
      <c r="HJ70" s="24">
        <f t="shared" si="84"/>
        <v>0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8.1999999999999993</v>
      </c>
      <c r="N71" s="14">
        <f>IF('Données projet'!$A$36&gt;35,N70+M71-V70,IF(A71&lt;'Données projet'!$A$36,$K$205^A71,IF(A71='Données projet'!$A$36,'Données projet'!$B$36,N70+M71-V70)))</f>
        <v>285.59999999999997</v>
      </c>
      <c r="O71" s="14">
        <f>N71*VLOOKUP('Données projet'!$B$9,Paramètres!$A$1:$I$89,3,0)*VLOOKUP('Données projet'!$B$9,Paramètres!$A$1:$I$89,5,0)</f>
        <v>258.41087999999996</v>
      </c>
      <c r="P71" s="14">
        <f t="shared" si="87"/>
        <v>62.383521020316756</v>
      </c>
      <c r="Q71" s="22">
        <f t="shared" si="54"/>
        <v>558.71691511038489</v>
      </c>
      <c r="R71" s="62">
        <f t="shared" si="55"/>
        <v>852.05024844371815</v>
      </c>
      <c r="S71" s="62">
        <f ca="1">AVERAGE(OFFSET($R$3,0,0,'Données projet'!$E$9+1,1))-AVERAGE(OFFSET($H$3,0,0,'Données projet'!$E$9+1,1))</f>
        <v>509.56241660612449</v>
      </c>
      <c r="T71" s="62">
        <f t="shared" si="88"/>
        <v>278.21741231699929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8.1999999999999993</v>
      </c>
      <c r="AI71" s="14">
        <f>IF('Données projet'!$A$62&gt;35,AI70+AH71-AQ70,IF(A71&lt;'Données projet'!$A$62,$AF$205^A71,IF(A71='Données projet'!$A$62,'Données projet'!$B$62,AI70+AH71-AQ70)))</f>
        <v>285.59999999999997</v>
      </c>
      <c r="AJ71" s="14">
        <f>AI71*VLOOKUP('Données projet'!$B$10,Paramètres!$A$1:$I$89,3,0)*VLOOKUP('Données projet'!$B$10,Paramètres!$A$1:$I$89,5,0)</f>
        <v>289.59839999999997</v>
      </c>
      <c r="AK71" s="14">
        <f t="shared" si="89"/>
        <v>68.991430542388798</v>
      </c>
      <c r="AL71" s="22">
        <f t="shared" si="58"/>
        <v>624.54395486132705</v>
      </c>
      <c r="AM71" s="62">
        <f t="shared" si="59"/>
        <v>917.87728819466042</v>
      </c>
      <c r="AN71" s="62">
        <f ca="1">AVERAGE(OFFSET($AM$3,0,0,'Données projet'!$E$10+1,1))-AVERAGE(OFFSET($H$3,0,0,'Données projet'!$E$10+1,1))</f>
        <v>565.72091871734051</v>
      </c>
      <c r="AO71" s="62">
        <f t="shared" si="90"/>
        <v>306.61893266146666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4.5</v>
      </c>
      <c r="BD71" s="13">
        <f>IF('Données projet'!$A$88&gt;35,BD70+BC71-BL70,IF(A71&lt;'Données projet'!$A$88,$BA$205^A71,IF(A71='Données projet'!$A$88,'Données projet'!$B$88,BD70+BC71-BL70)))</f>
        <v>319.49999999999989</v>
      </c>
      <c r="BE71" s="14">
        <f>BD71*VLOOKUP('Données projet'!$B$11,Paramètres!$A$1:$I$89,3,0)*VLOOKUP('Données projet'!$B$11,Paramètres!$A$1:$I$89,5,0)</f>
        <v>234.2573999999999</v>
      </c>
      <c r="BF71" s="14">
        <f t="shared" si="91"/>
        <v>57.202245999692629</v>
      </c>
      <c r="BG71" s="22">
        <f t="shared" si="61"/>
        <v>507.62555011613114</v>
      </c>
      <c r="BH71" s="62">
        <f t="shared" si="62"/>
        <v>800.95888344946445</v>
      </c>
      <c r="BI71" s="62">
        <f ca="1">AVERAGE(OFFSET($BH$3,0,0,'Données projet'!$E$11+1,1))-AVERAGE(OFFSET($H$3,0,0,'Données projet'!$E$11+1,1))</f>
        <v>344.26020118887629</v>
      </c>
      <c r="BJ71" s="62">
        <f t="shared" si="92"/>
        <v>376.41441893222185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8.1999999999999993</v>
      </c>
      <c r="BY71" s="13">
        <f>IF('Données projet'!$A$114&gt;35,BY70+BX71-CG70,IF(A71&lt;'Données projet'!$A$114,$BV$205^A71,IF(A71='Données projet'!$A$114,'Données projet'!$B$114,BY70+BX71-CG70)))</f>
        <v>285.59999999999997</v>
      </c>
      <c r="BZ71" s="14">
        <f>BY71*VLOOKUP('Données projet'!$B$12,Paramètres!$A$1:$I$89,3,0)*VLOOKUP('Données projet'!$B$12,Paramètres!$A$1:$I$89,5,0)</f>
        <v>240.58944</v>
      </c>
      <c r="CA71" s="14">
        <f t="shared" si="93"/>
        <v>58.56633325847811</v>
      </c>
      <c r="CB71" s="22">
        <f t="shared" si="64"/>
        <v>521.02963842518272</v>
      </c>
      <c r="CC71" s="62">
        <f t="shared" si="65"/>
        <v>814.3629717585161</v>
      </c>
      <c r="CD71" s="62">
        <f ca="1">AVERAGE(OFFSET($CC$3,0,0,'Données projet'!$E$12+1,1))-AVERAGE(OFFSET($H$3,0,0,'Données projet'!$E$12+1,1))</f>
        <v>477.4105367901771</v>
      </c>
      <c r="CE71" s="62">
        <f t="shared" si="94"/>
        <v>261.95434270986397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9.8717948717948705</v>
      </c>
      <c r="CT71" s="13">
        <f>IF('Données projet'!$A$140&gt;35,CT70+CS71-DB70,IF(A71&lt;'Données projet'!$A$140,$CQ$205^A71,IF(A71='Données projet'!$A$140,'Données projet'!$B$140,CT70+CS71-DB70)))</f>
        <v>291.66666666666657</v>
      </c>
      <c r="CU71" s="18">
        <f>CT71*VLOOKUP('Données projet'!$B$13,Paramètres!$A$1:$I$89,3,0)*VLOOKUP('Données projet'!$B$13,Paramètres!$A$1:$I$89,5,0)</f>
        <v>136.49999999999994</v>
      </c>
      <c r="CV71" s="14">
        <f t="shared" si="95"/>
        <v>35.494027024087352</v>
      </c>
      <c r="CW71" s="22">
        <f t="shared" si="67"/>
        <v>299.55626373361866</v>
      </c>
      <c r="CX71" s="62">
        <f t="shared" si="68"/>
        <v>592.88959706695198</v>
      </c>
      <c r="CY71" s="62">
        <f ca="1">AVERAGE(OFFSET($CX$3,0,0,'Données projet'!$E$13+1,1))-AVERAGE(OFFSET($H$3,0,0,'Données projet'!$E$13+1,1))</f>
        <v>246.64907095367749</v>
      </c>
      <c r="CZ71" s="62">
        <f t="shared" si="96"/>
        <v>145.34368562171613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4.5</v>
      </c>
      <c r="DO71" s="13">
        <f>IF('Données projet'!$A$166&gt;35,DO70+DN71-DW70,IF(A71&lt;'Données projet'!$A$166,$DL$205^A71,IF(A71='Données projet'!$A$166,'Données projet'!$B$166,DO70+DN71-DW70)))</f>
        <v>319.49999999999989</v>
      </c>
      <c r="DP71" s="18">
        <f>DO71*VLOOKUP('Données projet'!$B$14,Paramètres!$A$1:$I$89,3,0)*VLOOKUP('Données projet'!$B$14,Paramètres!$A$1:$I$89,5,0)</f>
        <v>254.19419999999991</v>
      </c>
      <c r="DQ71" s="14">
        <f t="shared" si="97"/>
        <v>61.483194145885243</v>
      </c>
      <c r="DR71" s="22">
        <f t="shared" si="70"/>
        <v>549.80479480408326</v>
      </c>
      <c r="DS71" s="62">
        <f t="shared" si="71"/>
        <v>843.13812813741652</v>
      </c>
      <c r="DT71" s="62">
        <f ca="1">AVERAGE(OFFSET($DS$3,0,0,'Données projet'!$E$14+1,1))-AVERAGE(OFFSET($H$3,0,0,'Données projet'!$E$14+1,1))</f>
        <v>370.38521334472284</v>
      </c>
      <c r="DU71" s="62">
        <f t="shared" si="98"/>
        <v>404.61777090709171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13.777777777777779</v>
      </c>
      <c r="EJ71" s="13">
        <f>IF('Données projet'!$A$192&gt;35,EJ70+EI71-ER70,IF(A71&lt;'Données projet'!$A$192,$EG$205^A71,IF(A71='Données projet'!$A$192,'Données projet'!$B$192,EJ70+EI71-ER70)))</f>
        <v>344.222222222222</v>
      </c>
      <c r="EK71" s="18">
        <f>EJ71*VLOOKUP('Données projet'!$B$15,Paramètres!$A$1:$I$89,3,0)*VLOOKUP('Données projet'!$B$15,Paramètres!$A$1:$I$89,5,0)</f>
        <v>295.3426666666665</v>
      </c>
      <c r="EL71" s="14">
        <f t="shared" si="99"/>
        <v>70.199220220485287</v>
      </c>
      <c r="EM71" s="22">
        <f t="shared" si="73"/>
        <v>636.65211966178947</v>
      </c>
      <c r="EN71" s="62">
        <f t="shared" si="74"/>
        <v>929.98545299512284</v>
      </c>
      <c r="EO71" s="62">
        <f ca="1">AVERAGE(OFFSET($EN$3,0,0,'Données projet'!$E$15+1,1))-AVERAGE(OFFSET($H$3,0,0,'Données projet'!$E$15+1,1))</f>
        <v>445.81166342116865</v>
      </c>
      <c r="EP71" s="62">
        <f t="shared" si="100"/>
        <v>230.82970731138215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0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8.1999999999999993</v>
      </c>
      <c r="FE71" s="13">
        <f>IF('Données projet'!$A$218&gt;35,FE70+FD71-FM70,IF(A71&lt;'Données projet'!$A$218,$FB$205^A71,IF(A71='Données projet'!$A$218,'Données projet'!$B$218,FE70+FD71-FM70)))</f>
        <v>285.59999999999997</v>
      </c>
      <c r="FF71" s="18">
        <f>FE71*VLOOKUP('Données projet'!$B$16,Paramètres!$A$1:$I$89,3,0)*VLOOKUP('Données projet'!$B$16,Paramètres!$A$1:$I$89,5,0)</f>
        <v>276.23231999999996</v>
      </c>
      <c r="FG71" s="14">
        <f t="shared" si="101"/>
        <v>66.170163093943458</v>
      </c>
      <c r="FH71" s="22">
        <f t="shared" si="76"/>
        <v>596.35099138861813</v>
      </c>
      <c r="FI71" s="62">
        <f t="shared" si="77"/>
        <v>889.6843247219515</v>
      </c>
      <c r="FJ71" s="62">
        <f ca="1">AVERAGE(OFFSET($FI$3,0,0,'Données projet'!$E$16+1,1))-AVERAGE(OFFSET($H$3,0,0,'Données projet'!$E$16+1,1))</f>
        <v>541.66888676162716</v>
      </c>
      <c r="FK71" s="62">
        <f t="shared" si="102"/>
        <v>294.45557293177131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>
        <f>EXP(-LN(2)/35)*FQ70+(1-EXP(-LN(2)/35))/(LN(2)/35)*FM71*FN71*VLOOKUP('Données projet'!$B$16,Paramètres!$A$1:$I$89,3,0)*0.475*44/12</f>
        <v>0</v>
      </c>
      <c r="FR71" s="23">
        <f>EXP(-LN(2)/25)*FR70+(1-EXP(-LN(2)/25))/(LN(2)/25)*Calculateur!FM71*Calculateur!FO71*VLOOKUP('Données projet'!$B$16,Paramètres!$A$1:$I$89,3,0)*0.475*44/12</f>
        <v>0</v>
      </c>
      <c r="FS71" s="23">
        <f>EXP(-LN(2)/2)*FS70+(1-EXP(-LN(2)/2))/(LN(2)/2)*FM71*FP71*VLOOKUP('Données projet'!$B$16,Paramètres!$A$1:$I$89,3,0)*0.475*44/12</f>
        <v>0</v>
      </c>
      <c r="FT71" s="24">
        <f t="shared" si="78"/>
        <v>0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8.6666666666666661</v>
      </c>
      <c r="FZ71" s="13">
        <f>IF('Données projet'!$A$244&gt;35,FZ70+FY71-GH70,IF(A71&lt;'Données projet'!$A$244,$FW$205^A71,IF(A71='Données projet'!$A$244,'Données projet'!$B$244,FZ70+FY71-GH70)))</f>
        <v>319.33333333333343</v>
      </c>
      <c r="GA71" s="18">
        <f>FZ71*VLOOKUP('Données projet'!$B$17,Paramètres!$A$1:$I$89,3,0)*VLOOKUP('Données projet'!$B$17,Paramètres!$A$1:$I$89,5,0)</f>
        <v>249.08000000000007</v>
      </c>
      <c r="GB71" s="14">
        <f t="shared" si="103"/>
        <v>60.388894447487807</v>
      </c>
      <c r="GC71" s="22">
        <f t="shared" si="79"/>
        <v>538.99165782937473</v>
      </c>
      <c r="GD71" s="62">
        <f t="shared" si="80"/>
        <v>832.3249911627081</v>
      </c>
      <c r="GE71" s="62">
        <f ca="1">AVERAGE(OFFSET($GD$3,0,0,'Données projet'!$E$17+1,1))-AVERAGE(OFFSET($H$3,0,0,'Données projet'!$E$17+1,1))</f>
        <v>292.57482726862594</v>
      </c>
      <c r="GF71" s="62">
        <f t="shared" si="104"/>
        <v>283.48738729114024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>
        <f>EXP(-LN(2)/35)*GL70+(1-EXP(-LN(2)/35))/(LN(2)/35)*GH71*GI71*VLOOKUP('Données projet'!$B$17,Paramètres!$A$1:$I$89,3,0)*0.475*44/12</f>
        <v>0</v>
      </c>
      <c r="GM71" s="23">
        <f>EXP(-LN(2)/25)*GM70+(1-EXP(-LN(2)/25))/(LN(2)/25)*Calculateur!GH71*Calculateur!GJ71*VLOOKUP('Données projet'!$B$17,Paramètres!$A$1:$I$89,3,0)*0.475*44/12</f>
        <v>0</v>
      </c>
      <c r="GN71" s="23">
        <f>EXP(-LN(2)/2)*GN70+(1-EXP(-LN(2)/2))/(LN(2)/2)*GH71*GK71*VLOOKUP('Données projet'!$B$17,Paramètres!$A$1:$I$89,3,0)*0.475*44/12</f>
        <v>0</v>
      </c>
      <c r="GO71" s="23">
        <f t="shared" si="81"/>
        <v>0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-1.4102564102564088</v>
      </c>
      <c r="GU71" s="13">
        <f>IF('Données projet'!$A$270&gt;35,GU70+GT71-HC70,IF(A71&lt;'Données projet'!$A$270,$GR$205^A71,IF(A71='Données projet'!$A$270,'Données projet'!$B$270,GU70+GT71-HC70)))</f>
        <v>333.58974358974336</v>
      </c>
      <c r="GV71" s="18">
        <f>GU71*VLOOKUP('Données projet'!$B$18,Paramètres!$A$1:$I$89,3,0)*VLOOKUP('Données projet'!$B$18,Paramètres!$A$1:$I$89,5,0)</f>
        <v>223.77199999999988</v>
      </c>
      <c r="GW71" s="14">
        <f t="shared" si="105"/>
        <v>54.933898381062988</v>
      </c>
      <c r="GX71" s="22">
        <f t="shared" si="82"/>
        <v>485.4127730136845</v>
      </c>
      <c r="GY71" s="62">
        <f t="shared" si="83"/>
        <v>778.74610634701776</v>
      </c>
      <c r="GZ71" s="62">
        <f ca="1">AVERAGE(OFFSET($GY$3,0,0,'Données projet'!$E$18+1,1))-AVERAGE(OFFSET($H$3,0,0,'Données projet'!$E$18+1,1))</f>
        <v>410.20186800287411</v>
      </c>
      <c r="HA71" s="62">
        <f t="shared" si="106"/>
        <v>321.99347958016057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>
        <f>EXP(-LN(2)/35)*HG70+(1-EXP(-LN(2)/35))/(LN(2)/35)*HC71*HD71*VLOOKUP('Données projet'!$B$18,Paramètres!$A$1:$I$89,3,0)*0.475*44/12</f>
        <v>0</v>
      </c>
      <c r="HH71" s="23">
        <f>EXP(-LN(2)/25)*HH70+(1-EXP(-LN(2)/25))/(LN(2)/25)*Calculateur!HC71*Calculateur!HE71*VLOOKUP('Données projet'!$B$18,Paramètres!$A$1:$I$89,3,0)*0.475*44/12</f>
        <v>0</v>
      </c>
      <c r="HI71" s="23">
        <f>EXP(-LN(2)/2)*HI70+(1-EXP(-LN(2)/2))/(LN(2)/2)*HC71*HF71*VLOOKUP('Données projet'!$B$18,Paramètres!$A$1:$I$89,3,0)*0.475*44/12</f>
        <v>0</v>
      </c>
      <c r="HJ71" s="24">
        <f t="shared" si="84"/>
        <v>0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8.1999999999999993</v>
      </c>
      <c r="N72" s="14">
        <f>IF('Données projet'!$A$36&gt;35,N71+M72-V71,IF(A72&lt;'Données projet'!$A$36,$K$205^A72,IF(A72='Données projet'!$A$36,'Données projet'!$B$36,N71+M72-V71)))</f>
        <v>293.79999999999995</v>
      </c>
      <c r="O72" s="14">
        <f>N72*VLOOKUP('Données projet'!$B$9,Paramètres!$A$1:$I$89,3,0)*VLOOKUP('Données projet'!$B$9,Paramètres!$A$1:$I$89,5,0)</f>
        <v>265.83023999999995</v>
      </c>
      <c r="P72" s="14">
        <f t="shared" si="87"/>
        <v>63.963540982526439</v>
      </c>
      <c r="Q72" s="22">
        <f t="shared" si="54"/>
        <v>574.39083521123348</v>
      </c>
      <c r="R72" s="62">
        <f t="shared" si="55"/>
        <v>867.72416854456674</v>
      </c>
      <c r="S72" s="62">
        <f ca="1">AVERAGE(OFFSET($R$3,0,0,'Données projet'!$E$9+1,1))-AVERAGE(OFFSET($H$3,0,0,'Données projet'!$E$9+1,1))</f>
        <v>509.56241660612449</v>
      </c>
      <c r="T72" s="62">
        <f t="shared" si="88"/>
        <v>278.21741231699929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8.1999999999999993</v>
      </c>
      <c r="AI72" s="14">
        <f>IF('Données projet'!$A$62&gt;35,AI71+AH72-AQ71,IF(A72&lt;'Données projet'!$A$62,$AF$205^A72,IF(A72='Données projet'!$A$62,'Données projet'!$B$62,AI71+AH72-AQ71)))</f>
        <v>293.79999999999995</v>
      </c>
      <c r="AJ72" s="14">
        <f>AI72*VLOOKUP('Données projet'!$B$10,Paramètres!$A$1:$I$89,3,0)*VLOOKUP('Données projet'!$B$10,Paramètres!$A$1:$I$89,5,0)</f>
        <v>297.91319999999996</v>
      </c>
      <c r="AK72" s="14">
        <f t="shared" si="89"/>
        <v>70.73881247427552</v>
      </c>
      <c r="AL72" s="22">
        <f t="shared" si="58"/>
        <v>642.06892172602977</v>
      </c>
      <c r="AM72" s="62">
        <f t="shared" si="59"/>
        <v>935.40225505936314</v>
      </c>
      <c r="AN72" s="62">
        <f ca="1">AVERAGE(OFFSET($AM$3,0,0,'Données projet'!$E$10+1,1))-AVERAGE(OFFSET($H$3,0,0,'Données projet'!$E$10+1,1))</f>
        <v>565.72091871734051</v>
      </c>
      <c r="AO72" s="62">
        <f t="shared" si="90"/>
        <v>306.61893266146666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4.5</v>
      </c>
      <c r="BD72" s="13">
        <f>IF('Données projet'!$A$88&gt;35,BD71+BC72-BL71,IF(A72&lt;'Données projet'!$A$88,$BA$205^A72,IF(A72='Données projet'!$A$88,'Données projet'!$B$88,BD71+BC72-BL71)))</f>
        <v>323.99999999999989</v>
      </c>
      <c r="BE72" s="14">
        <f>BD72*VLOOKUP('Données projet'!$B$11,Paramètres!$A$1:$I$89,3,0)*VLOOKUP('Données projet'!$B$11,Paramètres!$A$1:$I$89,5,0)</f>
        <v>237.55679999999992</v>
      </c>
      <c r="BF72" s="14">
        <f t="shared" si="91"/>
        <v>57.913551469467308</v>
      </c>
      <c r="BG72" s="22">
        <f t="shared" si="61"/>
        <v>514.61086214265538</v>
      </c>
      <c r="BH72" s="62">
        <f t="shared" si="62"/>
        <v>807.94419547598864</v>
      </c>
      <c r="BI72" s="62">
        <f ca="1">AVERAGE(OFFSET($BH$3,0,0,'Données projet'!$E$11+1,1))-AVERAGE(OFFSET($H$3,0,0,'Données projet'!$E$11+1,1))</f>
        <v>344.26020118887629</v>
      </c>
      <c r="BJ72" s="62">
        <f t="shared" si="92"/>
        <v>376.41441893222185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8.1999999999999993</v>
      </c>
      <c r="BY72" s="13">
        <f>IF('Données projet'!$A$114&gt;35,BY71+BX72-CG71,IF(A72&lt;'Données projet'!$A$114,$BV$205^A72,IF(A72='Données projet'!$A$114,'Données projet'!$B$114,BY71+BX72-CG71)))</f>
        <v>293.79999999999995</v>
      </c>
      <c r="BZ72" s="14">
        <f>BY72*VLOOKUP('Données projet'!$B$12,Paramètres!$A$1:$I$89,3,0)*VLOOKUP('Données projet'!$B$12,Paramètres!$A$1:$I$89,5,0)</f>
        <v>247.49712</v>
      </c>
      <c r="CA72" s="14">
        <f t="shared" si="93"/>
        <v>60.049673316050104</v>
      </c>
      <c r="CB72" s="22">
        <f t="shared" si="64"/>
        <v>535.64399835878714</v>
      </c>
      <c r="CC72" s="62">
        <f t="shared" si="65"/>
        <v>828.97733169212052</v>
      </c>
      <c r="CD72" s="62">
        <f ca="1">AVERAGE(OFFSET($CC$3,0,0,'Données projet'!$E$12+1,1))-AVERAGE(OFFSET($H$3,0,0,'Données projet'!$E$12+1,1))</f>
        <v>477.4105367901771</v>
      </c>
      <c r="CE72" s="62">
        <f t="shared" si="94"/>
        <v>261.95434270986397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9.8717948717948705</v>
      </c>
      <c r="CT72" s="13">
        <f>IF('Données projet'!$A$140&gt;35,CT71+CS72-DB71,IF(A72&lt;'Données projet'!$A$140,$CQ$205^A72,IF(A72='Données projet'!$A$140,'Données projet'!$B$140,CT71+CS72-DB71)))</f>
        <v>301.53846153846143</v>
      </c>
      <c r="CU72" s="18">
        <f>CT72*VLOOKUP('Données projet'!$B$13,Paramètres!$A$1:$I$89,3,0)*VLOOKUP('Données projet'!$B$13,Paramètres!$A$1:$I$89,5,0)</f>
        <v>141.11999999999995</v>
      </c>
      <c r="CV72" s="14">
        <f t="shared" si="95"/>
        <v>36.553462659686843</v>
      </c>
      <c r="CW72" s="22">
        <f t="shared" si="67"/>
        <v>309.4479474656211</v>
      </c>
      <c r="CX72" s="62">
        <f t="shared" si="68"/>
        <v>602.78128079895441</v>
      </c>
      <c r="CY72" s="62">
        <f ca="1">AVERAGE(OFFSET($CX$3,0,0,'Données projet'!$E$13+1,1))-AVERAGE(OFFSET($H$3,0,0,'Données projet'!$E$13+1,1))</f>
        <v>246.64907095367749</v>
      </c>
      <c r="CZ72" s="62">
        <f t="shared" si="96"/>
        <v>145.34368562171613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4.5</v>
      </c>
      <c r="DO72" s="13">
        <f>IF('Données projet'!$A$166&gt;35,DO71+DN72-DW71,IF(A72&lt;'Données projet'!$A$166,$DL$205^A72,IF(A72='Données projet'!$A$166,'Données projet'!$B$166,DO71+DN72-DW71)))</f>
        <v>323.99999999999989</v>
      </c>
      <c r="DP72" s="18">
        <f>DO72*VLOOKUP('Données projet'!$B$14,Paramètres!$A$1:$I$89,3,0)*VLOOKUP('Données projet'!$B$14,Paramètres!$A$1:$I$89,5,0)</f>
        <v>257.77439999999996</v>
      </c>
      <c r="DQ72" s="14">
        <f t="shared" si="97"/>
        <v>62.247732872134293</v>
      </c>
      <c r="DR72" s="22">
        <f t="shared" si="70"/>
        <v>557.37188141896718</v>
      </c>
      <c r="DS72" s="62">
        <f t="shared" si="71"/>
        <v>850.70521475230044</v>
      </c>
      <c r="DT72" s="62">
        <f ca="1">AVERAGE(OFFSET($DS$3,0,0,'Données projet'!$E$14+1,1))-AVERAGE(OFFSET($H$3,0,0,'Données projet'!$E$14+1,1))</f>
        <v>370.38521334472284</v>
      </c>
      <c r="DU72" s="62">
        <f t="shared" si="98"/>
        <v>404.61777090709171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>
        <f>VLOOKUP(A72,'Données projet'!$A$191:$I$211,2,0)</f>
        <v>358</v>
      </c>
      <c r="EH72" s="13">
        <f>VLOOKUP(A72,'Données projet'!$A$191:$I$211,9,0)</f>
        <v>13.777777777777779</v>
      </c>
      <c r="EI72" s="13">
        <f t="array" ref="EI72">INDEX(EH:EH,MIN(IF(ISNUMBER(EH72:EH268),ROW(EH72:EH268),"")))</f>
        <v>13.777777777777779</v>
      </c>
      <c r="EJ72" s="13">
        <f>IF('Données projet'!$A$192&gt;35,EJ71+EI72-ER71,IF(A72&lt;'Données projet'!$A$192,$EG$205^A72,IF(A72='Données projet'!$A$192,'Données projet'!$B$192,EJ71+EI72-ER71)))</f>
        <v>357.99999999999977</v>
      </c>
      <c r="EK72" s="18">
        <f>EJ72*VLOOKUP('Données projet'!$B$15,Paramètres!$A$1:$I$89,3,0)*VLOOKUP('Données projet'!$B$15,Paramètres!$A$1:$I$89,5,0)</f>
        <v>307.16399999999982</v>
      </c>
      <c r="EL72" s="14">
        <f t="shared" si="99"/>
        <v>72.676244071302918</v>
      </c>
      <c r="EM72" s="22">
        <f t="shared" si="73"/>
        <v>661.55509175751888</v>
      </c>
      <c r="EN72" s="62">
        <f t="shared" si="74"/>
        <v>954.88842509085225</v>
      </c>
      <c r="EO72" s="62">
        <f ca="1">AVERAGE(OFFSET($EN$3,0,0,'Données projet'!$E$15+1,1))-AVERAGE(OFFSET($H$3,0,0,'Données projet'!$E$15+1,1))</f>
        <v>445.81166342116865</v>
      </c>
      <c r="EP72" s="62">
        <f t="shared" si="100"/>
        <v>230.82970731138215</v>
      </c>
      <c r="EQ72" s="16">
        <f>IF(ISNA(VLOOKUP(A72,'Données projet'!$A$191:$I$211,3,0)),0,VLOOKUP(A72,'Données projet'!$A$191:$I$211,3,0))</f>
        <v>8</v>
      </c>
      <c r="ER72" s="16">
        <f>IF(ISNA(VLOOKUP(A72,'Données projet'!$A$191:$I$211,4,0)),0,VLOOKUP(A72,'Données projet'!$A$191:$I$211,4,0))</f>
        <v>84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0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8.1999999999999993</v>
      </c>
      <c r="FE72" s="13">
        <f>IF('Données projet'!$A$218&gt;35,FE71+FD72-FM71,IF(A72&lt;'Données projet'!$A$218,$FB$205^A72,IF(A72='Données projet'!$A$218,'Données projet'!$B$218,FE71+FD72-FM71)))</f>
        <v>293.79999999999995</v>
      </c>
      <c r="FF72" s="18">
        <f>FE72*VLOOKUP('Données projet'!$B$16,Paramètres!$A$1:$I$89,3,0)*VLOOKUP('Données projet'!$B$16,Paramètres!$A$1:$I$89,5,0)</f>
        <v>284.16335999999995</v>
      </c>
      <c r="FG72" s="14">
        <f t="shared" si="101"/>
        <v>67.846089314219739</v>
      </c>
      <c r="FH72" s="22">
        <f t="shared" si="76"/>
        <v>613.08312422226595</v>
      </c>
      <c r="FI72" s="62">
        <f t="shared" si="77"/>
        <v>906.41645755559921</v>
      </c>
      <c r="FJ72" s="62">
        <f ca="1">AVERAGE(OFFSET($FI$3,0,0,'Données projet'!$E$16+1,1))-AVERAGE(OFFSET($H$3,0,0,'Données projet'!$E$16+1,1))</f>
        <v>541.66888676162716</v>
      </c>
      <c r="FK72" s="62">
        <f t="shared" si="102"/>
        <v>294.45557293177131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>
        <f>EXP(-LN(2)/35)*FQ71+(1-EXP(-LN(2)/35))/(LN(2)/35)*FM72*FN72*VLOOKUP('Données projet'!$B$16,Paramètres!$A$1:$I$89,3,0)*0.475*44/12</f>
        <v>0</v>
      </c>
      <c r="FR72" s="23">
        <f>EXP(-LN(2)/25)*FR71+(1-EXP(-LN(2)/25))/(LN(2)/25)*Calculateur!FM72*Calculateur!FO72*VLOOKUP('Données projet'!$B$16,Paramètres!$A$1:$I$89,3,0)*0.475*44/12</f>
        <v>0</v>
      </c>
      <c r="FS72" s="23">
        <f>EXP(-LN(2)/2)*FS71+(1-EXP(-LN(2)/2))/(LN(2)/2)*FM72*FP72*VLOOKUP('Données projet'!$B$16,Paramètres!$A$1:$I$89,3,0)*0.475*44/12</f>
        <v>0</v>
      </c>
      <c r="FT72" s="24">
        <f t="shared" si="78"/>
        <v>0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>
        <f>VLOOKUP(A72,'Données projet'!$A$243:$I$263,2,0)</f>
        <v>328</v>
      </c>
      <c r="FX72" s="13">
        <f>VLOOKUP(A72,'Données projet'!$A$243:$I$263,9,0)</f>
        <v>8.6666666666666661</v>
      </c>
      <c r="FY72" s="13">
        <f t="array" ref="FY72">INDEX(FX:FX,MIN(IF(ISNUMBER(FX72:FX268),ROW(FX72:FX268),"")))</f>
        <v>8.6666666666666661</v>
      </c>
      <c r="FZ72" s="13">
        <f>IF('Données projet'!$A$244&gt;35,FZ71+FY72-GH71,IF(A72&lt;'Données projet'!$A$244,$FW$205^A72,IF(A72='Données projet'!$A$244,'Données projet'!$B$244,FZ71+FY72-GH71)))</f>
        <v>328.00000000000011</v>
      </c>
      <c r="GA72" s="18">
        <f>FZ72*VLOOKUP('Données projet'!$B$17,Paramètres!$A$1:$I$89,3,0)*VLOOKUP('Données projet'!$B$17,Paramètres!$A$1:$I$89,5,0)</f>
        <v>255.84000000000009</v>
      </c>
      <c r="GB72" s="14">
        <f t="shared" si="103"/>
        <v>61.834803371075836</v>
      </c>
      <c r="GC72" s="22">
        <f t="shared" si="79"/>
        <v>553.28361587129064</v>
      </c>
      <c r="GD72" s="62">
        <f t="shared" si="80"/>
        <v>846.61694920462401</v>
      </c>
      <c r="GE72" s="62">
        <f ca="1">AVERAGE(OFFSET($GD$3,0,0,'Données projet'!$E$17+1,1))-AVERAGE(OFFSET($H$3,0,0,'Données projet'!$E$17+1,1))</f>
        <v>292.57482726862594</v>
      </c>
      <c r="GF72" s="62">
        <f t="shared" si="104"/>
        <v>283.48738729114024</v>
      </c>
      <c r="GG72" s="16">
        <f>IF(ISNA(VLOOKUP(A72,'Données projet'!$A$243:$I$263,3,0)),0,VLOOKUP(A72,'Données projet'!$A$243:$I$263,3,0))</f>
        <v>7</v>
      </c>
      <c r="GH72" s="16">
        <f>IF(ISNA(VLOOKUP(A72,'Données projet'!$A$243:$I$263,4,0)),0,VLOOKUP(A72,'Données projet'!$A$243:$I$263,4,0))</f>
        <v>328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>
        <f>EXP(-LN(2)/35)*GL71+(1-EXP(-LN(2)/35))/(LN(2)/35)*GH72*GI72*VLOOKUP('Données projet'!$B$17,Paramètres!$A$1:$I$89,3,0)*0.475*44/12</f>
        <v>0</v>
      </c>
      <c r="GM72" s="23">
        <f>EXP(-LN(2)/25)*GM71+(1-EXP(-LN(2)/25))/(LN(2)/25)*Calculateur!GH72*Calculateur!GJ72*VLOOKUP('Données projet'!$B$17,Paramètres!$A$1:$I$89,3,0)*0.475*44/12</f>
        <v>0</v>
      </c>
      <c r="GN72" s="23">
        <f>EXP(-LN(2)/2)*GN71+(1-EXP(-LN(2)/2))/(LN(2)/2)*GH72*GK72*VLOOKUP('Données projet'!$B$17,Paramètres!$A$1:$I$89,3,0)*0.475*44/12</f>
        <v>0</v>
      </c>
      <c r="GO72" s="23">
        <f t="shared" si="81"/>
        <v>0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-1.4102564102564088</v>
      </c>
      <c r="GU72" s="13">
        <f>IF('Données projet'!$A$270&gt;35,GU71+GT72-HC71,IF(A72&lt;'Données projet'!$A$270,$GR$205^A72,IF(A72='Données projet'!$A$270,'Données projet'!$B$270,GU71+GT72-HC71)))</f>
        <v>332.17948717948696</v>
      </c>
      <c r="GV72" s="18">
        <f>GU72*VLOOKUP('Données projet'!$B$18,Paramètres!$A$1:$I$89,3,0)*VLOOKUP('Données projet'!$B$18,Paramètres!$A$1:$I$89,5,0)</f>
        <v>222.82599999999985</v>
      </c>
      <c r="GW72" s="14">
        <f t="shared" si="105"/>
        <v>54.728645846036308</v>
      </c>
      <c r="GX72" s="22">
        <f t="shared" si="82"/>
        <v>483.40767484851307</v>
      </c>
      <c r="GY72" s="62">
        <f t="shared" si="83"/>
        <v>776.74100818184638</v>
      </c>
      <c r="GZ72" s="62">
        <f ca="1">AVERAGE(OFFSET($GY$3,0,0,'Données projet'!$E$18+1,1))-AVERAGE(OFFSET($H$3,0,0,'Données projet'!$E$18+1,1))</f>
        <v>410.20186800287411</v>
      </c>
      <c r="HA72" s="62">
        <f t="shared" si="106"/>
        <v>321.99347958016057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>
        <f>EXP(-LN(2)/35)*HG71+(1-EXP(-LN(2)/35))/(LN(2)/35)*HC72*HD72*VLOOKUP('Données projet'!$B$18,Paramètres!$A$1:$I$89,3,0)*0.475*44/12</f>
        <v>0</v>
      </c>
      <c r="HH72" s="23">
        <f>EXP(-LN(2)/25)*HH71+(1-EXP(-LN(2)/25))/(LN(2)/25)*Calculateur!HC72*Calculateur!HE72*VLOOKUP('Données projet'!$B$18,Paramètres!$A$1:$I$89,3,0)*0.475*44/12</f>
        <v>0</v>
      </c>
      <c r="HI72" s="23">
        <f>EXP(-LN(2)/2)*HI71+(1-EXP(-LN(2)/2))/(LN(2)/2)*HC72*HF72*VLOOKUP('Données projet'!$B$18,Paramètres!$A$1:$I$89,3,0)*0.475*44/12</f>
        <v>0</v>
      </c>
      <c r="HJ72" s="24">
        <f t="shared" si="84"/>
        <v>0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302</v>
      </c>
      <c r="L73" s="13">
        <f>VLOOKUP(A73,'Données projet'!$A$35:$I$55,9,0)</f>
        <v>8.1999999999999993</v>
      </c>
      <c r="M73" s="13">
        <f t="array" ref="M73">INDEX(L:L,MIN(IF(ISNUMBER(L73:L269),ROW(L73:L269),"")))</f>
        <v>8.1999999999999993</v>
      </c>
      <c r="N73" s="14">
        <f>IF('Données projet'!$A$36&gt;35,N72+M73-V72,IF(A73&lt;'Données projet'!$A$36,$K$205^A73,IF(A73='Données projet'!$A$36,'Données projet'!$B$36,N72+M73-V72)))</f>
        <v>301.99999999999994</v>
      </c>
      <c r="O73" s="14">
        <f>N73*VLOOKUP('Données projet'!$B$9,Paramètres!$A$1:$I$89,3,0)*VLOOKUP('Données projet'!$B$9,Paramètres!$A$1:$I$89,5,0)</f>
        <v>273.24959999999999</v>
      </c>
      <c r="P73" s="14">
        <f t="shared" si="87"/>
        <v>65.538435495514321</v>
      </c>
      <c r="Q73" s="22">
        <f t="shared" si="54"/>
        <v>590.05582848802067</v>
      </c>
      <c r="R73" s="62">
        <f t="shared" si="55"/>
        <v>883.38916182135404</v>
      </c>
      <c r="S73" s="62">
        <f ca="1">AVERAGE(OFFSET($R$3,0,0,'Données projet'!$E$9+1,1))-AVERAGE(OFFSET($H$3,0,0,'Données projet'!$E$9+1,1))</f>
        <v>509.56241660612449</v>
      </c>
      <c r="T73" s="62">
        <f t="shared" si="88"/>
        <v>278.21741231699929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302</v>
      </c>
      <c r="AG73" s="13">
        <f>VLOOKUP(A73,'Données projet'!$A$61:$I$81,9,0)</f>
        <v>8.1999999999999993</v>
      </c>
      <c r="AH73" s="13">
        <f t="array" ref="AH73">INDEX(AG:AG,MIN(IF(ISNUMBER(AG73:AG269),ROW(AG73:AG269),"")))</f>
        <v>8.1999999999999993</v>
      </c>
      <c r="AI73" s="14">
        <f>IF('Données projet'!$A$62&gt;35,AI72+AH73-AQ72,IF(A73&lt;'Données projet'!$A$62,$AF$205^A73,IF(A73='Données projet'!$A$62,'Données projet'!$B$62,AI72+AH73-AQ72)))</f>
        <v>301.99999999999994</v>
      </c>
      <c r="AJ73" s="14">
        <f>AI73*VLOOKUP('Données projet'!$B$10,Paramètres!$A$1:$I$89,3,0)*VLOOKUP('Données projet'!$B$10,Paramètres!$A$1:$I$89,5,0)</f>
        <v>306.22800000000001</v>
      </c>
      <c r="AK73" s="14">
        <f t="shared" si="89"/>
        <v>72.480526049067294</v>
      </c>
      <c r="AL73" s="22">
        <f t="shared" si="58"/>
        <v>659.58401620212555</v>
      </c>
      <c r="AM73" s="62">
        <f t="shared" si="59"/>
        <v>952.91734953545892</v>
      </c>
      <c r="AN73" s="62">
        <f ca="1">AVERAGE(OFFSET($AM$3,0,0,'Données projet'!$E$10+1,1))-AVERAGE(OFFSET($H$3,0,0,'Données projet'!$E$10+1,1))</f>
        <v>565.72091871734051</v>
      </c>
      <c r="AO73" s="62">
        <f t="shared" si="90"/>
        <v>306.61893266146666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328.5</v>
      </c>
      <c r="BB73" s="13">
        <f>VLOOKUP(A73,'Données projet'!$A$87:$I$107,9,0)</f>
        <v>4.5</v>
      </c>
      <c r="BC73" s="13">
        <f t="array" ref="BC73">INDEX(BB:BB,MIN(IF(ISNUMBER(BB73:BB269),ROW(BB73:BB269),"")))</f>
        <v>4.5</v>
      </c>
      <c r="BD73" s="13">
        <f>IF('Données projet'!$A$88&gt;35,BD72+BC73-BL72,IF(A73&lt;'Données projet'!$A$88,$BA$205^A73,IF(A73='Données projet'!$A$88,'Données projet'!$B$88,BD72+BC73-BL72)))</f>
        <v>328.49999999999989</v>
      </c>
      <c r="BE73" s="14">
        <f>BD73*VLOOKUP('Données projet'!$B$11,Paramètres!$A$1:$I$89,3,0)*VLOOKUP('Données projet'!$B$11,Paramètres!$A$1:$I$89,5,0)</f>
        <v>240.85619999999989</v>
      </c>
      <c r="BF73" s="14">
        <f t="shared" si="91"/>
        <v>58.623707885373882</v>
      </c>
      <c r="BG73" s="22">
        <f t="shared" si="61"/>
        <v>521.59417290035935</v>
      </c>
      <c r="BH73" s="62">
        <f t="shared" si="62"/>
        <v>814.92750623369261</v>
      </c>
      <c r="BI73" s="62">
        <f ca="1">AVERAGE(OFFSET($BH$3,0,0,'Données projet'!$E$11+1,1))-AVERAGE(OFFSET($H$3,0,0,'Données projet'!$E$11+1,1))</f>
        <v>344.26020118887629</v>
      </c>
      <c r="BJ73" s="62">
        <f t="shared" si="92"/>
        <v>376.41441893222185</v>
      </c>
      <c r="BK73" s="16">
        <f>IF(ISNA(VLOOKUP(A73,'Données projet'!$A$87:$I$107,3,0)),0,VLOOKUP(A73,'Données projet'!$A$87:$I$107,3,0))</f>
        <v>6</v>
      </c>
      <c r="BL73" s="16">
        <f>IF(ISNA(VLOOKUP(A73,'Données projet'!$A$87:$I$107,4,0)),0,VLOOKUP(A73,'Données projet'!$A$87:$I$107,4,0))</f>
        <v>30.9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302</v>
      </c>
      <c r="BW73" s="13">
        <f>VLOOKUP(A73,'Données projet'!$A$113:$I$133,9,0)</f>
        <v>8.1999999999999993</v>
      </c>
      <c r="BX73" s="13">
        <f t="array" ref="BX73">INDEX(BW:BW,MIN(IF(ISNUMBER(BW73:BW269),ROW(BW73:BW269),"")))</f>
        <v>8.1999999999999993</v>
      </c>
      <c r="BY73" s="13">
        <f>IF('Données projet'!$A$114&gt;35,BY72+BX73-CG72,IF(A73&lt;'Données projet'!$A$114,$BV$205^A73,IF(A73='Données projet'!$A$114,'Données projet'!$B$114,BY72+BX73-CG72)))</f>
        <v>301.99999999999994</v>
      </c>
      <c r="BZ73" s="14">
        <f>BY73*VLOOKUP('Données projet'!$B$12,Paramètres!$A$1:$I$89,3,0)*VLOOKUP('Données projet'!$B$12,Paramètres!$A$1:$I$89,5,0)</f>
        <v>254.40479999999999</v>
      </c>
      <c r="CA73" s="14">
        <f t="shared" si="93"/>
        <v>61.52820154571765</v>
      </c>
      <c r="CB73" s="22">
        <f t="shared" si="64"/>
        <v>550.24997769212484</v>
      </c>
      <c r="CC73" s="62">
        <f t="shared" si="65"/>
        <v>843.58331102545822</v>
      </c>
      <c r="CD73" s="62">
        <f ca="1">AVERAGE(OFFSET($CC$3,0,0,'Données projet'!$E$12+1,1))-AVERAGE(OFFSET($H$3,0,0,'Données projet'!$E$12+1,1))</f>
        <v>477.4105367901771</v>
      </c>
      <c r="CE73" s="62">
        <f t="shared" si="94"/>
        <v>261.95434270986397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9.8717948717948705</v>
      </c>
      <c r="CT73" s="13">
        <f>IF('Données projet'!$A$140&gt;35,CT72+CS73-DB72,IF(A73&lt;'Données projet'!$A$140,$CQ$205^A73,IF(A73='Données projet'!$A$140,'Données projet'!$B$140,CT72+CS73-DB72)))</f>
        <v>311.4102564102563</v>
      </c>
      <c r="CU73" s="18">
        <f>CT73*VLOOKUP('Données projet'!$B$13,Paramètres!$A$1:$I$89,3,0)*VLOOKUP('Données projet'!$B$13,Paramètres!$A$1:$I$89,5,0)</f>
        <v>145.73999999999995</v>
      </c>
      <c r="CV73" s="14">
        <f t="shared" si="95"/>
        <v>37.608868010754726</v>
      </c>
      <c r="CW73" s="22">
        <f t="shared" si="67"/>
        <v>319.33261178539772</v>
      </c>
      <c r="CX73" s="62">
        <f t="shared" si="68"/>
        <v>612.66594511873109</v>
      </c>
      <c r="CY73" s="62">
        <f ca="1">AVERAGE(OFFSET($CX$3,0,0,'Données projet'!$E$13+1,1))-AVERAGE(OFFSET($H$3,0,0,'Données projet'!$E$13+1,1))</f>
        <v>246.64907095367749</v>
      </c>
      <c r="CZ73" s="62">
        <f t="shared" si="96"/>
        <v>145.34368562171613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328.5</v>
      </c>
      <c r="DM73" s="13">
        <f>VLOOKUP(A73,'Données projet'!$A$165:$I$185,9,0)</f>
        <v>4.5</v>
      </c>
      <c r="DN73" s="13">
        <f t="array" ref="DN73">INDEX(DM:DM,MIN(IF(ISNUMBER(DM73:DM269),ROW(DM73:DM269),"")))</f>
        <v>4.5</v>
      </c>
      <c r="DO73" s="13">
        <f>IF('Données projet'!$A$166&gt;35,DO72+DN73-DW72,IF(A73&lt;'Données projet'!$A$166,$DL$205^A73,IF(A73='Données projet'!$A$166,'Données projet'!$B$166,DO72+DN73-DW72)))</f>
        <v>328.49999999999989</v>
      </c>
      <c r="DP73" s="18">
        <f>DO73*VLOOKUP('Données projet'!$B$14,Paramètres!$A$1:$I$89,3,0)*VLOOKUP('Données projet'!$B$14,Paramètres!$A$1:$I$89,5,0)</f>
        <v>261.35459999999989</v>
      </c>
      <c r="DQ73" s="14">
        <f t="shared" si="97"/>
        <v>63.01103655068848</v>
      </c>
      <c r="DR73" s="22">
        <f t="shared" si="70"/>
        <v>564.93681699244883</v>
      </c>
      <c r="DS73" s="62">
        <f t="shared" si="71"/>
        <v>858.2701503257822</v>
      </c>
      <c r="DT73" s="62">
        <f ca="1">AVERAGE(OFFSET($DS$3,0,0,'Données projet'!$E$14+1,1))-AVERAGE(OFFSET($H$3,0,0,'Données projet'!$E$14+1,1))</f>
        <v>370.38521334472284</v>
      </c>
      <c r="DU73" s="62">
        <f t="shared" si="98"/>
        <v>404.61777090709171</v>
      </c>
      <c r="DV73" s="16">
        <f>IF(ISNA(VLOOKUP(A73,'Données projet'!$A$165:$I$185,3,0)),0,VLOOKUP(A73,'Données projet'!$A$165:$I$185,3,0))</f>
        <v>6</v>
      </c>
      <c r="DW73" s="16">
        <f>IF(ISNA(VLOOKUP(A73,'Données projet'!$A$165:$I$185,4,0)),0,VLOOKUP(A73,'Données projet'!$A$165:$I$185,4,0))</f>
        <v>30.9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12.555555555555555</v>
      </c>
      <c r="EJ73" s="13">
        <f>IF('Données projet'!$A$192&gt;35,EJ72+EI73-ER72,IF(A73&lt;'Données projet'!$A$192,$EG$205^A73,IF(A73='Données projet'!$A$192,'Données projet'!$B$192,EJ72+EI73-ER72)))</f>
        <v>286.55555555555532</v>
      </c>
      <c r="EK73" s="18">
        <f>EJ73*VLOOKUP('Données projet'!$B$15,Paramètres!$A$1:$I$89,3,0)*VLOOKUP('Données projet'!$B$15,Paramètres!$A$1:$I$89,5,0)</f>
        <v>245.86466666666649</v>
      </c>
      <c r="EL73" s="14">
        <f t="shared" si="99"/>
        <v>59.699563669987469</v>
      </c>
      <c r="EM73" s="22">
        <f t="shared" si="73"/>
        <v>532.19103450300565</v>
      </c>
      <c r="EN73" s="62">
        <f t="shared" si="74"/>
        <v>825.52436783633902</v>
      </c>
      <c r="EO73" s="62">
        <f ca="1">AVERAGE(OFFSET($EN$3,0,0,'Données projet'!$E$15+1,1))-AVERAGE(OFFSET($H$3,0,0,'Données projet'!$E$15+1,1))</f>
        <v>445.81166342116865</v>
      </c>
      <c r="EP73" s="62">
        <f t="shared" si="100"/>
        <v>230.82970731138215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0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>
        <f>VLOOKUP(A73,'Données projet'!$A$217:$I$237,2,0)</f>
        <v>302</v>
      </c>
      <c r="FC73" s="13">
        <f>VLOOKUP(A73,'Données projet'!$A$217:$I$237,9,0)</f>
        <v>8.1999999999999993</v>
      </c>
      <c r="FD73" s="13">
        <f t="array" ref="FD73">INDEX(FC:FC,MIN(IF(ISNUMBER(FC73:FC269),ROW(FC73:FC269),"")))</f>
        <v>8.1999999999999993</v>
      </c>
      <c r="FE73" s="13">
        <f>IF('Données projet'!$A$218&gt;35,FE72+FD73-FM72,IF(A73&lt;'Données projet'!$A$218,$FB$205^A73,IF(A73='Données projet'!$A$218,'Données projet'!$B$218,FE72+FD73-FM72)))</f>
        <v>301.99999999999994</v>
      </c>
      <c r="FF73" s="18">
        <f>FE73*VLOOKUP('Données projet'!$B$16,Paramètres!$A$1:$I$89,3,0)*VLOOKUP('Données projet'!$B$16,Paramètres!$A$1:$I$89,5,0)</f>
        <v>292.09439999999995</v>
      </c>
      <c r="FG73" s="14">
        <f t="shared" si="101"/>
        <v>69.516578973599849</v>
      </c>
      <c r="FH73" s="22">
        <f t="shared" si="76"/>
        <v>629.80578837901965</v>
      </c>
      <c r="FI73" s="62">
        <f t="shared" si="77"/>
        <v>923.13912171235302</v>
      </c>
      <c r="FJ73" s="62">
        <f ca="1">AVERAGE(OFFSET($FI$3,0,0,'Données projet'!$E$16+1,1))-AVERAGE(OFFSET($H$3,0,0,'Données projet'!$E$16+1,1))</f>
        <v>541.66888676162716</v>
      </c>
      <c r="FK73" s="62">
        <f t="shared" si="102"/>
        <v>294.45557293177131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>
        <f>EXP(-LN(2)/35)*FQ72+(1-EXP(-LN(2)/35))/(LN(2)/35)*FM73*FN73*VLOOKUP('Données projet'!$B$16,Paramètres!$A$1:$I$89,3,0)*0.475*44/12</f>
        <v>0</v>
      </c>
      <c r="FR73" s="23">
        <f>EXP(-LN(2)/25)*FR72+(1-EXP(-LN(2)/25))/(LN(2)/25)*Calculateur!FM73*Calculateur!FO73*VLOOKUP('Données projet'!$B$16,Paramètres!$A$1:$I$89,3,0)*0.475*44/12</f>
        <v>0</v>
      </c>
      <c r="FS73" s="23">
        <f>EXP(-LN(2)/2)*FS72+(1-EXP(-LN(2)/2))/(LN(2)/2)*FM73*FP73*VLOOKUP('Données projet'!$B$16,Paramètres!$A$1:$I$89,3,0)*0.475*44/12</f>
        <v>0</v>
      </c>
      <c r="FT73" s="24">
        <f t="shared" si="78"/>
        <v>0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1.1368683772161603E-13</v>
      </c>
      <c r="GA73" s="18">
        <f>FZ73*VLOOKUP('Données projet'!$B$17,Paramètres!$A$1:$I$89,3,0)*VLOOKUP('Données projet'!$B$17,Paramètres!$A$1:$I$89,5,0)</f>
        <v>8.8675733422860506E-14</v>
      </c>
      <c r="GB73" s="14">
        <f t="shared" si="103"/>
        <v>1.3509285393066301E-12</v>
      </c>
      <c r="GC73" s="22">
        <f t="shared" si="79"/>
        <v>2.5073107750038623E-12</v>
      </c>
      <c r="GD73" s="62">
        <f t="shared" si="80"/>
        <v>293.33333333333582</v>
      </c>
      <c r="GE73" s="62">
        <f ca="1">AVERAGE(OFFSET($GD$3,0,0,'Données projet'!$E$17+1,1))-AVERAGE(OFFSET($H$3,0,0,'Données projet'!$E$17+1,1))</f>
        <v>292.57482726862594</v>
      </c>
      <c r="GF73" s="62">
        <f t="shared" si="104"/>
        <v>283.48738729114024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>
        <f>EXP(-LN(2)/35)*GL72+(1-EXP(-LN(2)/35))/(LN(2)/35)*GH73*GI73*VLOOKUP('Données projet'!$B$17,Paramètres!$A$1:$I$89,3,0)*0.475*44/12</f>
        <v>0</v>
      </c>
      <c r="GM73" s="23">
        <f>EXP(-LN(2)/25)*GM72+(1-EXP(-LN(2)/25))/(LN(2)/25)*Calculateur!GH73*Calculateur!GJ73*VLOOKUP('Données projet'!$B$17,Paramètres!$A$1:$I$89,3,0)*0.475*44/12</f>
        <v>0</v>
      </c>
      <c r="GN73" s="23">
        <f>EXP(-LN(2)/2)*GN72+(1-EXP(-LN(2)/2))/(LN(2)/2)*GH73*GK73*VLOOKUP('Données projet'!$B$17,Paramètres!$A$1:$I$89,3,0)*0.475*44/12</f>
        <v>0</v>
      </c>
      <c r="GO73" s="23">
        <f t="shared" si="81"/>
        <v>0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>
        <f>VLOOKUP(A73,'Données projet'!$A$269:$I$289,2,0)</f>
        <v>330.76923076923077</v>
      </c>
      <c r="GS73" s="13">
        <f>VLOOKUP(A73,'Données projet'!$A$269:$I$289,9,0)</f>
        <v>-1.4102564102564088</v>
      </c>
      <c r="GT73" s="13">
        <f t="array" ref="GT73">INDEX(GS:GS,MIN(IF(ISNUMBER(GS73:GS269),ROW(GS73:GS269),"")))</f>
        <v>-1.4102564102564088</v>
      </c>
      <c r="GU73" s="13">
        <f>IF('Données projet'!$A$270&gt;35,GU72+GT73-HC72,IF(A73&lt;'Données projet'!$A$270,$GR$205^A73,IF(A73='Données projet'!$A$270,'Données projet'!$B$270,GU72+GT73-HC72)))</f>
        <v>330.76923076923055</v>
      </c>
      <c r="GV73" s="18">
        <f>GU73*VLOOKUP('Données projet'!$B$18,Paramètres!$A$1:$I$89,3,0)*VLOOKUP('Données projet'!$B$18,Paramètres!$A$1:$I$89,5,0)</f>
        <v>221.87999999999988</v>
      </c>
      <c r="GW73" s="14">
        <f t="shared" si="105"/>
        <v>54.523291855537728</v>
      </c>
      <c r="GX73" s="22">
        <f t="shared" si="82"/>
        <v>481.40239998172791</v>
      </c>
      <c r="GY73" s="62">
        <f t="shared" si="83"/>
        <v>774.73573331506122</v>
      </c>
      <c r="GZ73" s="62">
        <f ca="1">AVERAGE(OFFSET($GY$3,0,0,'Données projet'!$E$18+1,1))-AVERAGE(OFFSET($H$3,0,0,'Données projet'!$E$18+1,1))</f>
        <v>410.20186800287411</v>
      </c>
      <c r="HA73" s="62">
        <f t="shared" si="106"/>
        <v>321.99347958016057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>
        <f>EXP(-LN(2)/35)*HG72+(1-EXP(-LN(2)/35))/(LN(2)/35)*HC73*HD73*VLOOKUP('Données projet'!$B$18,Paramètres!$A$1:$I$89,3,0)*0.475*44/12</f>
        <v>0</v>
      </c>
      <c r="HH73" s="23">
        <f>EXP(-LN(2)/25)*HH72+(1-EXP(-LN(2)/25))/(LN(2)/25)*Calculateur!HC73*Calculateur!HE73*VLOOKUP('Données projet'!$B$18,Paramètres!$A$1:$I$89,3,0)*0.475*44/12</f>
        <v>0</v>
      </c>
      <c r="HI73" s="23">
        <f>EXP(-LN(2)/2)*HI72+(1-EXP(-LN(2)/2))/(LN(2)/2)*HC73*HF73*VLOOKUP('Données projet'!$B$18,Paramètres!$A$1:$I$89,3,0)*0.475*44/12</f>
        <v>0</v>
      </c>
      <c r="HJ73" s="24">
        <f t="shared" si="84"/>
        <v>0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7.6</v>
      </c>
      <c r="N74" s="14">
        <f>IF('Données projet'!$A$36&gt;35,N73+M74-V73,IF(A74&lt;'Données projet'!$A$36,$K$205^A74,IF(A74='Données projet'!$A$36,'Données projet'!$B$36,N73+M74-V73)))</f>
        <v>309.59999999999997</v>
      </c>
      <c r="O74" s="14">
        <f>N74*VLOOKUP('Données projet'!$B$9,Paramètres!$A$1:$I$89,3,0)*VLOOKUP('Données projet'!$B$9,Paramètres!$A$1:$I$89,5,0)</f>
        <v>280.12607999999994</v>
      </c>
      <c r="P74" s="14">
        <f t="shared" si="87"/>
        <v>66.993652511337999</v>
      </c>
      <c r="Q74" s="22">
        <f t="shared" si="54"/>
        <v>604.56686745724687</v>
      </c>
      <c r="R74" s="62">
        <f t="shared" si="55"/>
        <v>897.90020079058013</v>
      </c>
      <c r="S74" s="62">
        <f ca="1">AVERAGE(OFFSET($R$3,0,0,'Données projet'!$E$9+1,1))-AVERAGE(OFFSET($H$3,0,0,'Données projet'!$E$9+1,1))</f>
        <v>509.56241660612449</v>
      </c>
      <c r="T74" s="62">
        <f t="shared" si="88"/>
        <v>278.21741231699929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7.6</v>
      </c>
      <c r="AI74" s="14">
        <f>IF('Données projet'!$A$62&gt;35,AI73+AH74-AQ73,IF(A74&lt;'Données projet'!$A$62,$AF$205^A74,IF(A74='Données projet'!$A$62,'Données projet'!$B$62,AI73+AH74-AQ73)))</f>
        <v>309.59999999999997</v>
      </c>
      <c r="AJ74" s="14">
        <f>AI74*VLOOKUP('Données projet'!$B$10,Paramètres!$A$1:$I$89,3,0)*VLOOKUP('Données projet'!$B$10,Paramètres!$A$1:$I$89,5,0)</f>
        <v>313.93439999999998</v>
      </c>
      <c r="AK74" s="14">
        <f t="shared" si="89"/>
        <v>74.089885412393457</v>
      </c>
      <c r="AL74" s="22">
        <f t="shared" si="58"/>
        <v>675.80896375991858</v>
      </c>
      <c r="AM74" s="62">
        <f t="shared" si="59"/>
        <v>969.14229709325195</v>
      </c>
      <c r="AN74" s="62">
        <f ca="1">AVERAGE(OFFSET($AM$3,0,0,'Données projet'!$E$10+1,1))-AVERAGE(OFFSET($H$3,0,0,'Données projet'!$E$10+1,1))</f>
        <v>565.72091871734051</v>
      </c>
      <c r="AO74" s="62">
        <f t="shared" si="90"/>
        <v>306.61893266146666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5.1799999999999953</v>
      </c>
      <c r="BD74" s="13">
        <f>IF('Données projet'!$A$88&gt;35,BD73+BC74-BL73,IF(A74&lt;'Données projet'!$A$88,$BA$205^A74,IF(A74='Données projet'!$A$88,'Données projet'!$B$88,BD73+BC74-BL73)))</f>
        <v>302.77999999999992</v>
      </c>
      <c r="BE74" s="14">
        <f>BD74*VLOOKUP('Données projet'!$B$11,Paramètres!$A$1:$I$89,3,0)*VLOOKUP('Données projet'!$B$11,Paramètres!$A$1:$I$89,5,0)</f>
        <v>221.99829599999993</v>
      </c>
      <c r="BF74" s="14">
        <f t="shared" si="91"/>
        <v>54.548976656519919</v>
      </c>
      <c r="BG74" s="22">
        <f t="shared" si="61"/>
        <v>481.65316654343877</v>
      </c>
      <c r="BH74" s="62">
        <f t="shared" si="62"/>
        <v>774.98649987677209</v>
      </c>
      <c r="BI74" s="62">
        <f ca="1">AVERAGE(OFFSET($BH$3,0,0,'Données projet'!$E$11+1,1))-AVERAGE(OFFSET($H$3,0,0,'Données projet'!$E$11+1,1))</f>
        <v>344.26020118887629</v>
      </c>
      <c r="BJ74" s="62">
        <f t="shared" si="92"/>
        <v>376.41441893222185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7.6</v>
      </c>
      <c r="BY74" s="13">
        <f>IF('Données projet'!$A$114&gt;35,BY73+BX74-CG73,IF(A74&lt;'Données projet'!$A$114,$BV$205^A74,IF(A74='Données projet'!$A$114,'Données projet'!$B$114,BY73+BX74-CG73)))</f>
        <v>309.59999999999997</v>
      </c>
      <c r="BZ74" s="14">
        <f>BY74*VLOOKUP('Données projet'!$B$12,Paramètres!$A$1:$I$89,3,0)*VLOOKUP('Données projet'!$B$12,Paramètres!$A$1:$I$89,5,0)</f>
        <v>260.80704000000003</v>
      </c>
      <c r="CA74" s="14">
        <f t="shared" si="93"/>
        <v>62.89437522937974</v>
      </c>
      <c r="CB74" s="22">
        <f t="shared" si="64"/>
        <v>563.77996485783649</v>
      </c>
      <c r="CC74" s="62">
        <f t="shared" si="65"/>
        <v>857.11329819116986</v>
      </c>
      <c r="CD74" s="62">
        <f ca="1">AVERAGE(OFFSET($CC$3,0,0,'Données projet'!$E$12+1,1))-AVERAGE(OFFSET($H$3,0,0,'Données projet'!$E$12+1,1))</f>
        <v>477.4105367901771</v>
      </c>
      <c r="CE74" s="62">
        <f t="shared" si="94"/>
        <v>261.95434270986397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9.8717948717948705</v>
      </c>
      <c r="CT74" s="13">
        <f>IF('Données projet'!$A$140&gt;35,CT73+CS74-DB73,IF(A74&lt;'Données projet'!$A$140,$CQ$205^A74,IF(A74='Données projet'!$A$140,'Données projet'!$B$140,CT73+CS74-DB73)))</f>
        <v>321.28205128205116</v>
      </c>
      <c r="CU74" s="18">
        <f>CT74*VLOOKUP('Données projet'!$B$13,Paramètres!$A$1:$I$89,3,0)*VLOOKUP('Données projet'!$B$13,Paramètres!$A$1:$I$89,5,0)</f>
        <v>150.35999999999993</v>
      </c>
      <c r="CV74" s="14">
        <f t="shared" si="95"/>
        <v>38.660385495456531</v>
      </c>
      <c r="CW74" s="22">
        <f t="shared" si="67"/>
        <v>329.21050473791996</v>
      </c>
      <c r="CX74" s="62">
        <f t="shared" si="68"/>
        <v>622.54383807125328</v>
      </c>
      <c r="CY74" s="62">
        <f ca="1">AVERAGE(OFFSET($CX$3,0,0,'Données projet'!$E$13+1,1))-AVERAGE(OFFSET($H$3,0,0,'Données projet'!$E$13+1,1))</f>
        <v>246.64907095367749</v>
      </c>
      <c r="CZ74" s="62">
        <f t="shared" si="96"/>
        <v>145.34368562171613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5.1799999999999953</v>
      </c>
      <c r="DO74" s="13">
        <f>IF('Données projet'!$A$166&gt;35,DO73+DN74-DW73,IF(A74&lt;'Données projet'!$A$166,$DL$205^A74,IF(A74='Données projet'!$A$166,'Données projet'!$B$166,DO73+DN74-DW73)))</f>
        <v>302.77999999999992</v>
      </c>
      <c r="DP74" s="18">
        <f>DO74*VLOOKUP('Données projet'!$B$14,Paramètres!$A$1:$I$89,3,0)*VLOOKUP('Données projet'!$B$14,Paramètres!$A$1:$I$89,5,0)</f>
        <v>240.89176799999996</v>
      </c>
      <c r="DQ74" s="14">
        <f t="shared" si="97"/>
        <v>58.631357276604099</v>
      </c>
      <c r="DR74" s="22">
        <f t="shared" si="70"/>
        <v>521.66944319008542</v>
      </c>
      <c r="DS74" s="62">
        <f t="shared" si="71"/>
        <v>815.00277652341879</v>
      </c>
      <c r="DT74" s="62">
        <f ca="1">AVERAGE(OFFSET($DS$3,0,0,'Données projet'!$E$14+1,1))-AVERAGE(OFFSET($H$3,0,0,'Données projet'!$E$14+1,1))</f>
        <v>370.38521334472284</v>
      </c>
      <c r="DU74" s="62">
        <f t="shared" si="98"/>
        <v>404.61777090709171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12.555555555555555</v>
      </c>
      <c r="EJ74" s="13">
        <f>IF('Données projet'!$A$192&gt;35,EJ73+EI74-ER73,IF(A74&lt;'Données projet'!$A$192,$EG$205^A74,IF(A74='Données projet'!$A$192,'Données projet'!$B$192,EJ73+EI74-ER73)))</f>
        <v>299.11111111111086</v>
      </c>
      <c r="EK74" s="18">
        <f>EJ74*VLOOKUP('Données projet'!$B$15,Paramètres!$A$1:$I$89,3,0)*VLOOKUP('Données projet'!$B$15,Paramètres!$A$1:$I$89,5,0)</f>
        <v>256.63733333333312</v>
      </c>
      <c r="EL74" s="14">
        <f t="shared" si="99"/>
        <v>62.005051158458208</v>
      </c>
      <c r="EM74" s="22">
        <f t="shared" si="73"/>
        <v>554.96881965653654</v>
      </c>
      <c r="EN74" s="62">
        <f t="shared" si="74"/>
        <v>848.30215298986991</v>
      </c>
      <c r="EO74" s="62">
        <f ca="1">AVERAGE(OFFSET($EN$3,0,0,'Données projet'!$E$15+1,1))-AVERAGE(OFFSET($H$3,0,0,'Données projet'!$E$15+1,1))</f>
        <v>445.81166342116865</v>
      </c>
      <c r="EP74" s="62">
        <f t="shared" si="100"/>
        <v>230.82970731138215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0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7.6</v>
      </c>
      <c r="FE74" s="13">
        <f>IF('Données projet'!$A$218&gt;35,FE73+FD74-FM73,IF(A74&lt;'Données projet'!$A$218,$FB$205^A74,IF(A74='Données projet'!$A$218,'Données projet'!$B$218,FE73+FD74-FM73)))</f>
        <v>309.59999999999997</v>
      </c>
      <c r="FF74" s="18">
        <f>FE74*VLOOKUP('Données projet'!$B$16,Paramètres!$A$1:$I$89,3,0)*VLOOKUP('Données projet'!$B$16,Paramètres!$A$1:$I$89,5,0)</f>
        <v>299.44511999999997</v>
      </c>
      <c r="FG74" s="14">
        <f t="shared" si="101"/>
        <v>71.060126783970659</v>
      </c>
      <c r="FH74" s="22">
        <f t="shared" si="76"/>
        <v>645.2966381487488</v>
      </c>
      <c r="FI74" s="62">
        <f t="shared" si="77"/>
        <v>938.62997148208206</v>
      </c>
      <c r="FJ74" s="62">
        <f ca="1">AVERAGE(OFFSET($FI$3,0,0,'Données projet'!$E$16+1,1))-AVERAGE(OFFSET($H$3,0,0,'Données projet'!$E$16+1,1))</f>
        <v>541.66888676162716</v>
      </c>
      <c r="FK74" s="62">
        <f t="shared" si="102"/>
        <v>294.45557293177131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>
        <f>EXP(-LN(2)/35)*FQ73+(1-EXP(-LN(2)/35))/(LN(2)/35)*FM74*FN74*VLOOKUP('Données projet'!$B$16,Paramètres!$A$1:$I$89,3,0)*0.475*44/12</f>
        <v>0</v>
      </c>
      <c r="FR74" s="23">
        <f>EXP(-LN(2)/25)*FR73+(1-EXP(-LN(2)/25))/(LN(2)/25)*Calculateur!FM74*Calculateur!FO74*VLOOKUP('Données projet'!$B$16,Paramètres!$A$1:$I$89,3,0)*0.475*44/12</f>
        <v>0</v>
      </c>
      <c r="FS74" s="23">
        <f>EXP(-LN(2)/2)*FS73+(1-EXP(-LN(2)/2))/(LN(2)/2)*FM74*FP74*VLOOKUP('Données projet'!$B$16,Paramètres!$A$1:$I$89,3,0)*0.475*44/12</f>
        <v>0</v>
      </c>
      <c r="FT74" s="24">
        <f t="shared" si="78"/>
        <v>0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1.1368683772161603E-13</v>
      </c>
      <c r="GA74" s="18">
        <f>FZ74*VLOOKUP('Données projet'!$B$17,Paramètres!$A$1:$I$89,3,0)*VLOOKUP('Données projet'!$B$17,Paramètres!$A$1:$I$89,5,0)</f>
        <v>8.8675733422860506E-14</v>
      </c>
      <c r="GB74" s="14">
        <f t="shared" si="103"/>
        <v>1.3509285393066301E-12</v>
      </c>
      <c r="GC74" s="22">
        <f t="shared" si="79"/>
        <v>2.5073107750038623E-12</v>
      </c>
      <c r="GD74" s="62">
        <f t="shared" si="80"/>
        <v>293.33333333333582</v>
      </c>
      <c r="GE74" s="62">
        <f ca="1">AVERAGE(OFFSET($GD$3,0,0,'Données projet'!$E$17+1,1))-AVERAGE(OFFSET($H$3,0,0,'Données projet'!$E$17+1,1))</f>
        <v>292.57482726862594</v>
      </c>
      <c r="GF74" s="62">
        <f t="shared" si="104"/>
        <v>283.48738729114024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>
        <f>EXP(-LN(2)/35)*GL73+(1-EXP(-LN(2)/35))/(LN(2)/35)*GH74*GI74*VLOOKUP('Données projet'!$B$17,Paramètres!$A$1:$I$89,3,0)*0.475*44/12</f>
        <v>0</v>
      </c>
      <c r="GM74" s="23">
        <f>EXP(-LN(2)/25)*GM73+(1-EXP(-LN(2)/25))/(LN(2)/25)*Calculateur!GH74*Calculateur!GJ74*VLOOKUP('Données projet'!$B$17,Paramètres!$A$1:$I$89,3,0)*0.475*44/12</f>
        <v>0</v>
      </c>
      <c r="GN74" s="23">
        <f>EXP(-LN(2)/2)*GN73+(1-EXP(-LN(2)/2))/(LN(2)/2)*GH74*GK74*VLOOKUP('Données projet'!$B$17,Paramètres!$A$1:$I$89,3,0)*0.475*44/12</f>
        <v>0</v>
      </c>
      <c r="GO74" s="23">
        <f t="shared" si="81"/>
        <v>0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5.5128205128205083</v>
      </c>
      <c r="GU74" s="13">
        <f>IF('Données projet'!$A$270&gt;35,GU73+GT74-HC73,IF(A74&lt;'Données projet'!$A$270,$GR$205^A74,IF(A74='Données projet'!$A$270,'Données projet'!$B$270,GU73+GT74-HC73)))</f>
        <v>336.28205128205104</v>
      </c>
      <c r="GV74" s="18">
        <f>GU74*VLOOKUP('Données projet'!$B$18,Paramètres!$A$1:$I$89,3,0)*VLOOKUP('Données projet'!$B$18,Paramètres!$A$1:$I$89,5,0)</f>
        <v>225.57799999999983</v>
      </c>
      <c r="GW74" s="14">
        <f t="shared" si="105"/>
        <v>55.325464130798579</v>
      </c>
      <c r="GX74" s="22">
        <f t="shared" si="82"/>
        <v>489.24020002780725</v>
      </c>
      <c r="GY74" s="62">
        <f t="shared" si="83"/>
        <v>782.57353336114056</v>
      </c>
      <c r="GZ74" s="62">
        <f ca="1">AVERAGE(OFFSET($GY$3,0,0,'Données projet'!$E$18+1,1))-AVERAGE(OFFSET($H$3,0,0,'Données projet'!$E$18+1,1))</f>
        <v>410.20186800287411</v>
      </c>
      <c r="HA74" s="62">
        <f t="shared" si="106"/>
        <v>321.99347958016057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>
        <f>EXP(-LN(2)/35)*HG73+(1-EXP(-LN(2)/35))/(LN(2)/35)*HC74*HD74*VLOOKUP('Données projet'!$B$18,Paramètres!$A$1:$I$89,3,0)*0.475*44/12</f>
        <v>0</v>
      </c>
      <c r="HH74" s="23">
        <f>EXP(-LN(2)/25)*HH73+(1-EXP(-LN(2)/25))/(LN(2)/25)*Calculateur!HC74*Calculateur!HE74*VLOOKUP('Données projet'!$B$18,Paramètres!$A$1:$I$89,3,0)*0.475*44/12</f>
        <v>0</v>
      </c>
      <c r="HI74" s="23">
        <f>EXP(-LN(2)/2)*HI73+(1-EXP(-LN(2)/2))/(LN(2)/2)*HC74*HF74*VLOOKUP('Données projet'!$B$18,Paramètres!$A$1:$I$89,3,0)*0.475*44/12</f>
        <v>0</v>
      </c>
      <c r="HJ74" s="24">
        <f t="shared" si="84"/>
        <v>0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7.6</v>
      </c>
      <c r="N75" s="14">
        <f>IF('Données projet'!$A$36&gt;35,N74+M75-V74,IF(A75&lt;'Données projet'!$A$36,$K$205^A75,IF(A75='Données projet'!$A$36,'Données projet'!$B$36,N74+M75-V74)))</f>
        <v>317.2</v>
      </c>
      <c r="O75" s="14">
        <f>N75*VLOOKUP('Données projet'!$B$9,Paramètres!$A$1:$I$89,3,0)*VLOOKUP('Données projet'!$B$9,Paramètres!$A$1:$I$89,5,0)</f>
        <v>287.00255999999996</v>
      </c>
      <c r="P75" s="14">
        <f t="shared" si="87"/>
        <v>68.444716936118553</v>
      </c>
      <c r="Q75" s="22">
        <f t="shared" si="54"/>
        <v>619.07067399707296</v>
      </c>
      <c r="R75" s="62">
        <f t="shared" si="55"/>
        <v>912.40400733040633</v>
      </c>
      <c r="S75" s="62">
        <f ca="1">AVERAGE(OFFSET($R$3,0,0,'Données projet'!$E$9+1,1))-AVERAGE(OFFSET($H$3,0,0,'Données projet'!$E$9+1,1))</f>
        <v>509.56241660612449</v>
      </c>
      <c r="T75" s="62">
        <f t="shared" si="88"/>
        <v>278.21741231699929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7.6</v>
      </c>
      <c r="AI75" s="14">
        <f>IF('Données projet'!$A$62&gt;35,AI74+AH75-AQ74,IF(A75&lt;'Données projet'!$A$62,$AF$205^A75,IF(A75='Données projet'!$A$62,'Données projet'!$B$62,AI74+AH75-AQ74)))</f>
        <v>317.2</v>
      </c>
      <c r="AJ75" s="14">
        <f>AI75*VLOOKUP('Données projet'!$B$10,Paramètres!$A$1:$I$89,3,0)*VLOOKUP('Données projet'!$B$10,Paramètres!$A$1:$I$89,5,0)</f>
        <v>321.64080000000001</v>
      </c>
      <c r="AK75" s="14">
        <f t="shared" si="89"/>
        <v>75.694652325793228</v>
      </c>
      <c r="AL75" s="22">
        <f t="shared" si="58"/>
        <v>692.0259128007566</v>
      </c>
      <c r="AM75" s="62">
        <f t="shared" si="59"/>
        <v>985.35924613408997</v>
      </c>
      <c r="AN75" s="62">
        <f ca="1">AVERAGE(OFFSET($AM$3,0,0,'Données projet'!$E$10+1,1))-AVERAGE(OFFSET($H$3,0,0,'Données projet'!$E$10+1,1))</f>
        <v>565.72091871734051</v>
      </c>
      <c r="AO75" s="62">
        <f t="shared" si="90"/>
        <v>306.61893266146666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5.1799999999999953</v>
      </c>
      <c r="BD75" s="13">
        <f>IF('Données projet'!$A$88&gt;35,BD74+BC75-BL74,IF(A75&lt;'Données projet'!$A$88,$BA$205^A75,IF(A75='Données projet'!$A$88,'Données projet'!$B$88,BD74+BC75-BL74)))</f>
        <v>307.95999999999992</v>
      </c>
      <c r="BE75" s="14">
        <f>BD75*VLOOKUP('Données projet'!$B$11,Paramètres!$A$1:$I$89,3,0)*VLOOKUP('Données projet'!$B$11,Paramètres!$A$1:$I$89,5,0)</f>
        <v>225.79627199999996</v>
      </c>
      <c r="BF75" s="14">
        <f t="shared" si="91"/>
        <v>55.37276374625737</v>
      </c>
      <c r="BG75" s="22">
        <f t="shared" si="61"/>
        <v>489.70273725806487</v>
      </c>
      <c r="BH75" s="62">
        <f t="shared" si="62"/>
        <v>783.03607059139813</v>
      </c>
      <c r="BI75" s="62">
        <f ca="1">AVERAGE(OFFSET($BH$3,0,0,'Données projet'!$E$11+1,1))-AVERAGE(OFFSET($H$3,0,0,'Données projet'!$E$11+1,1))</f>
        <v>344.26020118887629</v>
      </c>
      <c r="BJ75" s="62">
        <f t="shared" si="92"/>
        <v>376.41441893222185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7.6</v>
      </c>
      <c r="BY75" s="13">
        <f>IF('Données projet'!$A$114&gt;35,BY74+BX75-CG74,IF(A75&lt;'Données projet'!$A$114,$BV$205^A75,IF(A75='Données projet'!$A$114,'Données projet'!$B$114,BY74+BX75-CG74)))</f>
        <v>317.2</v>
      </c>
      <c r="BZ75" s="14">
        <f>BY75*VLOOKUP('Données projet'!$B$12,Paramètres!$A$1:$I$89,3,0)*VLOOKUP('Données projet'!$B$12,Paramètres!$A$1:$I$89,5,0)</f>
        <v>267.20928000000004</v>
      </c>
      <c r="CA75" s="14">
        <f t="shared" si="93"/>
        <v>64.256650415058076</v>
      </c>
      <c r="CB75" s="22">
        <f t="shared" si="64"/>
        <v>577.3031621395595</v>
      </c>
      <c r="CC75" s="62">
        <f t="shared" si="65"/>
        <v>870.63649547289288</v>
      </c>
      <c r="CD75" s="62">
        <f ca="1">AVERAGE(OFFSET($CC$3,0,0,'Données projet'!$E$12+1,1))-AVERAGE(OFFSET($H$3,0,0,'Données projet'!$E$12+1,1))</f>
        <v>477.4105367901771</v>
      </c>
      <c r="CE75" s="62">
        <f t="shared" si="94"/>
        <v>261.95434270986397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9.8717948717948705</v>
      </c>
      <c r="CT75" s="13">
        <f>IF('Données projet'!$A$140&gt;35,CT74+CS75-DB74,IF(A75&lt;'Données projet'!$A$140,$CQ$205^A75,IF(A75='Données projet'!$A$140,'Données projet'!$B$140,CT74+CS75-DB74)))</f>
        <v>331.15384615384602</v>
      </c>
      <c r="CU75" s="18">
        <f>CT75*VLOOKUP('Données projet'!$B$13,Paramètres!$A$1:$I$89,3,0)*VLOOKUP('Données projet'!$B$13,Paramètres!$A$1:$I$89,5,0)</f>
        <v>154.97999999999993</v>
      </c>
      <c r="CV75" s="14">
        <f t="shared" si="95"/>
        <v>39.708148282768228</v>
      </c>
      <c r="CW75" s="22">
        <f t="shared" si="67"/>
        <v>339.08185825915456</v>
      </c>
      <c r="CX75" s="62">
        <f t="shared" si="68"/>
        <v>632.41519159248787</v>
      </c>
      <c r="CY75" s="62">
        <f ca="1">AVERAGE(OFFSET($CX$3,0,0,'Données projet'!$E$13+1,1))-AVERAGE(OFFSET($H$3,0,0,'Données projet'!$E$13+1,1))</f>
        <v>246.64907095367749</v>
      </c>
      <c r="CZ75" s="62">
        <f t="shared" si="96"/>
        <v>145.34368562171613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5.1799999999999953</v>
      </c>
      <c r="DO75" s="13">
        <f>IF('Données projet'!$A$166&gt;35,DO74+DN75-DW74,IF(A75&lt;'Données projet'!$A$166,$DL$205^A75,IF(A75='Données projet'!$A$166,'Données projet'!$B$166,DO74+DN75-DW74)))</f>
        <v>307.95999999999992</v>
      </c>
      <c r="DP75" s="18">
        <f>DO75*VLOOKUP('Données projet'!$B$14,Paramètres!$A$1:$I$89,3,0)*VLOOKUP('Données projet'!$B$14,Paramètres!$A$1:$I$89,5,0)</f>
        <v>245.01297599999995</v>
      </c>
      <c r="DQ75" s="14">
        <f t="shared" si="97"/>
        <v>59.516795613649009</v>
      </c>
      <c r="DR75" s="22">
        <f t="shared" si="70"/>
        <v>530.38935222710518</v>
      </c>
      <c r="DS75" s="62">
        <f t="shared" si="71"/>
        <v>823.72268556043855</v>
      </c>
      <c r="DT75" s="62">
        <f ca="1">AVERAGE(OFFSET($DS$3,0,0,'Données projet'!$E$14+1,1))-AVERAGE(OFFSET($H$3,0,0,'Données projet'!$E$14+1,1))</f>
        <v>370.38521334472284</v>
      </c>
      <c r="DU75" s="62">
        <f t="shared" si="98"/>
        <v>404.61777090709171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12.555555555555555</v>
      </c>
      <c r="EJ75" s="13">
        <f>IF('Données projet'!$A$192&gt;35,EJ74+EI75-ER74,IF(A75&lt;'Données projet'!$A$192,$EG$205^A75,IF(A75='Données projet'!$A$192,'Données projet'!$B$192,EJ74+EI75-ER74)))</f>
        <v>311.6666666666664</v>
      </c>
      <c r="EK75" s="18">
        <f>EJ75*VLOOKUP('Données projet'!$B$15,Paramètres!$A$1:$I$89,3,0)*VLOOKUP('Données projet'!$B$15,Paramètres!$A$1:$I$89,5,0)</f>
        <v>267.4099999999998</v>
      </c>
      <c r="EL75" s="14">
        <f t="shared" si="99"/>
        <v>64.299297948636735</v>
      </c>
      <c r="EM75" s="22">
        <f t="shared" si="73"/>
        <v>577.72702726054183</v>
      </c>
      <c r="EN75" s="62">
        <f t="shared" si="74"/>
        <v>871.0603605938752</v>
      </c>
      <c r="EO75" s="62">
        <f ca="1">AVERAGE(OFFSET($EN$3,0,0,'Données projet'!$E$15+1,1))-AVERAGE(OFFSET($H$3,0,0,'Données projet'!$E$15+1,1))</f>
        <v>445.81166342116865</v>
      </c>
      <c r="EP75" s="62">
        <f t="shared" si="100"/>
        <v>230.82970731138215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0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7.6</v>
      </c>
      <c r="FE75" s="13">
        <f>IF('Données projet'!$A$218&gt;35,FE74+FD75-FM74,IF(A75&lt;'Données projet'!$A$218,$FB$205^A75,IF(A75='Données projet'!$A$218,'Données projet'!$B$218,FE74+FD75-FM74)))</f>
        <v>317.2</v>
      </c>
      <c r="FF75" s="18">
        <f>FE75*VLOOKUP('Données projet'!$B$16,Paramètres!$A$1:$I$89,3,0)*VLOOKUP('Données projet'!$B$16,Paramètres!$A$1:$I$89,5,0)</f>
        <v>306.79584</v>
      </c>
      <c r="FG75" s="14">
        <f t="shared" si="101"/>
        <v>72.599269943528554</v>
      </c>
      <c r="FH75" s="22">
        <f t="shared" si="76"/>
        <v>660.77981648497882</v>
      </c>
      <c r="FI75" s="62">
        <f t="shared" si="77"/>
        <v>954.11314981831219</v>
      </c>
      <c r="FJ75" s="62">
        <f ca="1">AVERAGE(OFFSET($FI$3,0,0,'Données projet'!$E$16+1,1))-AVERAGE(OFFSET($H$3,0,0,'Données projet'!$E$16+1,1))</f>
        <v>541.66888676162716</v>
      </c>
      <c r="FK75" s="62">
        <f t="shared" si="102"/>
        <v>294.45557293177131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>
        <f>EXP(-LN(2)/35)*FQ74+(1-EXP(-LN(2)/35))/(LN(2)/35)*FM75*FN75*VLOOKUP('Données projet'!$B$16,Paramètres!$A$1:$I$89,3,0)*0.475*44/12</f>
        <v>0</v>
      </c>
      <c r="FR75" s="23">
        <f>EXP(-LN(2)/25)*FR74+(1-EXP(-LN(2)/25))/(LN(2)/25)*Calculateur!FM75*Calculateur!FO75*VLOOKUP('Données projet'!$B$16,Paramètres!$A$1:$I$89,3,0)*0.475*44/12</f>
        <v>0</v>
      </c>
      <c r="FS75" s="23">
        <f>EXP(-LN(2)/2)*FS74+(1-EXP(-LN(2)/2))/(LN(2)/2)*FM75*FP75*VLOOKUP('Données projet'!$B$16,Paramètres!$A$1:$I$89,3,0)*0.475*44/12</f>
        <v>0</v>
      </c>
      <c r="FT75" s="24">
        <f t="shared" si="78"/>
        <v>0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1.1368683772161603E-13</v>
      </c>
      <c r="GA75" s="18">
        <f>FZ75*VLOOKUP('Données projet'!$B$17,Paramètres!$A$1:$I$89,3,0)*VLOOKUP('Données projet'!$B$17,Paramètres!$A$1:$I$89,5,0)</f>
        <v>8.8675733422860506E-14</v>
      </c>
      <c r="GB75" s="14">
        <f t="shared" si="103"/>
        <v>1.3509285393066301E-12</v>
      </c>
      <c r="GC75" s="22">
        <f t="shared" si="79"/>
        <v>2.5073107750038623E-12</v>
      </c>
      <c r="GD75" s="62">
        <f t="shared" si="80"/>
        <v>293.33333333333582</v>
      </c>
      <c r="GE75" s="62">
        <f ca="1">AVERAGE(OFFSET($GD$3,0,0,'Données projet'!$E$17+1,1))-AVERAGE(OFFSET($H$3,0,0,'Données projet'!$E$17+1,1))</f>
        <v>292.57482726862594</v>
      </c>
      <c r="GF75" s="62">
        <f t="shared" si="104"/>
        <v>283.48738729114024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>
        <f>EXP(-LN(2)/35)*GL74+(1-EXP(-LN(2)/35))/(LN(2)/35)*GH75*GI75*VLOOKUP('Données projet'!$B$17,Paramètres!$A$1:$I$89,3,0)*0.475*44/12</f>
        <v>0</v>
      </c>
      <c r="GM75" s="23">
        <f>EXP(-LN(2)/25)*GM74+(1-EXP(-LN(2)/25))/(LN(2)/25)*Calculateur!GH75*Calculateur!GJ75*VLOOKUP('Données projet'!$B$17,Paramètres!$A$1:$I$89,3,0)*0.475*44/12</f>
        <v>0</v>
      </c>
      <c r="GN75" s="23">
        <f>EXP(-LN(2)/2)*GN74+(1-EXP(-LN(2)/2))/(LN(2)/2)*GH75*GK75*VLOOKUP('Données projet'!$B$17,Paramètres!$A$1:$I$89,3,0)*0.475*44/12</f>
        <v>0</v>
      </c>
      <c r="GO75" s="23">
        <f t="shared" si="81"/>
        <v>0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5.5128205128205083</v>
      </c>
      <c r="GU75" s="13">
        <f>IF('Données projet'!$A$270&gt;35,GU74+GT75-HC74,IF(A75&lt;'Données projet'!$A$270,$GR$205^A75,IF(A75='Données projet'!$A$270,'Données projet'!$B$270,GU74+GT75-HC74)))</f>
        <v>341.79487179487154</v>
      </c>
      <c r="GV75" s="18">
        <f>GU75*VLOOKUP('Données projet'!$B$18,Paramètres!$A$1:$I$89,3,0)*VLOOKUP('Données projet'!$B$18,Paramètres!$A$1:$I$89,5,0)</f>
        <v>229.27599999999984</v>
      </c>
      <c r="GW75" s="14">
        <f t="shared" si="105"/>
        <v>56.126107090644602</v>
      </c>
      <c r="GX75" s="22">
        <f t="shared" si="82"/>
        <v>497.07533651620571</v>
      </c>
      <c r="GY75" s="62">
        <f t="shared" si="83"/>
        <v>790.40866984953902</v>
      </c>
      <c r="GZ75" s="62">
        <f ca="1">AVERAGE(OFFSET($GY$3,0,0,'Données projet'!$E$18+1,1))-AVERAGE(OFFSET($H$3,0,0,'Données projet'!$E$18+1,1))</f>
        <v>410.20186800287411</v>
      </c>
      <c r="HA75" s="62">
        <f t="shared" si="106"/>
        <v>321.99347958016057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>
        <f>EXP(-LN(2)/35)*HG74+(1-EXP(-LN(2)/35))/(LN(2)/35)*HC75*HD75*VLOOKUP('Données projet'!$B$18,Paramètres!$A$1:$I$89,3,0)*0.475*44/12</f>
        <v>0</v>
      </c>
      <c r="HH75" s="23">
        <f>EXP(-LN(2)/25)*HH74+(1-EXP(-LN(2)/25))/(LN(2)/25)*Calculateur!HC75*Calculateur!HE75*VLOOKUP('Données projet'!$B$18,Paramètres!$A$1:$I$89,3,0)*0.475*44/12</f>
        <v>0</v>
      </c>
      <c r="HI75" s="23">
        <f>EXP(-LN(2)/2)*HI74+(1-EXP(-LN(2)/2))/(LN(2)/2)*HC75*HF75*VLOOKUP('Données projet'!$B$18,Paramètres!$A$1:$I$89,3,0)*0.475*44/12</f>
        <v>0</v>
      </c>
      <c r="HJ75" s="24">
        <f t="shared" si="84"/>
        <v>0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7.6</v>
      </c>
      <c r="N76" s="14">
        <f>IF('Données projet'!$A$36&gt;35,N75+M76-V75,IF(A76&lt;'Données projet'!$A$36,$K$205^A76,IF(A76='Données projet'!$A$36,'Données projet'!$B$36,N75+M76-V75)))</f>
        <v>324.8</v>
      </c>
      <c r="O76" s="14">
        <f>N76*VLOOKUP('Données projet'!$B$9,Paramètres!$A$1:$I$89,3,0)*VLOOKUP('Données projet'!$B$9,Paramètres!$A$1:$I$89,5,0)</f>
        <v>293.87903999999997</v>
      </c>
      <c r="P76" s="14">
        <f t="shared" si="87"/>
        <v>69.891739712361669</v>
      </c>
      <c r="Q76" s="22">
        <f t="shared" si="54"/>
        <v>633.56744133236327</v>
      </c>
      <c r="R76" s="62">
        <f t="shared" si="55"/>
        <v>926.90077466569664</v>
      </c>
      <c r="S76" s="62">
        <f ca="1">AVERAGE(OFFSET($R$3,0,0,'Données projet'!$E$9+1,1))-AVERAGE(OFFSET($H$3,0,0,'Données projet'!$E$9+1,1))</f>
        <v>509.56241660612449</v>
      </c>
      <c r="T76" s="62">
        <f t="shared" si="88"/>
        <v>278.21741231699929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7.6</v>
      </c>
      <c r="AI76" s="14">
        <f>IF('Données projet'!$A$62&gt;35,AI75+AH76-AQ75,IF(A76&lt;'Données projet'!$A$62,$AF$205^A76,IF(A76='Données projet'!$A$62,'Données projet'!$B$62,AI75+AH76-AQ75)))</f>
        <v>324.8</v>
      </c>
      <c r="AJ76" s="14">
        <f>AI76*VLOOKUP('Données projet'!$B$10,Paramètres!$A$1:$I$89,3,0)*VLOOKUP('Données projet'!$B$10,Paramètres!$A$1:$I$89,5,0)</f>
        <v>329.34720000000004</v>
      </c>
      <c r="AK76" s="14">
        <f t="shared" si="89"/>
        <v>77.294949483241496</v>
      </c>
      <c r="AL76" s="22">
        <f t="shared" si="58"/>
        <v>708.23507701664573</v>
      </c>
      <c r="AM76" s="62">
        <f t="shared" si="59"/>
        <v>1001.5684103499791</v>
      </c>
      <c r="AN76" s="62">
        <f ca="1">AVERAGE(OFFSET($AM$3,0,0,'Données projet'!$E$10+1,1))-AVERAGE(OFFSET($H$3,0,0,'Données projet'!$E$10+1,1))</f>
        <v>565.72091871734051</v>
      </c>
      <c r="AO76" s="62">
        <f t="shared" si="90"/>
        <v>306.61893266146666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5.1799999999999953</v>
      </c>
      <c r="BD76" s="13">
        <f>IF('Données projet'!$A$88&gt;35,BD75+BC76-BL75,IF(A76&lt;'Données projet'!$A$88,$BA$205^A76,IF(A76='Données projet'!$A$88,'Données projet'!$B$88,BD75+BC76-BL75)))</f>
        <v>313.13999999999993</v>
      </c>
      <c r="BE76" s="14">
        <f>BD76*VLOOKUP('Données projet'!$B$11,Paramètres!$A$1:$I$89,3,0)*VLOOKUP('Données projet'!$B$11,Paramètres!$A$1:$I$89,5,0)</f>
        <v>229.59424799999994</v>
      </c>
      <c r="BF76" s="14">
        <f t="shared" si="91"/>
        <v>56.19493944853015</v>
      </c>
      <c r="BG76" s="22">
        <f t="shared" si="61"/>
        <v>497.74950147285654</v>
      </c>
      <c r="BH76" s="62">
        <f t="shared" si="62"/>
        <v>791.08283480618979</v>
      </c>
      <c r="BI76" s="62">
        <f ca="1">AVERAGE(OFFSET($BH$3,0,0,'Données projet'!$E$11+1,1))-AVERAGE(OFFSET($H$3,0,0,'Données projet'!$E$11+1,1))</f>
        <v>344.26020118887629</v>
      </c>
      <c r="BJ76" s="62">
        <f t="shared" si="92"/>
        <v>376.41441893222185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7.6</v>
      </c>
      <c r="BY76" s="13">
        <f>IF('Données projet'!$A$114&gt;35,BY75+BX76-CG75,IF(A76&lt;'Données projet'!$A$114,$BV$205^A76,IF(A76='Données projet'!$A$114,'Données projet'!$B$114,BY75+BX76-CG75)))</f>
        <v>324.8</v>
      </c>
      <c r="BZ76" s="14">
        <f>BY76*VLOOKUP('Données projet'!$B$12,Paramètres!$A$1:$I$89,3,0)*VLOOKUP('Données projet'!$B$12,Paramètres!$A$1:$I$89,5,0)</f>
        <v>273.61152000000004</v>
      </c>
      <c r="CA76" s="14">
        <f t="shared" si="93"/>
        <v>65.615131256792893</v>
      </c>
      <c r="CB76" s="22">
        <f t="shared" si="64"/>
        <v>590.81975093891435</v>
      </c>
      <c r="CC76" s="62">
        <f t="shared" si="65"/>
        <v>884.15308427224772</v>
      </c>
      <c r="CD76" s="62">
        <f ca="1">AVERAGE(OFFSET($CC$3,0,0,'Données projet'!$E$12+1,1))-AVERAGE(OFFSET($H$3,0,0,'Données projet'!$E$12+1,1))</f>
        <v>477.4105367901771</v>
      </c>
      <c r="CE76" s="62">
        <f t="shared" si="94"/>
        <v>261.95434270986397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9.8717948717948705</v>
      </c>
      <c r="CT76" s="13">
        <f>IF('Données projet'!$A$140&gt;35,CT75+CS76-DB75,IF(A76&lt;'Données projet'!$A$140,$CQ$205^A76,IF(A76='Données projet'!$A$140,'Données projet'!$B$140,CT75+CS76-DB75)))</f>
        <v>341.02564102564088</v>
      </c>
      <c r="CU76" s="18">
        <f>CT76*VLOOKUP('Données projet'!$B$13,Paramètres!$A$1:$I$89,3,0)*VLOOKUP('Données projet'!$B$13,Paramètres!$A$1:$I$89,5,0)</f>
        <v>159.59999999999994</v>
      </c>
      <c r="CV76" s="14">
        <f t="shared" si="95"/>
        <v>40.752281150761135</v>
      </c>
      <c r="CW76" s="22">
        <f t="shared" si="67"/>
        <v>348.94688967090889</v>
      </c>
      <c r="CX76" s="62">
        <f t="shared" si="68"/>
        <v>642.2802230042422</v>
      </c>
      <c r="CY76" s="62">
        <f ca="1">AVERAGE(OFFSET($CX$3,0,0,'Données projet'!$E$13+1,1))-AVERAGE(OFFSET($H$3,0,0,'Données projet'!$E$13+1,1))</f>
        <v>246.64907095367749</v>
      </c>
      <c r="CZ76" s="62">
        <f t="shared" si="96"/>
        <v>145.34368562171613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5.1799999999999953</v>
      </c>
      <c r="DO76" s="13">
        <f>IF('Données projet'!$A$166&gt;35,DO75+DN76-DW75,IF(A76&lt;'Données projet'!$A$166,$DL$205^A76,IF(A76='Données projet'!$A$166,'Données projet'!$B$166,DO75+DN76-DW75)))</f>
        <v>313.13999999999993</v>
      </c>
      <c r="DP76" s="18">
        <f>DO76*VLOOKUP('Données projet'!$B$14,Paramètres!$A$1:$I$89,3,0)*VLOOKUP('Données projet'!$B$14,Paramètres!$A$1:$I$89,5,0)</f>
        <v>249.13418399999998</v>
      </c>
      <c r="DQ76" s="14">
        <f t="shared" si="97"/>
        <v>60.400501968905381</v>
      </c>
      <c r="DR76" s="22">
        <f t="shared" si="70"/>
        <v>539.10624472917675</v>
      </c>
      <c r="DS76" s="62">
        <f t="shared" si="71"/>
        <v>832.43957806251001</v>
      </c>
      <c r="DT76" s="62">
        <f ca="1">AVERAGE(OFFSET($DS$3,0,0,'Données projet'!$E$14+1,1))-AVERAGE(OFFSET($H$3,0,0,'Données projet'!$E$14+1,1))</f>
        <v>370.38521334472284</v>
      </c>
      <c r="DU76" s="62">
        <f t="shared" si="98"/>
        <v>404.61777090709171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12.555555555555555</v>
      </c>
      <c r="EJ76" s="13">
        <f>IF('Données projet'!$A$192&gt;35,EJ75+EI76-ER75,IF(A76&lt;'Données projet'!$A$192,$EG$205^A76,IF(A76='Données projet'!$A$192,'Données projet'!$B$192,EJ75+EI76-ER75)))</f>
        <v>324.22222222222194</v>
      </c>
      <c r="EK76" s="18">
        <f>EJ76*VLOOKUP('Données projet'!$B$15,Paramètres!$A$1:$I$89,3,0)*VLOOKUP('Données projet'!$B$15,Paramètres!$A$1:$I$89,5,0)</f>
        <v>278.18266666666648</v>
      </c>
      <c r="EL76" s="14">
        <f t="shared" si="99"/>
        <v>66.582808678967709</v>
      </c>
      <c r="EM76" s="22">
        <f t="shared" si="73"/>
        <v>600.46653622697943</v>
      </c>
      <c r="EN76" s="62">
        <f t="shared" si="74"/>
        <v>893.7998695603128</v>
      </c>
      <c r="EO76" s="62">
        <f ca="1">AVERAGE(OFFSET($EN$3,0,0,'Données projet'!$E$15+1,1))-AVERAGE(OFFSET($H$3,0,0,'Données projet'!$E$15+1,1))</f>
        <v>445.81166342116865</v>
      </c>
      <c r="EP76" s="62">
        <f t="shared" si="100"/>
        <v>230.82970731138215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0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7.6</v>
      </c>
      <c r="FE76" s="13">
        <f>IF('Données projet'!$A$218&gt;35,FE75+FD76-FM75,IF(A76&lt;'Données projet'!$A$218,$FB$205^A76,IF(A76='Données projet'!$A$218,'Données projet'!$B$218,FE75+FD76-FM75)))</f>
        <v>324.8</v>
      </c>
      <c r="FF76" s="18">
        <f>FE76*VLOOKUP('Données projet'!$B$16,Paramètres!$A$1:$I$89,3,0)*VLOOKUP('Données projet'!$B$16,Paramètres!$A$1:$I$89,5,0)</f>
        <v>314.14656000000002</v>
      </c>
      <c r="FG76" s="14">
        <f t="shared" si="101"/>
        <v>74.134126128922034</v>
      </c>
      <c r="FH76" s="22">
        <f t="shared" si="76"/>
        <v>676.25552834120583</v>
      </c>
      <c r="FI76" s="62">
        <f t="shared" si="77"/>
        <v>969.5888616745392</v>
      </c>
      <c r="FJ76" s="62">
        <f ca="1">AVERAGE(OFFSET($FI$3,0,0,'Données projet'!$E$16+1,1))-AVERAGE(OFFSET($H$3,0,0,'Données projet'!$E$16+1,1))</f>
        <v>541.66888676162716</v>
      </c>
      <c r="FK76" s="62">
        <f t="shared" si="102"/>
        <v>294.45557293177131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>
        <f>EXP(-LN(2)/35)*FQ75+(1-EXP(-LN(2)/35))/(LN(2)/35)*FM76*FN76*VLOOKUP('Données projet'!$B$16,Paramètres!$A$1:$I$89,3,0)*0.475*44/12</f>
        <v>0</v>
      </c>
      <c r="FR76" s="23">
        <f>EXP(-LN(2)/25)*FR75+(1-EXP(-LN(2)/25))/(LN(2)/25)*Calculateur!FM76*Calculateur!FO76*VLOOKUP('Données projet'!$B$16,Paramètres!$A$1:$I$89,3,0)*0.475*44/12</f>
        <v>0</v>
      </c>
      <c r="FS76" s="23">
        <f>EXP(-LN(2)/2)*FS75+(1-EXP(-LN(2)/2))/(LN(2)/2)*FM76*FP76*VLOOKUP('Données projet'!$B$16,Paramètres!$A$1:$I$89,3,0)*0.475*44/12</f>
        <v>0</v>
      </c>
      <c r="FT76" s="24">
        <f t="shared" si="78"/>
        <v>0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1.1368683772161603E-13</v>
      </c>
      <c r="GA76" s="18">
        <f>FZ76*VLOOKUP('Données projet'!$B$17,Paramètres!$A$1:$I$89,3,0)*VLOOKUP('Données projet'!$B$17,Paramètres!$A$1:$I$89,5,0)</f>
        <v>8.8675733422860506E-14</v>
      </c>
      <c r="GB76" s="14">
        <f t="shared" si="103"/>
        <v>1.3509285393066301E-12</v>
      </c>
      <c r="GC76" s="22">
        <f t="shared" si="79"/>
        <v>2.5073107750038623E-12</v>
      </c>
      <c r="GD76" s="62">
        <f t="shared" si="80"/>
        <v>293.33333333333582</v>
      </c>
      <c r="GE76" s="62">
        <f ca="1">AVERAGE(OFFSET($GD$3,0,0,'Données projet'!$E$17+1,1))-AVERAGE(OFFSET($H$3,0,0,'Données projet'!$E$17+1,1))</f>
        <v>292.57482726862594</v>
      </c>
      <c r="GF76" s="62">
        <f t="shared" si="104"/>
        <v>283.48738729114024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>
        <f>EXP(-LN(2)/35)*GL75+(1-EXP(-LN(2)/35))/(LN(2)/35)*GH76*GI76*VLOOKUP('Données projet'!$B$17,Paramètres!$A$1:$I$89,3,0)*0.475*44/12</f>
        <v>0</v>
      </c>
      <c r="GM76" s="23">
        <f>EXP(-LN(2)/25)*GM75+(1-EXP(-LN(2)/25))/(LN(2)/25)*Calculateur!GH76*Calculateur!GJ76*VLOOKUP('Données projet'!$B$17,Paramètres!$A$1:$I$89,3,0)*0.475*44/12</f>
        <v>0</v>
      </c>
      <c r="GN76" s="23">
        <f>EXP(-LN(2)/2)*GN75+(1-EXP(-LN(2)/2))/(LN(2)/2)*GH76*GK76*VLOOKUP('Données projet'!$B$17,Paramètres!$A$1:$I$89,3,0)*0.475*44/12</f>
        <v>0</v>
      </c>
      <c r="GO76" s="23">
        <f t="shared" si="81"/>
        <v>0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5.5128205128205083</v>
      </c>
      <c r="GU76" s="13">
        <f>IF('Données projet'!$A$270&gt;35,GU75+GT76-HC75,IF(A76&lt;'Données projet'!$A$270,$GR$205^A76,IF(A76='Données projet'!$A$270,'Données projet'!$B$270,GU75+GT76-HC75)))</f>
        <v>347.30769230769204</v>
      </c>
      <c r="GV76" s="18">
        <f>GU76*VLOOKUP('Données projet'!$B$18,Paramètres!$A$1:$I$89,3,0)*VLOOKUP('Données projet'!$B$18,Paramètres!$A$1:$I$89,5,0)</f>
        <v>232.97399999999982</v>
      </c>
      <c r="GW76" s="14">
        <f t="shared" si="105"/>
        <v>56.925248249189458</v>
      </c>
      <c r="GX76" s="22">
        <f t="shared" si="82"/>
        <v>504.90785736733795</v>
      </c>
      <c r="GY76" s="62">
        <f t="shared" si="83"/>
        <v>798.24119070067127</v>
      </c>
      <c r="GZ76" s="62">
        <f ca="1">AVERAGE(OFFSET($GY$3,0,0,'Données projet'!$E$18+1,1))-AVERAGE(OFFSET($H$3,0,0,'Données projet'!$E$18+1,1))</f>
        <v>410.20186800287411</v>
      </c>
      <c r="HA76" s="62">
        <f t="shared" si="106"/>
        <v>321.99347958016057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>
        <f>EXP(-LN(2)/35)*HG75+(1-EXP(-LN(2)/35))/(LN(2)/35)*HC76*HD76*VLOOKUP('Données projet'!$B$18,Paramètres!$A$1:$I$89,3,0)*0.475*44/12</f>
        <v>0</v>
      </c>
      <c r="HH76" s="23">
        <f>EXP(-LN(2)/25)*HH75+(1-EXP(-LN(2)/25))/(LN(2)/25)*Calculateur!HC76*Calculateur!HE76*VLOOKUP('Données projet'!$B$18,Paramètres!$A$1:$I$89,3,0)*0.475*44/12</f>
        <v>0</v>
      </c>
      <c r="HI76" s="23">
        <f>EXP(-LN(2)/2)*HI75+(1-EXP(-LN(2)/2))/(LN(2)/2)*HC76*HF76*VLOOKUP('Données projet'!$B$18,Paramètres!$A$1:$I$89,3,0)*0.475*44/12</f>
        <v>0</v>
      </c>
      <c r="HJ76" s="24">
        <f t="shared" si="84"/>
        <v>0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7.6</v>
      </c>
      <c r="N77" s="14">
        <f>IF('Données projet'!$A$36&gt;35,N76+M77-V76,IF(A77&lt;'Données projet'!$A$36,$K$205^A77,IF(A77='Données projet'!$A$36,'Données projet'!$B$36,N76+M77-V76)))</f>
        <v>332.40000000000003</v>
      </c>
      <c r="O77" s="14">
        <f>N77*VLOOKUP('Données projet'!$B$9,Paramètres!$A$1:$I$89,3,0)*VLOOKUP('Données projet'!$B$9,Paramètres!$A$1:$I$89,5,0)</f>
        <v>300.75551999999999</v>
      </c>
      <c r="P77" s="14">
        <f t="shared" si="87"/>
        <v>71.334826294482014</v>
      </c>
      <c r="Q77" s="22">
        <f t="shared" si="54"/>
        <v>648.05735312955619</v>
      </c>
      <c r="R77" s="62">
        <f t="shared" si="55"/>
        <v>941.39068646288956</v>
      </c>
      <c r="S77" s="62">
        <f ca="1">AVERAGE(OFFSET($R$3,0,0,'Données projet'!$E$9+1,1))-AVERAGE(OFFSET($H$3,0,0,'Données projet'!$E$9+1,1))</f>
        <v>509.56241660612449</v>
      </c>
      <c r="T77" s="62">
        <f t="shared" si="88"/>
        <v>278.21741231699929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7.6</v>
      </c>
      <c r="AI77" s="14">
        <f>IF('Données projet'!$A$62&gt;35,AI76+AH77-AQ76,IF(A77&lt;'Données projet'!$A$62,$AF$205^A77,IF(A77='Données projet'!$A$62,'Données projet'!$B$62,AI76+AH77-AQ76)))</f>
        <v>332.40000000000003</v>
      </c>
      <c r="AJ77" s="14">
        <f>AI77*VLOOKUP('Données projet'!$B$10,Paramètres!$A$1:$I$89,3,0)*VLOOKUP('Données projet'!$B$10,Paramètres!$A$1:$I$89,5,0)</f>
        <v>337.05360000000007</v>
      </c>
      <c r="AK77" s="14">
        <f t="shared" si="89"/>
        <v>78.890893509302231</v>
      </c>
      <c r="AL77" s="22">
        <f t="shared" si="58"/>
        <v>724.43665952870151</v>
      </c>
      <c r="AM77" s="62">
        <f t="shared" si="59"/>
        <v>1017.7699928620348</v>
      </c>
      <c r="AN77" s="62">
        <f ca="1">AVERAGE(OFFSET($AM$3,0,0,'Données projet'!$E$10+1,1))-AVERAGE(OFFSET($H$3,0,0,'Données projet'!$E$10+1,1))</f>
        <v>565.72091871734051</v>
      </c>
      <c r="AO77" s="62">
        <f t="shared" si="90"/>
        <v>306.61893266146666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5.1799999999999953</v>
      </c>
      <c r="BD77" s="13">
        <f>IF('Données projet'!$A$88&gt;35,BD76+BC77-BL76,IF(A77&lt;'Données projet'!$A$88,$BA$205^A77,IF(A77='Données projet'!$A$88,'Données projet'!$B$88,BD76+BC77-BL76)))</f>
        <v>318.31999999999994</v>
      </c>
      <c r="BE77" s="14">
        <f>BD77*VLOOKUP('Données projet'!$B$11,Paramètres!$A$1:$I$89,3,0)*VLOOKUP('Données projet'!$B$11,Paramètres!$A$1:$I$89,5,0)</f>
        <v>233.39222399999997</v>
      </c>
      <c r="BF77" s="14">
        <f t="shared" si="91"/>
        <v>57.015533495937902</v>
      </c>
      <c r="BG77" s="22">
        <f t="shared" si="61"/>
        <v>505.79351097209178</v>
      </c>
      <c r="BH77" s="62">
        <f t="shared" si="62"/>
        <v>799.12684430542504</v>
      </c>
      <c r="BI77" s="62">
        <f ca="1">AVERAGE(OFFSET($BH$3,0,0,'Données projet'!$E$11+1,1))-AVERAGE(OFFSET($H$3,0,0,'Données projet'!$E$11+1,1))</f>
        <v>344.26020118887629</v>
      </c>
      <c r="BJ77" s="62">
        <f t="shared" si="92"/>
        <v>376.41441893222185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7.6</v>
      </c>
      <c r="BY77" s="13">
        <f>IF('Données projet'!$A$114&gt;35,BY76+BX77-CG76,IF(A77&lt;'Données projet'!$A$114,$BV$205^A77,IF(A77='Données projet'!$A$114,'Données projet'!$B$114,BY76+BX77-CG76)))</f>
        <v>332.40000000000003</v>
      </c>
      <c r="BZ77" s="14">
        <f>BY77*VLOOKUP('Données projet'!$B$12,Paramètres!$A$1:$I$89,3,0)*VLOOKUP('Données projet'!$B$12,Paramètres!$A$1:$I$89,5,0)</f>
        <v>280.01376000000005</v>
      </c>
      <c r="CA77" s="14">
        <f t="shared" si="93"/>
        <v>66.969916756344503</v>
      </c>
      <c r="CB77" s="22">
        <f t="shared" si="64"/>
        <v>604.32990368396679</v>
      </c>
      <c r="CC77" s="62">
        <f t="shared" si="65"/>
        <v>897.66323701730016</v>
      </c>
      <c r="CD77" s="62">
        <f ca="1">AVERAGE(OFFSET($CC$3,0,0,'Données projet'!$E$12+1,1))-AVERAGE(OFFSET($H$3,0,0,'Données projet'!$E$12+1,1))</f>
        <v>477.4105367901771</v>
      </c>
      <c r="CE77" s="62">
        <f t="shared" si="94"/>
        <v>261.95434270986397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9.8717948717948705</v>
      </c>
      <c r="CT77" s="13">
        <f>IF('Données projet'!$A$140&gt;35,CT76+CS77-DB76,IF(A77&lt;'Données projet'!$A$140,$CQ$205^A77,IF(A77='Données projet'!$A$140,'Données projet'!$B$140,CT76+CS77-DB76)))</f>
        <v>350.89743589743574</v>
      </c>
      <c r="CU77" s="18">
        <f>CT77*VLOOKUP('Données projet'!$B$13,Paramètres!$A$1:$I$89,3,0)*VLOOKUP('Données projet'!$B$13,Paramètres!$A$1:$I$89,5,0)</f>
        <v>164.21999999999994</v>
      </c>
      <c r="CV77" s="14">
        <f t="shared" si="95"/>
        <v>41.792901242713462</v>
      </c>
      <c r="CW77" s="22">
        <f t="shared" si="67"/>
        <v>358.80580299772583</v>
      </c>
      <c r="CX77" s="62">
        <f t="shared" si="68"/>
        <v>652.13913633105915</v>
      </c>
      <c r="CY77" s="62">
        <f ca="1">AVERAGE(OFFSET($CX$3,0,0,'Données projet'!$E$13+1,1))-AVERAGE(OFFSET($H$3,0,0,'Données projet'!$E$13+1,1))</f>
        <v>246.64907095367749</v>
      </c>
      <c r="CZ77" s="62">
        <f t="shared" si="96"/>
        <v>145.34368562171613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5.1799999999999953</v>
      </c>
      <c r="DO77" s="13">
        <f>IF('Données projet'!$A$166&gt;35,DO76+DN77-DW76,IF(A77&lt;'Données projet'!$A$166,$DL$205^A77,IF(A77='Données projet'!$A$166,'Données projet'!$B$166,DO76+DN77-DW76)))</f>
        <v>318.31999999999994</v>
      </c>
      <c r="DP77" s="18">
        <f>DO77*VLOOKUP('Données projet'!$B$14,Paramètres!$A$1:$I$89,3,0)*VLOOKUP('Données projet'!$B$14,Paramètres!$A$1:$I$89,5,0)</f>
        <v>253.25539199999997</v>
      </c>
      <c r="DQ77" s="14">
        <f t="shared" si="97"/>
        <v>61.282508300125308</v>
      </c>
      <c r="DR77" s="22">
        <f t="shared" si="70"/>
        <v>547.82017635605155</v>
      </c>
      <c r="DS77" s="62">
        <f t="shared" si="71"/>
        <v>841.15350968938492</v>
      </c>
      <c r="DT77" s="62">
        <f ca="1">AVERAGE(OFFSET($DS$3,0,0,'Données projet'!$E$14+1,1))-AVERAGE(OFFSET($H$3,0,0,'Données projet'!$E$14+1,1))</f>
        <v>370.38521334472284</v>
      </c>
      <c r="DU77" s="62">
        <f t="shared" si="98"/>
        <v>404.61777090709171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12.555555555555555</v>
      </c>
      <c r="EJ77" s="13">
        <f>IF('Données projet'!$A$192&gt;35,EJ76+EI77-ER76,IF(A77&lt;'Données projet'!$A$192,$EG$205^A77,IF(A77='Données projet'!$A$192,'Données projet'!$B$192,EJ76+EI77-ER76)))</f>
        <v>336.77777777777749</v>
      </c>
      <c r="EK77" s="18">
        <f>EJ77*VLOOKUP('Données projet'!$B$15,Paramètres!$A$1:$I$89,3,0)*VLOOKUP('Données projet'!$B$15,Paramètres!$A$1:$I$89,5,0)</f>
        <v>288.95533333333316</v>
      </c>
      <c r="EL77" s="14">
        <f t="shared" si="99"/>
        <v>68.856046690289261</v>
      </c>
      <c r="EM77" s="22">
        <f t="shared" si="73"/>
        <v>623.18815354114236</v>
      </c>
      <c r="EN77" s="62">
        <f t="shared" si="74"/>
        <v>916.52148687447561</v>
      </c>
      <c r="EO77" s="62">
        <f ca="1">AVERAGE(OFFSET($EN$3,0,0,'Données projet'!$E$15+1,1))-AVERAGE(OFFSET($H$3,0,0,'Données projet'!$E$15+1,1))</f>
        <v>445.81166342116865</v>
      </c>
      <c r="EP77" s="62">
        <f t="shared" si="100"/>
        <v>230.82970731138215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0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7.6</v>
      </c>
      <c r="FE77" s="13">
        <f>IF('Données projet'!$A$218&gt;35,FE76+FD77-FM76,IF(A77&lt;'Données projet'!$A$218,$FB$205^A77,IF(A77='Données projet'!$A$218,'Données projet'!$B$218,FE76+FD77-FM76)))</f>
        <v>332.40000000000003</v>
      </c>
      <c r="FF77" s="18">
        <f>FE77*VLOOKUP('Données projet'!$B$16,Paramètres!$A$1:$I$89,3,0)*VLOOKUP('Données projet'!$B$16,Paramètres!$A$1:$I$89,5,0)</f>
        <v>321.49728000000005</v>
      </c>
      <c r="FG77" s="14">
        <f t="shared" si="101"/>
        <v>75.664807195585155</v>
      </c>
      <c r="FH77" s="22">
        <f t="shared" si="76"/>
        <v>691.72396853231078</v>
      </c>
      <c r="FI77" s="62">
        <f t="shared" si="77"/>
        <v>985.05730186564415</v>
      </c>
      <c r="FJ77" s="62">
        <f ca="1">AVERAGE(OFFSET($FI$3,0,0,'Données projet'!$E$16+1,1))-AVERAGE(OFFSET($H$3,0,0,'Données projet'!$E$16+1,1))</f>
        <v>541.66888676162716</v>
      </c>
      <c r="FK77" s="62">
        <f t="shared" si="102"/>
        <v>294.45557293177131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>
        <f>EXP(-LN(2)/35)*FQ76+(1-EXP(-LN(2)/35))/(LN(2)/35)*FM77*FN77*VLOOKUP('Données projet'!$B$16,Paramètres!$A$1:$I$89,3,0)*0.475*44/12</f>
        <v>0</v>
      </c>
      <c r="FR77" s="23">
        <f>EXP(-LN(2)/25)*FR76+(1-EXP(-LN(2)/25))/(LN(2)/25)*Calculateur!FM77*Calculateur!FO77*VLOOKUP('Données projet'!$B$16,Paramètres!$A$1:$I$89,3,0)*0.475*44/12</f>
        <v>0</v>
      </c>
      <c r="FS77" s="23">
        <f>EXP(-LN(2)/2)*FS76+(1-EXP(-LN(2)/2))/(LN(2)/2)*FM77*FP77*VLOOKUP('Données projet'!$B$16,Paramètres!$A$1:$I$89,3,0)*0.475*44/12</f>
        <v>0</v>
      </c>
      <c r="FT77" s="24">
        <f t="shared" si="78"/>
        <v>0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1.1368683772161603E-13</v>
      </c>
      <c r="GA77" s="18">
        <f>FZ77*VLOOKUP('Données projet'!$B$17,Paramètres!$A$1:$I$89,3,0)*VLOOKUP('Données projet'!$B$17,Paramètres!$A$1:$I$89,5,0)</f>
        <v>8.8675733422860506E-14</v>
      </c>
      <c r="GB77" s="14">
        <f t="shared" si="103"/>
        <v>1.3509285393066301E-12</v>
      </c>
      <c r="GC77" s="22">
        <f t="shared" si="79"/>
        <v>2.5073107750038623E-12</v>
      </c>
      <c r="GD77" s="62">
        <f t="shared" si="80"/>
        <v>293.33333333333582</v>
      </c>
      <c r="GE77" s="62">
        <f ca="1">AVERAGE(OFFSET($GD$3,0,0,'Données projet'!$E$17+1,1))-AVERAGE(OFFSET($H$3,0,0,'Données projet'!$E$17+1,1))</f>
        <v>292.57482726862594</v>
      </c>
      <c r="GF77" s="62">
        <f t="shared" si="104"/>
        <v>283.48738729114024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>
        <f>EXP(-LN(2)/35)*GL76+(1-EXP(-LN(2)/35))/(LN(2)/35)*GH77*GI77*VLOOKUP('Données projet'!$B$17,Paramètres!$A$1:$I$89,3,0)*0.475*44/12</f>
        <v>0</v>
      </c>
      <c r="GM77" s="23">
        <f>EXP(-LN(2)/25)*GM76+(1-EXP(-LN(2)/25))/(LN(2)/25)*Calculateur!GH77*Calculateur!GJ77*VLOOKUP('Données projet'!$B$17,Paramètres!$A$1:$I$89,3,0)*0.475*44/12</f>
        <v>0</v>
      </c>
      <c r="GN77" s="23">
        <f>EXP(-LN(2)/2)*GN76+(1-EXP(-LN(2)/2))/(LN(2)/2)*GH77*GK77*VLOOKUP('Données projet'!$B$17,Paramètres!$A$1:$I$89,3,0)*0.475*44/12</f>
        <v>0</v>
      </c>
      <c r="GO77" s="23">
        <f t="shared" si="81"/>
        <v>0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5.5128205128205083</v>
      </c>
      <c r="GU77" s="13">
        <f>IF('Données projet'!$A$270&gt;35,GU76+GT77-HC76,IF(A77&lt;'Données projet'!$A$270,$GR$205^A77,IF(A77='Données projet'!$A$270,'Données projet'!$B$270,GU76+GT77-HC76)))</f>
        <v>352.82051282051253</v>
      </c>
      <c r="GV77" s="18">
        <f>GU77*VLOOKUP('Données projet'!$B$18,Paramètres!$A$1:$I$89,3,0)*VLOOKUP('Données projet'!$B$18,Paramètres!$A$1:$I$89,5,0)</f>
        <v>236.67199999999983</v>
      </c>
      <c r="GW77" s="14">
        <f t="shared" si="105"/>
        <v>57.722914196984888</v>
      </c>
      <c r="GX77" s="22">
        <f t="shared" si="82"/>
        <v>512.73780889308171</v>
      </c>
      <c r="GY77" s="62">
        <f t="shared" si="83"/>
        <v>806.07114222641508</v>
      </c>
      <c r="GZ77" s="62">
        <f ca="1">AVERAGE(OFFSET($GY$3,0,0,'Données projet'!$E$18+1,1))-AVERAGE(OFFSET($H$3,0,0,'Données projet'!$E$18+1,1))</f>
        <v>410.20186800287411</v>
      </c>
      <c r="HA77" s="62">
        <f t="shared" si="106"/>
        <v>321.99347958016057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>
        <f>EXP(-LN(2)/35)*HG76+(1-EXP(-LN(2)/35))/(LN(2)/35)*HC77*HD77*VLOOKUP('Données projet'!$B$18,Paramètres!$A$1:$I$89,3,0)*0.475*44/12</f>
        <v>0</v>
      </c>
      <c r="HH77" s="23">
        <f>EXP(-LN(2)/25)*HH76+(1-EXP(-LN(2)/25))/(LN(2)/25)*Calculateur!HC77*Calculateur!HE77*VLOOKUP('Données projet'!$B$18,Paramètres!$A$1:$I$89,3,0)*0.475*44/12</f>
        <v>0</v>
      </c>
      <c r="HI77" s="23">
        <f>EXP(-LN(2)/2)*HI76+(1-EXP(-LN(2)/2))/(LN(2)/2)*HC77*HF77*VLOOKUP('Données projet'!$B$18,Paramètres!$A$1:$I$89,3,0)*0.475*44/12</f>
        <v>0</v>
      </c>
      <c r="HJ77" s="24">
        <f t="shared" si="84"/>
        <v>0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340</v>
      </c>
      <c r="L78" s="13">
        <f>VLOOKUP(A78,'Données projet'!$A$35:$I$55,9,0)</f>
        <v>7.6</v>
      </c>
      <c r="M78" s="13">
        <f t="array" ref="M78">INDEX(L:L,MIN(IF(ISNUMBER(L78:L274),ROW(L78:L274),"")))</f>
        <v>7.6</v>
      </c>
      <c r="N78" s="14">
        <f>IF('Données projet'!$A$36&gt;35,N77+M78-V77,IF(A78&lt;'Données projet'!$A$36,$K$205^A78,IF(A78='Données projet'!$A$36,'Données projet'!$B$36,N77+M78-V77)))</f>
        <v>340.00000000000006</v>
      </c>
      <c r="O78" s="14">
        <f>N78*VLOOKUP('Données projet'!$B$9,Paramètres!$A$1:$I$89,3,0)*VLOOKUP('Données projet'!$B$9,Paramètres!$A$1:$I$89,5,0)</f>
        <v>307.63200000000006</v>
      </c>
      <c r="P78" s="14">
        <f t="shared" si="87"/>
        <v>72.774077039465567</v>
      </c>
      <c r="Q78" s="22">
        <f t="shared" si="54"/>
        <v>662.54058417706926</v>
      </c>
      <c r="R78" s="62">
        <f t="shared" si="55"/>
        <v>955.87391751040263</v>
      </c>
      <c r="S78" s="62">
        <f ca="1">AVERAGE(OFFSET($R$3,0,0,'Données projet'!$E$9+1,1))-AVERAGE(OFFSET($H$3,0,0,'Données projet'!$E$9+1,1))</f>
        <v>509.56241660612449</v>
      </c>
      <c r="T78" s="62">
        <f t="shared" si="88"/>
        <v>278.21741231699929</v>
      </c>
      <c r="U78" s="16">
        <f>IF(ISNA(VLOOKUP(A78,'Données projet'!$A$35:$I$55,3,0)),0,VLOOKUP(A78,'Données projet'!$A$35:$I$55,3,0))</f>
        <v>6</v>
      </c>
      <c r="V78" s="16">
        <f>IF(ISNA(VLOOKUP(A78,'Données projet'!$A$35:$I$55,4,0)),0,VLOOKUP(A78,'Données projet'!$A$35:$I$55,4,0))</f>
        <v>56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340</v>
      </c>
      <c r="AG78" s="13">
        <f>VLOOKUP(A78,'Données projet'!$A$61:$I$81,9,0)</f>
        <v>7.6</v>
      </c>
      <c r="AH78" s="13">
        <f t="array" ref="AH78">INDEX(AG:AG,MIN(IF(ISNUMBER(AG78:AG274),ROW(AG78:AG274),"")))</f>
        <v>7.6</v>
      </c>
      <c r="AI78" s="14">
        <f>IF('Données projet'!$A$62&gt;35,AI77+AH78-AQ77,IF(A78&lt;'Données projet'!$A$62,$AF$205^A78,IF(A78='Données projet'!$A$62,'Données projet'!$B$62,AI77+AH78-AQ77)))</f>
        <v>340.00000000000006</v>
      </c>
      <c r="AJ78" s="14">
        <f>AI78*VLOOKUP('Données projet'!$B$10,Paramètres!$A$1:$I$89,3,0)*VLOOKUP('Données projet'!$B$10,Paramètres!$A$1:$I$89,5,0)</f>
        <v>344.7600000000001</v>
      </c>
      <c r="AK78" s="14">
        <f t="shared" si="89"/>
        <v>80.482595391170619</v>
      </c>
      <c r="AL78" s="22">
        <f t="shared" si="58"/>
        <v>740.63085363962227</v>
      </c>
      <c r="AM78" s="62">
        <f t="shared" si="59"/>
        <v>1033.9641869729555</v>
      </c>
      <c r="AN78" s="62">
        <f ca="1">AVERAGE(OFFSET($AM$3,0,0,'Données projet'!$E$10+1,1))-AVERAGE(OFFSET($H$3,0,0,'Données projet'!$E$10+1,1))</f>
        <v>565.72091871734051</v>
      </c>
      <c r="AO78" s="62">
        <f t="shared" si="90"/>
        <v>306.61893266146666</v>
      </c>
      <c r="AP78" s="16">
        <f>IF(ISNA(VLOOKUP(A78,'Données projet'!$A$61:$I$81,3,0)),0,VLOOKUP(A78,'Données projet'!$A$61:$I$81,3,0))</f>
        <v>6</v>
      </c>
      <c r="AQ78" s="16">
        <f>IF(ISNA(VLOOKUP(A78,'Données projet'!$A$61:$I$81,4,0)),0,VLOOKUP(A78,'Données projet'!$A$61:$I$81,4,0))</f>
        <v>56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323.5</v>
      </c>
      <c r="BB78" s="13">
        <f>VLOOKUP(A78,'Données projet'!$A$87:$I$107,9,0)</f>
        <v>5.1799999999999953</v>
      </c>
      <c r="BC78" s="13">
        <f t="array" ref="BC78">INDEX(BB:BB,MIN(IF(ISNUMBER(BB78:BB274),ROW(BB78:BB274),"")))</f>
        <v>5.1799999999999953</v>
      </c>
      <c r="BD78" s="13">
        <f>IF('Données projet'!$A$88&gt;35,BD77+BC78-BL77,IF(A78&lt;'Données projet'!$A$88,$BA$205^A78,IF(A78='Données projet'!$A$88,'Données projet'!$B$88,BD77+BC78-BL77)))</f>
        <v>323.49999999999994</v>
      </c>
      <c r="BE78" s="14">
        <f>BD78*VLOOKUP('Données projet'!$B$11,Paramètres!$A$1:$I$89,3,0)*VLOOKUP('Données projet'!$B$11,Paramètres!$A$1:$I$89,5,0)</f>
        <v>237.19019999999995</v>
      </c>
      <c r="BF78" s="14">
        <f t="shared" si="91"/>
        <v>57.834574597922789</v>
      </c>
      <c r="BG78" s="22">
        <f t="shared" si="61"/>
        <v>513.83481575804865</v>
      </c>
      <c r="BH78" s="62">
        <f t="shared" si="62"/>
        <v>807.16814909138202</v>
      </c>
      <c r="BI78" s="62">
        <f ca="1">AVERAGE(OFFSET($BH$3,0,0,'Données projet'!$E$11+1,1))-AVERAGE(OFFSET($H$3,0,0,'Données projet'!$E$11+1,1))</f>
        <v>344.26020118887629</v>
      </c>
      <c r="BJ78" s="62">
        <f t="shared" si="92"/>
        <v>376.41441893222185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340</v>
      </c>
      <c r="BW78" s="13">
        <f>VLOOKUP(A78,'Données projet'!$A$113:$I$133,9,0)</f>
        <v>7.6</v>
      </c>
      <c r="BX78" s="13">
        <f t="array" ref="BX78">INDEX(BW:BW,MIN(IF(ISNUMBER(BW78:BW274),ROW(BW78:BW274),"")))</f>
        <v>7.6</v>
      </c>
      <c r="BY78" s="13">
        <f>IF('Données projet'!$A$114&gt;35,BY77+BX78-CG77,IF(A78&lt;'Données projet'!$A$114,$BV$205^A78,IF(A78='Données projet'!$A$114,'Données projet'!$B$114,BY77+BX78-CG77)))</f>
        <v>340.00000000000006</v>
      </c>
      <c r="BZ78" s="14">
        <f>BY78*VLOOKUP('Données projet'!$B$12,Paramètres!$A$1:$I$89,3,0)*VLOOKUP('Données projet'!$B$12,Paramètres!$A$1:$I$89,5,0)</f>
        <v>286.41600000000011</v>
      </c>
      <c r="CA78" s="14">
        <f t="shared" si="93"/>
        <v>68.321101129951245</v>
      </c>
      <c r="CB78" s="22">
        <f t="shared" si="64"/>
        <v>617.83378446799861</v>
      </c>
      <c r="CC78" s="62">
        <f t="shared" si="65"/>
        <v>911.16711780133187</v>
      </c>
      <c r="CD78" s="62">
        <f ca="1">AVERAGE(OFFSET($CC$3,0,0,'Données projet'!$E$12+1,1))-AVERAGE(OFFSET($H$3,0,0,'Données projet'!$E$12+1,1))</f>
        <v>477.4105367901771</v>
      </c>
      <c r="CE78" s="62">
        <f t="shared" si="94"/>
        <v>261.95434270986397</v>
      </c>
      <c r="CF78" s="16">
        <f>IF(ISNA(VLOOKUP(A78,'Données projet'!$A$113:$I$133,3,0)),0,VLOOKUP(A78,'Données projet'!$A$113:$I$133,3,0))</f>
        <v>6</v>
      </c>
      <c r="CG78" s="16">
        <f>IF(ISNA(VLOOKUP(A78,'Données projet'!$A$113:$I$133,4,0)),0,VLOOKUP(A78,'Données projet'!$A$113:$I$133,4,0))</f>
        <v>56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360.76923076923077</v>
      </c>
      <c r="CR78" s="13">
        <f>VLOOKUP(A78,'Données projet'!$A$139:$I$159,9,0)</f>
        <v>9.8717948717948705</v>
      </c>
      <c r="CS78" s="13">
        <f t="array" ref="CS78">INDEX(CR:CR,MIN(IF(ISNUMBER(CR78:CR274),ROW(CR78:CR274),"")))</f>
        <v>9.8717948717948705</v>
      </c>
      <c r="CT78" s="13">
        <f>IF('Données projet'!$A$140&gt;35,CT77+CS78-DB77,IF(A78&lt;'Données projet'!$A$140,$CQ$205^A78,IF(A78='Données projet'!$A$140,'Données projet'!$B$140,CT77+CS78-DB77)))</f>
        <v>360.7692307692306</v>
      </c>
      <c r="CU78" s="18">
        <f>CT78*VLOOKUP('Données projet'!$B$13,Paramètres!$A$1:$I$89,3,0)*VLOOKUP('Données projet'!$B$13,Paramètres!$A$1:$I$89,5,0)</f>
        <v>168.83999999999995</v>
      </c>
      <c r="CV78" s="14">
        <f t="shared" si="95"/>
        <v>42.830118735743163</v>
      </c>
      <c r="CW78" s="22">
        <f t="shared" si="67"/>
        <v>368.65879013141921</v>
      </c>
      <c r="CX78" s="62">
        <f t="shared" si="68"/>
        <v>661.99212346475247</v>
      </c>
      <c r="CY78" s="62">
        <f ca="1">AVERAGE(OFFSET($CX$3,0,0,'Données projet'!$E$13+1,1))-AVERAGE(OFFSET($H$3,0,0,'Données projet'!$E$13+1,1))</f>
        <v>246.64907095367749</v>
      </c>
      <c r="CZ78" s="62">
        <f t="shared" si="96"/>
        <v>145.34368562171613</v>
      </c>
      <c r="DA78" s="16">
        <f>IF(ISNA(VLOOKUP(A78,'Données projet'!$A$139:$I$159,3,0)),0,VLOOKUP(A78,'Données projet'!$A$139:$I$159,3,0))</f>
        <v>3</v>
      </c>
      <c r="DB78" s="16">
        <f>IF(ISNA(VLOOKUP(A78,'Données projet'!$A$139:$I$159,4,0)),0,VLOOKUP(A78,'Données projet'!$A$139:$I$159,4,0))</f>
        <v>85.384615384615415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323.5</v>
      </c>
      <c r="DM78" s="13">
        <f>VLOOKUP(A78,'Données projet'!$A$165:$I$185,9,0)</f>
        <v>5.1799999999999953</v>
      </c>
      <c r="DN78" s="13">
        <f t="array" ref="DN78">INDEX(DM:DM,MIN(IF(ISNUMBER(DM78:DM274),ROW(DM78:DM274),"")))</f>
        <v>5.1799999999999953</v>
      </c>
      <c r="DO78" s="13">
        <f>IF('Données projet'!$A$166&gt;35,DO77+DN78-DW77,IF(A78&lt;'Données projet'!$A$166,$DL$205^A78,IF(A78='Données projet'!$A$166,'Données projet'!$B$166,DO77+DN78-DW77)))</f>
        <v>323.49999999999994</v>
      </c>
      <c r="DP78" s="18">
        <f>DO78*VLOOKUP('Données projet'!$B$14,Paramètres!$A$1:$I$89,3,0)*VLOOKUP('Données projet'!$B$14,Paramètres!$A$1:$I$89,5,0)</f>
        <v>257.3766</v>
      </c>
      <c r="DQ78" s="14">
        <f t="shared" si="97"/>
        <v>62.162845465331493</v>
      </c>
      <c r="DR78" s="22">
        <f t="shared" si="70"/>
        <v>556.53120085211901</v>
      </c>
      <c r="DS78" s="62">
        <f t="shared" si="71"/>
        <v>849.86453418545238</v>
      </c>
      <c r="DT78" s="62">
        <f ca="1">AVERAGE(OFFSET($DS$3,0,0,'Données projet'!$E$14+1,1))-AVERAGE(OFFSET($H$3,0,0,'Données projet'!$E$14+1,1))</f>
        <v>370.38521334472284</v>
      </c>
      <c r="DU78" s="62">
        <f t="shared" si="98"/>
        <v>404.61777090709171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12.555555555555555</v>
      </c>
      <c r="EJ78" s="13">
        <f>IF('Données projet'!$A$192&gt;35,EJ77+EI78-ER77,IF(A78&lt;'Données projet'!$A$192,$EG$205^A78,IF(A78='Données projet'!$A$192,'Données projet'!$B$192,EJ77+EI78-ER77)))</f>
        <v>349.33333333333303</v>
      </c>
      <c r="EK78" s="18">
        <f>EJ78*VLOOKUP('Données projet'!$B$15,Paramètres!$A$1:$I$89,3,0)*VLOOKUP('Données projet'!$B$15,Paramètres!$A$1:$I$89,5,0)</f>
        <v>299.72799999999978</v>
      </c>
      <c r="EL78" s="14">
        <f t="shared" si="99"/>
        <v>71.119438818118951</v>
      </c>
      <c r="EM78" s="22">
        <f t="shared" si="73"/>
        <v>645.89262260822341</v>
      </c>
      <c r="EN78" s="62">
        <f t="shared" si="74"/>
        <v>939.22595594155678</v>
      </c>
      <c r="EO78" s="62">
        <f ca="1">AVERAGE(OFFSET($EN$3,0,0,'Données projet'!$E$15+1,1))-AVERAGE(OFFSET($H$3,0,0,'Données projet'!$E$15+1,1))</f>
        <v>445.81166342116865</v>
      </c>
      <c r="EP78" s="62">
        <f t="shared" si="100"/>
        <v>230.82970731138215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0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>
        <f>VLOOKUP(A78,'Données projet'!$A$217:$I$237,2,0)</f>
        <v>340</v>
      </c>
      <c r="FC78" s="13">
        <f>VLOOKUP(A78,'Données projet'!$A$217:$I$237,9,0)</f>
        <v>7.6</v>
      </c>
      <c r="FD78" s="13">
        <f t="array" ref="FD78">INDEX(FC:FC,MIN(IF(ISNUMBER(FC78:FC274),ROW(FC78:FC274),"")))</f>
        <v>7.6</v>
      </c>
      <c r="FE78" s="13">
        <f>IF('Données projet'!$A$218&gt;35,FE77+FD78-FM77,IF(A78&lt;'Données projet'!$A$218,$FB$205^A78,IF(A78='Données projet'!$A$218,'Données projet'!$B$218,FE77+FD78-FM77)))</f>
        <v>340.00000000000006</v>
      </c>
      <c r="FF78" s="18">
        <f>FE78*VLOOKUP('Données projet'!$B$16,Paramètres!$A$1:$I$89,3,0)*VLOOKUP('Données projet'!$B$16,Paramètres!$A$1:$I$89,5,0)</f>
        <v>328.84800000000007</v>
      </c>
      <c r="FG78" s="14">
        <f t="shared" si="101"/>
        <v>77.191419592112595</v>
      </c>
      <c r="FH78" s="22">
        <f t="shared" si="76"/>
        <v>707.18532245626284</v>
      </c>
      <c r="FI78" s="62">
        <f t="shared" si="77"/>
        <v>1000.5186557895961</v>
      </c>
      <c r="FJ78" s="62">
        <f ca="1">AVERAGE(OFFSET($FI$3,0,0,'Données projet'!$E$16+1,1))-AVERAGE(OFFSET($H$3,0,0,'Données projet'!$E$16+1,1))</f>
        <v>541.66888676162716</v>
      </c>
      <c r="FK78" s="62">
        <f t="shared" si="102"/>
        <v>294.45557293177131</v>
      </c>
      <c r="FL78" s="16">
        <f>IF(ISNA(VLOOKUP(A78,'Données projet'!$A$217:$I$237,3,0)),0,VLOOKUP(A78,'Données projet'!$A$217:$I$237,3,0))</f>
        <v>6</v>
      </c>
      <c r="FM78" s="16">
        <f>IF(ISNA(VLOOKUP(A78,'Données projet'!$A$217:$I$237,4,0)),0,VLOOKUP(A78,'Données projet'!$A$217:$I$237,4,0))</f>
        <v>56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>
        <f>EXP(-LN(2)/35)*FQ77+(1-EXP(-LN(2)/35))/(LN(2)/35)*FM78*FN78*VLOOKUP('Données projet'!$B$16,Paramètres!$A$1:$I$89,3,0)*0.475*44/12</f>
        <v>0</v>
      </c>
      <c r="FR78" s="23">
        <f>EXP(-LN(2)/25)*FR77+(1-EXP(-LN(2)/25))/(LN(2)/25)*Calculateur!FM78*Calculateur!FO78*VLOOKUP('Données projet'!$B$16,Paramètres!$A$1:$I$89,3,0)*0.475*44/12</f>
        <v>0</v>
      </c>
      <c r="FS78" s="23">
        <f>EXP(-LN(2)/2)*FS77+(1-EXP(-LN(2)/2))/(LN(2)/2)*FM78*FP78*VLOOKUP('Données projet'!$B$16,Paramètres!$A$1:$I$89,3,0)*0.475*44/12</f>
        <v>0</v>
      </c>
      <c r="FT78" s="24">
        <f t="shared" si="78"/>
        <v>0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1.1368683772161603E-13</v>
      </c>
      <c r="GA78" s="18">
        <f>FZ78*VLOOKUP('Données projet'!$B$17,Paramètres!$A$1:$I$89,3,0)*VLOOKUP('Données projet'!$B$17,Paramètres!$A$1:$I$89,5,0)</f>
        <v>8.8675733422860506E-14</v>
      </c>
      <c r="GB78" s="14">
        <f t="shared" si="103"/>
        <v>1.3509285393066301E-12</v>
      </c>
      <c r="GC78" s="22">
        <f t="shared" si="79"/>
        <v>2.5073107750038623E-12</v>
      </c>
      <c r="GD78" s="62">
        <f t="shared" si="80"/>
        <v>293.33333333333582</v>
      </c>
      <c r="GE78" s="62">
        <f ca="1">AVERAGE(OFFSET($GD$3,0,0,'Données projet'!$E$17+1,1))-AVERAGE(OFFSET($H$3,0,0,'Données projet'!$E$17+1,1))</f>
        <v>292.57482726862594</v>
      </c>
      <c r="GF78" s="62">
        <f t="shared" si="104"/>
        <v>283.48738729114024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>
        <f>EXP(-LN(2)/35)*GL77+(1-EXP(-LN(2)/35))/(LN(2)/35)*GH78*GI78*VLOOKUP('Données projet'!$B$17,Paramètres!$A$1:$I$89,3,0)*0.475*44/12</f>
        <v>0</v>
      </c>
      <c r="GM78" s="23">
        <f>EXP(-LN(2)/25)*GM77+(1-EXP(-LN(2)/25))/(LN(2)/25)*Calculateur!GH78*Calculateur!GJ78*VLOOKUP('Données projet'!$B$17,Paramètres!$A$1:$I$89,3,0)*0.475*44/12</f>
        <v>0</v>
      </c>
      <c r="GN78" s="23">
        <f>EXP(-LN(2)/2)*GN77+(1-EXP(-LN(2)/2))/(LN(2)/2)*GH78*GK78*VLOOKUP('Données projet'!$B$17,Paramètres!$A$1:$I$89,3,0)*0.475*44/12</f>
        <v>0</v>
      </c>
      <c r="GO78" s="23">
        <f t="shared" si="81"/>
        <v>0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>
        <f>VLOOKUP(A78,'Données projet'!$A$269:$I$289,2,0)</f>
        <v>358.33333333333331</v>
      </c>
      <c r="GS78" s="13">
        <f>VLOOKUP(A78,'Données projet'!$A$269:$I$289,9,0)</f>
        <v>5.5128205128205083</v>
      </c>
      <c r="GT78" s="13">
        <f t="array" ref="GT78">INDEX(GS:GS,MIN(IF(ISNUMBER(GS78:GS274),ROW(GS78:GS274),"")))</f>
        <v>5.5128205128205083</v>
      </c>
      <c r="GU78" s="13">
        <f>IF('Données projet'!$A$270&gt;35,GU77+GT78-HC77,IF(A78&lt;'Données projet'!$A$270,$GR$205^A78,IF(A78='Données projet'!$A$270,'Données projet'!$B$270,GU77+GT78-HC77)))</f>
        <v>358.33333333333303</v>
      </c>
      <c r="GV78" s="18">
        <f>GU78*VLOOKUP('Données projet'!$B$18,Paramètres!$A$1:$I$89,3,0)*VLOOKUP('Données projet'!$B$18,Paramètres!$A$1:$I$89,5,0)</f>
        <v>240.36999999999981</v>
      </c>
      <c r="GW78" s="14">
        <f t="shared" si="105"/>
        <v>58.519130645958803</v>
      </c>
      <c r="GX78" s="22">
        <f t="shared" si="82"/>
        <v>520.56523587504466</v>
      </c>
      <c r="GY78" s="62">
        <f t="shared" si="83"/>
        <v>813.89856920837792</v>
      </c>
      <c r="GZ78" s="62">
        <f ca="1">AVERAGE(OFFSET($GY$3,0,0,'Données projet'!$E$18+1,1))-AVERAGE(OFFSET($H$3,0,0,'Données projet'!$E$18+1,1))</f>
        <v>410.20186800287411</v>
      </c>
      <c r="HA78" s="62">
        <f t="shared" si="106"/>
        <v>321.99347958016057</v>
      </c>
      <c r="HB78" s="16">
        <f>IF(ISNA(VLOOKUP(A78,'Données projet'!$A$269:$I$289,3,0)),0,VLOOKUP(A78,'Données projet'!$A$269:$I$289,3,0))</f>
        <v>7</v>
      </c>
      <c r="HC78" s="16">
        <f>IF(ISNA(VLOOKUP(A78,'Données projet'!$A$269:$I$289,4,0)),0,VLOOKUP(A78,'Données projet'!$A$269:$I$289,4,0))</f>
        <v>33.974358974358971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>
        <f>EXP(-LN(2)/35)*HG77+(1-EXP(-LN(2)/35))/(LN(2)/35)*HC78*HD78*VLOOKUP('Données projet'!$B$18,Paramètres!$A$1:$I$89,3,0)*0.475*44/12</f>
        <v>0</v>
      </c>
      <c r="HH78" s="23">
        <f>EXP(-LN(2)/25)*HH77+(1-EXP(-LN(2)/25))/(LN(2)/25)*Calculateur!HC78*Calculateur!HE78*VLOOKUP('Données projet'!$B$18,Paramètres!$A$1:$I$89,3,0)*0.475*44/12</f>
        <v>0</v>
      </c>
      <c r="HI78" s="23">
        <f>EXP(-LN(2)/2)*HI77+(1-EXP(-LN(2)/2))/(LN(2)/2)*HC78*HF78*VLOOKUP('Données projet'!$B$18,Paramètres!$A$1:$I$89,3,0)*0.475*44/12</f>
        <v>0</v>
      </c>
      <c r="HJ78" s="24">
        <f t="shared" si="84"/>
        <v>0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7.2</v>
      </c>
      <c r="N79" s="14">
        <f>IF('Données projet'!$A$36&gt;35,N78+M79-V78,IF(A79&lt;'Données projet'!$A$36,$K$205^A79,IF(A79='Données projet'!$A$36,'Données projet'!$B$36,N78+M79-V78)))</f>
        <v>291.20000000000005</v>
      </c>
      <c r="O79" s="14">
        <f>N79*VLOOKUP('Données projet'!$B$9,Paramètres!$A$1:$I$89,3,0)*VLOOKUP('Données projet'!$B$9,Paramètres!$A$1:$I$89,5,0)</f>
        <v>263.47776000000005</v>
      </c>
      <c r="P79" s="14">
        <f t="shared" si="87"/>
        <v>63.46312159763346</v>
      </c>
      <c r="Q79" s="22">
        <f t="shared" si="54"/>
        <v>569.42203544921165</v>
      </c>
      <c r="R79" s="62">
        <f t="shared" si="55"/>
        <v>862.75536878254502</v>
      </c>
      <c r="S79" s="62">
        <f ca="1">AVERAGE(OFFSET($R$3,0,0,'Données projet'!$E$9+1,1))-AVERAGE(OFFSET($H$3,0,0,'Données projet'!$E$9+1,1))</f>
        <v>509.56241660612449</v>
      </c>
      <c r="T79" s="62">
        <f t="shared" si="88"/>
        <v>278.21741231699929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7.2</v>
      </c>
      <c r="AI79" s="14">
        <f>IF('Données projet'!$A$62&gt;35,AI78+AH79-AQ78,IF(A79&lt;'Données projet'!$A$62,$AF$205^A79,IF(A79='Données projet'!$A$62,'Données projet'!$B$62,AI78+AH79-AQ78)))</f>
        <v>291.20000000000005</v>
      </c>
      <c r="AJ79" s="14">
        <f>AI79*VLOOKUP('Données projet'!$B$10,Paramètres!$A$1:$I$89,3,0)*VLOOKUP('Données projet'!$B$10,Paramètres!$A$1:$I$89,5,0)</f>
        <v>295.27680000000004</v>
      </c>
      <c r="AK79" s="14">
        <f t="shared" si="89"/>
        <v>70.185386686980493</v>
      </c>
      <c r="AL79" s="22">
        <f t="shared" si="58"/>
        <v>636.51330847982445</v>
      </c>
      <c r="AM79" s="62">
        <f t="shared" si="59"/>
        <v>929.8466418131577</v>
      </c>
      <c r="AN79" s="62">
        <f ca="1">AVERAGE(OFFSET($AM$3,0,0,'Données projet'!$E$10+1,1))-AVERAGE(OFFSET($H$3,0,0,'Données projet'!$E$10+1,1))</f>
        <v>565.72091871734051</v>
      </c>
      <c r="AO79" s="62">
        <f t="shared" si="90"/>
        <v>306.61893266146666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3.5600000000000023</v>
      </c>
      <c r="BD79" s="13">
        <f>IF('Données projet'!$A$88&gt;35,BD78+BC79-BL78,IF(A79&lt;'Données projet'!$A$88,$BA$205^A79,IF(A79='Données projet'!$A$88,'Données projet'!$B$88,BD78+BC79-BL78)))</f>
        <v>327.05999999999995</v>
      </c>
      <c r="BE79" s="14">
        <f>BD79*VLOOKUP('Données projet'!$B$11,Paramètres!$A$1:$I$89,3,0)*VLOOKUP('Données projet'!$B$11,Paramètres!$A$1:$I$89,5,0)</f>
        <v>239.80039199999996</v>
      </c>
      <c r="BF79" s="14">
        <f t="shared" si="91"/>
        <v>58.396581769172833</v>
      </c>
      <c r="BG79" s="22">
        <f t="shared" si="61"/>
        <v>519.35972931464255</v>
      </c>
      <c r="BH79" s="62">
        <f t="shared" si="62"/>
        <v>812.69306264797592</v>
      </c>
      <c r="BI79" s="62">
        <f ca="1">AVERAGE(OFFSET($BH$3,0,0,'Données projet'!$E$11+1,1))-AVERAGE(OFFSET($H$3,0,0,'Données projet'!$E$11+1,1))</f>
        <v>344.26020118887629</v>
      </c>
      <c r="BJ79" s="62">
        <f t="shared" si="92"/>
        <v>376.41441893222185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7.2</v>
      </c>
      <c r="BY79" s="13">
        <f>IF('Données projet'!$A$114&gt;35,BY78+BX79-CG78,IF(A79&lt;'Données projet'!$A$114,$BV$205^A79,IF(A79='Données projet'!$A$114,'Données projet'!$B$114,BY78+BX79-CG78)))</f>
        <v>291.20000000000005</v>
      </c>
      <c r="BZ79" s="14">
        <f>BY79*VLOOKUP('Données projet'!$B$12,Paramètres!$A$1:$I$89,3,0)*VLOOKUP('Données projet'!$B$12,Paramètres!$A$1:$I$89,5,0)</f>
        <v>245.30688000000009</v>
      </c>
      <c r="CA79" s="14">
        <f t="shared" si="93"/>
        <v>59.579874112906374</v>
      </c>
      <c r="CB79" s="22">
        <f t="shared" si="64"/>
        <v>531.01109674664542</v>
      </c>
      <c r="CC79" s="62">
        <f t="shared" si="65"/>
        <v>824.34443007997879</v>
      </c>
      <c r="CD79" s="62">
        <f ca="1">AVERAGE(OFFSET($CC$3,0,0,'Données projet'!$E$12+1,1))-AVERAGE(OFFSET($H$3,0,0,'Données projet'!$E$12+1,1))</f>
        <v>477.4105367901771</v>
      </c>
      <c r="CE79" s="62">
        <f t="shared" si="94"/>
        <v>261.95434270986397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8.9743589743589727</v>
      </c>
      <c r="CT79" s="13">
        <f>IF('Données projet'!$A$140&gt;35,CT78+CS79-DB78,IF(A79&lt;'Données projet'!$A$140,$CQ$205^A79,IF(A79='Données projet'!$A$140,'Données projet'!$B$140,CT78+CS79-DB78)))</f>
        <v>284.35897435897414</v>
      </c>
      <c r="CU79" s="18">
        <f>CT79*VLOOKUP('Données projet'!$B$13,Paramètres!$A$1:$I$89,3,0)*VLOOKUP('Données projet'!$B$13,Paramètres!$A$1:$I$89,5,0)</f>
        <v>133.0799999999999</v>
      </c>
      <c r="CV79" s="14">
        <f t="shared" si="95"/>
        <v>34.707084092439132</v>
      </c>
      <c r="CW79" s="22">
        <f t="shared" si="67"/>
        <v>292.22917146099797</v>
      </c>
      <c r="CX79" s="62">
        <f t="shared" si="68"/>
        <v>585.56250479433129</v>
      </c>
      <c r="CY79" s="62">
        <f ca="1">AVERAGE(OFFSET($CX$3,0,0,'Données projet'!$E$13+1,1))-AVERAGE(OFFSET($H$3,0,0,'Données projet'!$E$13+1,1))</f>
        <v>246.64907095367749</v>
      </c>
      <c r="CZ79" s="62">
        <f t="shared" si="96"/>
        <v>145.34368562171613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3.5600000000000023</v>
      </c>
      <c r="DO79" s="13">
        <f>IF('Données projet'!$A$166&gt;35,DO78+DN79-DW78,IF(A79&lt;'Données projet'!$A$166,$DL$205^A79,IF(A79='Données projet'!$A$166,'Données projet'!$B$166,DO78+DN79-DW78)))</f>
        <v>327.05999999999995</v>
      </c>
      <c r="DP79" s="18">
        <f>DO79*VLOOKUP('Données projet'!$B$14,Paramètres!$A$1:$I$89,3,0)*VLOOKUP('Données projet'!$B$14,Paramètres!$A$1:$I$89,5,0)</f>
        <v>260.20893599999999</v>
      </c>
      <c r="DQ79" s="14">
        <f t="shared" si="97"/>
        <v>62.766912585729685</v>
      </c>
      <c r="DR79" s="22">
        <f t="shared" si="70"/>
        <v>562.51626962014586</v>
      </c>
      <c r="DS79" s="62">
        <f t="shared" si="71"/>
        <v>855.84960295347923</v>
      </c>
      <c r="DT79" s="62">
        <f ca="1">AVERAGE(OFFSET($DS$3,0,0,'Données projet'!$E$14+1,1))-AVERAGE(OFFSET($H$3,0,0,'Données projet'!$E$14+1,1))</f>
        <v>370.38521334472284</v>
      </c>
      <c r="DU79" s="62">
        <f t="shared" si="98"/>
        <v>404.61777090709171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12.555555555555555</v>
      </c>
      <c r="EJ79" s="13">
        <f>IF('Données projet'!$A$192&gt;35,EJ78+EI79-ER78,IF(A79&lt;'Données projet'!$A$192,$EG$205^A79,IF(A79='Données projet'!$A$192,'Données projet'!$B$192,EJ78+EI79-ER78)))</f>
        <v>361.88888888888857</v>
      </c>
      <c r="EK79" s="18">
        <f>EJ79*VLOOKUP('Données projet'!$B$15,Paramètres!$A$1:$I$89,3,0)*VLOOKUP('Données projet'!$B$15,Paramètres!$A$1:$I$89,5,0)</f>
        <v>310.5006666666664</v>
      </c>
      <c r="EL79" s="14">
        <f t="shared" si="99"/>
        <v>73.373379476611461</v>
      </c>
      <c r="EM79" s="22">
        <f t="shared" si="73"/>
        <v>668.58063036620888</v>
      </c>
      <c r="EN79" s="62">
        <f t="shared" si="74"/>
        <v>961.91396369954214</v>
      </c>
      <c r="EO79" s="62">
        <f ca="1">AVERAGE(OFFSET($EN$3,0,0,'Données projet'!$E$15+1,1))-AVERAGE(OFFSET($H$3,0,0,'Données projet'!$E$15+1,1))</f>
        <v>445.81166342116865</v>
      </c>
      <c r="EP79" s="62">
        <f t="shared" si="100"/>
        <v>230.82970731138215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0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7.2</v>
      </c>
      <c r="FE79" s="13">
        <f>IF('Données projet'!$A$218&gt;35,FE78+FD79-FM78,IF(A79&lt;'Données projet'!$A$218,$FB$205^A79,IF(A79='Données projet'!$A$218,'Données projet'!$B$218,FE78+FD79-FM78)))</f>
        <v>291.20000000000005</v>
      </c>
      <c r="FF79" s="18">
        <f>FE79*VLOOKUP('Données projet'!$B$16,Paramètres!$A$1:$I$89,3,0)*VLOOKUP('Données projet'!$B$16,Paramètres!$A$1:$I$89,5,0)</f>
        <v>281.64864000000006</v>
      </c>
      <c r="FG79" s="14">
        <f t="shared" si="101"/>
        <v>67.315294774697747</v>
      </c>
      <c r="FH79" s="22">
        <f t="shared" si="76"/>
        <v>607.77885306593191</v>
      </c>
      <c r="FI79" s="62">
        <f t="shared" si="77"/>
        <v>901.11218639926528</v>
      </c>
      <c r="FJ79" s="62">
        <f ca="1">AVERAGE(OFFSET($FI$3,0,0,'Données projet'!$E$16+1,1))-AVERAGE(OFFSET($H$3,0,0,'Données projet'!$E$16+1,1))</f>
        <v>541.66888676162716</v>
      </c>
      <c r="FK79" s="62">
        <f t="shared" si="102"/>
        <v>294.45557293177131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>
        <f>EXP(-LN(2)/35)*FQ78+(1-EXP(-LN(2)/35))/(LN(2)/35)*FM79*FN79*VLOOKUP('Données projet'!$B$16,Paramètres!$A$1:$I$89,3,0)*0.475*44/12</f>
        <v>0</v>
      </c>
      <c r="FR79" s="23">
        <f>EXP(-LN(2)/25)*FR78+(1-EXP(-LN(2)/25))/(LN(2)/25)*Calculateur!FM79*Calculateur!FO79*VLOOKUP('Données projet'!$B$16,Paramètres!$A$1:$I$89,3,0)*0.475*44/12</f>
        <v>0</v>
      </c>
      <c r="FS79" s="23">
        <f>EXP(-LN(2)/2)*FS78+(1-EXP(-LN(2)/2))/(LN(2)/2)*FM79*FP79*VLOOKUP('Données projet'!$B$16,Paramètres!$A$1:$I$89,3,0)*0.475*44/12</f>
        <v>0</v>
      </c>
      <c r="FT79" s="24">
        <f t="shared" si="78"/>
        <v>0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1.1368683772161603E-13</v>
      </c>
      <c r="GA79" s="18">
        <f>FZ79*VLOOKUP('Données projet'!$B$17,Paramètres!$A$1:$I$89,3,0)*VLOOKUP('Données projet'!$B$17,Paramètres!$A$1:$I$89,5,0)</f>
        <v>8.8675733422860506E-14</v>
      </c>
      <c r="GB79" s="14">
        <f t="shared" si="103"/>
        <v>1.3509285393066301E-12</v>
      </c>
      <c r="GC79" s="22">
        <f t="shared" si="79"/>
        <v>2.5073107750038623E-12</v>
      </c>
      <c r="GD79" s="62">
        <f t="shared" si="80"/>
        <v>293.33333333333582</v>
      </c>
      <c r="GE79" s="62">
        <f ca="1">AVERAGE(OFFSET($GD$3,0,0,'Données projet'!$E$17+1,1))-AVERAGE(OFFSET($H$3,0,0,'Données projet'!$E$17+1,1))</f>
        <v>292.57482726862594</v>
      </c>
      <c r="GF79" s="62">
        <f t="shared" si="104"/>
        <v>283.48738729114024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>
        <f>EXP(-LN(2)/35)*GL78+(1-EXP(-LN(2)/35))/(LN(2)/35)*GH79*GI79*VLOOKUP('Données projet'!$B$17,Paramètres!$A$1:$I$89,3,0)*0.475*44/12</f>
        <v>0</v>
      </c>
      <c r="GM79" s="23">
        <f>EXP(-LN(2)/25)*GM78+(1-EXP(-LN(2)/25))/(LN(2)/25)*Calculateur!GH79*Calculateur!GJ79*VLOOKUP('Données projet'!$B$17,Paramètres!$A$1:$I$89,3,0)*0.475*44/12</f>
        <v>0</v>
      </c>
      <c r="GN79" s="23">
        <f>EXP(-LN(2)/2)*GN78+(1-EXP(-LN(2)/2))/(LN(2)/2)*GH79*GK79*VLOOKUP('Données projet'!$B$17,Paramètres!$A$1:$I$89,3,0)*0.475*44/12</f>
        <v>0</v>
      </c>
      <c r="GO79" s="23">
        <f t="shared" si="81"/>
        <v>0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5.3846153846153815</v>
      </c>
      <c r="GU79" s="13">
        <f>IF('Données projet'!$A$270&gt;35,GU78+GT79-HC78,IF(A79&lt;'Données projet'!$A$270,$GR$205^A79,IF(A79='Données projet'!$A$270,'Données projet'!$B$270,GU78+GT79-HC78)))</f>
        <v>329.74358974358944</v>
      </c>
      <c r="GV79" s="18">
        <f>GU79*VLOOKUP('Données projet'!$B$18,Paramètres!$A$1:$I$89,3,0)*VLOOKUP('Données projet'!$B$18,Paramètres!$A$1:$I$89,5,0)</f>
        <v>221.19199999999981</v>
      </c>
      <c r="GW79" s="14">
        <f t="shared" si="105"/>
        <v>54.373879499070561</v>
      </c>
      <c r="GX79" s="22">
        <f t="shared" si="82"/>
        <v>479.94390679421417</v>
      </c>
      <c r="GY79" s="62">
        <f t="shared" si="83"/>
        <v>773.27724012754743</v>
      </c>
      <c r="GZ79" s="62">
        <f ca="1">AVERAGE(OFFSET($GY$3,0,0,'Données projet'!$E$18+1,1))-AVERAGE(OFFSET($H$3,0,0,'Données projet'!$E$18+1,1))</f>
        <v>410.20186800287411</v>
      </c>
      <c r="HA79" s="62">
        <f t="shared" si="106"/>
        <v>321.99347958016057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>
        <f>EXP(-LN(2)/35)*HG78+(1-EXP(-LN(2)/35))/(LN(2)/35)*HC79*HD79*VLOOKUP('Données projet'!$B$18,Paramètres!$A$1:$I$89,3,0)*0.475*44/12</f>
        <v>0</v>
      </c>
      <c r="HH79" s="23">
        <f>EXP(-LN(2)/25)*HH78+(1-EXP(-LN(2)/25))/(LN(2)/25)*Calculateur!HC79*Calculateur!HE79*VLOOKUP('Données projet'!$B$18,Paramètres!$A$1:$I$89,3,0)*0.475*44/12</f>
        <v>0</v>
      </c>
      <c r="HI79" s="23">
        <f>EXP(-LN(2)/2)*HI78+(1-EXP(-LN(2)/2))/(LN(2)/2)*HC79*HF79*VLOOKUP('Données projet'!$B$18,Paramètres!$A$1:$I$89,3,0)*0.475*44/12</f>
        <v>0</v>
      </c>
      <c r="HJ79" s="24">
        <f t="shared" si="84"/>
        <v>0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7.2</v>
      </c>
      <c r="N80" s="14">
        <f>IF('Données projet'!$A$36&gt;35,N79+M80-V79,IF(A80&lt;'Données projet'!$A$36,$K$205^A80,IF(A80='Données projet'!$A$36,'Données projet'!$B$36,N79+M80-V79)))</f>
        <v>298.40000000000003</v>
      </c>
      <c r="O80" s="14">
        <f>N80*VLOOKUP('Données projet'!$B$9,Paramètres!$A$1:$I$89,3,0)*VLOOKUP('Données projet'!$B$9,Paramètres!$A$1:$I$89,5,0)</f>
        <v>269.99232000000001</v>
      </c>
      <c r="P80" s="14">
        <f t="shared" si="87"/>
        <v>64.847639395310296</v>
      </c>
      <c r="Q80" s="22">
        <f t="shared" si="54"/>
        <v>583.17959594683214</v>
      </c>
      <c r="R80" s="62">
        <f t="shared" si="55"/>
        <v>876.51292928016551</v>
      </c>
      <c r="S80" s="62">
        <f ca="1">AVERAGE(OFFSET($R$3,0,0,'Données projet'!$E$9+1,1))-AVERAGE(OFFSET($H$3,0,0,'Données projet'!$E$9+1,1))</f>
        <v>509.56241660612449</v>
      </c>
      <c r="T80" s="62">
        <f t="shared" si="88"/>
        <v>278.21741231699929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7.2</v>
      </c>
      <c r="AI80" s="14">
        <f>IF('Données projet'!$A$62&gt;35,AI79+AH80-AQ79,IF(A80&lt;'Données projet'!$A$62,$AF$205^A80,IF(A80='Données projet'!$A$62,'Données projet'!$B$62,AI79+AH80-AQ79)))</f>
        <v>298.40000000000003</v>
      </c>
      <c r="AJ80" s="14">
        <f>AI80*VLOOKUP('Données projet'!$B$10,Paramètres!$A$1:$I$89,3,0)*VLOOKUP('Données projet'!$B$10,Paramètres!$A$1:$I$89,5,0)</f>
        <v>302.57760000000007</v>
      </c>
      <c r="AK80" s="14">
        <f t="shared" si="89"/>
        <v>71.716558091076294</v>
      </c>
      <c r="AL80" s="22">
        <f t="shared" si="58"/>
        <v>651.89565867529132</v>
      </c>
      <c r="AM80" s="62">
        <f t="shared" si="59"/>
        <v>945.22899200862457</v>
      </c>
      <c r="AN80" s="62">
        <f ca="1">AVERAGE(OFFSET($AM$3,0,0,'Données projet'!$E$10+1,1))-AVERAGE(OFFSET($H$3,0,0,'Données projet'!$E$10+1,1))</f>
        <v>565.72091871734051</v>
      </c>
      <c r="AO80" s="62">
        <f t="shared" si="90"/>
        <v>306.61893266146666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3.5600000000000023</v>
      </c>
      <c r="BD80" s="13">
        <f>IF('Données projet'!$A$88&gt;35,BD79+BC80-BL79,IF(A80&lt;'Données projet'!$A$88,$BA$205^A80,IF(A80='Données projet'!$A$88,'Données projet'!$B$88,BD79+BC80-BL79)))</f>
        <v>330.61999999999995</v>
      </c>
      <c r="BE80" s="14">
        <f>BD80*VLOOKUP('Données projet'!$B$11,Paramètres!$A$1:$I$89,3,0)*VLOOKUP('Données projet'!$B$11,Paramètres!$A$1:$I$89,5,0)</f>
        <v>242.41058399999997</v>
      </c>
      <c r="BF80" s="14">
        <f t="shared" si="91"/>
        <v>58.957877315127767</v>
      </c>
      <c r="BG80" s="22">
        <f t="shared" si="61"/>
        <v>524.88340345718075</v>
      </c>
      <c r="BH80" s="62">
        <f t="shared" si="62"/>
        <v>818.21673679051401</v>
      </c>
      <c r="BI80" s="62">
        <f ca="1">AVERAGE(OFFSET($BH$3,0,0,'Données projet'!$E$11+1,1))-AVERAGE(OFFSET($H$3,0,0,'Données projet'!$E$11+1,1))</f>
        <v>344.26020118887629</v>
      </c>
      <c r="BJ80" s="62">
        <f t="shared" si="92"/>
        <v>376.41441893222185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7.2</v>
      </c>
      <c r="BY80" s="13">
        <f>IF('Données projet'!$A$114&gt;35,BY79+BX80-CG79,IF(A80&lt;'Données projet'!$A$114,$BV$205^A80,IF(A80='Données projet'!$A$114,'Données projet'!$B$114,BY79+BX80-CG79)))</f>
        <v>298.40000000000003</v>
      </c>
      <c r="BZ80" s="14">
        <f>BY80*VLOOKUP('Données projet'!$B$12,Paramètres!$A$1:$I$89,3,0)*VLOOKUP('Données projet'!$B$12,Paramètres!$A$1:$I$89,5,0)</f>
        <v>251.37216000000004</v>
      </c>
      <c r="CA80" s="14">
        <f t="shared" si="93"/>
        <v>60.879674595707343</v>
      </c>
      <c r="CB80" s="22">
        <f t="shared" si="64"/>
        <v>543.83861192085692</v>
      </c>
      <c r="CC80" s="62">
        <f t="shared" si="65"/>
        <v>837.17194525419018</v>
      </c>
      <c r="CD80" s="62">
        <f ca="1">AVERAGE(OFFSET($CC$3,0,0,'Données projet'!$E$12+1,1))-AVERAGE(OFFSET($H$3,0,0,'Données projet'!$E$12+1,1))</f>
        <v>477.4105367901771</v>
      </c>
      <c r="CE80" s="62">
        <f t="shared" si="94"/>
        <v>261.95434270986397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8.9743589743589727</v>
      </c>
      <c r="CT80" s="13">
        <f>IF('Données projet'!$A$140&gt;35,CT79+CS80-DB79,IF(A80&lt;'Données projet'!$A$140,$CQ$205^A80,IF(A80='Données projet'!$A$140,'Données projet'!$B$140,CT79+CS80-DB79)))</f>
        <v>293.33333333333309</v>
      </c>
      <c r="CU80" s="18">
        <f>CT80*VLOOKUP('Données projet'!$B$13,Paramètres!$A$1:$I$89,3,0)*VLOOKUP('Données projet'!$B$13,Paramètres!$A$1:$I$89,5,0)</f>
        <v>137.27999999999989</v>
      </c>
      <c r="CV80" s="14">
        <f t="shared" si="95"/>
        <v>35.673181961873411</v>
      </c>
      <c r="CW80" s="22">
        <f t="shared" si="67"/>
        <v>301.22679191692936</v>
      </c>
      <c r="CX80" s="62">
        <f t="shared" si="68"/>
        <v>594.56012525026267</v>
      </c>
      <c r="CY80" s="62">
        <f ca="1">AVERAGE(OFFSET($CX$3,0,0,'Données projet'!$E$13+1,1))-AVERAGE(OFFSET($H$3,0,0,'Données projet'!$E$13+1,1))</f>
        <v>246.64907095367749</v>
      </c>
      <c r="CZ80" s="62">
        <f t="shared" si="96"/>
        <v>145.34368562171613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3.5600000000000023</v>
      </c>
      <c r="DO80" s="13">
        <f>IF('Données projet'!$A$166&gt;35,DO79+DN80-DW79,IF(A80&lt;'Données projet'!$A$166,$DL$205^A80,IF(A80='Données projet'!$A$166,'Données projet'!$B$166,DO79+DN80-DW79)))</f>
        <v>330.61999999999995</v>
      </c>
      <c r="DP80" s="18">
        <f>DO80*VLOOKUP('Données projet'!$B$14,Paramètres!$A$1:$I$89,3,0)*VLOOKUP('Données projet'!$B$14,Paramètres!$A$1:$I$89,5,0)</f>
        <v>263.04127199999994</v>
      </c>
      <c r="DQ80" s="14">
        <f t="shared" si="97"/>
        <v>63.370214823641057</v>
      </c>
      <c r="DR80" s="22">
        <f t="shared" si="70"/>
        <v>568.50000621784136</v>
      </c>
      <c r="DS80" s="62">
        <f t="shared" si="71"/>
        <v>861.83333955117473</v>
      </c>
      <c r="DT80" s="62">
        <f ca="1">AVERAGE(OFFSET($DS$3,0,0,'Données projet'!$E$14+1,1))-AVERAGE(OFFSET($H$3,0,0,'Données projet'!$E$14+1,1))</f>
        <v>370.38521334472284</v>
      </c>
      <c r="DU80" s="62">
        <f t="shared" si="98"/>
        <v>404.61777090709171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12.555555555555555</v>
      </c>
      <c r="EJ80" s="13">
        <f>IF('Données projet'!$A$192&gt;35,EJ79+EI80-ER79,IF(A80&lt;'Données projet'!$A$192,$EG$205^A80,IF(A80='Données projet'!$A$192,'Données projet'!$B$192,EJ79+EI80-ER79)))</f>
        <v>374.44444444444412</v>
      </c>
      <c r="EK80" s="18">
        <f>EJ80*VLOOKUP('Données projet'!$B$15,Paramètres!$A$1:$I$89,3,0)*VLOOKUP('Données projet'!$B$15,Paramètres!$A$1:$I$89,5,0)</f>
        <v>321.27333333333308</v>
      </c>
      <c r="EL80" s="14">
        <f t="shared" si="99"/>
        <v>75.618234159828049</v>
      </c>
      <c r="EM80" s="22">
        <f t="shared" si="73"/>
        <v>691.25281338392233</v>
      </c>
      <c r="EN80" s="62">
        <f t="shared" si="74"/>
        <v>984.58614671725559</v>
      </c>
      <c r="EO80" s="62">
        <f ca="1">AVERAGE(OFFSET($EN$3,0,0,'Données projet'!$E$15+1,1))-AVERAGE(OFFSET($H$3,0,0,'Données projet'!$E$15+1,1))</f>
        <v>445.81166342116865</v>
      </c>
      <c r="EP80" s="62">
        <f t="shared" si="100"/>
        <v>230.82970731138215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0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7.2</v>
      </c>
      <c r="FE80" s="13">
        <f>IF('Données projet'!$A$218&gt;35,FE79+FD80-FM79,IF(A80&lt;'Données projet'!$A$218,$FB$205^A80,IF(A80='Données projet'!$A$218,'Données projet'!$B$218,FE79+FD80-FM79)))</f>
        <v>298.40000000000003</v>
      </c>
      <c r="FF80" s="18">
        <f>FE80*VLOOKUP('Données projet'!$B$16,Paramètres!$A$1:$I$89,3,0)*VLOOKUP('Données projet'!$B$16,Paramètres!$A$1:$I$89,5,0)</f>
        <v>288.61248000000001</v>
      </c>
      <c r="FG80" s="14">
        <f t="shared" si="101"/>
        <v>68.783851967051476</v>
      </c>
      <c r="FH80" s="22">
        <f t="shared" si="76"/>
        <v>622.4652781759479</v>
      </c>
      <c r="FI80" s="62">
        <f t="shared" si="77"/>
        <v>915.79861150928127</v>
      </c>
      <c r="FJ80" s="62">
        <f ca="1">AVERAGE(OFFSET($FI$3,0,0,'Données projet'!$E$16+1,1))-AVERAGE(OFFSET($H$3,0,0,'Données projet'!$E$16+1,1))</f>
        <v>541.66888676162716</v>
      </c>
      <c r="FK80" s="62">
        <f t="shared" si="102"/>
        <v>294.45557293177131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>
        <f>EXP(-LN(2)/35)*FQ79+(1-EXP(-LN(2)/35))/(LN(2)/35)*FM80*FN80*VLOOKUP('Données projet'!$B$16,Paramètres!$A$1:$I$89,3,0)*0.475*44/12</f>
        <v>0</v>
      </c>
      <c r="FR80" s="23">
        <f>EXP(-LN(2)/25)*FR79+(1-EXP(-LN(2)/25))/(LN(2)/25)*Calculateur!FM80*Calculateur!FO80*VLOOKUP('Données projet'!$B$16,Paramètres!$A$1:$I$89,3,0)*0.475*44/12</f>
        <v>0</v>
      </c>
      <c r="FS80" s="23">
        <f>EXP(-LN(2)/2)*FS79+(1-EXP(-LN(2)/2))/(LN(2)/2)*FM80*FP80*VLOOKUP('Données projet'!$B$16,Paramètres!$A$1:$I$89,3,0)*0.475*44/12</f>
        <v>0</v>
      </c>
      <c r="FT80" s="24">
        <f t="shared" si="78"/>
        <v>0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1.1368683772161603E-13</v>
      </c>
      <c r="GA80" s="18">
        <f>FZ80*VLOOKUP('Données projet'!$B$17,Paramètres!$A$1:$I$89,3,0)*VLOOKUP('Données projet'!$B$17,Paramètres!$A$1:$I$89,5,0)</f>
        <v>8.8675733422860506E-14</v>
      </c>
      <c r="GB80" s="14">
        <f t="shared" si="103"/>
        <v>1.3509285393066301E-12</v>
      </c>
      <c r="GC80" s="22">
        <f t="shared" si="79"/>
        <v>2.5073107750038623E-12</v>
      </c>
      <c r="GD80" s="62">
        <f t="shared" si="80"/>
        <v>293.33333333333582</v>
      </c>
      <c r="GE80" s="62">
        <f ca="1">AVERAGE(OFFSET($GD$3,0,0,'Données projet'!$E$17+1,1))-AVERAGE(OFFSET($H$3,0,0,'Données projet'!$E$17+1,1))</f>
        <v>292.57482726862594</v>
      </c>
      <c r="GF80" s="62">
        <f t="shared" si="104"/>
        <v>283.48738729114024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>
        <f>EXP(-LN(2)/35)*GL79+(1-EXP(-LN(2)/35))/(LN(2)/35)*GH80*GI80*VLOOKUP('Données projet'!$B$17,Paramètres!$A$1:$I$89,3,0)*0.475*44/12</f>
        <v>0</v>
      </c>
      <c r="GM80" s="23">
        <f>EXP(-LN(2)/25)*GM79+(1-EXP(-LN(2)/25))/(LN(2)/25)*Calculateur!GH80*Calculateur!GJ80*VLOOKUP('Données projet'!$B$17,Paramètres!$A$1:$I$89,3,0)*0.475*44/12</f>
        <v>0</v>
      </c>
      <c r="GN80" s="23">
        <f>EXP(-LN(2)/2)*GN79+(1-EXP(-LN(2)/2))/(LN(2)/2)*GH80*GK80*VLOOKUP('Données projet'!$B$17,Paramètres!$A$1:$I$89,3,0)*0.475*44/12</f>
        <v>0</v>
      </c>
      <c r="GO80" s="23">
        <f t="shared" si="81"/>
        <v>0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5.3846153846153815</v>
      </c>
      <c r="GU80" s="13">
        <f>IF('Données projet'!$A$270&gt;35,GU79+GT80-HC79,IF(A80&lt;'Données projet'!$A$270,$GR$205^A80,IF(A80='Données projet'!$A$270,'Données projet'!$B$270,GU79+GT80-HC79)))</f>
        <v>335.1282051282048</v>
      </c>
      <c r="GV80" s="18">
        <f>GU80*VLOOKUP('Données projet'!$B$18,Paramètres!$A$1:$I$89,3,0)*VLOOKUP('Données projet'!$B$18,Paramètres!$A$1:$I$89,5,0)</f>
        <v>224.8039999999998</v>
      </c>
      <c r="GW80" s="14">
        <f t="shared" si="105"/>
        <v>55.157695090311243</v>
      </c>
      <c r="GX80" s="22">
        <f t="shared" si="82"/>
        <v>487.59995228229172</v>
      </c>
      <c r="GY80" s="62">
        <f t="shared" si="83"/>
        <v>780.93328561562498</v>
      </c>
      <c r="GZ80" s="62">
        <f ca="1">AVERAGE(OFFSET($GY$3,0,0,'Données projet'!$E$18+1,1))-AVERAGE(OFFSET($H$3,0,0,'Données projet'!$E$18+1,1))</f>
        <v>410.20186800287411</v>
      </c>
      <c r="HA80" s="62">
        <f t="shared" si="106"/>
        <v>321.99347958016057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>
        <f>EXP(-LN(2)/35)*HG79+(1-EXP(-LN(2)/35))/(LN(2)/35)*HC80*HD80*VLOOKUP('Données projet'!$B$18,Paramètres!$A$1:$I$89,3,0)*0.475*44/12</f>
        <v>0</v>
      </c>
      <c r="HH80" s="23">
        <f>EXP(-LN(2)/25)*HH79+(1-EXP(-LN(2)/25))/(LN(2)/25)*Calculateur!HC80*Calculateur!HE80*VLOOKUP('Données projet'!$B$18,Paramètres!$A$1:$I$89,3,0)*0.475*44/12</f>
        <v>0</v>
      </c>
      <c r="HI80" s="23">
        <f>EXP(-LN(2)/2)*HI79+(1-EXP(-LN(2)/2))/(LN(2)/2)*HC80*HF80*VLOOKUP('Données projet'!$B$18,Paramètres!$A$1:$I$89,3,0)*0.475*44/12</f>
        <v>0</v>
      </c>
      <c r="HJ80" s="24">
        <f t="shared" si="84"/>
        <v>0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7.2</v>
      </c>
      <c r="N81" s="14">
        <f>IF('Données projet'!$A$36&gt;35,N80+M81-V80,IF(A81&lt;'Données projet'!$A$36,$K$205^A81,IF(A81='Données projet'!$A$36,'Données projet'!$B$36,N80+M81-V80)))</f>
        <v>305.60000000000002</v>
      </c>
      <c r="O81" s="14">
        <f>N81*VLOOKUP('Données projet'!$B$9,Paramètres!$A$1:$I$89,3,0)*VLOOKUP('Données projet'!$B$9,Paramètres!$A$1:$I$89,5,0)</f>
        <v>276.50687999999997</v>
      </c>
      <c r="P81" s="14">
        <f t="shared" si="87"/>
        <v>66.228273722513677</v>
      </c>
      <c r="Q81" s="22">
        <f t="shared" si="54"/>
        <v>596.93039273337797</v>
      </c>
      <c r="R81" s="62">
        <f t="shared" si="55"/>
        <v>890.26372606671134</v>
      </c>
      <c r="S81" s="62">
        <f ca="1">AVERAGE(OFFSET($R$3,0,0,'Données projet'!$E$9+1,1))-AVERAGE(OFFSET($H$3,0,0,'Données projet'!$E$9+1,1))</f>
        <v>509.56241660612449</v>
      </c>
      <c r="T81" s="62">
        <f t="shared" si="88"/>
        <v>278.21741231699929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7.2</v>
      </c>
      <c r="AI81" s="14">
        <f>IF('Données projet'!$A$62&gt;35,AI80+AH81-AQ80,IF(A81&lt;'Données projet'!$A$62,$AF$205^A81,IF(A81='Données projet'!$A$62,'Données projet'!$B$62,AI80+AH81-AQ80)))</f>
        <v>305.60000000000002</v>
      </c>
      <c r="AJ81" s="14">
        <f>AI81*VLOOKUP('Données projet'!$B$10,Paramètres!$A$1:$I$89,3,0)*VLOOKUP('Données projet'!$B$10,Paramètres!$A$1:$I$89,5,0)</f>
        <v>309.87840000000006</v>
      </c>
      <c r="AK81" s="14">
        <f t="shared" si="89"/>
        <v>73.243434672131556</v>
      </c>
      <c r="AL81" s="22">
        <f t="shared" si="58"/>
        <v>667.27052872062916</v>
      </c>
      <c r="AM81" s="62">
        <f t="shared" si="59"/>
        <v>960.60386205396253</v>
      </c>
      <c r="AN81" s="62">
        <f ca="1">AVERAGE(OFFSET($AM$3,0,0,'Données projet'!$E$10+1,1))-AVERAGE(OFFSET($H$3,0,0,'Données projet'!$E$10+1,1))</f>
        <v>565.72091871734051</v>
      </c>
      <c r="AO81" s="62">
        <f t="shared" si="90"/>
        <v>306.61893266146666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3.5600000000000023</v>
      </c>
      <c r="BD81" s="13">
        <f>IF('Données projet'!$A$88&gt;35,BD80+BC81-BL80,IF(A81&lt;'Données projet'!$A$88,$BA$205^A81,IF(A81='Données projet'!$A$88,'Données projet'!$B$88,BD80+BC81-BL80)))</f>
        <v>334.17999999999995</v>
      </c>
      <c r="BE81" s="14">
        <f>BD81*VLOOKUP('Données projet'!$B$11,Paramètres!$A$1:$I$89,3,0)*VLOOKUP('Données projet'!$B$11,Paramètres!$A$1:$I$89,5,0)</f>
        <v>245.02077599999993</v>
      </c>
      <c r="BF81" s="14">
        <f t="shared" si="91"/>
        <v>59.518469785210911</v>
      </c>
      <c r="BG81" s="22">
        <f t="shared" si="61"/>
        <v>530.40585307590879</v>
      </c>
      <c r="BH81" s="62">
        <f t="shared" si="62"/>
        <v>823.73918640924217</v>
      </c>
      <c r="BI81" s="62">
        <f ca="1">AVERAGE(OFFSET($BH$3,0,0,'Données projet'!$E$11+1,1))-AVERAGE(OFFSET($H$3,0,0,'Données projet'!$E$11+1,1))</f>
        <v>344.26020118887629</v>
      </c>
      <c r="BJ81" s="62">
        <f t="shared" si="92"/>
        <v>376.41441893222185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7.2</v>
      </c>
      <c r="BY81" s="13">
        <f>IF('Données projet'!$A$114&gt;35,BY80+BX81-CG80,IF(A81&lt;'Données projet'!$A$114,$BV$205^A81,IF(A81='Données projet'!$A$114,'Données projet'!$B$114,BY80+BX81-CG80)))</f>
        <v>305.60000000000002</v>
      </c>
      <c r="BZ81" s="14">
        <f>BY81*VLOOKUP('Données projet'!$B$12,Paramètres!$A$1:$I$89,3,0)*VLOOKUP('Données projet'!$B$12,Paramètres!$A$1:$I$89,5,0)</f>
        <v>257.43744000000004</v>
      </c>
      <c r="CA81" s="14">
        <f t="shared" si="93"/>
        <v>62.175829233865038</v>
      </c>
      <c r="CB81" s="22">
        <f t="shared" si="64"/>
        <v>556.65977724898164</v>
      </c>
      <c r="CC81" s="62">
        <f t="shared" si="65"/>
        <v>849.99311058231501</v>
      </c>
      <c r="CD81" s="62">
        <f ca="1">AVERAGE(OFFSET($CC$3,0,0,'Données projet'!$E$12+1,1))-AVERAGE(OFFSET($H$3,0,0,'Données projet'!$E$12+1,1))</f>
        <v>477.4105367901771</v>
      </c>
      <c r="CE81" s="62">
        <f t="shared" si="94"/>
        <v>261.95434270986397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8.9743589743589727</v>
      </c>
      <c r="CT81" s="13">
        <f>IF('Données projet'!$A$140&gt;35,CT80+CS81-DB80,IF(A81&lt;'Données projet'!$A$140,$CQ$205^A81,IF(A81='Données projet'!$A$140,'Données projet'!$B$140,CT80+CS81-DB80)))</f>
        <v>302.30769230769204</v>
      </c>
      <c r="CU81" s="18">
        <f>CT81*VLOOKUP('Données projet'!$B$13,Paramètres!$A$1:$I$89,3,0)*VLOOKUP('Données projet'!$B$13,Paramètres!$A$1:$I$89,5,0)</f>
        <v>141.47999999999988</v>
      </c>
      <c r="CV81" s="14">
        <f t="shared" si="95"/>
        <v>36.635844927016009</v>
      </c>
      <c r="CW81" s="22">
        <f t="shared" si="67"/>
        <v>310.21842991455259</v>
      </c>
      <c r="CX81" s="62">
        <f t="shared" si="68"/>
        <v>603.5517632478859</v>
      </c>
      <c r="CY81" s="62">
        <f ca="1">AVERAGE(OFFSET($CX$3,0,0,'Données projet'!$E$13+1,1))-AVERAGE(OFFSET($H$3,0,0,'Données projet'!$E$13+1,1))</f>
        <v>246.64907095367749</v>
      </c>
      <c r="CZ81" s="62">
        <f t="shared" si="96"/>
        <v>145.34368562171613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3.5600000000000023</v>
      </c>
      <c r="DO81" s="13">
        <f>IF('Données projet'!$A$166&gt;35,DO80+DN81-DW80,IF(A81&lt;'Données projet'!$A$166,$DL$205^A81,IF(A81='Données projet'!$A$166,'Données projet'!$B$166,DO80+DN81-DW80)))</f>
        <v>334.17999999999995</v>
      </c>
      <c r="DP81" s="18">
        <f>DO81*VLOOKUP('Données projet'!$B$14,Paramètres!$A$1:$I$89,3,0)*VLOOKUP('Données projet'!$B$14,Paramètres!$A$1:$I$89,5,0)</f>
        <v>265.87360799999999</v>
      </c>
      <c r="DQ81" s="14">
        <f t="shared" si="97"/>
        <v>63.972761368317435</v>
      </c>
      <c r="DR81" s="22">
        <f t="shared" si="70"/>
        <v>574.48242664981956</v>
      </c>
      <c r="DS81" s="62">
        <f t="shared" si="71"/>
        <v>867.81575998315293</v>
      </c>
      <c r="DT81" s="62">
        <f ca="1">AVERAGE(OFFSET($DS$3,0,0,'Données projet'!$E$14+1,1))-AVERAGE(OFFSET($H$3,0,0,'Données projet'!$E$14+1,1))</f>
        <v>370.38521334472284</v>
      </c>
      <c r="DU81" s="62">
        <f t="shared" si="98"/>
        <v>404.61777090709171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>
        <f>VLOOKUP(A81,'Données projet'!$A$191:$I$211,2,0)</f>
        <v>387</v>
      </c>
      <c r="EH81" s="13">
        <f>VLOOKUP(A81,'Données projet'!$A$191:$I$211,9,0)</f>
        <v>12.555555555555555</v>
      </c>
      <c r="EI81" s="13">
        <f t="array" ref="EI81">INDEX(EH:EH,MIN(IF(ISNUMBER(EH81:EH277),ROW(EH81:EH277),"")))</f>
        <v>12.555555555555555</v>
      </c>
      <c r="EJ81" s="13">
        <f>IF('Données projet'!$A$192&gt;35,EJ80+EI81-ER80,IF(A81&lt;'Données projet'!$A$192,$EG$205^A81,IF(A81='Données projet'!$A$192,'Données projet'!$B$192,EJ80+EI81-ER80)))</f>
        <v>386.99999999999966</v>
      </c>
      <c r="EK81" s="18">
        <f>EJ81*VLOOKUP('Données projet'!$B$15,Paramètres!$A$1:$I$89,3,0)*VLOOKUP('Données projet'!$B$15,Paramètres!$A$1:$I$89,5,0)</f>
        <v>332.04599999999971</v>
      </c>
      <c r="EL81" s="14">
        <f t="shared" si="99"/>
        <v>77.854342460208571</v>
      </c>
      <c r="EM81" s="22">
        <f t="shared" si="73"/>
        <v>713.90976311819611</v>
      </c>
      <c r="EN81" s="62">
        <f t="shared" si="74"/>
        <v>1007.2430964515295</v>
      </c>
      <c r="EO81" s="62">
        <f ca="1">AVERAGE(OFFSET($EN$3,0,0,'Données projet'!$E$15+1,1))-AVERAGE(OFFSET($H$3,0,0,'Données projet'!$E$15+1,1))</f>
        <v>445.81166342116865</v>
      </c>
      <c r="EP81" s="62">
        <f t="shared" si="100"/>
        <v>230.82970731138215</v>
      </c>
      <c r="EQ81" s="16">
        <f>IF(ISNA(VLOOKUP(A81,'Données projet'!$A$191:$I$211,3,0)),0,VLOOKUP(A81,'Données projet'!$A$191:$I$211,3,0))</f>
        <v>9</v>
      </c>
      <c r="ER81" s="16">
        <f>IF(ISNA(VLOOKUP(A81,'Données projet'!$A$191:$I$211,4,0)),0,VLOOKUP(A81,'Données projet'!$A$191:$I$211,4,0))</f>
        <v>39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0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7.2</v>
      </c>
      <c r="FE81" s="13">
        <f>IF('Données projet'!$A$218&gt;35,FE80+FD81-FM80,IF(A81&lt;'Données projet'!$A$218,$FB$205^A81,IF(A81='Données projet'!$A$218,'Données projet'!$B$218,FE80+FD81-FM80)))</f>
        <v>305.60000000000002</v>
      </c>
      <c r="FF81" s="18">
        <f>FE81*VLOOKUP('Données projet'!$B$16,Paramètres!$A$1:$I$89,3,0)*VLOOKUP('Données projet'!$B$16,Paramètres!$A$1:$I$89,5,0)</f>
        <v>295.57632000000001</v>
      </c>
      <c r="FG81" s="14">
        <f t="shared" si="101"/>
        <v>70.24828996461811</v>
      </c>
      <c r="FH81" s="22">
        <f t="shared" si="76"/>
        <v>637.1445290217099</v>
      </c>
      <c r="FI81" s="62">
        <f t="shared" si="77"/>
        <v>930.47786235504327</v>
      </c>
      <c r="FJ81" s="62">
        <f ca="1">AVERAGE(OFFSET($FI$3,0,0,'Données projet'!$E$16+1,1))-AVERAGE(OFFSET($H$3,0,0,'Données projet'!$E$16+1,1))</f>
        <v>541.66888676162716</v>
      </c>
      <c r="FK81" s="62">
        <f t="shared" si="102"/>
        <v>294.45557293177131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>
        <f>EXP(-LN(2)/35)*FQ80+(1-EXP(-LN(2)/35))/(LN(2)/35)*FM81*FN81*VLOOKUP('Données projet'!$B$16,Paramètres!$A$1:$I$89,3,0)*0.475*44/12</f>
        <v>0</v>
      </c>
      <c r="FR81" s="23">
        <f>EXP(-LN(2)/25)*FR80+(1-EXP(-LN(2)/25))/(LN(2)/25)*Calculateur!FM81*Calculateur!FO81*VLOOKUP('Données projet'!$B$16,Paramètres!$A$1:$I$89,3,0)*0.475*44/12</f>
        <v>0</v>
      </c>
      <c r="FS81" s="23">
        <f>EXP(-LN(2)/2)*FS80+(1-EXP(-LN(2)/2))/(LN(2)/2)*FM81*FP81*VLOOKUP('Données projet'!$B$16,Paramètres!$A$1:$I$89,3,0)*0.475*44/12</f>
        <v>0</v>
      </c>
      <c r="FT81" s="24">
        <f t="shared" si="78"/>
        <v>0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1.1368683772161603E-13</v>
      </c>
      <c r="GA81" s="18">
        <f>FZ81*VLOOKUP('Données projet'!$B$17,Paramètres!$A$1:$I$89,3,0)*VLOOKUP('Données projet'!$B$17,Paramètres!$A$1:$I$89,5,0)</f>
        <v>8.8675733422860506E-14</v>
      </c>
      <c r="GB81" s="14">
        <f t="shared" si="103"/>
        <v>1.3509285393066301E-12</v>
      </c>
      <c r="GC81" s="22">
        <f t="shared" si="79"/>
        <v>2.5073107750038623E-12</v>
      </c>
      <c r="GD81" s="62">
        <f t="shared" si="80"/>
        <v>293.33333333333582</v>
      </c>
      <c r="GE81" s="62">
        <f ca="1">AVERAGE(OFFSET($GD$3,0,0,'Données projet'!$E$17+1,1))-AVERAGE(OFFSET($H$3,0,0,'Données projet'!$E$17+1,1))</f>
        <v>292.57482726862594</v>
      </c>
      <c r="GF81" s="62">
        <f t="shared" si="104"/>
        <v>283.48738729114024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>
        <f>EXP(-LN(2)/35)*GL80+(1-EXP(-LN(2)/35))/(LN(2)/35)*GH81*GI81*VLOOKUP('Données projet'!$B$17,Paramètres!$A$1:$I$89,3,0)*0.475*44/12</f>
        <v>0</v>
      </c>
      <c r="GM81" s="23">
        <f>EXP(-LN(2)/25)*GM80+(1-EXP(-LN(2)/25))/(LN(2)/25)*Calculateur!GH81*Calculateur!GJ81*VLOOKUP('Données projet'!$B$17,Paramètres!$A$1:$I$89,3,0)*0.475*44/12</f>
        <v>0</v>
      </c>
      <c r="GN81" s="23">
        <f>EXP(-LN(2)/2)*GN80+(1-EXP(-LN(2)/2))/(LN(2)/2)*GH81*GK81*VLOOKUP('Données projet'!$B$17,Paramètres!$A$1:$I$89,3,0)*0.475*44/12</f>
        <v>0</v>
      </c>
      <c r="GO81" s="23">
        <f t="shared" si="81"/>
        <v>0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5.3846153846153815</v>
      </c>
      <c r="GU81" s="13">
        <f>IF('Données projet'!$A$270&gt;35,GU80+GT81-HC80,IF(A81&lt;'Données projet'!$A$270,$GR$205^A81,IF(A81='Données projet'!$A$270,'Données projet'!$B$270,GU80+GT81-HC80)))</f>
        <v>340.51282051282016</v>
      </c>
      <c r="GV81" s="18">
        <f>GU81*VLOOKUP('Données projet'!$B$18,Paramètres!$A$1:$I$89,3,0)*VLOOKUP('Données projet'!$B$18,Paramètres!$A$1:$I$89,5,0)</f>
        <v>228.41599999999977</v>
      </c>
      <c r="GW81" s="14">
        <f t="shared" si="105"/>
        <v>55.940046063816482</v>
      </c>
      <c r="GX81" s="22">
        <f t="shared" si="82"/>
        <v>495.25344689448002</v>
      </c>
      <c r="GY81" s="62">
        <f t="shared" si="83"/>
        <v>788.58678022781328</v>
      </c>
      <c r="GZ81" s="62">
        <f ca="1">AVERAGE(OFFSET($GY$3,0,0,'Données projet'!$E$18+1,1))-AVERAGE(OFFSET($H$3,0,0,'Données projet'!$E$18+1,1))</f>
        <v>410.20186800287411</v>
      </c>
      <c r="HA81" s="62">
        <f t="shared" si="106"/>
        <v>321.99347958016057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>
        <f>EXP(-LN(2)/35)*HG80+(1-EXP(-LN(2)/35))/(LN(2)/35)*HC81*HD81*VLOOKUP('Données projet'!$B$18,Paramètres!$A$1:$I$89,3,0)*0.475*44/12</f>
        <v>0</v>
      </c>
      <c r="HH81" s="23">
        <f>EXP(-LN(2)/25)*HH80+(1-EXP(-LN(2)/25))/(LN(2)/25)*Calculateur!HC81*Calculateur!HE81*VLOOKUP('Données projet'!$B$18,Paramètres!$A$1:$I$89,3,0)*0.475*44/12</f>
        <v>0</v>
      </c>
      <c r="HI81" s="23">
        <f>EXP(-LN(2)/2)*HI80+(1-EXP(-LN(2)/2))/(LN(2)/2)*HC81*HF81*VLOOKUP('Données projet'!$B$18,Paramètres!$A$1:$I$89,3,0)*0.475*44/12</f>
        <v>0</v>
      </c>
      <c r="HJ81" s="24">
        <f t="shared" si="84"/>
        <v>0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7.2</v>
      </c>
      <c r="N82" s="14">
        <f>IF('Données projet'!$A$36&gt;35,N81+M82-V81,IF(A82&lt;'Données projet'!$A$36,$K$205^A82,IF(A82='Données projet'!$A$36,'Données projet'!$B$36,N81+M82-V81)))</f>
        <v>312.8</v>
      </c>
      <c r="O82" s="14">
        <f>N82*VLOOKUP('Données projet'!$B$9,Paramètres!$A$1:$I$89,3,0)*VLOOKUP('Données projet'!$B$9,Paramètres!$A$1:$I$89,5,0)</f>
        <v>283.02144000000004</v>
      </c>
      <c r="P82" s="14">
        <f t="shared" si="87"/>
        <v>67.605126603830598</v>
      </c>
      <c r="Q82" s="22">
        <f t="shared" si="54"/>
        <v>610.67460350167164</v>
      </c>
      <c r="R82" s="62">
        <f t="shared" si="55"/>
        <v>904.00793683500501</v>
      </c>
      <c r="S82" s="62">
        <f ca="1">AVERAGE(OFFSET($R$3,0,0,'Données projet'!$E$9+1,1))-AVERAGE(OFFSET($H$3,0,0,'Données projet'!$E$9+1,1))</f>
        <v>509.56241660612449</v>
      </c>
      <c r="T82" s="62">
        <f t="shared" si="88"/>
        <v>278.21741231699929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7.2</v>
      </c>
      <c r="AI82" s="14">
        <f>IF('Données projet'!$A$62&gt;35,AI81+AH82-AQ81,IF(A82&lt;'Données projet'!$A$62,$AF$205^A82,IF(A82='Données projet'!$A$62,'Données projet'!$B$62,AI81+AH82-AQ81)))</f>
        <v>312.8</v>
      </c>
      <c r="AJ82" s="14">
        <f>AI82*VLOOKUP('Données projet'!$B$10,Paramètres!$A$1:$I$89,3,0)*VLOOKUP('Données projet'!$B$10,Paramètres!$A$1:$I$89,5,0)</f>
        <v>317.17920000000004</v>
      </c>
      <c r="AK82" s="14">
        <f t="shared" si="89"/>
        <v>74.766129261581426</v>
      </c>
      <c r="AL82" s="22">
        <f t="shared" si="58"/>
        <v>682.63811513058772</v>
      </c>
      <c r="AM82" s="62">
        <f t="shared" si="59"/>
        <v>975.97144846392098</v>
      </c>
      <c r="AN82" s="62">
        <f ca="1">AVERAGE(OFFSET($AM$3,0,0,'Données projet'!$E$10+1,1))-AVERAGE(OFFSET($H$3,0,0,'Données projet'!$E$10+1,1))</f>
        <v>565.72091871734051</v>
      </c>
      <c r="AO82" s="62">
        <f t="shared" si="90"/>
        <v>306.61893266146666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3.5600000000000023</v>
      </c>
      <c r="BD82" s="13">
        <f>IF('Données projet'!$A$88&gt;35,BD81+BC82-BL81,IF(A82&lt;'Données projet'!$A$88,$BA$205^A82,IF(A82='Données projet'!$A$88,'Données projet'!$B$88,BD81+BC82-BL81)))</f>
        <v>337.73999999999995</v>
      </c>
      <c r="BE82" s="14">
        <f>BD82*VLOOKUP('Données projet'!$B$11,Paramètres!$A$1:$I$89,3,0)*VLOOKUP('Données projet'!$B$11,Paramètres!$A$1:$I$89,5,0)</f>
        <v>247.63096799999994</v>
      </c>
      <c r="BF82" s="14">
        <f t="shared" si="91"/>
        <v>60.078367536199657</v>
      </c>
      <c r="BG82" s="22">
        <f t="shared" si="61"/>
        <v>535.9270927255476</v>
      </c>
      <c r="BH82" s="62">
        <f t="shared" si="62"/>
        <v>829.26042605888097</v>
      </c>
      <c r="BI82" s="62">
        <f ca="1">AVERAGE(OFFSET($BH$3,0,0,'Données projet'!$E$11+1,1))-AVERAGE(OFFSET($H$3,0,0,'Données projet'!$E$11+1,1))</f>
        <v>344.26020118887629</v>
      </c>
      <c r="BJ82" s="62">
        <f t="shared" si="92"/>
        <v>376.41441893222185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7.2</v>
      </c>
      <c r="BY82" s="13">
        <f>IF('Données projet'!$A$114&gt;35,BY81+BX82-CG81,IF(A82&lt;'Données projet'!$A$114,$BV$205^A82,IF(A82='Données projet'!$A$114,'Données projet'!$B$114,BY81+BX82-CG81)))</f>
        <v>312.8</v>
      </c>
      <c r="BZ82" s="14">
        <f>BY82*VLOOKUP('Données projet'!$B$12,Paramètres!$A$1:$I$89,3,0)*VLOOKUP('Données projet'!$B$12,Paramètres!$A$1:$I$89,5,0)</f>
        <v>263.50272000000001</v>
      </c>
      <c r="CA82" s="14">
        <f t="shared" si="93"/>
        <v>63.468433809179743</v>
      </c>
      <c r="CB82" s="22">
        <f t="shared" si="64"/>
        <v>569.4747595509881</v>
      </c>
      <c r="CC82" s="62">
        <f t="shared" si="65"/>
        <v>862.80809288432147</v>
      </c>
      <c r="CD82" s="62">
        <f ca="1">AVERAGE(OFFSET($CC$3,0,0,'Données projet'!$E$12+1,1))-AVERAGE(OFFSET($H$3,0,0,'Données projet'!$E$12+1,1))</f>
        <v>477.4105367901771</v>
      </c>
      <c r="CE82" s="62">
        <f t="shared" si="94"/>
        <v>261.95434270986397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8.9743589743589727</v>
      </c>
      <c r="CT82" s="13">
        <f>IF('Données projet'!$A$140&gt;35,CT81+CS82-DB81,IF(A82&lt;'Données projet'!$A$140,$CQ$205^A82,IF(A82='Données projet'!$A$140,'Données projet'!$B$140,CT81+CS82-DB81)))</f>
        <v>311.28205128205099</v>
      </c>
      <c r="CU82" s="18">
        <f>CT82*VLOOKUP('Données projet'!$B$13,Paramètres!$A$1:$I$89,3,0)*VLOOKUP('Données projet'!$B$13,Paramètres!$A$1:$I$89,5,0)</f>
        <v>145.67999999999986</v>
      </c>
      <c r="CV82" s="14">
        <f t="shared" si="95"/>
        <v>37.595186663644121</v>
      </c>
      <c r="CW82" s="22">
        <f t="shared" si="67"/>
        <v>319.2042834391799</v>
      </c>
      <c r="CX82" s="62">
        <f t="shared" si="68"/>
        <v>612.53761677251327</v>
      </c>
      <c r="CY82" s="62">
        <f ca="1">AVERAGE(OFFSET($CX$3,0,0,'Données projet'!$E$13+1,1))-AVERAGE(OFFSET($H$3,0,0,'Données projet'!$E$13+1,1))</f>
        <v>246.64907095367749</v>
      </c>
      <c r="CZ82" s="62">
        <f t="shared" si="96"/>
        <v>145.34368562171613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3.5600000000000023</v>
      </c>
      <c r="DO82" s="13">
        <f>IF('Données projet'!$A$166&gt;35,DO81+DN82-DW81,IF(A82&lt;'Données projet'!$A$166,$DL$205^A82,IF(A82='Données projet'!$A$166,'Données projet'!$B$166,DO81+DN82-DW81)))</f>
        <v>337.73999999999995</v>
      </c>
      <c r="DP82" s="18">
        <f>DO82*VLOOKUP('Données projet'!$B$14,Paramètres!$A$1:$I$89,3,0)*VLOOKUP('Données projet'!$B$14,Paramètres!$A$1:$I$89,5,0)</f>
        <v>268.70594399999999</v>
      </c>
      <c r="DQ82" s="14">
        <f t="shared" si="97"/>
        <v>64.574561201947517</v>
      </c>
      <c r="DR82" s="22">
        <f t="shared" si="70"/>
        <v>580.46354656005849</v>
      </c>
      <c r="DS82" s="62">
        <f t="shared" si="71"/>
        <v>873.79687989339186</v>
      </c>
      <c r="DT82" s="62">
        <f ca="1">AVERAGE(OFFSET($DS$3,0,0,'Données projet'!$E$14+1,1))-AVERAGE(OFFSET($H$3,0,0,'Données projet'!$E$14+1,1))</f>
        <v>370.38521334472284</v>
      </c>
      <c r="DU82" s="62">
        <f t="shared" si="98"/>
        <v>404.61777090709171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12</v>
      </c>
      <c r="EJ82" s="13">
        <f>IF('Données projet'!$A$192&gt;35,EJ81+EI82-ER81,IF(A82&lt;'Données projet'!$A$192,$EG$205^A82,IF(A82='Données projet'!$A$192,'Données projet'!$B$192,EJ81+EI82-ER81)))</f>
        <v>359.99999999999966</v>
      </c>
      <c r="EK82" s="18">
        <f>EJ82*VLOOKUP('Données projet'!$B$15,Paramètres!$A$1:$I$89,3,0)*VLOOKUP('Données projet'!$B$15,Paramètres!$A$1:$I$89,5,0)</f>
        <v>308.87999999999977</v>
      </c>
      <c r="EL82" s="14">
        <f t="shared" si="99"/>
        <v>73.034880345800715</v>
      </c>
      <c r="EM82" s="22">
        <f t="shared" si="73"/>
        <v>665.16841660226919</v>
      </c>
      <c r="EN82" s="62">
        <f t="shared" si="74"/>
        <v>958.50174993560245</v>
      </c>
      <c r="EO82" s="62">
        <f ca="1">AVERAGE(OFFSET($EN$3,0,0,'Données projet'!$E$15+1,1))-AVERAGE(OFFSET($H$3,0,0,'Données projet'!$E$15+1,1))</f>
        <v>445.81166342116865</v>
      </c>
      <c r="EP82" s="62">
        <f t="shared" si="100"/>
        <v>230.82970731138215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0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7.2</v>
      </c>
      <c r="FE82" s="13">
        <f>IF('Données projet'!$A$218&gt;35,FE81+FD82-FM81,IF(A82&lt;'Données projet'!$A$218,$FB$205^A82,IF(A82='Données projet'!$A$218,'Données projet'!$B$218,FE81+FD82-FM81)))</f>
        <v>312.8</v>
      </c>
      <c r="FF82" s="18">
        <f>FE82*VLOOKUP('Données projet'!$B$16,Paramètres!$A$1:$I$89,3,0)*VLOOKUP('Données projet'!$B$16,Paramètres!$A$1:$I$89,5,0)</f>
        <v>302.54016000000001</v>
      </c>
      <c r="FG82" s="14">
        <f t="shared" si="101"/>
        <v>71.708716984815311</v>
      </c>
      <c r="FH82" s="22">
        <f t="shared" si="76"/>
        <v>651.81679408188654</v>
      </c>
      <c r="FI82" s="62">
        <f t="shared" si="77"/>
        <v>945.15012741521991</v>
      </c>
      <c r="FJ82" s="62">
        <f ca="1">AVERAGE(OFFSET($FI$3,0,0,'Données projet'!$E$16+1,1))-AVERAGE(OFFSET($H$3,0,0,'Données projet'!$E$16+1,1))</f>
        <v>541.66888676162716</v>
      </c>
      <c r="FK82" s="62">
        <f t="shared" si="102"/>
        <v>294.45557293177131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>
        <f>EXP(-LN(2)/35)*FQ81+(1-EXP(-LN(2)/35))/(LN(2)/35)*FM82*FN82*VLOOKUP('Données projet'!$B$16,Paramètres!$A$1:$I$89,3,0)*0.475*44/12</f>
        <v>0</v>
      </c>
      <c r="FR82" s="23">
        <f>EXP(-LN(2)/25)*FR81+(1-EXP(-LN(2)/25))/(LN(2)/25)*Calculateur!FM82*Calculateur!FO82*VLOOKUP('Données projet'!$B$16,Paramètres!$A$1:$I$89,3,0)*0.475*44/12</f>
        <v>0</v>
      </c>
      <c r="FS82" s="23">
        <f>EXP(-LN(2)/2)*FS81+(1-EXP(-LN(2)/2))/(LN(2)/2)*FM82*FP82*VLOOKUP('Données projet'!$B$16,Paramètres!$A$1:$I$89,3,0)*0.475*44/12</f>
        <v>0</v>
      </c>
      <c r="FT82" s="24">
        <f t="shared" si="78"/>
        <v>0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1.1368683772161603E-13</v>
      </c>
      <c r="GA82" s="18">
        <f>FZ82*VLOOKUP('Données projet'!$B$17,Paramètres!$A$1:$I$89,3,0)*VLOOKUP('Données projet'!$B$17,Paramètres!$A$1:$I$89,5,0)</f>
        <v>8.8675733422860506E-14</v>
      </c>
      <c r="GB82" s="14">
        <f t="shared" si="103"/>
        <v>1.3509285393066301E-12</v>
      </c>
      <c r="GC82" s="22">
        <f t="shared" si="79"/>
        <v>2.5073107750038623E-12</v>
      </c>
      <c r="GD82" s="62">
        <f t="shared" si="80"/>
        <v>293.33333333333582</v>
      </c>
      <c r="GE82" s="62">
        <f ca="1">AVERAGE(OFFSET($GD$3,0,0,'Données projet'!$E$17+1,1))-AVERAGE(OFFSET($H$3,0,0,'Données projet'!$E$17+1,1))</f>
        <v>292.57482726862594</v>
      </c>
      <c r="GF82" s="62">
        <f t="shared" si="104"/>
        <v>283.48738729114024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>
        <f>EXP(-LN(2)/35)*GL81+(1-EXP(-LN(2)/35))/(LN(2)/35)*GH82*GI82*VLOOKUP('Données projet'!$B$17,Paramètres!$A$1:$I$89,3,0)*0.475*44/12</f>
        <v>0</v>
      </c>
      <c r="GM82" s="23">
        <f>EXP(-LN(2)/25)*GM81+(1-EXP(-LN(2)/25))/(LN(2)/25)*Calculateur!GH82*Calculateur!GJ82*VLOOKUP('Données projet'!$B$17,Paramètres!$A$1:$I$89,3,0)*0.475*44/12</f>
        <v>0</v>
      </c>
      <c r="GN82" s="23">
        <f>EXP(-LN(2)/2)*GN81+(1-EXP(-LN(2)/2))/(LN(2)/2)*GH82*GK82*VLOOKUP('Données projet'!$B$17,Paramètres!$A$1:$I$89,3,0)*0.475*44/12</f>
        <v>0</v>
      </c>
      <c r="GO82" s="23">
        <f t="shared" si="81"/>
        <v>0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5.3846153846153815</v>
      </c>
      <c r="GU82" s="13">
        <f>IF('Données projet'!$A$270&gt;35,GU81+GT82-HC81,IF(A82&lt;'Données projet'!$A$270,$GR$205^A82,IF(A82='Données projet'!$A$270,'Données projet'!$B$270,GU81+GT82-HC81)))</f>
        <v>345.89743589743551</v>
      </c>
      <c r="GV82" s="18">
        <f>GU82*VLOOKUP('Données projet'!$B$18,Paramètres!$A$1:$I$89,3,0)*VLOOKUP('Données projet'!$B$18,Paramètres!$A$1:$I$89,5,0)</f>
        <v>232.02799999999976</v>
      </c>
      <c r="GW82" s="14">
        <f t="shared" si="105"/>
        <v>56.720958254211382</v>
      </c>
      <c r="GX82" s="22">
        <f t="shared" si="82"/>
        <v>502.90443562608442</v>
      </c>
      <c r="GY82" s="62">
        <f t="shared" si="83"/>
        <v>796.23776895941774</v>
      </c>
      <c r="GZ82" s="62">
        <f ca="1">AVERAGE(OFFSET($GY$3,0,0,'Données projet'!$E$18+1,1))-AVERAGE(OFFSET($H$3,0,0,'Données projet'!$E$18+1,1))</f>
        <v>410.20186800287411</v>
      </c>
      <c r="HA82" s="62">
        <f t="shared" si="106"/>
        <v>321.99347958016057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>
        <f>EXP(-LN(2)/35)*HG81+(1-EXP(-LN(2)/35))/(LN(2)/35)*HC82*HD82*VLOOKUP('Données projet'!$B$18,Paramètres!$A$1:$I$89,3,0)*0.475*44/12</f>
        <v>0</v>
      </c>
      <c r="HH82" s="23">
        <f>EXP(-LN(2)/25)*HH81+(1-EXP(-LN(2)/25))/(LN(2)/25)*Calculateur!HC82*Calculateur!HE82*VLOOKUP('Données projet'!$B$18,Paramètres!$A$1:$I$89,3,0)*0.475*44/12</f>
        <v>0</v>
      </c>
      <c r="HI82" s="23">
        <f>EXP(-LN(2)/2)*HI81+(1-EXP(-LN(2)/2))/(LN(2)/2)*HC82*HF82*VLOOKUP('Données projet'!$B$18,Paramètres!$A$1:$I$89,3,0)*0.475*44/12</f>
        <v>0</v>
      </c>
      <c r="HJ82" s="24">
        <f t="shared" si="84"/>
        <v>0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320</v>
      </c>
      <c r="L83" s="13">
        <f>VLOOKUP(A83,'Données projet'!$A$35:$I$55,9,0)</f>
        <v>7.2</v>
      </c>
      <c r="M83" s="13">
        <f t="array" ref="M83">INDEX(L:L,MIN(IF(ISNUMBER(L83:L279),ROW(L83:L279),"")))</f>
        <v>7.2</v>
      </c>
      <c r="N83" s="14">
        <f>IF('Données projet'!$A$36&gt;35,N82+M83-V82,IF(A83&lt;'Données projet'!$A$36,$K$205^A83,IF(A83='Données projet'!$A$36,'Données projet'!$B$36,N82+M83-V82)))</f>
        <v>320</v>
      </c>
      <c r="O83" s="14">
        <f>N83*VLOOKUP('Données projet'!$B$9,Paramètres!$A$1:$I$89,3,0)*VLOOKUP('Données projet'!$B$9,Paramètres!$A$1:$I$89,5,0)</f>
        <v>289.536</v>
      </c>
      <c r="P83" s="14">
        <f t="shared" si="87"/>
        <v>68.97829509904436</v>
      </c>
      <c r="Q83" s="22">
        <f t="shared" si="54"/>
        <v>624.41239729750225</v>
      </c>
      <c r="R83" s="62">
        <f t="shared" si="55"/>
        <v>917.74573063083562</v>
      </c>
      <c r="S83" s="62">
        <f ca="1">AVERAGE(OFFSET($R$3,0,0,'Données projet'!$E$9+1,1))-AVERAGE(OFFSET($H$3,0,0,'Données projet'!$E$9+1,1))</f>
        <v>509.56241660612449</v>
      </c>
      <c r="T83" s="62">
        <f t="shared" si="88"/>
        <v>278.21741231699929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320</v>
      </c>
      <c r="AG83" s="13">
        <f>VLOOKUP(A83,'Données projet'!$A$61:$I$81,9,0)</f>
        <v>7.2</v>
      </c>
      <c r="AH83" s="13">
        <f t="array" ref="AH83">INDEX(AG:AG,MIN(IF(ISNUMBER(AG83:AG279),ROW(AG83:AG279),"")))</f>
        <v>7.2</v>
      </c>
      <c r="AI83" s="14">
        <f>IF('Données projet'!$A$62&gt;35,AI82+AH83-AQ82,IF(A83&lt;'Données projet'!$A$62,$AF$205^A83,IF(A83='Données projet'!$A$62,'Données projet'!$B$62,AI82+AH83-AQ82)))</f>
        <v>320</v>
      </c>
      <c r="AJ83" s="14">
        <f>AI83*VLOOKUP('Données projet'!$B$10,Paramètres!$A$1:$I$89,3,0)*VLOOKUP('Données projet'!$B$10,Paramètres!$A$1:$I$89,5,0)</f>
        <v>324.48</v>
      </c>
      <c r="AK83" s="14">
        <f t="shared" si="89"/>
        <v>76.284749200165578</v>
      </c>
      <c r="AL83" s="22">
        <f t="shared" si="58"/>
        <v>697.99860485695501</v>
      </c>
      <c r="AM83" s="62">
        <f t="shared" si="59"/>
        <v>991.33193819028838</v>
      </c>
      <c r="AN83" s="62">
        <f ca="1">AVERAGE(OFFSET($AM$3,0,0,'Données projet'!$E$10+1,1))-AVERAGE(OFFSET($H$3,0,0,'Données projet'!$E$10+1,1))</f>
        <v>565.72091871734051</v>
      </c>
      <c r="AO83" s="62">
        <f t="shared" si="90"/>
        <v>306.61893266146666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341.3</v>
      </c>
      <c r="BB83" s="13">
        <f>VLOOKUP(A83,'Données projet'!$A$87:$I$107,9,0)</f>
        <v>3.5600000000000023</v>
      </c>
      <c r="BC83" s="13">
        <f t="array" ref="BC83">INDEX(BB:BB,MIN(IF(ISNUMBER(BB83:BB279),ROW(BB83:BB279),"")))</f>
        <v>3.5600000000000023</v>
      </c>
      <c r="BD83" s="13">
        <f>IF('Données projet'!$A$88&gt;35,BD82+BC83-BL82,IF(A83&lt;'Données projet'!$A$88,$BA$205^A83,IF(A83='Données projet'!$A$88,'Données projet'!$B$88,BD82+BC83-BL82)))</f>
        <v>341.29999999999995</v>
      </c>
      <c r="BE83" s="14">
        <f>BD83*VLOOKUP('Données projet'!$B$11,Paramètres!$A$1:$I$89,3,0)*VLOOKUP('Données projet'!$B$11,Paramètres!$A$1:$I$89,5,0)</f>
        <v>250.24115999999998</v>
      </c>
      <c r="BF83" s="14">
        <f t="shared" si="91"/>
        <v>60.637578738550481</v>
      </c>
      <c r="BG83" s="22">
        <f t="shared" si="61"/>
        <v>541.44713663630864</v>
      </c>
      <c r="BH83" s="62">
        <f t="shared" si="62"/>
        <v>834.7804699696419</v>
      </c>
      <c r="BI83" s="62">
        <f ca="1">AVERAGE(OFFSET($BH$3,0,0,'Données projet'!$E$11+1,1))-AVERAGE(OFFSET($H$3,0,0,'Données projet'!$E$11+1,1))</f>
        <v>344.26020118887629</v>
      </c>
      <c r="BJ83" s="62">
        <f t="shared" si="92"/>
        <v>376.41441893222185</v>
      </c>
      <c r="BK83" s="16">
        <f>IF(ISNA(VLOOKUP(A83,'Données projet'!$A$87:$I$107,3,0)),0,VLOOKUP(A83,'Données projet'!$A$87:$I$107,3,0))</f>
        <v>8</v>
      </c>
      <c r="BL83" s="23">
        <f>IF(ISNA(VLOOKUP(A83,'Données projet'!$A$87:$I$107,4,0)),0,VLOOKUP(A83,'Données projet'!$A$87:$I$107,4,0))</f>
        <v>341.3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320</v>
      </c>
      <c r="BW83" s="13">
        <f>VLOOKUP(A83,'Données projet'!$A$113:$I$133,9,0)</f>
        <v>7.2</v>
      </c>
      <c r="BX83" s="13">
        <f t="array" ref="BX83">INDEX(BW:BW,MIN(IF(ISNUMBER(BW83:BW279),ROW(BW83:BW279),"")))</f>
        <v>7.2</v>
      </c>
      <c r="BY83" s="13">
        <f>IF('Données projet'!$A$114&gt;35,BY82+BX83-CG82,IF(A83&lt;'Données projet'!$A$114,$BV$205^A83,IF(A83='Données projet'!$A$114,'Données projet'!$B$114,BY82+BX83-CG82)))</f>
        <v>320</v>
      </c>
      <c r="BZ83" s="14">
        <f>BY83*VLOOKUP('Données projet'!$B$12,Paramètres!$A$1:$I$89,3,0)*VLOOKUP('Données projet'!$B$12,Paramètres!$A$1:$I$89,5,0)</f>
        <v>269.56800000000004</v>
      </c>
      <c r="CA83" s="14">
        <f t="shared" si="93"/>
        <v>64.757579442439862</v>
      </c>
      <c r="CB83" s="22">
        <f t="shared" si="64"/>
        <v>582.28371752891621</v>
      </c>
      <c r="CC83" s="62">
        <f t="shared" si="65"/>
        <v>875.61705086224947</v>
      </c>
      <c r="CD83" s="62">
        <f ca="1">AVERAGE(OFFSET($CC$3,0,0,'Données projet'!$E$12+1,1))-AVERAGE(OFFSET($H$3,0,0,'Données projet'!$E$12+1,1))</f>
        <v>477.4105367901771</v>
      </c>
      <c r="CE83" s="62">
        <f t="shared" si="94"/>
        <v>261.95434270986397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8.9743589743589727</v>
      </c>
      <c r="CT83" s="13">
        <f>IF('Données projet'!$A$140&gt;35,CT82+CS83-DB82,IF(A83&lt;'Données projet'!$A$140,$CQ$205^A83,IF(A83='Données projet'!$A$140,'Données projet'!$B$140,CT82+CS83-DB82)))</f>
        <v>320.25641025640994</v>
      </c>
      <c r="CU83" s="18">
        <f>CT83*VLOOKUP('Données projet'!$B$13,Paramètres!$A$1:$I$89,3,0)*VLOOKUP('Données projet'!$B$13,Paramètres!$A$1:$I$89,5,0)</f>
        <v>149.87999999999985</v>
      </c>
      <c r="CV83" s="14">
        <f t="shared" si="95"/>
        <v>38.551313920160567</v>
      </c>
      <c r="CW83" s="22">
        <f t="shared" si="67"/>
        <v>328.18453841094606</v>
      </c>
      <c r="CX83" s="62">
        <f t="shared" si="68"/>
        <v>621.51787174427932</v>
      </c>
      <c r="CY83" s="62">
        <f ca="1">AVERAGE(OFFSET($CX$3,0,0,'Données projet'!$E$13+1,1))-AVERAGE(OFFSET($H$3,0,0,'Données projet'!$E$13+1,1))</f>
        <v>246.64907095367749</v>
      </c>
      <c r="CZ83" s="62">
        <f t="shared" si="96"/>
        <v>145.34368562171613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projet'!$A$165:$I$185,2,0)</f>
        <v>341.3</v>
      </c>
      <c r="DM83" s="13">
        <f>VLOOKUP(A83,'Données projet'!$A$165:$I$185,9,0)</f>
        <v>3.5600000000000023</v>
      </c>
      <c r="DN83" s="13">
        <f t="array" ref="DN83">INDEX(DM:DM,MIN(IF(ISNUMBER(DM83:DM279),ROW(DM83:DM279),"")))</f>
        <v>3.5600000000000023</v>
      </c>
      <c r="DO83" s="13">
        <f>IF('Données projet'!$A$166&gt;35,DO82+DN83-DW82,IF(A83&lt;'Données projet'!$A$166,$DL$205^A83,IF(A83='Données projet'!$A$166,'Données projet'!$B$166,DO82+DN83-DW82)))</f>
        <v>341.29999999999995</v>
      </c>
      <c r="DP83" s="18">
        <f>DO83*VLOOKUP('Données projet'!$B$14,Paramètres!$A$1:$I$89,3,0)*VLOOKUP('Données projet'!$B$14,Paramètres!$A$1:$I$89,5,0)</f>
        <v>271.53827999999999</v>
      </c>
      <c r="DQ83" s="14">
        <f t="shared" si="97"/>
        <v>65.17562310645522</v>
      </c>
      <c r="DR83" s="22">
        <f t="shared" si="70"/>
        <v>586.44338124374281</v>
      </c>
      <c r="DS83" s="62">
        <f t="shared" si="71"/>
        <v>879.77671457707606</v>
      </c>
      <c r="DT83" s="62">
        <f ca="1">AVERAGE(OFFSET($DS$3,0,0,'Données projet'!$E$14+1,1))-AVERAGE(OFFSET($H$3,0,0,'Données projet'!$E$14+1,1))</f>
        <v>370.38521334472284</v>
      </c>
      <c r="DU83" s="62">
        <f t="shared" si="98"/>
        <v>404.61777090709171</v>
      </c>
      <c r="DV83" s="16">
        <f>IF(ISNA(VLOOKUP(A83,'Données projet'!$A$165:$I$185,3,0)),0,VLOOKUP(A83,'Données projet'!$A$165:$I$185,3,0))</f>
        <v>8</v>
      </c>
      <c r="DW83" s="16">
        <f>IF(ISNA(VLOOKUP(A83,'Données projet'!$A$165:$I$185,4,0)),0,VLOOKUP(A83,'Données projet'!$A$165:$I$185,4,0))</f>
        <v>341.3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12</v>
      </c>
      <c r="EJ83" s="13">
        <f>IF('Données projet'!$A$192&gt;35,EJ82+EI83-ER82,IF(A83&lt;'Données projet'!$A$192,$EG$205^A83,IF(A83='Données projet'!$A$192,'Données projet'!$B$192,EJ82+EI83-ER82)))</f>
        <v>371.99999999999966</v>
      </c>
      <c r="EK83" s="18">
        <f>EJ83*VLOOKUP('Données projet'!$B$15,Paramètres!$A$1:$I$89,3,0)*VLOOKUP('Données projet'!$B$15,Paramètres!$A$1:$I$89,5,0)</f>
        <v>319.17599999999976</v>
      </c>
      <c r="EL83" s="14">
        <f t="shared" si="99"/>
        <v>75.181878718947615</v>
      </c>
      <c r="EM83" s="22">
        <f t="shared" si="73"/>
        <v>686.8399721021666</v>
      </c>
      <c r="EN83" s="62">
        <f t="shared" si="74"/>
        <v>980.17330543549997</v>
      </c>
      <c r="EO83" s="62">
        <f ca="1">AVERAGE(OFFSET($EN$3,0,0,'Données projet'!$E$15+1,1))-AVERAGE(OFFSET($H$3,0,0,'Données projet'!$E$15+1,1))</f>
        <v>445.81166342116865</v>
      </c>
      <c r="EP83" s="62">
        <f t="shared" si="100"/>
        <v>230.82970731138215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0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>
        <f>VLOOKUP(A83,'Données projet'!$A$217:$I$237,2,0)</f>
        <v>320</v>
      </c>
      <c r="FC83" s="13">
        <f>VLOOKUP(A83,'Données projet'!$A$217:$I$237,9,0)</f>
        <v>7.2</v>
      </c>
      <c r="FD83" s="13">
        <f t="array" ref="FD83">INDEX(FC:FC,MIN(IF(ISNUMBER(FC83:FC279),ROW(FC83:FC279),"")))</f>
        <v>7.2</v>
      </c>
      <c r="FE83" s="13">
        <f>IF('Données projet'!$A$218&gt;35,FE82+FD83-FM82,IF(A83&lt;'Données projet'!$A$218,$FB$205^A83,IF(A83='Données projet'!$A$218,'Données projet'!$B$218,FE82+FD83-FM82)))</f>
        <v>320</v>
      </c>
      <c r="FF83" s="18">
        <f>FE83*VLOOKUP('Données projet'!$B$16,Paramètres!$A$1:$I$89,3,0)*VLOOKUP('Données projet'!$B$16,Paramètres!$A$1:$I$89,5,0)</f>
        <v>309.50400000000002</v>
      </c>
      <c r="FG83" s="14">
        <f t="shared" si="101"/>
        <v>73.165235978896504</v>
      </c>
      <c r="FH83" s="22">
        <f t="shared" si="76"/>
        <v>666.48225266324471</v>
      </c>
      <c r="FI83" s="62">
        <f t="shared" si="77"/>
        <v>959.81558599657797</v>
      </c>
      <c r="FJ83" s="62">
        <f ca="1">AVERAGE(OFFSET($FI$3,0,0,'Données projet'!$E$16+1,1))-AVERAGE(OFFSET($H$3,0,0,'Données projet'!$E$16+1,1))</f>
        <v>541.66888676162716</v>
      </c>
      <c r="FK83" s="62">
        <f t="shared" si="102"/>
        <v>294.45557293177131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>
        <f>EXP(-LN(2)/35)*FQ82+(1-EXP(-LN(2)/35))/(LN(2)/35)*FM83*FN83*VLOOKUP('Données projet'!$B$16,Paramètres!$A$1:$I$89,3,0)*0.475*44/12</f>
        <v>0</v>
      </c>
      <c r="FR83" s="23">
        <f>EXP(-LN(2)/25)*FR82+(1-EXP(-LN(2)/25))/(LN(2)/25)*Calculateur!FM83*Calculateur!FO83*VLOOKUP('Données projet'!$B$16,Paramètres!$A$1:$I$89,3,0)*0.475*44/12</f>
        <v>0</v>
      </c>
      <c r="FS83" s="23">
        <f>EXP(-LN(2)/2)*FS82+(1-EXP(-LN(2)/2))/(LN(2)/2)*FM83*FP83*VLOOKUP('Données projet'!$B$16,Paramètres!$A$1:$I$89,3,0)*0.475*44/12</f>
        <v>0</v>
      </c>
      <c r="FT83" s="24">
        <f t="shared" si="78"/>
        <v>0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1.1368683772161603E-13</v>
      </c>
      <c r="GA83" s="18">
        <f>FZ83*VLOOKUP('Données projet'!$B$17,Paramètres!$A$1:$I$89,3,0)*VLOOKUP('Données projet'!$B$17,Paramètres!$A$1:$I$89,5,0)</f>
        <v>8.8675733422860506E-14</v>
      </c>
      <c r="GB83" s="14">
        <f t="shared" si="103"/>
        <v>1.3509285393066301E-12</v>
      </c>
      <c r="GC83" s="22">
        <f t="shared" si="79"/>
        <v>2.5073107750038623E-12</v>
      </c>
      <c r="GD83" s="62">
        <f t="shared" si="80"/>
        <v>293.33333333333582</v>
      </c>
      <c r="GE83" s="62">
        <f ca="1">AVERAGE(OFFSET($GD$3,0,0,'Données projet'!$E$17+1,1))-AVERAGE(OFFSET($H$3,0,0,'Données projet'!$E$17+1,1))</f>
        <v>292.57482726862594</v>
      </c>
      <c r="GF83" s="62">
        <f t="shared" si="104"/>
        <v>283.48738729114024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>
        <f>EXP(-LN(2)/35)*GL82+(1-EXP(-LN(2)/35))/(LN(2)/35)*GH83*GI83*VLOOKUP('Données projet'!$B$17,Paramètres!$A$1:$I$89,3,0)*0.475*44/12</f>
        <v>0</v>
      </c>
      <c r="GM83" s="23">
        <f>EXP(-LN(2)/25)*GM82+(1-EXP(-LN(2)/25))/(LN(2)/25)*Calculateur!GH83*Calculateur!GJ83*VLOOKUP('Données projet'!$B$17,Paramètres!$A$1:$I$89,3,0)*0.475*44/12</f>
        <v>0</v>
      </c>
      <c r="GN83" s="23">
        <f>EXP(-LN(2)/2)*GN82+(1-EXP(-LN(2)/2))/(LN(2)/2)*GH83*GK83*VLOOKUP('Données projet'!$B$17,Paramètres!$A$1:$I$89,3,0)*0.475*44/12</f>
        <v>0</v>
      </c>
      <c r="GO83" s="23">
        <f t="shared" si="81"/>
        <v>0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>
        <f>VLOOKUP(A83,'Données projet'!$A$269:$I$289,2,0)</f>
        <v>351.28205128205127</v>
      </c>
      <c r="GS83" s="13">
        <f>VLOOKUP(A83,'Données projet'!$A$269:$I$289,9,0)</f>
        <v>5.3846153846153815</v>
      </c>
      <c r="GT83" s="13">
        <f t="array" ref="GT83">INDEX(GS:GS,MIN(IF(ISNUMBER(GS83:GS279),ROW(GS83:GS279),"")))</f>
        <v>5.3846153846153815</v>
      </c>
      <c r="GU83" s="13">
        <f>IF('Données projet'!$A$270&gt;35,GU82+GT83-HC82,IF(A83&lt;'Données projet'!$A$270,$GR$205^A83,IF(A83='Données projet'!$A$270,'Données projet'!$B$270,GU82+GT83-HC82)))</f>
        <v>351.28205128205087</v>
      </c>
      <c r="GV83" s="18">
        <f>GU83*VLOOKUP('Données projet'!$B$18,Paramètres!$A$1:$I$89,3,0)*VLOOKUP('Données projet'!$B$18,Paramètres!$A$1:$I$89,5,0)</f>
        <v>235.63999999999973</v>
      </c>
      <c r="GW83" s="14">
        <f t="shared" si="105"/>
        <v>57.500456645636859</v>
      </c>
      <c r="GX83" s="22">
        <f t="shared" si="82"/>
        <v>510.55296199115043</v>
      </c>
      <c r="GY83" s="62">
        <f t="shared" si="83"/>
        <v>803.88629532448374</v>
      </c>
      <c r="GZ83" s="62">
        <f ca="1">AVERAGE(OFFSET($GY$3,0,0,'Données projet'!$E$18+1,1))-AVERAGE(OFFSET($H$3,0,0,'Données projet'!$E$18+1,1))</f>
        <v>410.20186800287411</v>
      </c>
      <c r="HA83" s="62">
        <f t="shared" si="106"/>
        <v>321.99347958016057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>
        <f>EXP(-LN(2)/35)*HG82+(1-EXP(-LN(2)/35))/(LN(2)/35)*HC83*HD83*VLOOKUP('Données projet'!$B$18,Paramètres!$A$1:$I$89,3,0)*0.475*44/12</f>
        <v>0</v>
      </c>
      <c r="HH83" s="23">
        <f>EXP(-LN(2)/25)*HH82+(1-EXP(-LN(2)/25))/(LN(2)/25)*Calculateur!HC83*Calculateur!HE83*VLOOKUP('Données projet'!$B$18,Paramètres!$A$1:$I$89,3,0)*0.475*44/12</f>
        <v>0</v>
      </c>
      <c r="HI83" s="23">
        <f>EXP(-LN(2)/2)*HI82+(1-EXP(-LN(2)/2))/(LN(2)/2)*HC83*HF83*VLOOKUP('Données projet'!$B$18,Paramètres!$A$1:$I$89,3,0)*0.475*44/12</f>
        <v>0</v>
      </c>
      <c r="HJ83" s="24">
        <f t="shared" si="84"/>
        <v>0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3.8</v>
      </c>
      <c r="N84" s="14">
        <f>IF('Données projet'!$A$36&gt;35,N83+M84-V83,IF(A84&lt;'Données projet'!$A$36,$K$205^A84,IF(A84='Données projet'!$A$36,'Données projet'!$B$36,N83+M84-V83)))</f>
        <v>323.8</v>
      </c>
      <c r="O84" s="14">
        <f>N84*VLOOKUP('Données projet'!$B$9,Paramètres!$A$1:$I$89,3,0)*VLOOKUP('Données projet'!$B$9,Paramètres!$A$1:$I$89,5,0)</f>
        <v>292.97424000000001</v>
      </c>
      <c r="P84" s="14">
        <f t="shared" si="87"/>
        <v>69.701569084730806</v>
      </c>
      <c r="Q84" s="22">
        <f t="shared" si="54"/>
        <v>631.66036748923955</v>
      </c>
      <c r="R84" s="62">
        <f t="shared" si="55"/>
        <v>924.99370082257292</v>
      </c>
      <c r="S84" s="62">
        <f ca="1">AVERAGE(OFFSET($R$3,0,0,'Données projet'!$E$9+1,1))-AVERAGE(OFFSET($H$3,0,0,'Données projet'!$E$9+1,1))</f>
        <v>509.56241660612449</v>
      </c>
      <c r="T84" s="62">
        <f t="shared" si="88"/>
        <v>278.21741231699929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3.8</v>
      </c>
      <c r="AI84" s="14">
        <f>IF('Données projet'!$A$62&gt;35,AI83+AH84-AQ83,IF(A84&lt;'Données projet'!$A$62,$AF$205^A84,IF(A84='Données projet'!$A$62,'Données projet'!$B$62,AI83+AH84-AQ83)))</f>
        <v>323.8</v>
      </c>
      <c r="AJ84" s="14">
        <f>AI84*VLOOKUP('Données projet'!$B$10,Paramètres!$A$1:$I$89,3,0)*VLOOKUP('Données projet'!$B$10,Paramètres!$A$1:$I$89,5,0)</f>
        <v>328.33320000000003</v>
      </c>
      <c r="AK84" s="14">
        <f t="shared" si="89"/>
        <v>77.084635229848772</v>
      </c>
      <c r="AL84" s="22">
        <f t="shared" si="58"/>
        <v>706.10272969198661</v>
      </c>
      <c r="AM84" s="62">
        <f t="shared" si="59"/>
        <v>999.43606302531998</v>
      </c>
      <c r="AN84" s="62">
        <f ca="1">AVERAGE(OFFSET($AM$3,0,0,'Données projet'!$E$10+1,1))-AVERAGE(OFFSET($H$3,0,0,'Données projet'!$E$10+1,1))</f>
        <v>565.72091871734051</v>
      </c>
      <c r="AO84" s="62">
        <f t="shared" si="90"/>
        <v>306.61893266146666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-5.6843418860808015E-14</v>
      </c>
      <c r="BE84" s="14">
        <f>BD84*VLOOKUP('Données projet'!$B$11,Paramètres!$A$1:$I$89,3,0)*VLOOKUP('Données projet'!$B$11,Paramètres!$A$1:$I$89,5,0)</f>
        <v>-4.1677594708744434E-14</v>
      </c>
      <c r="BF84" s="14" t="e">
        <f t="shared" si="91"/>
        <v>#NUM!</v>
      </c>
      <c r="BG84" s="22" t="e">
        <f t="shared" si="61"/>
        <v>#NUM!</v>
      </c>
      <c r="BH84" s="62" t="e">
        <f t="shared" si="62"/>
        <v>#NUM!</v>
      </c>
      <c r="BI84" s="62">
        <f ca="1">AVERAGE(OFFSET($BH$3,0,0,'Données projet'!$E$11+1,1))-AVERAGE(OFFSET($H$3,0,0,'Données projet'!$E$11+1,1))</f>
        <v>344.26020118887629</v>
      </c>
      <c r="BJ84" s="62">
        <f t="shared" si="92"/>
        <v>376.41441893222185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3.8</v>
      </c>
      <c r="BY84" s="13">
        <f>IF('Données projet'!$A$114&gt;35,BY83+BX84-CG83,IF(A84&lt;'Données projet'!$A$114,$BV$205^A84,IF(A84='Données projet'!$A$114,'Données projet'!$B$114,BY83+BX84-CG83)))</f>
        <v>323.8</v>
      </c>
      <c r="BZ84" s="14">
        <f>BY84*VLOOKUP('Données projet'!$B$12,Paramètres!$A$1:$I$89,3,0)*VLOOKUP('Données projet'!$B$12,Paramètres!$A$1:$I$89,5,0)</f>
        <v>272.76912000000004</v>
      </c>
      <c r="CA84" s="14">
        <f t="shared" si="93"/>
        <v>65.436596987299268</v>
      </c>
      <c r="CB84" s="22">
        <f t="shared" si="64"/>
        <v>589.04162375287956</v>
      </c>
      <c r="CC84" s="62">
        <f t="shared" si="65"/>
        <v>882.37495708621282</v>
      </c>
      <c r="CD84" s="62">
        <f ca="1">AVERAGE(OFFSET($CC$3,0,0,'Données projet'!$E$12+1,1))-AVERAGE(OFFSET($H$3,0,0,'Données projet'!$E$12+1,1))</f>
        <v>477.4105367901771</v>
      </c>
      <c r="CE84" s="62">
        <f t="shared" si="94"/>
        <v>261.95434270986397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8.9743589743589727</v>
      </c>
      <c r="CT84" s="13">
        <f>IF('Données projet'!$A$140&gt;35,CT83+CS84-DB83,IF(A84&lt;'Données projet'!$A$140,$CQ$205^A84,IF(A84='Données projet'!$A$140,'Données projet'!$B$140,CT83+CS84-DB83)))</f>
        <v>329.23076923076889</v>
      </c>
      <c r="CU84" s="18">
        <f>CT84*VLOOKUP('Données projet'!$B$13,Paramètres!$A$1:$I$89,3,0)*VLOOKUP('Données projet'!$B$13,Paramètres!$A$1:$I$89,5,0)</f>
        <v>154.07999999999984</v>
      </c>
      <c r="CV84" s="14">
        <f t="shared" si="95"/>
        <v>39.504327121889887</v>
      </c>
      <c r="CW84" s="22">
        <f t="shared" si="67"/>
        <v>337.15936973729123</v>
      </c>
      <c r="CX84" s="62">
        <f t="shared" si="68"/>
        <v>630.49270307062454</v>
      </c>
      <c r="CY84" s="62">
        <f ca="1">AVERAGE(OFFSET($CX$3,0,0,'Données projet'!$E$13+1,1))-AVERAGE(OFFSET($H$3,0,0,'Données projet'!$E$13+1,1))</f>
        <v>246.64907095367749</v>
      </c>
      <c r="CZ84" s="62">
        <f t="shared" si="96"/>
        <v>145.34368562171613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-5.6843418860808015E-14</v>
      </c>
      <c r="DP84" s="18">
        <f>DO84*VLOOKUP('Données projet'!$B$14,Paramètres!$A$1:$I$89,3,0)*VLOOKUP('Données projet'!$B$14,Paramètres!$A$1:$I$89,5,0)</f>
        <v>-4.5224624045658861E-14</v>
      </c>
      <c r="DQ84" s="14" t="e">
        <f t="shared" si="97"/>
        <v>#NUM!</v>
      </c>
      <c r="DR84" s="22" t="e">
        <f t="shared" si="70"/>
        <v>#NUM!</v>
      </c>
      <c r="DS84" s="62" t="e">
        <f t="shared" si="71"/>
        <v>#NUM!</v>
      </c>
      <c r="DT84" s="62">
        <f ca="1">AVERAGE(OFFSET($DS$3,0,0,'Données projet'!$E$14+1,1))-AVERAGE(OFFSET($H$3,0,0,'Données projet'!$E$14+1,1))</f>
        <v>370.38521334472284</v>
      </c>
      <c r="DU84" s="62">
        <f t="shared" si="98"/>
        <v>404.61777090709171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12</v>
      </c>
      <c r="EJ84" s="13">
        <f>IF('Données projet'!$A$192&gt;35,EJ83+EI84-ER83,IF(A84&lt;'Données projet'!$A$192,$EG$205^A84,IF(A84='Données projet'!$A$192,'Données projet'!$B$192,EJ83+EI84-ER83)))</f>
        <v>383.99999999999966</v>
      </c>
      <c r="EK84" s="18">
        <f>EJ84*VLOOKUP('Données projet'!$B$15,Paramètres!$A$1:$I$89,3,0)*VLOOKUP('Données projet'!$B$15,Paramètres!$A$1:$I$89,5,0)</f>
        <v>329.47199999999975</v>
      </c>
      <c r="EL84" s="14">
        <f t="shared" si="99"/>
        <v>77.320829101031876</v>
      </c>
      <c r="EM84" s="22">
        <f t="shared" si="73"/>
        <v>708.49751068429669</v>
      </c>
      <c r="EN84" s="62">
        <f t="shared" si="74"/>
        <v>1001.8308440176299</v>
      </c>
      <c r="EO84" s="62">
        <f ca="1">AVERAGE(OFFSET($EN$3,0,0,'Données projet'!$E$15+1,1))-AVERAGE(OFFSET($H$3,0,0,'Données projet'!$E$15+1,1))</f>
        <v>445.81166342116865</v>
      </c>
      <c r="EP84" s="62">
        <f t="shared" si="100"/>
        <v>230.82970731138215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0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3.8</v>
      </c>
      <c r="FE84" s="13">
        <f>IF('Données projet'!$A$218&gt;35,FE83+FD84-FM83,IF(A84&lt;'Données projet'!$A$218,$FB$205^A84,IF(A84='Données projet'!$A$218,'Données projet'!$B$218,FE83+FD84-FM83)))</f>
        <v>323.8</v>
      </c>
      <c r="FF84" s="18">
        <f>FE84*VLOOKUP('Données projet'!$B$16,Paramètres!$A$1:$I$89,3,0)*VLOOKUP('Données projet'!$B$16,Paramètres!$A$1:$I$89,5,0)</f>
        <v>313.17936000000003</v>
      </c>
      <c r="FG84" s="14">
        <f t="shared" si="101"/>
        <v>73.932412258973699</v>
      </c>
      <c r="FH84" s="22">
        <f t="shared" si="76"/>
        <v>674.21967001771247</v>
      </c>
      <c r="FI84" s="62">
        <f t="shared" si="77"/>
        <v>967.55300335104585</v>
      </c>
      <c r="FJ84" s="62">
        <f ca="1">AVERAGE(OFFSET($FI$3,0,0,'Données projet'!$E$16+1,1))-AVERAGE(OFFSET($H$3,0,0,'Données projet'!$E$16+1,1))</f>
        <v>541.66888676162716</v>
      </c>
      <c r="FK84" s="62">
        <f t="shared" si="102"/>
        <v>294.45557293177131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>
        <f>EXP(-LN(2)/35)*FQ83+(1-EXP(-LN(2)/35))/(LN(2)/35)*FM84*FN84*VLOOKUP('Données projet'!$B$16,Paramètres!$A$1:$I$89,3,0)*0.475*44/12</f>
        <v>0</v>
      </c>
      <c r="FR84" s="23">
        <f>EXP(-LN(2)/25)*FR83+(1-EXP(-LN(2)/25))/(LN(2)/25)*Calculateur!FM84*Calculateur!FO84*VLOOKUP('Données projet'!$B$16,Paramètres!$A$1:$I$89,3,0)*0.475*44/12</f>
        <v>0</v>
      </c>
      <c r="FS84" s="23">
        <f>EXP(-LN(2)/2)*FS83+(1-EXP(-LN(2)/2))/(LN(2)/2)*FM84*FP84*VLOOKUP('Données projet'!$B$16,Paramètres!$A$1:$I$89,3,0)*0.475*44/12</f>
        <v>0</v>
      </c>
      <c r="FT84" s="24">
        <f t="shared" si="78"/>
        <v>0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1.1368683772161603E-13</v>
      </c>
      <c r="GA84" s="18">
        <f>FZ84*VLOOKUP('Données projet'!$B$17,Paramètres!$A$1:$I$89,3,0)*VLOOKUP('Données projet'!$B$17,Paramètres!$A$1:$I$89,5,0)</f>
        <v>8.8675733422860506E-14</v>
      </c>
      <c r="GB84" s="14">
        <f t="shared" si="103"/>
        <v>1.3509285393066301E-12</v>
      </c>
      <c r="GC84" s="22">
        <f t="shared" si="79"/>
        <v>2.5073107750038623E-12</v>
      </c>
      <c r="GD84" s="62">
        <f t="shared" si="80"/>
        <v>293.33333333333582</v>
      </c>
      <c r="GE84" s="62">
        <f ca="1">AVERAGE(OFFSET($GD$3,0,0,'Données projet'!$E$17+1,1))-AVERAGE(OFFSET($H$3,0,0,'Données projet'!$E$17+1,1))</f>
        <v>292.57482726862594</v>
      </c>
      <c r="GF84" s="62">
        <f t="shared" si="104"/>
        <v>283.48738729114024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>
        <f>EXP(-LN(2)/35)*GL83+(1-EXP(-LN(2)/35))/(LN(2)/35)*GH84*GI84*VLOOKUP('Données projet'!$B$17,Paramètres!$A$1:$I$89,3,0)*0.475*44/12</f>
        <v>0</v>
      </c>
      <c r="GM84" s="23">
        <f>EXP(-LN(2)/25)*GM83+(1-EXP(-LN(2)/25))/(LN(2)/25)*Calculateur!GH84*Calculateur!GJ84*VLOOKUP('Données projet'!$B$17,Paramètres!$A$1:$I$89,3,0)*0.475*44/12</f>
        <v>0</v>
      </c>
      <c r="GN84" s="23">
        <f>EXP(-LN(2)/2)*GN83+(1-EXP(-LN(2)/2))/(LN(2)/2)*GH84*GK84*VLOOKUP('Données projet'!$B$17,Paramètres!$A$1:$I$89,3,0)*0.475*44/12</f>
        <v>0</v>
      </c>
      <c r="GO84" s="23">
        <f t="shared" si="81"/>
        <v>0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4.8717948717948731</v>
      </c>
      <c r="GU84" s="13">
        <f>IF('Données projet'!$A$270&gt;35,GU83+GT84-HC83,IF(A84&lt;'Données projet'!$A$270,$GR$205^A84,IF(A84='Données projet'!$A$270,'Données projet'!$B$270,GU83+GT84-HC83)))</f>
        <v>356.15384615384573</v>
      </c>
      <c r="GV84" s="18">
        <f>GU84*VLOOKUP('Données projet'!$B$18,Paramètres!$A$1:$I$89,3,0)*VLOOKUP('Données projet'!$B$18,Paramètres!$A$1:$I$89,5,0)</f>
        <v>238.9079999999997</v>
      </c>
      <c r="GW84" s="14">
        <f t="shared" si="105"/>
        <v>58.204519040177651</v>
      </c>
      <c r="GX84" s="22">
        <f t="shared" si="82"/>
        <v>517.47097066164213</v>
      </c>
      <c r="GY84" s="62">
        <f t="shared" si="83"/>
        <v>810.8043039949755</v>
      </c>
      <c r="GZ84" s="62">
        <f ca="1">AVERAGE(OFFSET($GY$3,0,0,'Données projet'!$E$18+1,1))-AVERAGE(OFFSET($H$3,0,0,'Données projet'!$E$18+1,1))</f>
        <v>410.20186800287411</v>
      </c>
      <c r="HA84" s="62">
        <f t="shared" si="106"/>
        <v>321.99347958016057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>
        <f>EXP(-LN(2)/35)*HG83+(1-EXP(-LN(2)/35))/(LN(2)/35)*HC84*HD84*VLOOKUP('Données projet'!$B$18,Paramètres!$A$1:$I$89,3,0)*0.475*44/12</f>
        <v>0</v>
      </c>
      <c r="HH84" s="23">
        <f>EXP(-LN(2)/25)*HH83+(1-EXP(-LN(2)/25))/(LN(2)/25)*Calculateur!HC84*Calculateur!HE84*VLOOKUP('Données projet'!$B$18,Paramètres!$A$1:$I$89,3,0)*0.475*44/12</f>
        <v>0</v>
      </c>
      <c r="HI84" s="23">
        <f>EXP(-LN(2)/2)*HI83+(1-EXP(-LN(2)/2))/(LN(2)/2)*HC84*HF84*VLOOKUP('Données projet'!$B$18,Paramètres!$A$1:$I$89,3,0)*0.475*44/12</f>
        <v>0</v>
      </c>
      <c r="HJ84" s="24">
        <f t="shared" si="84"/>
        <v>0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3.8</v>
      </c>
      <c r="N85" s="14">
        <f>IF('Données projet'!$A$36&gt;35,N84+M85-V84,IF(A85&lt;'Données projet'!$A$36,$K$205^A85,IF(A85='Données projet'!$A$36,'Données projet'!$B$36,N84+M85-V84)))</f>
        <v>327.60000000000002</v>
      </c>
      <c r="O85" s="14">
        <f>N85*VLOOKUP('Données projet'!$B$9,Paramètres!$A$1:$I$89,3,0)*VLOOKUP('Données projet'!$B$9,Paramètres!$A$1:$I$89,5,0)</f>
        <v>296.41248000000002</v>
      </c>
      <c r="P85" s="14">
        <f t="shared" si="87"/>
        <v>70.423855708154761</v>
      </c>
      <c r="Q85" s="22">
        <f t="shared" si="54"/>
        <v>638.90661802503621</v>
      </c>
      <c r="R85" s="62">
        <f t="shared" si="55"/>
        <v>932.23995135836958</v>
      </c>
      <c r="S85" s="62">
        <f ca="1">AVERAGE(OFFSET($R$3,0,0,'Données projet'!$E$9+1,1))-AVERAGE(OFFSET($H$3,0,0,'Données projet'!$E$9+1,1))</f>
        <v>509.56241660612449</v>
      </c>
      <c r="T85" s="62">
        <f t="shared" si="88"/>
        <v>278.21741231699929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3.8</v>
      </c>
      <c r="AI85" s="14">
        <f>IF('Données projet'!$A$62&gt;35,AI84+AH85-AQ84,IF(A85&lt;'Données projet'!$A$62,$AF$205^A85,IF(A85='Données projet'!$A$62,'Données projet'!$B$62,AI84+AH85-AQ84)))</f>
        <v>327.60000000000002</v>
      </c>
      <c r="AJ85" s="14">
        <f>AI85*VLOOKUP('Données projet'!$B$10,Paramètres!$A$1:$I$89,3,0)*VLOOKUP('Données projet'!$B$10,Paramètres!$A$1:$I$89,5,0)</f>
        <v>332.18640000000005</v>
      </c>
      <c r="AK85" s="14">
        <f t="shared" si="89"/>
        <v>77.88342931194974</v>
      </c>
      <c r="AL85" s="22">
        <f t="shared" si="58"/>
        <v>714.20495271831248</v>
      </c>
      <c r="AM85" s="62">
        <f t="shared" si="59"/>
        <v>1007.5382860516459</v>
      </c>
      <c r="AN85" s="62">
        <f ca="1">AVERAGE(OFFSET($AM$3,0,0,'Données projet'!$E$10+1,1))-AVERAGE(OFFSET($H$3,0,0,'Données projet'!$E$10+1,1))</f>
        <v>565.72091871734051</v>
      </c>
      <c r="AO85" s="62">
        <f t="shared" si="90"/>
        <v>306.61893266146666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-5.6843418860808015E-14</v>
      </c>
      <c r="BE85" s="14">
        <f>BD85*VLOOKUP('Données projet'!$B$11,Paramètres!$A$1:$I$89,3,0)*VLOOKUP('Données projet'!$B$11,Paramètres!$A$1:$I$89,5,0)</f>
        <v>-4.1677594708744434E-14</v>
      </c>
      <c r="BF85" s="14" t="e">
        <f t="shared" si="91"/>
        <v>#NUM!</v>
      </c>
      <c r="BG85" s="22" t="e">
        <f t="shared" si="61"/>
        <v>#NUM!</v>
      </c>
      <c r="BH85" s="62" t="e">
        <f t="shared" si="62"/>
        <v>#NUM!</v>
      </c>
      <c r="BI85" s="62">
        <f ca="1">AVERAGE(OFFSET($BH$3,0,0,'Données projet'!$E$11+1,1))-AVERAGE(OFFSET($H$3,0,0,'Données projet'!$E$11+1,1))</f>
        <v>344.26020118887629</v>
      </c>
      <c r="BJ85" s="62">
        <f t="shared" si="92"/>
        <v>376.41441893222185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3.8</v>
      </c>
      <c r="BY85" s="13">
        <f>IF('Données projet'!$A$114&gt;35,BY84+BX85-CG84,IF(A85&lt;'Données projet'!$A$114,$BV$205^A85,IF(A85='Données projet'!$A$114,'Données projet'!$B$114,BY84+BX85-CG84)))</f>
        <v>327.60000000000002</v>
      </c>
      <c r="BZ85" s="14">
        <f>BY85*VLOOKUP('Données projet'!$B$12,Paramètres!$A$1:$I$89,3,0)*VLOOKUP('Données projet'!$B$12,Paramètres!$A$1:$I$89,5,0)</f>
        <v>275.97024000000005</v>
      </c>
      <c r="CA85" s="14">
        <f t="shared" si="93"/>
        <v>66.114687585645129</v>
      </c>
      <c r="CB85" s="22">
        <f t="shared" si="64"/>
        <v>595.79791554499855</v>
      </c>
      <c r="CC85" s="62">
        <f t="shared" si="65"/>
        <v>889.13124887833192</v>
      </c>
      <c r="CD85" s="62">
        <f ca="1">AVERAGE(OFFSET($CC$3,0,0,'Données projet'!$E$12+1,1))-AVERAGE(OFFSET($H$3,0,0,'Données projet'!$E$12+1,1))</f>
        <v>477.4105367901771</v>
      </c>
      <c r="CE85" s="62">
        <f t="shared" si="94"/>
        <v>261.95434270986397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8.9743589743589727</v>
      </c>
      <c r="CT85" s="13">
        <f>IF('Données projet'!$A$140&gt;35,CT84+CS85-DB84,IF(A85&lt;'Données projet'!$A$140,$CQ$205^A85,IF(A85='Données projet'!$A$140,'Données projet'!$B$140,CT84+CS85-DB84)))</f>
        <v>338.20512820512783</v>
      </c>
      <c r="CU85" s="18">
        <f>CT85*VLOOKUP('Données projet'!$B$13,Paramètres!$A$1:$I$89,3,0)*VLOOKUP('Données projet'!$B$13,Paramètres!$A$1:$I$89,5,0)</f>
        <v>158.27999999999983</v>
      </c>
      <c r="CV85" s="14">
        <f t="shared" si="95"/>
        <v>40.454320907632543</v>
      </c>
      <c r="CW85" s="22">
        <f t="shared" si="67"/>
        <v>346.12894224745969</v>
      </c>
      <c r="CX85" s="62">
        <f t="shared" si="68"/>
        <v>639.46227558079295</v>
      </c>
      <c r="CY85" s="62">
        <f ca="1">AVERAGE(OFFSET($CX$3,0,0,'Données projet'!$E$13+1,1))-AVERAGE(OFFSET($H$3,0,0,'Données projet'!$E$13+1,1))</f>
        <v>246.64907095367749</v>
      </c>
      <c r="CZ85" s="62">
        <f t="shared" si="96"/>
        <v>145.34368562171613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-5.6843418860808015E-14</v>
      </c>
      <c r="DP85" s="18">
        <f>DO85*VLOOKUP('Données projet'!$B$14,Paramètres!$A$1:$I$89,3,0)*VLOOKUP('Données projet'!$B$14,Paramètres!$A$1:$I$89,5,0)</f>
        <v>-4.5224624045658861E-14</v>
      </c>
      <c r="DQ85" s="14" t="e">
        <f t="shared" si="97"/>
        <v>#NUM!</v>
      </c>
      <c r="DR85" s="22" t="e">
        <f t="shared" si="70"/>
        <v>#NUM!</v>
      </c>
      <c r="DS85" s="62" t="e">
        <f t="shared" si="71"/>
        <v>#NUM!</v>
      </c>
      <c r="DT85" s="62">
        <f ca="1">AVERAGE(OFFSET($DS$3,0,0,'Données projet'!$E$14+1,1))-AVERAGE(OFFSET($H$3,0,0,'Données projet'!$E$14+1,1))</f>
        <v>370.38521334472284</v>
      </c>
      <c r="DU85" s="62">
        <f t="shared" si="98"/>
        <v>404.61777090709171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12</v>
      </c>
      <c r="EJ85" s="13">
        <f>IF('Données projet'!$A$192&gt;35,EJ84+EI85-ER84,IF(A85&lt;'Données projet'!$A$192,$EG$205^A85,IF(A85='Données projet'!$A$192,'Données projet'!$B$192,EJ84+EI85-ER84)))</f>
        <v>395.99999999999966</v>
      </c>
      <c r="EK85" s="18">
        <f>EJ85*VLOOKUP('Données projet'!$B$15,Paramètres!$A$1:$I$89,3,0)*VLOOKUP('Données projet'!$B$15,Paramètres!$A$1:$I$89,5,0)</f>
        <v>339.76799999999974</v>
      </c>
      <c r="EL85" s="14">
        <f t="shared" si="99"/>
        <v>79.452011848891914</v>
      </c>
      <c r="EM85" s="22">
        <f t="shared" si="73"/>
        <v>730.14152063681968</v>
      </c>
      <c r="EN85" s="62">
        <f t="shared" si="74"/>
        <v>1023.4748539701529</v>
      </c>
      <c r="EO85" s="62">
        <f ca="1">AVERAGE(OFFSET($EN$3,0,0,'Données projet'!$E$15+1,1))-AVERAGE(OFFSET($H$3,0,0,'Données projet'!$E$15+1,1))</f>
        <v>445.81166342116865</v>
      </c>
      <c r="EP85" s="62">
        <f t="shared" si="100"/>
        <v>230.82970731138215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0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3.8</v>
      </c>
      <c r="FE85" s="13">
        <f>IF('Données projet'!$A$218&gt;35,FE84+FD85-FM84,IF(A85&lt;'Données projet'!$A$218,$FB$205^A85,IF(A85='Données projet'!$A$218,'Données projet'!$B$218,FE84+FD85-FM84)))</f>
        <v>327.60000000000002</v>
      </c>
      <c r="FF85" s="18">
        <f>FE85*VLOOKUP('Données projet'!$B$16,Paramètres!$A$1:$I$89,3,0)*VLOOKUP('Données projet'!$B$16,Paramètres!$A$1:$I$89,5,0)</f>
        <v>316.85472000000004</v>
      </c>
      <c r="FG85" s="14">
        <f t="shared" si="101"/>
        <v>74.698541244494905</v>
      </c>
      <c r="FH85" s="22">
        <f t="shared" si="76"/>
        <v>681.95526333416194</v>
      </c>
      <c r="FI85" s="62">
        <f t="shared" si="77"/>
        <v>975.28859666749531</v>
      </c>
      <c r="FJ85" s="62">
        <f ca="1">AVERAGE(OFFSET($FI$3,0,0,'Données projet'!$E$16+1,1))-AVERAGE(OFFSET($H$3,0,0,'Données projet'!$E$16+1,1))</f>
        <v>541.66888676162716</v>
      </c>
      <c r="FK85" s="62">
        <f t="shared" si="102"/>
        <v>294.45557293177131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>
        <f>EXP(-LN(2)/35)*FQ84+(1-EXP(-LN(2)/35))/(LN(2)/35)*FM85*FN85*VLOOKUP('Données projet'!$B$16,Paramètres!$A$1:$I$89,3,0)*0.475*44/12</f>
        <v>0</v>
      </c>
      <c r="FR85" s="23">
        <f>EXP(-LN(2)/25)*FR84+(1-EXP(-LN(2)/25))/(LN(2)/25)*Calculateur!FM85*Calculateur!FO85*VLOOKUP('Données projet'!$B$16,Paramètres!$A$1:$I$89,3,0)*0.475*44/12</f>
        <v>0</v>
      </c>
      <c r="FS85" s="23">
        <f>EXP(-LN(2)/2)*FS84+(1-EXP(-LN(2)/2))/(LN(2)/2)*FM85*FP85*VLOOKUP('Données projet'!$B$16,Paramètres!$A$1:$I$89,3,0)*0.475*44/12</f>
        <v>0</v>
      </c>
      <c r="FT85" s="24">
        <f t="shared" si="78"/>
        <v>0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1.1368683772161603E-13</v>
      </c>
      <c r="GA85" s="18">
        <f>FZ85*VLOOKUP('Données projet'!$B$17,Paramètres!$A$1:$I$89,3,0)*VLOOKUP('Données projet'!$B$17,Paramètres!$A$1:$I$89,5,0)</f>
        <v>8.8675733422860506E-14</v>
      </c>
      <c r="GB85" s="14">
        <f t="shared" si="103"/>
        <v>1.3509285393066301E-12</v>
      </c>
      <c r="GC85" s="22">
        <f t="shared" si="79"/>
        <v>2.5073107750038623E-12</v>
      </c>
      <c r="GD85" s="62">
        <f t="shared" si="80"/>
        <v>293.33333333333582</v>
      </c>
      <c r="GE85" s="62">
        <f ca="1">AVERAGE(OFFSET($GD$3,0,0,'Données projet'!$E$17+1,1))-AVERAGE(OFFSET($H$3,0,0,'Données projet'!$E$17+1,1))</f>
        <v>292.57482726862594</v>
      </c>
      <c r="GF85" s="62">
        <f t="shared" si="104"/>
        <v>283.48738729114024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>
        <f>EXP(-LN(2)/35)*GL84+(1-EXP(-LN(2)/35))/(LN(2)/35)*GH85*GI85*VLOOKUP('Données projet'!$B$17,Paramètres!$A$1:$I$89,3,0)*0.475*44/12</f>
        <v>0</v>
      </c>
      <c r="GM85" s="23">
        <f>EXP(-LN(2)/25)*GM84+(1-EXP(-LN(2)/25))/(LN(2)/25)*Calculateur!GH85*Calculateur!GJ85*VLOOKUP('Données projet'!$B$17,Paramètres!$A$1:$I$89,3,0)*0.475*44/12</f>
        <v>0</v>
      </c>
      <c r="GN85" s="23">
        <f>EXP(-LN(2)/2)*GN84+(1-EXP(-LN(2)/2))/(LN(2)/2)*GH85*GK85*VLOOKUP('Données projet'!$B$17,Paramètres!$A$1:$I$89,3,0)*0.475*44/12</f>
        <v>0</v>
      </c>
      <c r="GO85" s="23">
        <f t="shared" si="81"/>
        <v>0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4.8717948717948731</v>
      </c>
      <c r="GU85" s="13">
        <f>IF('Données projet'!$A$270&gt;35,GU84+GT85-HC84,IF(A85&lt;'Données projet'!$A$270,$GR$205^A85,IF(A85='Données projet'!$A$270,'Données projet'!$B$270,GU84+GT85-HC84)))</f>
        <v>361.0256410256406</v>
      </c>
      <c r="GV85" s="18">
        <f>GU85*VLOOKUP('Données projet'!$B$18,Paramètres!$A$1:$I$89,3,0)*VLOOKUP('Données projet'!$B$18,Paramètres!$A$1:$I$89,5,0)</f>
        <v>242.17599999999973</v>
      </c>
      <c r="GW85" s="14">
        <f t="shared" si="105"/>
        <v>58.907461264288798</v>
      </c>
      <c r="GX85" s="22">
        <f t="shared" si="82"/>
        <v>524.38702836863592</v>
      </c>
      <c r="GY85" s="62">
        <f t="shared" si="83"/>
        <v>817.7203617019693</v>
      </c>
      <c r="GZ85" s="62">
        <f ca="1">AVERAGE(OFFSET($GY$3,0,0,'Données projet'!$E$18+1,1))-AVERAGE(OFFSET($H$3,0,0,'Données projet'!$E$18+1,1))</f>
        <v>410.20186800287411</v>
      </c>
      <c r="HA85" s="62">
        <f t="shared" si="106"/>
        <v>321.99347958016057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>
        <f>EXP(-LN(2)/35)*HG84+(1-EXP(-LN(2)/35))/(LN(2)/35)*HC85*HD85*VLOOKUP('Données projet'!$B$18,Paramètres!$A$1:$I$89,3,0)*0.475*44/12</f>
        <v>0</v>
      </c>
      <c r="HH85" s="23">
        <f>EXP(-LN(2)/25)*HH84+(1-EXP(-LN(2)/25))/(LN(2)/25)*Calculateur!HC85*Calculateur!HE85*VLOOKUP('Données projet'!$B$18,Paramètres!$A$1:$I$89,3,0)*0.475*44/12</f>
        <v>0</v>
      </c>
      <c r="HI85" s="23">
        <f>EXP(-LN(2)/2)*HI84+(1-EXP(-LN(2)/2))/(LN(2)/2)*HC85*HF85*VLOOKUP('Données projet'!$B$18,Paramètres!$A$1:$I$89,3,0)*0.475*44/12</f>
        <v>0</v>
      </c>
      <c r="HJ85" s="24">
        <f t="shared" si="84"/>
        <v>0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3.8</v>
      </c>
      <c r="N86" s="14">
        <f>IF('Données projet'!$A$36&gt;35,N85+M86-V85,IF(A86&lt;'Données projet'!$A$36,$K$205^A86,IF(A86='Données projet'!$A$36,'Données projet'!$B$36,N85+M86-V85)))</f>
        <v>331.40000000000003</v>
      </c>
      <c r="O86" s="14">
        <f>N86*VLOOKUP('Données projet'!$B$9,Paramètres!$A$1:$I$89,3,0)*VLOOKUP('Données projet'!$B$9,Paramètres!$A$1:$I$89,5,0)</f>
        <v>299.85072000000002</v>
      </c>
      <c r="P86" s="14">
        <f t="shared" si="87"/>
        <v>71.145167747304328</v>
      </c>
      <c r="Q86" s="22">
        <f t="shared" si="54"/>
        <v>646.15117115988835</v>
      </c>
      <c r="R86" s="62">
        <f t="shared" si="55"/>
        <v>939.48450449322172</v>
      </c>
      <c r="S86" s="62">
        <f ca="1">AVERAGE(OFFSET($R$3,0,0,'Données projet'!$E$9+1,1))-AVERAGE(OFFSET($H$3,0,0,'Données projet'!$E$9+1,1))</f>
        <v>509.56241660612449</v>
      </c>
      <c r="T86" s="62">
        <f t="shared" si="88"/>
        <v>278.21741231699929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3.8</v>
      </c>
      <c r="AI86" s="14">
        <f>IF('Données projet'!$A$62&gt;35,AI85+AH86-AQ85,IF(A86&lt;'Données projet'!$A$62,$AF$205^A86,IF(A86='Données projet'!$A$62,'Données projet'!$B$62,AI85+AH86-AQ85)))</f>
        <v>331.40000000000003</v>
      </c>
      <c r="AJ86" s="14">
        <f>AI86*VLOOKUP('Données projet'!$B$10,Paramètres!$A$1:$I$89,3,0)*VLOOKUP('Données projet'!$B$10,Paramètres!$A$1:$I$89,5,0)</f>
        <v>336.03960000000006</v>
      </c>
      <c r="AK86" s="14">
        <f t="shared" si="89"/>
        <v>78.681145577951611</v>
      </c>
      <c r="AL86" s="22">
        <f t="shared" si="58"/>
        <v>722.3052985482658</v>
      </c>
      <c r="AM86" s="62">
        <f t="shared" si="59"/>
        <v>1015.6386318815992</v>
      </c>
      <c r="AN86" s="62">
        <f ca="1">AVERAGE(OFFSET($AM$3,0,0,'Données projet'!$E$10+1,1))-AVERAGE(OFFSET($H$3,0,0,'Données projet'!$E$10+1,1))</f>
        <v>565.72091871734051</v>
      </c>
      <c r="AO86" s="62">
        <f t="shared" si="90"/>
        <v>306.61893266146666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-5.6843418860808015E-14</v>
      </c>
      <c r="BE86" s="14">
        <f>BD86*VLOOKUP('Données projet'!$B$11,Paramètres!$A$1:$I$89,3,0)*VLOOKUP('Données projet'!$B$11,Paramètres!$A$1:$I$89,5,0)</f>
        <v>-4.1677594708744434E-14</v>
      </c>
      <c r="BF86" s="14" t="e">
        <f t="shared" si="91"/>
        <v>#NUM!</v>
      </c>
      <c r="BG86" s="22" t="e">
        <f t="shared" si="61"/>
        <v>#NUM!</v>
      </c>
      <c r="BH86" s="62" t="e">
        <f t="shared" si="62"/>
        <v>#NUM!</v>
      </c>
      <c r="BI86" s="62">
        <f ca="1">AVERAGE(OFFSET($BH$3,0,0,'Données projet'!$E$11+1,1))-AVERAGE(OFFSET($H$3,0,0,'Données projet'!$E$11+1,1))</f>
        <v>344.26020118887629</v>
      </c>
      <c r="BJ86" s="62">
        <f t="shared" si="92"/>
        <v>376.41441893222185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3.8</v>
      </c>
      <c r="BY86" s="13">
        <f>IF('Données projet'!$A$114&gt;35,BY85+BX86-CG85,IF(A86&lt;'Données projet'!$A$114,$BV$205^A86,IF(A86='Données projet'!$A$114,'Données projet'!$B$114,BY85+BX86-CG85)))</f>
        <v>331.40000000000003</v>
      </c>
      <c r="BZ86" s="14">
        <f>BY86*VLOOKUP('Données projet'!$B$12,Paramètres!$A$1:$I$89,3,0)*VLOOKUP('Données projet'!$B$12,Paramètres!$A$1:$I$89,5,0)</f>
        <v>279.17136000000005</v>
      </c>
      <c r="CA86" s="14">
        <f t="shared" si="93"/>
        <v>66.791863233592721</v>
      </c>
      <c r="CB86" s="22">
        <f t="shared" si="64"/>
        <v>602.55261379850742</v>
      </c>
      <c r="CC86" s="62">
        <f t="shared" si="65"/>
        <v>895.88594713184079</v>
      </c>
      <c r="CD86" s="62">
        <f ca="1">AVERAGE(OFFSET($CC$3,0,0,'Données projet'!$E$12+1,1))-AVERAGE(OFFSET($H$3,0,0,'Données projet'!$E$12+1,1))</f>
        <v>477.4105367901771</v>
      </c>
      <c r="CE86" s="62">
        <f t="shared" si="94"/>
        <v>261.95434270986397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8.9743589743589727</v>
      </c>
      <c r="CT86" s="13">
        <f>IF('Données projet'!$A$140&gt;35,CT85+CS86-DB85,IF(A86&lt;'Données projet'!$A$140,$CQ$205^A86,IF(A86='Données projet'!$A$140,'Données projet'!$B$140,CT85+CS86-DB85)))</f>
        <v>347.17948717948678</v>
      </c>
      <c r="CU86" s="18">
        <f>CT86*VLOOKUP('Données projet'!$B$13,Paramètres!$A$1:$I$89,3,0)*VLOOKUP('Données projet'!$B$13,Paramètres!$A$1:$I$89,5,0)</f>
        <v>162.47999999999982</v>
      </c>
      <c r="CV86" s="14">
        <f t="shared" si="95"/>
        <v>41.401384607667218</v>
      </c>
      <c r="CW86" s="22">
        <f t="shared" si="67"/>
        <v>355.09341152502003</v>
      </c>
      <c r="CX86" s="62">
        <f t="shared" si="68"/>
        <v>648.42674485835335</v>
      </c>
      <c r="CY86" s="62">
        <f ca="1">AVERAGE(OFFSET($CX$3,0,0,'Données projet'!$E$13+1,1))-AVERAGE(OFFSET($H$3,0,0,'Données projet'!$E$13+1,1))</f>
        <v>246.64907095367749</v>
      </c>
      <c r="CZ86" s="62">
        <f t="shared" si="96"/>
        <v>145.34368562171613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-5.6843418860808015E-14</v>
      </c>
      <c r="DP86" s="18">
        <f>DO86*VLOOKUP('Données projet'!$B$14,Paramètres!$A$1:$I$89,3,0)*VLOOKUP('Données projet'!$B$14,Paramètres!$A$1:$I$89,5,0)</f>
        <v>-4.5224624045658861E-14</v>
      </c>
      <c r="DQ86" s="14" t="e">
        <f t="shared" si="97"/>
        <v>#NUM!</v>
      </c>
      <c r="DR86" s="22" t="e">
        <f t="shared" si="70"/>
        <v>#NUM!</v>
      </c>
      <c r="DS86" s="62" t="e">
        <f t="shared" si="71"/>
        <v>#NUM!</v>
      </c>
      <c r="DT86" s="62">
        <f ca="1">AVERAGE(OFFSET($DS$3,0,0,'Données projet'!$E$14+1,1))-AVERAGE(OFFSET($H$3,0,0,'Données projet'!$E$14+1,1))</f>
        <v>370.38521334472284</v>
      </c>
      <c r="DU86" s="62">
        <f t="shared" si="98"/>
        <v>404.61777090709171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12</v>
      </c>
      <c r="EJ86" s="13">
        <f>IF('Données projet'!$A$192&gt;35,EJ85+EI86-ER85,IF(A86&lt;'Données projet'!$A$192,$EG$205^A86,IF(A86='Données projet'!$A$192,'Données projet'!$B$192,EJ85+EI86-ER85)))</f>
        <v>407.99999999999966</v>
      </c>
      <c r="EK86" s="18">
        <f>EJ86*VLOOKUP('Données projet'!$B$15,Paramètres!$A$1:$I$89,3,0)*VLOOKUP('Données projet'!$B$15,Paramètres!$A$1:$I$89,5,0)</f>
        <v>350.06399999999974</v>
      </c>
      <c r="EL86" s="14">
        <f t="shared" si="99"/>
        <v>81.575689362490451</v>
      </c>
      <c r="EM86" s="22">
        <f t="shared" si="73"/>
        <v>751.77245897300372</v>
      </c>
      <c r="EN86" s="62">
        <f t="shared" si="74"/>
        <v>1045.105792306337</v>
      </c>
      <c r="EO86" s="62">
        <f ca="1">AVERAGE(OFFSET($EN$3,0,0,'Données projet'!$E$15+1,1))-AVERAGE(OFFSET($H$3,0,0,'Données projet'!$E$15+1,1))</f>
        <v>445.81166342116865</v>
      </c>
      <c r="EP86" s="62">
        <f t="shared" si="100"/>
        <v>230.82970731138215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0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3.8</v>
      </c>
      <c r="FE86" s="13">
        <f>IF('Données projet'!$A$218&gt;35,FE85+FD86-FM85,IF(A86&lt;'Données projet'!$A$218,$FB$205^A86,IF(A86='Données projet'!$A$218,'Données projet'!$B$218,FE85+FD86-FM85)))</f>
        <v>331.40000000000003</v>
      </c>
      <c r="FF86" s="18">
        <f>FE86*VLOOKUP('Données projet'!$B$16,Paramètres!$A$1:$I$89,3,0)*VLOOKUP('Données projet'!$B$16,Paramètres!$A$1:$I$89,5,0)</f>
        <v>320.53008000000005</v>
      </c>
      <c r="FG86" s="14">
        <f t="shared" si="101"/>
        <v>75.463636489064442</v>
      </c>
      <c r="FH86" s="22">
        <f t="shared" si="76"/>
        <v>689.68905621845386</v>
      </c>
      <c r="FI86" s="62">
        <f t="shared" si="77"/>
        <v>983.02238955178723</v>
      </c>
      <c r="FJ86" s="62">
        <f ca="1">AVERAGE(OFFSET($FI$3,0,0,'Données projet'!$E$16+1,1))-AVERAGE(OFFSET($H$3,0,0,'Données projet'!$E$16+1,1))</f>
        <v>541.66888676162716</v>
      </c>
      <c r="FK86" s="62">
        <f t="shared" si="102"/>
        <v>294.45557293177131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>
        <f>EXP(-LN(2)/35)*FQ85+(1-EXP(-LN(2)/35))/(LN(2)/35)*FM86*FN86*VLOOKUP('Données projet'!$B$16,Paramètres!$A$1:$I$89,3,0)*0.475*44/12</f>
        <v>0</v>
      </c>
      <c r="FR86" s="23">
        <f>EXP(-LN(2)/25)*FR85+(1-EXP(-LN(2)/25))/(LN(2)/25)*Calculateur!FM86*Calculateur!FO86*VLOOKUP('Données projet'!$B$16,Paramètres!$A$1:$I$89,3,0)*0.475*44/12</f>
        <v>0</v>
      </c>
      <c r="FS86" s="23">
        <f>EXP(-LN(2)/2)*FS85+(1-EXP(-LN(2)/2))/(LN(2)/2)*FM86*FP86*VLOOKUP('Données projet'!$B$16,Paramètres!$A$1:$I$89,3,0)*0.475*44/12</f>
        <v>0</v>
      </c>
      <c r="FT86" s="24">
        <f t="shared" si="78"/>
        <v>0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1.1368683772161603E-13</v>
      </c>
      <c r="GA86" s="18">
        <f>FZ86*VLOOKUP('Données projet'!$B$17,Paramètres!$A$1:$I$89,3,0)*VLOOKUP('Données projet'!$B$17,Paramètres!$A$1:$I$89,5,0)</f>
        <v>8.8675733422860506E-14</v>
      </c>
      <c r="GB86" s="14">
        <f t="shared" si="103"/>
        <v>1.3509285393066301E-12</v>
      </c>
      <c r="GC86" s="22">
        <f t="shared" si="79"/>
        <v>2.5073107750038623E-12</v>
      </c>
      <c r="GD86" s="62">
        <f t="shared" si="80"/>
        <v>293.33333333333582</v>
      </c>
      <c r="GE86" s="62">
        <f ca="1">AVERAGE(OFFSET($GD$3,0,0,'Données projet'!$E$17+1,1))-AVERAGE(OFFSET($H$3,0,0,'Données projet'!$E$17+1,1))</f>
        <v>292.57482726862594</v>
      </c>
      <c r="GF86" s="62">
        <f t="shared" si="104"/>
        <v>283.48738729114024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>
        <f>EXP(-LN(2)/35)*GL85+(1-EXP(-LN(2)/35))/(LN(2)/35)*GH86*GI86*VLOOKUP('Données projet'!$B$17,Paramètres!$A$1:$I$89,3,0)*0.475*44/12</f>
        <v>0</v>
      </c>
      <c r="GM86" s="23">
        <f>EXP(-LN(2)/25)*GM85+(1-EXP(-LN(2)/25))/(LN(2)/25)*Calculateur!GH86*Calculateur!GJ86*VLOOKUP('Données projet'!$B$17,Paramètres!$A$1:$I$89,3,0)*0.475*44/12</f>
        <v>0</v>
      </c>
      <c r="GN86" s="23">
        <f>EXP(-LN(2)/2)*GN85+(1-EXP(-LN(2)/2))/(LN(2)/2)*GH86*GK86*VLOOKUP('Données projet'!$B$17,Paramètres!$A$1:$I$89,3,0)*0.475*44/12</f>
        <v>0</v>
      </c>
      <c r="GO86" s="23">
        <f t="shared" si="81"/>
        <v>0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4.8717948717948731</v>
      </c>
      <c r="GU86" s="13">
        <f>IF('Données projet'!$A$270&gt;35,GU85+GT86-HC85,IF(A86&lt;'Données projet'!$A$270,$GR$205^A86,IF(A86='Données projet'!$A$270,'Données projet'!$B$270,GU85+GT86-HC85)))</f>
        <v>365.89743589743546</v>
      </c>
      <c r="GV86" s="18">
        <f>GU86*VLOOKUP('Données projet'!$B$18,Paramètres!$A$1:$I$89,3,0)*VLOOKUP('Données projet'!$B$18,Paramètres!$A$1:$I$89,5,0)</f>
        <v>245.4439999999997</v>
      </c>
      <c r="GW86" s="14">
        <f t="shared" si="105"/>
        <v>59.609300181184771</v>
      </c>
      <c r="GX86" s="22">
        <f t="shared" si="82"/>
        <v>531.30116448222964</v>
      </c>
      <c r="GY86" s="62">
        <f t="shared" si="83"/>
        <v>824.63449781556301</v>
      </c>
      <c r="GZ86" s="62">
        <f ca="1">AVERAGE(OFFSET($GY$3,0,0,'Données projet'!$E$18+1,1))-AVERAGE(OFFSET($H$3,0,0,'Données projet'!$E$18+1,1))</f>
        <v>410.20186800287411</v>
      </c>
      <c r="HA86" s="62">
        <f t="shared" si="106"/>
        <v>321.99347958016057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>
        <f>EXP(-LN(2)/35)*HG85+(1-EXP(-LN(2)/35))/(LN(2)/35)*HC86*HD86*VLOOKUP('Données projet'!$B$18,Paramètres!$A$1:$I$89,3,0)*0.475*44/12</f>
        <v>0</v>
      </c>
      <c r="HH86" s="23">
        <f>EXP(-LN(2)/25)*HH85+(1-EXP(-LN(2)/25))/(LN(2)/25)*Calculateur!HC86*Calculateur!HE86*VLOOKUP('Données projet'!$B$18,Paramètres!$A$1:$I$89,3,0)*0.475*44/12</f>
        <v>0</v>
      </c>
      <c r="HI86" s="23">
        <f>EXP(-LN(2)/2)*HI85+(1-EXP(-LN(2)/2))/(LN(2)/2)*HC86*HF86*VLOOKUP('Données projet'!$B$18,Paramètres!$A$1:$I$89,3,0)*0.475*44/12</f>
        <v>0</v>
      </c>
      <c r="HJ86" s="24">
        <f t="shared" si="84"/>
        <v>0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3.8</v>
      </c>
      <c r="N87" s="14">
        <f>IF('Données projet'!$A$36&gt;35,N86+M87-V86,IF(A87&lt;'Données projet'!$A$36,$K$205^A87,IF(A87='Données projet'!$A$36,'Données projet'!$B$36,N86+M87-V86)))</f>
        <v>335.20000000000005</v>
      </c>
      <c r="O87" s="14">
        <f>N87*VLOOKUP('Données projet'!$B$9,Paramètres!$A$1:$I$89,3,0)*VLOOKUP('Données projet'!$B$9,Paramètres!$A$1:$I$89,5,0)</f>
        <v>303.28896000000003</v>
      </c>
      <c r="P87" s="14">
        <f t="shared" si="87"/>
        <v>71.865517670261696</v>
      </c>
      <c r="Q87" s="22">
        <f t="shared" si="54"/>
        <v>653.39404860903915</v>
      </c>
      <c r="R87" s="62">
        <f t="shared" si="55"/>
        <v>946.7273819423724</v>
      </c>
      <c r="S87" s="62">
        <f ca="1">AVERAGE(OFFSET($R$3,0,0,'Données projet'!$E$9+1,1))-AVERAGE(OFFSET($H$3,0,0,'Données projet'!$E$9+1,1))</f>
        <v>509.56241660612449</v>
      </c>
      <c r="T87" s="62">
        <f t="shared" si="88"/>
        <v>278.21741231699929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3.8</v>
      </c>
      <c r="AI87" s="14">
        <f>IF('Données projet'!$A$62&gt;35,AI86+AH87-AQ86,IF(A87&lt;'Données projet'!$A$62,$AF$205^A87,IF(A87='Données projet'!$A$62,'Données projet'!$B$62,AI86+AH87-AQ86)))</f>
        <v>335.20000000000005</v>
      </c>
      <c r="AJ87" s="14">
        <f>AI87*VLOOKUP('Données projet'!$B$10,Paramètres!$A$1:$I$89,3,0)*VLOOKUP('Données projet'!$B$10,Paramètres!$A$1:$I$89,5,0)</f>
        <v>339.89280000000002</v>
      </c>
      <c r="AK87" s="14">
        <f t="shared" si="89"/>
        <v>79.477797816605189</v>
      </c>
      <c r="AL87" s="22">
        <f t="shared" si="58"/>
        <v>730.40379119725401</v>
      </c>
      <c r="AM87" s="62">
        <f t="shared" si="59"/>
        <v>1023.7371245305874</v>
      </c>
      <c r="AN87" s="62">
        <f ca="1">AVERAGE(OFFSET($AM$3,0,0,'Données projet'!$E$10+1,1))-AVERAGE(OFFSET($H$3,0,0,'Données projet'!$E$10+1,1))</f>
        <v>565.72091871734051</v>
      </c>
      <c r="AO87" s="62">
        <f t="shared" si="90"/>
        <v>306.61893266146666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-5.6843418860808015E-14</v>
      </c>
      <c r="BE87" s="14">
        <f>BD87*VLOOKUP('Données projet'!$B$11,Paramètres!$A$1:$I$89,3,0)*VLOOKUP('Données projet'!$B$11,Paramètres!$A$1:$I$89,5,0)</f>
        <v>-4.1677594708744434E-14</v>
      </c>
      <c r="BF87" s="14" t="e">
        <f t="shared" si="91"/>
        <v>#NUM!</v>
      </c>
      <c r="BG87" s="22" t="e">
        <f t="shared" si="61"/>
        <v>#NUM!</v>
      </c>
      <c r="BH87" s="62" t="e">
        <f t="shared" si="62"/>
        <v>#NUM!</v>
      </c>
      <c r="BI87" s="62">
        <f ca="1">AVERAGE(OFFSET($BH$3,0,0,'Données projet'!$E$11+1,1))-AVERAGE(OFFSET($H$3,0,0,'Données projet'!$E$11+1,1))</f>
        <v>344.26020118887629</v>
      </c>
      <c r="BJ87" s="62">
        <f t="shared" si="92"/>
        <v>376.41441893222185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3.8</v>
      </c>
      <c r="BY87" s="13">
        <f>IF('Données projet'!$A$114&gt;35,BY86+BX87-CG86,IF(A87&lt;'Données projet'!$A$114,$BV$205^A87,IF(A87='Données projet'!$A$114,'Données projet'!$B$114,BY86+BX87-CG86)))</f>
        <v>335.20000000000005</v>
      </c>
      <c r="BZ87" s="14">
        <f>BY87*VLOOKUP('Données projet'!$B$12,Paramètres!$A$1:$I$89,3,0)*VLOOKUP('Données projet'!$B$12,Paramètres!$A$1:$I$89,5,0)</f>
        <v>282.37248000000005</v>
      </c>
      <c r="CA87" s="14">
        <f t="shared" si="93"/>
        <v>67.468135636314216</v>
      </c>
      <c r="CB87" s="22">
        <f t="shared" si="64"/>
        <v>609.30573889991399</v>
      </c>
      <c r="CC87" s="62">
        <f t="shared" si="65"/>
        <v>902.63907223324736</v>
      </c>
      <c r="CD87" s="62">
        <f ca="1">AVERAGE(OFFSET($CC$3,0,0,'Données projet'!$E$12+1,1))-AVERAGE(OFFSET($H$3,0,0,'Données projet'!$E$12+1,1))</f>
        <v>477.4105367901771</v>
      </c>
      <c r="CE87" s="62">
        <f t="shared" si="94"/>
        <v>261.95434270986397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8.9743589743589727</v>
      </c>
      <c r="CT87" s="13">
        <f>IF('Données projet'!$A$140&gt;35,CT86+CS87-DB86,IF(A87&lt;'Données projet'!$A$140,$CQ$205^A87,IF(A87='Données projet'!$A$140,'Données projet'!$B$140,CT86+CS87-DB86)))</f>
        <v>356.15384615384573</v>
      </c>
      <c r="CU87" s="18">
        <f>CT87*VLOOKUP('Données projet'!$B$13,Paramètres!$A$1:$I$89,3,0)*VLOOKUP('Données projet'!$B$13,Paramètres!$A$1:$I$89,5,0)</f>
        <v>166.67999999999981</v>
      </c>
      <c r="CV87" s="14">
        <f t="shared" si="95"/>
        <v>42.345602670937915</v>
      </c>
      <c r="CW87" s="22">
        <f t="shared" si="67"/>
        <v>364.05292465188319</v>
      </c>
      <c r="CX87" s="62">
        <f t="shared" si="68"/>
        <v>657.3862579852165</v>
      </c>
      <c r="CY87" s="62">
        <f ca="1">AVERAGE(OFFSET($CX$3,0,0,'Données projet'!$E$13+1,1))-AVERAGE(OFFSET($H$3,0,0,'Données projet'!$E$13+1,1))</f>
        <v>246.64907095367749</v>
      </c>
      <c r="CZ87" s="62">
        <f t="shared" si="96"/>
        <v>145.34368562171613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-5.6843418860808015E-14</v>
      </c>
      <c r="DP87" s="18">
        <f>DO87*VLOOKUP('Données projet'!$B$14,Paramètres!$A$1:$I$89,3,0)*VLOOKUP('Données projet'!$B$14,Paramètres!$A$1:$I$89,5,0)</f>
        <v>-4.5224624045658861E-14</v>
      </c>
      <c r="DQ87" s="14" t="e">
        <f t="shared" si="97"/>
        <v>#NUM!</v>
      </c>
      <c r="DR87" s="22" t="e">
        <f t="shared" si="70"/>
        <v>#NUM!</v>
      </c>
      <c r="DS87" s="62" t="e">
        <f t="shared" si="71"/>
        <v>#NUM!</v>
      </c>
      <c r="DT87" s="62">
        <f ca="1">AVERAGE(OFFSET($DS$3,0,0,'Données projet'!$E$14+1,1))-AVERAGE(OFFSET($H$3,0,0,'Données projet'!$E$14+1,1))</f>
        <v>370.38521334472284</v>
      </c>
      <c r="DU87" s="62">
        <f t="shared" si="98"/>
        <v>404.61777090709171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>
        <f>VLOOKUP(A87,'Données projet'!$A$191:$I$211,2,0)</f>
        <v>420</v>
      </c>
      <c r="EH87" s="13">
        <f>VLOOKUP(A87,'Données projet'!$A$191:$I$211,9,0)</f>
        <v>12</v>
      </c>
      <c r="EI87" s="13">
        <f t="array" ref="EI87">INDEX(EH:EH,MIN(IF(ISNUMBER(EH87:EH283),ROW(EH87:EH283),"")))</f>
        <v>12</v>
      </c>
      <c r="EJ87" s="13">
        <f>IF('Données projet'!$A$192&gt;35,EJ86+EI87-ER86,IF(A87&lt;'Données projet'!$A$192,$EG$205^A87,IF(A87='Données projet'!$A$192,'Données projet'!$B$192,EJ86+EI87-ER86)))</f>
        <v>419.99999999999966</v>
      </c>
      <c r="EK87" s="18">
        <f>EJ87*VLOOKUP('Données projet'!$B$15,Paramètres!$A$1:$I$89,3,0)*VLOOKUP('Données projet'!$B$15,Paramètres!$A$1:$I$89,5,0)</f>
        <v>360.35999999999973</v>
      </c>
      <c r="EL87" s="14">
        <f t="shared" si="99"/>
        <v>83.692107728969532</v>
      </c>
      <c r="EM87" s="22">
        <f t="shared" si="73"/>
        <v>773.39075429462139</v>
      </c>
      <c r="EN87" s="62">
        <f t="shared" si="74"/>
        <v>1066.7240876279548</v>
      </c>
      <c r="EO87" s="62">
        <f ca="1">AVERAGE(OFFSET($EN$3,0,0,'Données projet'!$E$15+1,1))-AVERAGE(OFFSET($H$3,0,0,'Données projet'!$E$15+1,1))</f>
        <v>445.81166342116865</v>
      </c>
      <c r="EP87" s="62">
        <f t="shared" si="100"/>
        <v>230.82970731138215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0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3.8</v>
      </c>
      <c r="FE87" s="13">
        <f>IF('Données projet'!$A$218&gt;35,FE86+FD87-FM86,IF(A87&lt;'Données projet'!$A$218,$FB$205^A87,IF(A87='Données projet'!$A$218,'Données projet'!$B$218,FE86+FD87-FM86)))</f>
        <v>335.20000000000005</v>
      </c>
      <c r="FF87" s="18">
        <f>FE87*VLOOKUP('Données projet'!$B$16,Paramètres!$A$1:$I$89,3,0)*VLOOKUP('Données projet'!$B$16,Paramètres!$A$1:$I$89,5,0)</f>
        <v>324.20544000000007</v>
      </c>
      <c r="FG87" s="14">
        <f t="shared" si="101"/>
        <v>76.227711217569663</v>
      </c>
      <c r="FH87" s="22">
        <f t="shared" si="76"/>
        <v>697.42107170393399</v>
      </c>
      <c r="FI87" s="62">
        <f t="shared" si="77"/>
        <v>990.75440503726736</v>
      </c>
      <c r="FJ87" s="62">
        <f ca="1">AVERAGE(OFFSET($FI$3,0,0,'Données projet'!$E$16+1,1))-AVERAGE(OFFSET($H$3,0,0,'Données projet'!$E$16+1,1))</f>
        <v>541.66888676162716</v>
      </c>
      <c r="FK87" s="62">
        <f t="shared" si="102"/>
        <v>294.45557293177131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>
        <f>EXP(-LN(2)/35)*FQ86+(1-EXP(-LN(2)/35))/(LN(2)/35)*FM87*FN87*VLOOKUP('Données projet'!$B$16,Paramètres!$A$1:$I$89,3,0)*0.475*44/12</f>
        <v>0</v>
      </c>
      <c r="FR87" s="23">
        <f>EXP(-LN(2)/25)*FR86+(1-EXP(-LN(2)/25))/(LN(2)/25)*Calculateur!FM87*Calculateur!FO87*VLOOKUP('Données projet'!$B$16,Paramètres!$A$1:$I$89,3,0)*0.475*44/12</f>
        <v>0</v>
      </c>
      <c r="FS87" s="23">
        <f>EXP(-LN(2)/2)*FS86+(1-EXP(-LN(2)/2))/(LN(2)/2)*FM87*FP87*VLOOKUP('Données projet'!$B$16,Paramètres!$A$1:$I$89,3,0)*0.475*44/12</f>
        <v>0</v>
      </c>
      <c r="FT87" s="24">
        <f t="shared" si="78"/>
        <v>0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1.1368683772161603E-13</v>
      </c>
      <c r="GA87" s="18">
        <f>FZ87*VLOOKUP('Données projet'!$B$17,Paramètres!$A$1:$I$89,3,0)*VLOOKUP('Données projet'!$B$17,Paramètres!$A$1:$I$89,5,0)</f>
        <v>8.8675733422860506E-14</v>
      </c>
      <c r="GB87" s="14">
        <f t="shared" si="103"/>
        <v>1.3509285393066301E-12</v>
      </c>
      <c r="GC87" s="22">
        <f t="shared" si="79"/>
        <v>2.5073107750038623E-12</v>
      </c>
      <c r="GD87" s="62">
        <f t="shared" si="80"/>
        <v>293.33333333333582</v>
      </c>
      <c r="GE87" s="62">
        <f ca="1">AVERAGE(OFFSET($GD$3,0,0,'Données projet'!$E$17+1,1))-AVERAGE(OFFSET($H$3,0,0,'Données projet'!$E$17+1,1))</f>
        <v>292.57482726862594</v>
      </c>
      <c r="GF87" s="62">
        <f t="shared" si="104"/>
        <v>283.48738729114024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>
        <f>EXP(-LN(2)/35)*GL86+(1-EXP(-LN(2)/35))/(LN(2)/35)*GH87*GI87*VLOOKUP('Données projet'!$B$17,Paramètres!$A$1:$I$89,3,0)*0.475*44/12</f>
        <v>0</v>
      </c>
      <c r="GM87" s="23">
        <f>EXP(-LN(2)/25)*GM86+(1-EXP(-LN(2)/25))/(LN(2)/25)*Calculateur!GH87*Calculateur!GJ87*VLOOKUP('Données projet'!$B$17,Paramètres!$A$1:$I$89,3,0)*0.475*44/12</f>
        <v>0</v>
      </c>
      <c r="GN87" s="23">
        <f>EXP(-LN(2)/2)*GN86+(1-EXP(-LN(2)/2))/(LN(2)/2)*GH87*GK87*VLOOKUP('Données projet'!$B$17,Paramètres!$A$1:$I$89,3,0)*0.475*44/12</f>
        <v>0</v>
      </c>
      <c r="GO87" s="23">
        <f t="shared" si="81"/>
        <v>0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4.8717948717948731</v>
      </c>
      <c r="GU87" s="13">
        <f>IF('Données projet'!$A$270&gt;35,GU86+GT87-HC86,IF(A87&lt;'Données projet'!$A$270,$GR$205^A87,IF(A87='Données projet'!$A$270,'Données projet'!$B$270,GU86+GT87-HC86)))</f>
        <v>370.76923076923032</v>
      </c>
      <c r="GV87" s="18">
        <f>GU87*VLOOKUP('Données projet'!$B$18,Paramètres!$A$1:$I$89,3,0)*VLOOKUP('Données projet'!$B$18,Paramètres!$A$1:$I$89,5,0)</f>
        <v>248.7119999999997</v>
      </c>
      <c r="GW87" s="14">
        <f t="shared" si="105"/>
        <v>60.310052179215774</v>
      </c>
      <c r="GX87" s="22">
        <f t="shared" si="82"/>
        <v>538.21340754546691</v>
      </c>
      <c r="GY87" s="62">
        <f t="shared" si="83"/>
        <v>831.54674087880016</v>
      </c>
      <c r="GZ87" s="62">
        <f ca="1">AVERAGE(OFFSET($GY$3,0,0,'Données projet'!$E$18+1,1))-AVERAGE(OFFSET($H$3,0,0,'Données projet'!$E$18+1,1))</f>
        <v>410.20186800287411</v>
      </c>
      <c r="HA87" s="62">
        <f t="shared" si="106"/>
        <v>321.99347958016057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>
        <f>EXP(-LN(2)/35)*HG86+(1-EXP(-LN(2)/35))/(LN(2)/35)*HC87*HD87*VLOOKUP('Données projet'!$B$18,Paramètres!$A$1:$I$89,3,0)*0.475*44/12</f>
        <v>0</v>
      </c>
      <c r="HH87" s="23">
        <f>EXP(-LN(2)/25)*HH86+(1-EXP(-LN(2)/25))/(LN(2)/25)*Calculateur!HC87*Calculateur!HE87*VLOOKUP('Données projet'!$B$18,Paramètres!$A$1:$I$89,3,0)*0.475*44/12</f>
        <v>0</v>
      </c>
      <c r="HI87" s="23">
        <f>EXP(-LN(2)/2)*HI86+(1-EXP(-LN(2)/2))/(LN(2)/2)*HC87*HF87*VLOOKUP('Données projet'!$B$18,Paramètres!$A$1:$I$89,3,0)*0.475*44/12</f>
        <v>0</v>
      </c>
      <c r="HJ87" s="24">
        <f t="shared" si="84"/>
        <v>0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3.8</v>
      </c>
      <c r="N88" s="14">
        <f>IF('Données projet'!$A$36&gt;35,N87+M88-V87,IF(A88&lt;'Données projet'!$A$36,$K$205^A88,IF(A88='Données projet'!$A$36,'Données projet'!$B$36,N87+M88-V87)))</f>
        <v>339.00000000000006</v>
      </c>
      <c r="O88" s="14">
        <f>N88*VLOOKUP('Données projet'!$B$9,Paramètres!$A$1:$I$89,3,0)*VLOOKUP('Données projet'!$B$9,Paramètres!$A$1:$I$89,5,0)</f>
        <v>306.72720000000004</v>
      </c>
      <c r="P88" s="14">
        <f t="shared" si="87"/>
        <v>72.584917646145641</v>
      </c>
      <c r="Q88" s="22">
        <f t="shared" si="54"/>
        <v>660.63527156703708</v>
      </c>
      <c r="R88" s="62">
        <f t="shared" si="55"/>
        <v>953.96860490037034</v>
      </c>
      <c r="S88" s="62">
        <f ca="1">AVERAGE(OFFSET($R$3,0,0,'Données projet'!$E$9+1,1))-AVERAGE(OFFSET($H$3,0,0,'Données projet'!$E$9+1,1))</f>
        <v>509.56241660612449</v>
      </c>
      <c r="T88" s="62">
        <f t="shared" si="88"/>
        <v>278.21741231699929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3.8</v>
      </c>
      <c r="AI88" s="14">
        <f>IF('Données projet'!$A$62&gt;35,AI87+AH88-AQ87,IF(A88&lt;'Données projet'!$A$62,$AF$205^A88,IF(A88='Données projet'!$A$62,'Données projet'!$B$62,AI87+AH88-AQ87)))</f>
        <v>339.00000000000006</v>
      </c>
      <c r="AJ88" s="14">
        <f>AI88*VLOOKUP('Données projet'!$B$10,Paramètres!$A$1:$I$89,3,0)*VLOOKUP('Données projet'!$B$10,Paramètres!$A$1:$I$89,5,0)</f>
        <v>343.74600000000009</v>
      </c>
      <c r="AK88" s="14">
        <f t="shared" si="89"/>
        <v>80.273399486030513</v>
      </c>
      <c r="AL88" s="22">
        <f t="shared" si="58"/>
        <v>738.50045410483654</v>
      </c>
      <c r="AM88" s="62">
        <f t="shared" si="59"/>
        <v>1031.8337874381698</v>
      </c>
      <c r="AN88" s="62">
        <f ca="1">AVERAGE(OFFSET($AM$3,0,0,'Données projet'!$E$10+1,1))-AVERAGE(OFFSET($H$3,0,0,'Données projet'!$E$10+1,1))</f>
        <v>565.72091871734051</v>
      </c>
      <c r="AO88" s="62">
        <f t="shared" si="90"/>
        <v>306.61893266146666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-5.6843418860808015E-14</v>
      </c>
      <c r="BE88" s="14">
        <f>BD88*VLOOKUP('Données projet'!$B$11,Paramètres!$A$1:$I$89,3,0)*VLOOKUP('Données projet'!$B$11,Paramètres!$A$1:$I$89,5,0)</f>
        <v>-4.1677594708744434E-14</v>
      </c>
      <c r="BF88" s="14" t="e">
        <f t="shared" si="91"/>
        <v>#NUM!</v>
      </c>
      <c r="BG88" s="22" t="e">
        <f t="shared" si="61"/>
        <v>#NUM!</v>
      </c>
      <c r="BH88" s="62" t="e">
        <f t="shared" si="62"/>
        <v>#NUM!</v>
      </c>
      <c r="BI88" s="62">
        <f ca="1">AVERAGE(OFFSET($BH$3,0,0,'Données projet'!$E$11+1,1))-AVERAGE(OFFSET($H$3,0,0,'Données projet'!$E$11+1,1))</f>
        <v>344.26020118887629</v>
      </c>
      <c r="BJ88" s="62">
        <f t="shared" si="92"/>
        <v>376.41441893222185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3.8</v>
      </c>
      <c r="BY88" s="13">
        <f>IF('Données projet'!$A$114&gt;35,BY87+BX88-CG87,IF(A88&lt;'Données projet'!$A$114,$BV$205^A88,IF(A88='Données projet'!$A$114,'Données projet'!$B$114,BY87+BX88-CG87)))</f>
        <v>339.00000000000006</v>
      </c>
      <c r="BZ88" s="14">
        <f>BY88*VLOOKUP('Données projet'!$B$12,Paramètres!$A$1:$I$89,3,0)*VLOOKUP('Données projet'!$B$12,Paramètres!$A$1:$I$89,5,0)</f>
        <v>285.57360000000006</v>
      </c>
      <c r="CA88" s="14">
        <f t="shared" si="93"/>
        <v>68.143516218311802</v>
      </c>
      <c r="CB88" s="22">
        <f t="shared" si="64"/>
        <v>616.05731074689311</v>
      </c>
      <c r="CC88" s="62">
        <f t="shared" si="65"/>
        <v>909.39064408022637</v>
      </c>
      <c r="CD88" s="62">
        <f ca="1">AVERAGE(OFFSET($CC$3,0,0,'Données projet'!$E$12+1,1))-AVERAGE(OFFSET($H$3,0,0,'Données projet'!$E$12+1,1))</f>
        <v>477.4105367901771</v>
      </c>
      <c r="CE88" s="62">
        <f t="shared" si="94"/>
        <v>261.95434270986397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8.9743589743589727</v>
      </c>
      <c r="CT88" s="13">
        <f>IF('Données projet'!$A$140&gt;35,CT87+CS88-DB87,IF(A88&lt;'Données projet'!$A$140,$CQ$205^A88,IF(A88='Données projet'!$A$140,'Données projet'!$B$140,CT87+CS88-DB87)))</f>
        <v>365.12820512820468</v>
      </c>
      <c r="CU88" s="18">
        <f>CT88*VLOOKUP('Données projet'!$B$13,Paramètres!$A$1:$I$89,3,0)*VLOOKUP('Données projet'!$B$13,Paramètres!$A$1:$I$89,5,0)</f>
        <v>170.8799999999998</v>
      </c>
      <c r="CV88" s="14">
        <f t="shared" si="95"/>
        <v>43.287055047972629</v>
      </c>
      <c r="CW88" s="22">
        <f t="shared" si="67"/>
        <v>373.00762087521866</v>
      </c>
      <c r="CX88" s="62">
        <f t="shared" si="68"/>
        <v>666.34095420855192</v>
      </c>
      <c r="CY88" s="62">
        <f ca="1">AVERAGE(OFFSET($CX$3,0,0,'Données projet'!$E$13+1,1))-AVERAGE(OFFSET($H$3,0,0,'Données projet'!$E$13+1,1))</f>
        <v>246.64907095367749</v>
      </c>
      <c r="CZ88" s="62">
        <f t="shared" si="96"/>
        <v>145.34368562171613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-5.6843418860808015E-14</v>
      </c>
      <c r="DP88" s="18">
        <f>DO88*VLOOKUP('Données projet'!$B$14,Paramètres!$A$1:$I$89,3,0)*VLOOKUP('Données projet'!$B$14,Paramètres!$A$1:$I$89,5,0)</f>
        <v>-4.5224624045658861E-14</v>
      </c>
      <c r="DQ88" s="14" t="e">
        <f t="shared" si="97"/>
        <v>#NUM!</v>
      </c>
      <c r="DR88" s="22" t="e">
        <f t="shared" si="70"/>
        <v>#NUM!</v>
      </c>
      <c r="DS88" s="62" t="e">
        <f t="shared" si="71"/>
        <v>#NUM!</v>
      </c>
      <c r="DT88" s="62">
        <f ca="1">AVERAGE(OFFSET($DS$3,0,0,'Données projet'!$E$14+1,1))-AVERAGE(OFFSET($H$3,0,0,'Données projet'!$E$14+1,1))</f>
        <v>370.38521334472284</v>
      </c>
      <c r="DU88" s="62">
        <f t="shared" si="98"/>
        <v>404.61777090709171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11.5</v>
      </c>
      <c r="EJ88" s="13">
        <f>IF('Données projet'!$A$192&gt;35,EJ87+EI88-ER87,IF(A88&lt;'Données projet'!$A$192,$EG$205^A88,IF(A88='Données projet'!$A$192,'Données projet'!$B$192,EJ87+EI88-ER87)))</f>
        <v>431.49999999999966</v>
      </c>
      <c r="EK88" s="18">
        <f>EJ88*VLOOKUP('Données projet'!$B$15,Paramètres!$A$1:$I$89,3,0)*VLOOKUP('Données projet'!$B$15,Paramètres!$A$1:$I$89,5,0)</f>
        <v>370.22699999999975</v>
      </c>
      <c r="EL88" s="14">
        <f t="shared" si="99"/>
        <v>85.713744339137904</v>
      </c>
      <c r="EM88" s="22">
        <f t="shared" si="73"/>
        <v>794.09679639066474</v>
      </c>
      <c r="EN88" s="62">
        <f t="shared" si="74"/>
        <v>1087.4301297239981</v>
      </c>
      <c r="EO88" s="62">
        <f ca="1">AVERAGE(OFFSET($EN$3,0,0,'Données projet'!$E$15+1,1))-AVERAGE(OFFSET($H$3,0,0,'Données projet'!$E$15+1,1))</f>
        <v>445.81166342116865</v>
      </c>
      <c r="EP88" s="62">
        <f t="shared" si="100"/>
        <v>230.82970731138215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0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3.8</v>
      </c>
      <c r="FE88" s="13">
        <f>IF('Données projet'!$A$218&gt;35,FE87+FD88-FM87,IF(A88&lt;'Données projet'!$A$218,$FB$205^A88,IF(A88='Données projet'!$A$218,'Données projet'!$B$218,FE87+FD88-FM87)))</f>
        <v>339.00000000000006</v>
      </c>
      <c r="FF88" s="18">
        <f>FE88*VLOOKUP('Données projet'!$B$16,Paramètres!$A$1:$I$89,3,0)*VLOOKUP('Données projet'!$B$16,Paramètres!$A$1:$I$89,5,0)</f>
        <v>327.88080000000008</v>
      </c>
      <c r="FG88" s="14">
        <f t="shared" si="101"/>
        <v>76.99077833778739</v>
      </c>
      <c r="FH88" s="22">
        <f t="shared" si="76"/>
        <v>705.15133227164642</v>
      </c>
      <c r="FI88" s="62">
        <f t="shared" si="77"/>
        <v>998.48466560497968</v>
      </c>
      <c r="FJ88" s="62">
        <f ca="1">AVERAGE(OFFSET($FI$3,0,0,'Données projet'!$E$16+1,1))-AVERAGE(OFFSET($H$3,0,0,'Données projet'!$E$16+1,1))</f>
        <v>541.66888676162716</v>
      </c>
      <c r="FK88" s="62">
        <f t="shared" si="102"/>
        <v>294.45557293177131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>
        <f>EXP(-LN(2)/35)*FQ87+(1-EXP(-LN(2)/35))/(LN(2)/35)*FM88*FN88*VLOOKUP('Données projet'!$B$16,Paramètres!$A$1:$I$89,3,0)*0.475*44/12</f>
        <v>0</v>
      </c>
      <c r="FR88" s="23">
        <f>EXP(-LN(2)/25)*FR87+(1-EXP(-LN(2)/25))/(LN(2)/25)*Calculateur!FM88*Calculateur!FO88*VLOOKUP('Données projet'!$B$16,Paramètres!$A$1:$I$89,3,0)*0.475*44/12</f>
        <v>0</v>
      </c>
      <c r="FS88" s="23">
        <f>EXP(-LN(2)/2)*FS87+(1-EXP(-LN(2)/2))/(LN(2)/2)*FM88*FP88*VLOOKUP('Données projet'!$B$16,Paramètres!$A$1:$I$89,3,0)*0.475*44/12</f>
        <v>0</v>
      </c>
      <c r="FT88" s="24">
        <f t="shared" si="78"/>
        <v>0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1.1368683772161603E-13</v>
      </c>
      <c r="GA88" s="18">
        <f>FZ88*VLOOKUP('Données projet'!$B$17,Paramètres!$A$1:$I$89,3,0)*VLOOKUP('Données projet'!$B$17,Paramètres!$A$1:$I$89,5,0)</f>
        <v>8.8675733422860506E-14</v>
      </c>
      <c r="GB88" s="14">
        <f t="shared" si="103"/>
        <v>1.3509285393066301E-12</v>
      </c>
      <c r="GC88" s="22">
        <f t="shared" si="79"/>
        <v>2.5073107750038623E-12</v>
      </c>
      <c r="GD88" s="62">
        <f t="shared" si="80"/>
        <v>293.33333333333582</v>
      </c>
      <c r="GE88" s="62">
        <f ca="1">AVERAGE(OFFSET($GD$3,0,0,'Données projet'!$E$17+1,1))-AVERAGE(OFFSET($H$3,0,0,'Données projet'!$E$17+1,1))</f>
        <v>292.57482726862594</v>
      </c>
      <c r="GF88" s="62">
        <f t="shared" si="104"/>
        <v>283.48738729114024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>
        <f>EXP(-LN(2)/35)*GL87+(1-EXP(-LN(2)/35))/(LN(2)/35)*GH88*GI88*VLOOKUP('Données projet'!$B$17,Paramètres!$A$1:$I$89,3,0)*0.475*44/12</f>
        <v>0</v>
      </c>
      <c r="GM88" s="23">
        <f>EXP(-LN(2)/25)*GM87+(1-EXP(-LN(2)/25))/(LN(2)/25)*Calculateur!GH88*Calculateur!GJ88*VLOOKUP('Données projet'!$B$17,Paramètres!$A$1:$I$89,3,0)*0.475*44/12</f>
        <v>0</v>
      </c>
      <c r="GN88" s="23">
        <f>EXP(-LN(2)/2)*GN87+(1-EXP(-LN(2)/2))/(LN(2)/2)*GH88*GK88*VLOOKUP('Données projet'!$B$17,Paramètres!$A$1:$I$89,3,0)*0.475*44/12</f>
        <v>0</v>
      </c>
      <c r="GO88" s="23">
        <f t="shared" si="81"/>
        <v>0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>
        <f>VLOOKUP(A88,'Données projet'!$A$269:$I$289,2,0)</f>
        <v>375.64102564102564</v>
      </c>
      <c r="GS88" s="13">
        <f>VLOOKUP(A88,'Données projet'!$A$269:$I$289,9,0)</f>
        <v>4.8717948717948731</v>
      </c>
      <c r="GT88" s="13">
        <f t="array" ref="GT88">INDEX(GS:GS,MIN(IF(ISNUMBER(GS88:GS284),ROW(GS88:GS284),"")))</f>
        <v>4.8717948717948731</v>
      </c>
      <c r="GU88" s="13">
        <f>IF('Données projet'!$A$270&gt;35,GU87+GT88-HC87,IF(A88&lt;'Données projet'!$A$270,$GR$205^A88,IF(A88='Données projet'!$A$270,'Données projet'!$B$270,GU87+GT88-HC87)))</f>
        <v>375.64102564102518</v>
      </c>
      <c r="GV88" s="18">
        <f>GU88*VLOOKUP('Données projet'!$B$18,Paramètres!$A$1:$I$89,3,0)*VLOOKUP('Données projet'!$B$18,Paramètres!$A$1:$I$89,5,0)</f>
        <v>251.97999999999971</v>
      </c>
      <c r="GW88" s="14">
        <f t="shared" si="105"/>
        <v>61.009733191300036</v>
      </c>
      <c r="GX88" s="22">
        <f t="shared" si="82"/>
        <v>545.12378530818035</v>
      </c>
      <c r="GY88" s="62">
        <f t="shared" si="83"/>
        <v>838.45711864151372</v>
      </c>
      <c r="GZ88" s="62">
        <f ca="1">AVERAGE(OFFSET($GY$3,0,0,'Données projet'!$E$18+1,1))-AVERAGE(OFFSET($H$3,0,0,'Données projet'!$E$18+1,1))</f>
        <v>410.20186800287411</v>
      </c>
      <c r="HA88" s="62">
        <f t="shared" si="106"/>
        <v>321.99347958016057</v>
      </c>
      <c r="HB88" s="16">
        <f>IF(ISNA(VLOOKUP(A88,'Données projet'!$A$269:$I$289,3,0)),0,VLOOKUP(A88,'Données projet'!$A$269:$I$289,3,0))</f>
        <v>8</v>
      </c>
      <c r="HC88" s="16">
        <f>IF(ISNA(VLOOKUP(A88,'Données projet'!$A$269:$I$289,4,0)),0,VLOOKUP(A88,'Données projet'!$A$269:$I$289,4,0))</f>
        <v>30.769230769230766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>
        <f>EXP(-LN(2)/35)*HG87+(1-EXP(-LN(2)/35))/(LN(2)/35)*HC88*HD88*VLOOKUP('Données projet'!$B$18,Paramètres!$A$1:$I$89,3,0)*0.475*44/12</f>
        <v>0</v>
      </c>
      <c r="HH88" s="23">
        <f>EXP(-LN(2)/25)*HH87+(1-EXP(-LN(2)/25))/(LN(2)/25)*Calculateur!HC88*Calculateur!HE88*VLOOKUP('Données projet'!$B$18,Paramètres!$A$1:$I$89,3,0)*0.475*44/12</f>
        <v>0</v>
      </c>
      <c r="HI88" s="23">
        <f>EXP(-LN(2)/2)*HI87+(1-EXP(-LN(2)/2))/(LN(2)/2)*HC88*HF88*VLOOKUP('Données projet'!$B$18,Paramètres!$A$1:$I$89,3,0)*0.475*44/12</f>
        <v>0</v>
      </c>
      <c r="HJ88" s="24">
        <f t="shared" si="84"/>
        <v>0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3.8</v>
      </c>
      <c r="N89" s="14">
        <f>IF('Données projet'!$A$36&gt;35,N88+M89-V88,IF(A89&lt;'Données projet'!$A$36,$K$205^A89,IF(A89='Données projet'!$A$36,'Données projet'!$B$36,N88+M89-V88)))</f>
        <v>342.80000000000007</v>
      </c>
      <c r="O89" s="14">
        <f>N89*VLOOKUP('Données projet'!$B$9,Paramètres!$A$1:$I$89,3,0)*VLOOKUP('Données projet'!$B$9,Paramètres!$A$1:$I$89,5,0)</f>
        <v>310.16544000000005</v>
      </c>
      <c r="P89" s="14">
        <f t="shared" si="87"/>
        <v>73.303379555549114</v>
      </c>
      <c r="Q89" s="22">
        <f t="shared" si="54"/>
        <v>667.87486072591469</v>
      </c>
      <c r="R89" s="62">
        <f t="shared" si="55"/>
        <v>961.20819405924794</v>
      </c>
      <c r="S89" s="62">
        <f ca="1">AVERAGE(OFFSET($R$3,0,0,'Données projet'!$E$9+1,1))-AVERAGE(OFFSET($H$3,0,0,'Données projet'!$E$9+1,1))</f>
        <v>509.56241660612449</v>
      </c>
      <c r="T89" s="62">
        <f t="shared" si="88"/>
        <v>278.21741231699929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3.8</v>
      </c>
      <c r="AI89" s="14">
        <f>IF('Données projet'!$A$62&gt;35,AI88+AH89-AQ88,IF(A89&lt;'Données projet'!$A$62,$AF$205^A89,IF(A89='Données projet'!$A$62,'Données projet'!$B$62,AI88+AH89-AQ88)))</f>
        <v>342.80000000000007</v>
      </c>
      <c r="AJ89" s="14">
        <f>AI89*VLOOKUP('Données projet'!$B$10,Paramètres!$A$1:$I$89,3,0)*VLOOKUP('Données projet'!$B$10,Paramètres!$A$1:$I$89,5,0)</f>
        <v>347.59920000000011</v>
      </c>
      <c r="AK89" s="14">
        <f t="shared" si="89"/>
        <v>81.067963725259943</v>
      </c>
      <c r="AL89" s="22">
        <f t="shared" si="58"/>
        <v>746.59531015482787</v>
      </c>
      <c r="AM89" s="62">
        <f t="shared" si="59"/>
        <v>1039.9286434881612</v>
      </c>
      <c r="AN89" s="62">
        <f ca="1">AVERAGE(OFFSET($AM$3,0,0,'Données projet'!$E$10+1,1))-AVERAGE(OFFSET($H$3,0,0,'Données projet'!$E$10+1,1))</f>
        <v>565.72091871734051</v>
      </c>
      <c r="AO89" s="62">
        <f t="shared" si="90"/>
        <v>306.61893266146666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-5.6843418860808015E-14</v>
      </c>
      <c r="BE89" s="14">
        <f>BD89*VLOOKUP('Données projet'!$B$11,Paramètres!$A$1:$I$89,3,0)*VLOOKUP('Données projet'!$B$11,Paramètres!$A$1:$I$89,5,0)</f>
        <v>-4.1677594708744434E-14</v>
      </c>
      <c r="BF89" s="14" t="e">
        <f t="shared" si="91"/>
        <v>#NUM!</v>
      </c>
      <c r="BG89" s="22" t="e">
        <f t="shared" si="61"/>
        <v>#NUM!</v>
      </c>
      <c r="BH89" s="62" t="e">
        <f t="shared" si="62"/>
        <v>#NUM!</v>
      </c>
      <c r="BI89" s="62">
        <f ca="1">AVERAGE(OFFSET($BH$3,0,0,'Données projet'!$E$11+1,1))-AVERAGE(OFFSET($H$3,0,0,'Données projet'!$E$11+1,1))</f>
        <v>344.26020118887629</v>
      </c>
      <c r="BJ89" s="62">
        <f t="shared" si="92"/>
        <v>376.41441893222185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3.8</v>
      </c>
      <c r="BY89" s="13">
        <f>IF('Données projet'!$A$114&gt;35,BY88+BX89-CG88,IF(A89&lt;'Données projet'!$A$114,$BV$205^A89,IF(A89='Données projet'!$A$114,'Données projet'!$B$114,BY88+BX89-CG88)))</f>
        <v>342.80000000000007</v>
      </c>
      <c r="BZ89" s="14">
        <f>BY89*VLOOKUP('Données projet'!$B$12,Paramètres!$A$1:$I$89,3,0)*VLOOKUP('Données projet'!$B$12,Paramètres!$A$1:$I$89,5,0)</f>
        <v>288.77472000000012</v>
      </c>
      <c r="CA89" s="14">
        <f t="shared" si="93"/>
        <v>68.818016133216361</v>
      </c>
      <c r="CB89" s="22">
        <f t="shared" si="64"/>
        <v>622.807348765352</v>
      </c>
      <c r="CC89" s="62">
        <f t="shared" si="65"/>
        <v>916.14068209868537</v>
      </c>
      <c r="CD89" s="62">
        <f ca="1">AVERAGE(OFFSET($CC$3,0,0,'Données projet'!$E$12+1,1))-AVERAGE(OFFSET($H$3,0,0,'Données projet'!$E$12+1,1))</f>
        <v>477.4105367901771</v>
      </c>
      <c r="CE89" s="62">
        <f t="shared" si="94"/>
        <v>261.95434270986397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8.9743589743589727</v>
      </c>
      <c r="CT89" s="13">
        <f>IF('Données projet'!$A$140&gt;35,CT88+CS89-DB88,IF(A89&lt;'Données projet'!$A$140,$CQ$205^A89,IF(A89='Données projet'!$A$140,'Données projet'!$B$140,CT88+CS89-DB88)))</f>
        <v>374.10256410256363</v>
      </c>
      <c r="CU89" s="18">
        <f>CT89*VLOOKUP('Données projet'!$B$13,Paramètres!$A$1:$I$89,3,0)*VLOOKUP('Données projet'!$B$13,Paramètres!$A$1:$I$89,5,0)</f>
        <v>175.07999999999976</v>
      </c>
      <c r="CV89" s="14">
        <f t="shared" si="95"/>
        <v>44.225817535095111</v>
      </c>
      <c r="CW89" s="22">
        <f t="shared" si="67"/>
        <v>381.95763220695682</v>
      </c>
      <c r="CX89" s="62">
        <f t="shared" si="68"/>
        <v>675.29096554029013</v>
      </c>
      <c r="CY89" s="62">
        <f ca="1">AVERAGE(OFFSET($CX$3,0,0,'Données projet'!$E$13+1,1))-AVERAGE(OFFSET($H$3,0,0,'Données projet'!$E$13+1,1))</f>
        <v>246.64907095367749</v>
      </c>
      <c r="CZ89" s="62">
        <f t="shared" si="96"/>
        <v>145.34368562171613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-5.6843418860808015E-14</v>
      </c>
      <c r="DP89" s="18">
        <f>DO89*VLOOKUP('Données projet'!$B$14,Paramètres!$A$1:$I$89,3,0)*VLOOKUP('Données projet'!$B$14,Paramètres!$A$1:$I$89,5,0)</f>
        <v>-4.5224624045658861E-14</v>
      </c>
      <c r="DQ89" s="14" t="e">
        <f t="shared" si="97"/>
        <v>#NUM!</v>
      </c>
      <c r="DR89" s="22" t="e">
        <f t="shared" si="70"/>
        <v>#NUM!</v>
      </c>
      <c r="DS89" s="62" t="e">
        <f t="shared" si="71"/>
        <v>#NUM!</v>
      </c>
      <c r="DT89" s="62">
        <f ca="1">AVERAGE(OFFSET($DS$3,0,0,'Données projet'!$E$14+1,1))-AVERAGE(OFFSET($H$3,0,0,'Données projet'!$E$14+1,1))</f>
        <v>370.38521334472284</v>
      </c>
      <c r="DU89" s="62">
        <f t="shared" si="98"/>
        <v>404.61777090709171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11.5</v>
      </c>
      <c r="EJ89" s="13">
        <f>IF('Données projet'!$A$192&gt;35,EJ88+EI89-ER88,IF(A89&lt;'Données projet'!$A$192,$EG$205^A89,IF(A89='Données projet'!$A$192,'Données projet'!$B$192,EJ88+EI89-ER88)))</f>
        <v>442.99999999999966</v>
      </c>
      <c r="EK89" s="18">
        <f>EJ89*VLOOKUP('Données projet'!$B$15,Paramètres!$A$1:$I$89,3,0)*VLOOKUP('Données projet'!$B$15,Paramètres!$A$1:$I$89,5,0)</f>
        <v>380.09399999999977</v>
      </c>
      <c r="EL89" s="14">
        <f t="shared" si="99"/>
        <v>87.729118359210162</v>
      </c>
      <c r="EM89" s="22">
        <f t="shared" si="73"/>
        <v>814.79193114229065</v>
      </c>
      <c r="EN89" s="62">
        <f t="shared" si="74"/>
        <v>1108.1252644756239</v>
      </c>
      <c r="EO89" s="62">
        <f ca="1">AVERAGE(OFFSET($EN$3,0,0,'Données projet'!$E$15+1,1))-AVERAGE(OFFSET($H$3,0,0,'Données projet'!$E$15+1,1))</f>
        <v>445.81166342116865</v>
      </c>
      <c r="EP89" s="62">
        <f t="shared" si="100"/>
        <v>230.82970731138215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0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3.8</v>
      </c>
      <c r="FE89" s="13">
        <f>IF('Données projet'!$A$218&gt;35,FE88+FD89-FM88,IF(A89&lt;'Données projet'!$A$218,$FB$205^A89,IF(A89='Données projet'!$A$218,'Données projet'!$B$218,FE88+FD89-FM88)))</f>
        <v>342.80000000000007</v>
      </c>
      <c r="FF89" s="18">
        <f>FE89*VLOOKUP('Données projet'!$B$16,Paramètres!$A$1:$I$89,3,0)*VLOOKUP('Données projet'!$B$16,Paramètres!$A$1:$I$89,5,0)</f>
        <v>331.55616000000003</v>
      </c>
      <c r="FG89" s="14">
        <f t="shared" si="101"/>
        <v>77.7528504514556</v>
      </c>
      <c r="FH89" s="22">
        <f t="shared" si="76"/>
        <v>712.87985986961849</v>
      </c>
      <c r="FI89" s="62">
        <f t="shared" si="77"/>
        <v>1006.2131932029517</v>
      </c>
      <c r="FJ89" s="62">
        <f ca="1">AVERAGE(OFFSET($FI$3,0,0,'Données projet'!$E$16+1,1))-AVERAGE(OFFSET($H$3,0,0,'Données projet'!$E$16+1,1))</f>
        <v>541.66888676162716</v>
      </c>
      <c r="FK89" s="62">
        <f t="shared" si="102"/>
        <v>294.45557293177131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>
        <f>EXP(-LN(2)/35)*FQ88+(1-EXP(-LN(2)/35))/(LN(2)/35)*FM89*FN89*VLOOKUP('Données projet'!$B$16,Paramètres!$A$1:$I$89,3,0)*0.475*44/12</f>
        <v>0</v>
      </c>
      <c r="FR89" s="23">
        <f>EXP(-LN(2)/25)*FR88+(1-EXP(-LN(2)/25))/(LN(2)/25)*Calculateur!FM89*Calculateur!FO89*VLOOKUP('Données projet'!$B$16,Paramètres!$A$1:$I$89,3,0)*0.475*44/12</f>
        <v>0</v>
      </c>
      <c r="FS89" s="23">
        <f>EXP(-LN(2)/2)*FS88+(1-EXP(-LN(2)/2))/(LN(2)/2)*FM89*FP89*VLOOKUP('Données projet'!$B$16,Paramètres!$A$1:$I$89,3,0)*0.475*44/12</f>
        <v>0</v>
      </c>
      <c r="FT89" s="24">
        <f t="shared" si="78"/>
        <v>0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1.1368683772161603E-13</v>
      </c>
      <c r="GA89" s="18">
        <f>FZ89*VLOOKUP('Données projet'!$B$17,Paramètres!$A$1:$I$89,3,0)*VLOOKUP('Données projet'!$B$17,Paramètres!$A$1:$I$89,5,0)</f>
        <v>8.8675733422860506E-14</v>
      </c>
      <c r="GB89" s="14">
        <f t="shared" si="103"/>
        <v>1.3509285393066301E-12</v>
      </c>
      <c r="GC89" s="22">
        <f t="shared" si="79"/>
        <v>2.5073107750038623E-12</v>
      </c>
      <c r="GD89" s="62">
        <f t="shared" si="80"/>
        <v>293.33333333333582</v>
      </c>
      <c r="GE89" s="62">
        <f ca="1">AVERAGE(OFFSET($GD$3,0,0,'Données projet'!$E$17+1,1))-AVERAGE(OFFSET($H$3,0,0,'Données projet'!$E$17+1,1))</f>
        <v>292.57482726862594</v>
      </c>
      <c r="GF89" s="62">
        <f t="shared" si="104"/>
        <v>283.48738729114024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>
        <f>EXP(-LN(2)/35)*GL88+(1-EXP(-LN(2)/35))/(LN(2)/35)*GH89*GI89*VLOOKUP('Données projet'!$B$17,Paramètres!$A$1:$I$89,3,0)*0.475*44/12</f>
        <v>0</v>
      </c>
      <c r="GM89" s="23">
        <f>EXP(-LN(2)/25)*GM88+(1-EXP(-LN(2)/25))/(LN(2)/25)*Calculateur!GH89*Calculateur!GJ89*VLOOKUP('Données projet'!$B$17,Paramètres!$A$1:$I$89,3,0)*0.475*44/12</f>
        <v>0</v>
      </c>
      <c r="GN89" s="23">
        <f>EXP(-LN(2)/2)*GN88+(1-EXP(-LN(2)/2))/(LN(2)/2)*GH89*GK89*VLOOKUP('Données projet'!$B$17,Paramètres!$A$1:$I$89,3,0)*0.475*44/12</f>
        <v>0</v>
      </c>
      <c r="GO89" s="23">
        <f t="shared" si="81"/>
        <v>0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4.7435897435897463</v>
      </c>
      <c r="GU89" s="13">
        <f>IF('Données projet'!$A$270&gt;35,GU88+GT89-HC88,IF(A89&lt;'Données projet'!$A$270,$GR$205^A89,IF(A89='Données projet'!$A$270,'Données projet'!$B$270,GU88+GT89-HC88)))</f>
        <v>349.61538461538413</v>
      </c>
      <c r="GV89" s="18">
        <f>GU89*VLOOKUP('Données projet'!$B$18,Paramètres!$A$1:$I$89,3,0)*VLOOKUP('Données projet'!$B$18,Paramètres!$A$1:$I$89,5,0)</f>
        <v>234.52199999999968</v>
      </c>
      <c r="GW89" s="14">
        <f t="shared" si="105"/>
        <v>57.259332940538997</v>
      </c>
      <c r="GX89" s="22">
        <f t="shared" si="82"/>
        <v>508.18582153810485</v>
      </c>
      <c r="GY89" s="62">
        <f t="shared" si="83"/>
        <v>801.5191548714381</v>
      </c>
      <c r="GZ89" s="62">
        <f ca="1">AVERAGE(OFFSET($GY$3,0,0,'Données projet'!$E$18+1,1))-AVERAGE(OFFSET($H$3,0,0,'Données projet'!$E$18+1,1))</f>
        <v>410.20186800287411</v>
      </c>
      <c r="HA89" s="62">
        <f t="shared" si="106"/>
        <v>321.99347958016057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>
        <f>EXP(-LN(2)/35)*HG88+(1-EXP(-LN(2)/35))/(LN(2)/35)*HC89*HD89*VLOOKUP('Données projet'!$B$18,Paramètres!$A$1:$I$89,3,0)*0.475*44/12</f>
        <v>0</v>
      </c>
      <c r="HH89" s="23">
        <f>EXP(-LN(2)/25)*HH88+(1-EXP(-LN(2)/25))/(LN(2)/25)*Calculateur!HC89*Calculateur!HE89*VLOOKUP('Données projet'!$B$18,Paramètres!$A$1:$I$89,3,0)*0.475*44/12</f>
        <v>0</v>
      </c>
      <c r="HI89" s="23">
        <f>EXP(-LN(2)/2)*HI88+(1-EXP(-LN(2)/2))/(LN(2)/2)*HC89*HF89*VLOOKUP('Données projet'!$B$18,Paramètres!$A$1:$I$89,3,0)*0.475*44/12</f>
        <v>0</v>
      </c>
      <c r="HJ89" s="24">
        <f t="shared" si="84"/>
        <v>0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3.8</v>
      </c>
      <c r="N90" s="14">
        <f>IF('Données projet'!$A$36&gt;35,N89+M90-V89,IF(A90&lt;'Données projet'!$A$36,$K$205^A90,IF(A90='Données projet'!$A$36,'Données projet'!$B$36,N89+M90-V89)))</f>
        <v>346.60000000000008</v>
      </c>
      <c r="O90" s="14">
        <f>N90*VLOOKUP('Données projet'!$B$9,Paramètres!$A$1:$I$89,3,0)*VLOOKUP('Données projet'!$B$9,Paramètres!$A$1:$I$89,5,0)</f>
        <v>313.60368000000005</v>
      </c>
      <c r="P90" s="14">
        <f t="shared" si="87"/>
        <v>74.020915000501219</v>
      </c>
      <c r="Q90" s="22">
        <f t="shared" si="54"/>
        <v>675.11283629253967</v>
      </c>
      <c r="R90" s="62">
        <f t="shared" si="55"/>
        <v>968.44616962587293</v>
      </c>
      <c r="S90" s="62">
        <f ca="1">AVERAGE(OFFSET($R$3,0,0,'Données projet'!$E$9+1,1))-AVERAGE(OFFSET($H$3,0,0,'Données projet'!$E$9+1,1))</f>
        <v>509.56241660612449</v>
      </c>
      <c r="T90" s="62">
        <f t="shared" si="88"/>
        <v>278.21741231699929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3.8</v>
      </c>
      <c r="AI90" s="14">
        <f>IF('Données projet'!$A$62&gt;35,AI89+AH90-AQ89,IF(A90&lt;'Données projet'!$A$62,$AF$205^A90,IF(A90='Données projet'!$A$62,'Données projet'!$B$62,AI89+AH90-AQ89)))</f>
        <v>346.60000000000008</v>
      </c>
      <c r="AJ90" s="14">
        <f>AI90*VLOOKUP('Données projet'!$B$10,Paramètres!$A$1:$I$89,3,0)*VLOOKUP('Données projet'!$B$10,Paramètres!$A$1:$I$89,5,0)</f>
        <v>351.45240000000007</v>
      </c>
      <c r="AK90" s="14">
        <f t="shared" si="89"/>
        <v>81.861503365255544</v>
      </c>
      <c r="AL90" s="22">
        <f t="shared" si="58"/>
        <v>754.68838169448679</v>
      </c>
      <c r="AM90" s="62">
        <f t="shared" si="59"/>
        <v>1048.0217150278202</v>
      </c>
      <c r="AN90" s="62">
        <f ca="1">AVERAGE(OFFSET($AM$3,0,0,'Données projet'!$E$10+1,1))-AVERAGE(OFFSET($H$3,0,0,'Données projet'!$E$10+1,1))</f>
        <v>565.72091871734051</v>
      </c>
      <c r="AO90" s="62">
        <f t="shared" si="90"/>
        <v>306.61893266146666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-5.6843418860808015E-14</v>
      </c>
      <c r="BE90" s="14">
        <f>BD90*VLOOKUP('Données projet'!$B$11,Paramètres!$A$1:$I$89,3,0)*VLOOKUP('Données projet'!$B$11,Paramètres!$A$1:$I$89,5,0)</f>
        <v>-4.1677594708744434E-14</v>
      </c>
      <c r="BF90" s="14" t="e">
        <f t="shared" si="91"/>
        <v>#NUM!</v>
      </c>
      <c r="BG90" s="22" t="e">
        <f t="shared" si="61"/>
        <v>#NUM!</v>
      </c>
      <c r="BH90" s="62" t="e">
        <f t="shared" si="62"/>
        <v>#NUM!</v>
      </c>
      <c r="BI90" s="62">
        <f ca="1">AVERAGE(OFFSET($BH$3,0,0,'Données projet'!$E$11+1,1))-AVERAGE(OFFSET($H$3,0,0,'Données projet'!$E$11+1,1))</f>
        <v>344.26020118887629</v>
      </c>
      <c r="BJ90" s="62">
        <f t="shared" si="92"/>
        <v>376.41441893222185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3.8</v>
      </c>
      <c r="BY90" s="13">
        <f>IF('Données projet'!$A$114&gt;35,BY89+BX90-CG89,IF(A90&lt;'Données projet'!$A$114,$BV$205^A90,IF(A90='Données projet'!$A$114,'Données projet'!$B$114,BY89+BX90-CG89)))</f>
        <v>346.60000000000008</v>
      </c>
      <c r="BZ90" s="14">
        <f>BY90*VLOOKUP('Données projet'!$B$12,Paramètres!$A$1:$I$89,3,0)*VLOOKUP('Données projet'!$B$12,Paramètres!$A$1:$I$89,5,0)</f>
        <v>291.97584000000006</v>
      </c>
      <c r="CA90" s="14">
        <f t="shared" si="93"/>
        <v>69.491646273139779</v>
      </c>
      <c r="CB90" s="22">
        <f t="shared" si="64"/>
        <v>629.55587192571863</v>
      </c>
      <c r="CC90" s="62">
        <f t="shared" si="65"/>
        <v>922.88920525905201</v>
      </c>
      <c r="CD90" s="62">
        <f ca="1">AVERAGE(OFFSET($CC$3,0,0,'Données projet'!$E$12+1,1))-AVERAGE(OFFSET($H$3,0,0,'Données projet'!$E$12+1,1))</f>
        <v>477.4105367901771</v>
      </c>
      <c r="CE90" s="62">
        <f t="shared" si="94"/>
        <v>261.95434270986397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>
        <f>VLOOKUP(A90,'Données projet'!$A$139:$I$159,2,0)</f>
        <v>383.07692307692304</v>
      </c>
      <c r="CR90" s="13">
        <f>VLOOKUP(A90,'Données projet'!$A$139:$I$159,9,0)</f>
        <v>8.9743589743589727</v>
      </c>
      <c r="CS90" s="13">
        <f t="array" ref="CS90">INDEX(CR:CR,MIN(IF(ISNUMBER(CR90:CR286),ROW(CR90:CR286),"")))</f>
        <v>8.9743589743589727</v>
      </c>
      <c r="CT90" s="13">
        <f>IF('Données projet'!$A$140&gt;35,CT89+CS90-DB89,IF(A90&lt;'Données projet'!$A$140,$CQ$205^A90,IF(A90='Données projet'!$A$140,'Données projet'!$B$140,CT89+CS90-DB89)))</f>
        <v>383.07692307692258</v>
      </c>
      <c r="CU90" s="18">
        <f>CT90*VLOOKUP('Données projet'!$B$13,Paramètres!$A$1:$I$89,3,0)*VLOOKUP('Données projet'!$B$13,Paramètres!$A$1:$I$89,5,0)</f>
        <v>179.27999999999975</v>
      </c>
      <c r="CV90" s="14">
        <f t="shared" si="95"/>
        <v>45.161962084677604</v>
      </c>
      <c r="CW90" s="22">
        <f t="shared" si="67"/>
        <v>390.90308396414639</v>
      </c>
      <c r="CX90" s="62">
        <f t="shared" si="68"/>
        <v>684.23641729747965</v>
      </c>
      <c r="CY90" s="62">
        <f ca="1">AVERAGE(OFFSET($CX$3,0,0,'Données projet'!$E$13+1,1))-AVERAGE(OFFSET($H$3,0,0,'Données projet'!$E$13+1,1))</f>
        <v>246.64907095367749</v>
      </c>
      <c r="CZ90" s="62">
        <f t="shared" si="96"/>
        <v>145.34368562171613</v>
      </c>
      <c r="DA90" s="16">
        <f>IF(ISNA(VLOOKUP(A90,'Données projet'!$A$139:$I$159,3,0)),0,VLOOKUP(A90,'Données projet'!$A$139:$I$159,3,0))</f>
        <v>4</v>
      </c>
      <c r="DB90" s="16">
        <f>IF(ISNA(VLOOKUP(A90,'Données projet'!$A$139:$I$159,4,0)),0,VLOOKUP(A90,'Données projet'!$A$139:$I$159,4,0))</f>
        <v>83.076923076923038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-5.6843418860808015E-14</v>
      </c>
      <c r="DP90" s="18">
        <f>DO90*VLOOKUP('Données projet'!$B$14,Paramètres!$A$1:$I$89,3,0)*VLOOKUP('Données projet'!$B$14,Paramètres!$A$1:$I$89,5,0)</f>
        <v>-4.5224624045658861E-14</v>
      </c>
      <c r="DQ90" s="14" t="e">
        <f t="shared" si="97"/>
        <v>#NUM!</v>
      </c>
      <c r="DR90" s="22" t="e">
        <f t="shared" si="70"/>
        <v>#NUM!</v>
      </c>
      <c r="DS90" s="62" t="e">
        <f t="shared" si="71"/>
        <v>#NUM!</v>
      </c>
      <c r="DT90" s="62">
        <f ca="1">AVERAGE(OFFSET($DS$3,0,0,'Données projet'!$E$14+1,1))-AVERAGE(OFFSET($H$3,0,0,'Données projet'!$E$14+1,1))</f>
        <v>370.38521334472284</v>
      </c>
      <c r="DU90" s="62">
        <f t="shared" si="98"/>
        <v>404.61777090709171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11.5</v>
      </c>
      <c r="EJ90" s="13">
        <f>IF('Données projet'!$A$192&gt;35,EJ89+EI90-ER89,IF(A90&lt;'Données projet'!$A$192,$EG$205^A90,IF(A90='Données projet'!$A$192,'Données projet'!$B$192,EJ89+EI90-ER89)))</f>
        <v>454.49999999999966</v>
      </c>
      <c r="EK90" s="18">
        <f>EJ90*VLOOKUP('Données projet'!$B$15,Paramètres!$A$1:$I$89,3,0)*VLOOKUP('Données projet'!$B$15,Paramètres!$A$1:$I$89,5,0)</f>
        <v>389.96099999999973</v>
      </c>
      <c r="EL90" s="14">
        <f t="shared" si="99"/>
        <v>89.738411052819643</v>
      </c>
      <c r="EM90" s="22">
        <f t="shared" si="73"/>
        <v>835.47647425032699</v>
      </c>
      <c r="EN90" s="62">
        <f t="shared" si="74"/>
        <v>1128.8098075836604</v>
      </c>
      <c r="EO90" s="62">
        <f ca="1">AVERAGE(OFFSET($EN$3,0,0,'Données projet'!$E$15+1,1))-AVERAGE(OFFSET($H$3,0,0,'Données projet'!$E$15+1,1))</f>
        <v>445.81166342116865</v>
      </c>
      <c r="EP90" s="62">
        <f t="shared" si="100"/>
        <v>230.82970731138215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0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3.8</v>
      </c>
      <c r="FE90" s="13">
        <f>IF('Données projet'!$A$218&gt;35,FE89+FD90-FM89,IF(A90&lt;'Données projet'!$A$218,$FB$205^A90,IF(A90='Données projet'!$A$218,'Données projet'!$B$218,FE89+FD90-FM89)))</f>
        <v>346.60000000000008</v>
      </c>
      <c r="FF90" s="18">
        <f>FE90*VLOOKUP('Données projet'!$B$16,Paramètres!$A$1:$I$89,3,0)*VLOOKUP('Données projet'!$B$16,Paramètres!$A$1:$I$89,5,0)</f>
        <v>335.2315200000001</v>
      </c>
      <c r="FG90" s="14">
        <f t="shared" si="101"/>
        <v>78.513939864839429</v>
      </c>
      <c r="FH90" s="22">
        <f t="shared" si="76"/>
        <v>720.60667593126209</v>
      </c>
      <c r="FI90" s="62">
        <f t="shared" si="77"/>
        <v>1013.9400092645953</v>
      </c>
      <c r="FJ90" s="62">
        <f ca="1">AVERAGE(OFFSET($FI$3,0,0,'Données projet'!$E$16+1,1))-AVERAGE(OFFSET($H$3,0,0,'Données projet'!$E$16+1,1))</f>
        <v>541.66888676162716</v>
      </c>
      <c r="FK90" s="62">
        <f t="shared" si="102"/>
        <v>294.45557293177131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>
        <f>EXP(-LN(2)/35)*FQ89+(1-EXP(-LN(2)/35))/(LN(2)/35)*FM90*FN90*VLOOKUP('Données projet'!$B$16,Paramètres!$A$1:$I$89,3,0)*0.475*44/12</f>
        <v>0</v>
      </c>
      <c r="FR90" s="23">
        <f>EXP(-LN(2)/25)*FR89+(1-EXP(-LN(2)/25))/(LN(2)/25)*Calculateur!FM90*Calculateur!FO90*VLOOKUP('Données projet'!$B$16,Paramètres!$A$1:$I$89,3,0)*0.475*44/12</f>
        <v>0</v>
      </c>
      <c r="FS90" s="23">
        <f>EXP(-LN(2)/2)*FS89+(1-EXP(-LN(2)/2))/(LN(2)/2)*FM90*FP90*VLOOKUP('Données projet'!$B$16,Paramètres!$A$1:$I$89,3,0)*0.475*44/12</f>
        <v>0</v>
      </c>
      <c r="FT90" s="24">
        <f t="shared" si="78"/>
        <v>0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1.1368683772161603E-13</v>
      </c>
      <c r="GA90" s="18">
        <f>FZ90*VLOOKUP('Données projet'!$B$17,Paramètres!$A$1:$I$89,3,0)*VLOOKUP('Données projet'!$B$17,Paramètres!$A$1:$I$89,5,0)</f>
        <v>8.8675733422860506E-14</v>
      </c>
      <c r="GB90" s="14">
        <f t="shared" si="103"/>
        <v>1.3509285393066301E-12</v>
      </c>
      <c r="GC90" s="22">
        <f t="shared" si="79"/>
        <v>2.5073107750038623E-12</v>
      </c>
      <c r="GD90" s="62">
        <f t="shared" si="80"/>
        <v>293.33333333333582</v>
      </c>
      <c r="GE90" s="62">
        <f ca="1">AVERAGE(OFFSET($GD$3,0,0,'Données projet'!$E$17+1,1))-AVERAGE(OFFSET($H$3,0,0,'Données projet'!$E$17+1,1))</f>
        <v>292.57482726862594</v>
      </c>
      <c r="GF90" s="62">
        <f t="shared" si="104"/>
        <v>283.48738729114024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>
        <f>EXP(-LN(2)/35)*GL89+(1-EXP(-LN(2)/35))/(LN(2)/35)*GH90*GI90*VLOOKUP('Données projet'!$B$17,Paramètres!$A$1:$I$89,3,0)*0.475*44/12</f>
        <v>0</v>
      </c>
      <c r="GM90" s="23">
        <f>EXP(-LN(2)/25)*GM89+(1-EXP(-LN(2)/25))/(LN(2)/25)*Calculateur!GH90*Calculateur!GJ90*VLOOKUP('Données projet'!$B$17,Paramètres!$A$1:$I$89,3,0)*0.475*44/12</f>
        <v>0</v>
      </c>
      <c r="GN90" s="23">
        <f>EXP(-LN(2)/2)*GN89+(1-EXP(-LN(2)/2))/(LN(2)/2)*GH90*GK90*VLOOKUP('Données projet'!$B$17,Paramètres!$A$1:$I$89,3,0)*0.475*44/12</f>
        <v>0</v>
      </c>
      <c r="GO90" s="23">
        <f t="shared" si="81"/>
        <v>0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4.7435897435897463</v>
      </c>
      <c r="GU90" s="13">
        <f>IF('Données projet'!$A$270&gt;35,GU89+GT90-HC89,IF(A90&lt;'Données projet'!$A$270,$GR$205^A90,IF(A90='Données projet'!$A$270,'Données projet'!$B$270,GU89+GT90-HC89)))</f>
        <v>354.35897435897385</v>
      </c>
      <c r="GV90" s="18">
        <f>GU90*VLOOKUP('Données projet'!$B$18,Paramètres!$A$1:$I$89,3,0)*VLOOKUP('Données projet'!$B$18,Paramètres!$A$1:$I$89,5,0)</f>
        <v>237.70399999999967</v>
      </c>
      <c r="GW90" s="14">
        <f t="shared" si="105"/>
        <v>57.945258866462957</v>
      </c>
      <c r="GX90" s="22">
        <f t="shared" si="82"/>
        <v>514.92245919242237</v>
      </c>
      <c r="GY90" s="62">
        <f t="shared" si="83"/>
        <v>808.25579252575562</v>
      </c>
      <c r="GZ90" s="62">
        <f ca="1">AVERAGE(OFFSET($GY$3,0,0,'Données projet'!$E$18+1,1))-AVERAGE(OFFSET($H$3,0,0,'Données projet'!$E$18+1,1))</f>
        <v>410.20186800287411</v>
      </c>
      <c r="HA90" s="62">
        <f t="shared" si="106"/>
        <v>321.99347958016057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>
        <f>EXP(-LN(2)/35)*HG89+(1-EXP(-LN(2)/35))/(LN(2)/35)*HC90*HD90*VLOOKUP('Données projet'!$B$18,Paramètres!$A$1:$I$89,3,0)*0.475*44/12</f>
        <v>0</v>
      </c>
      <c r="HH90" s="23">
        <f>EXP(-LN(2)/25)*HH89+(1-EXP(-LN(2)/25))/(LN(2)/25)*Calculateur!HC90*Calculateur!HE90*VLOOKUP('Données projet'!$B$18,Paramètres!$A$1:$I$89,3,0)*0.475*44/12</f>
        <v>0</v>
      </c>
      <c r="HI90" s="23">
        <f>EXP(-LN(2)/2)*HI89+(1-EXP(-LN(2)/2))/(LN(2)/2)*HC90*HF90*VLOOKUP('Données projet'!$B$18,Paramètres!$A$1:$I$89,3,0)*0.475*44/12</f>
        <v>0</v>
      </c>
      <c r="HJ90" s="24">
        <f t="shared" si="84"/>
        <v>0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3.8</v>
      </c>
      <c r="N91" s="14">
        <f>IF('Données projet'!$A$36&gt;35,N90+M91-V90,IF(A91&lt;'Données projet'!$A$36,$K$205^A91,IF(A91='Données projet'!$A$36,'Données projet'!$B$36,N90+M91-V90)))</f>
        <v>350.40000000000009</v>
      </c>
      <c r="O91" s="14">
        <f>N91*VLOOKUP('Données projet'!$B$9,Paramètres!$A$1:$I$89,3,0)*VLOOKUP('Données projet'!$B$9,Paramètres!$A$1:$I$89,5,0)</f>
        <v>317.04192000000006</v>
      </c>
      <c r="P91" s="14">
        <f t="shared" si="87"/>
        <v>74.73753531397945</v>
      </c>
      <c r="Q91" s="22">
        <f t="shared" si="54"/>
        <v>682.34921800518089</v>
      </c>
      <c r="R91" s="62">
        <f t="shared" si="55"/>
        <v>975.68255133851426</v>
      </c>
      <c r="S91" s="62">
        <f ca="1">AVERAGE(OFFSET($R$3,0,0,'Données projet'!$E$9+1,1))-AVERAGE(OFFSET($H$3,0,0,'Données projet'!$E$9+1,1))</f>
        <v>509.56241660612449</v>
      </c>
      <c r="T91" s="62">
        <f t="shared" si="88"/>
        <v>278.21741231699929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3.8</v>
      </c>
      <c r="AI91" s="14">
        <f>IF('Données projet'!$A$62&gt;35,AI90+AH91-AQ90,IF(A91&lt;'Données projet'!$A$62,$AF$205^A91,IF(A91='Données projet'!$A$62,'Données projet'!$B$62,AI90+AH91-AQ90)))</f>
        <v>350.40000000000009</v>
      </c>
      <c r="AJ91" s="14">
        <f>AI91*VLOOKUP('Données projet'!$B$10,Paramètres!$A$1:$I$89,3,0)*VLOOKUP('Données projet'!$B$10,Paramètres!$A$1:$I$89,5,0)</f>
        <v>355.30560000000014</v>
      </c>
      <c r="AK91" s="14">
        <f t="shared" si="89"/>
        <v>82.654030939428409</v>
      </c>
      <c r="AL91" s="22">
        <f t="shared" si="58"/>
        <v>762.77969055283802</v>
      </c>
      <c r="AM91" s="62">
        <f t="shared" si="59"/>
        <v>1056.1130238861713</v>
      </c>
      <c r="AN91" s="62">
        <f ca="1">AVERAGE(OFFSET($AM$3,0,0,'Données projet'!$E$10+1,1))-AVERAGE(OFFSET($H$3,0,0,'Données projet'!$E$10+1,1))</f>
        <v>565.72091871734051</v>
      </c>
      <c r="AO91" s="62">
        <f t="shared" si="90"/>
        <v>306.61893266146666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-5.6843418860808015E-14</v>
      </c>
      <c r="BE91" s="14">
        <f>BD91*VLOOKUP('Données projet'!$B$11,Paramètres!$A$1:$I$89,3,0)*VLOOKUP('Données projet'!$B$11,Paramètres!$A$1:$I$89,5,0)</f>
        <v>-4.1677594708744434E-14</v>
      </c>
      <c r="BF91" s="14" t="e">
        <f t="shared" si="91"/>
        <v>#NUM!</v>
      </c>
      <c r="BG91" s="22" t="e">
        <f t="shared" si="61"/>
        <v>#NUM!</v>
      </c>
      <c r="BH91" s="62" t="e">
        <f t="shared" si="62"/>
        <v>#NUM!</v>
      </c>
      <c r="BI91" s="62">
        <f ca="1">AVERAGE(OFFSET($BH$3,0,0,'Données projet'!$E$11+1,1))-AVERAGE(OFFSET($H$3,0,0,'Données projet'!$E$11+1,1))</f>
        <v>344.26020118887629</v>
      </c>
      <c r="BJ91" s="62">
        <f t="shared" si="92"/>
        <v>376.41441893222185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3.8</v>
      </c>
      <c r="BY91" s="13">
        <f>IF('Données projet'!$A$114&gt;35,BY90+BX91-CG90,IF(A91&lt;'Données projet'!$A$114,$BV$205^A91,IF(A91='Données projet'!$A$114,'Données projet'!$B$114,BY90+BX91-CG90)))</f>
        <v>350.40000000000009</v>
      </c>
      <c r="BZ91" s="14">
        <f>BY91*VLOOKUP('Données projet'!$B$12,Paramètres!$A$1:$I$89,3,0)*VLOOKUP('Données projet'!$B$12,Paramètres!$A$1:$I$89,5,0)</f>
        <v>295.17696000000012</v>
      </c>
      <c r="CA91" s="14">
        <f t="shared" si="93"/>
        <v>70.164417277605793</v>
      </c>
      <c r="CB91" s="22">
        <f t="shared" si="64"/>
        <v>636.30289875849701</v>
      </c>
      <c r="CC91" s="62">
        <f t="shared" si="65"/>
        <v>929.63623209183038</v>
      </c>
      <c r="CD91" s="62">
        <f ca="1">AVERAGE(OFFSET($CC$3,0,0,'Données projet'!$E$12+1,1))-AVERAGE(OFFSET($H$3,0,0,'Données projet'!$E$12+1,1))</f>
        <v>477.4105367901771</v>
      </c>
      <c r="CE91" s="62">
        <f t="shared" si="94"/>
        <v>261.95434270986397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8.1410256410256405</v>
      </c>
      <c r="CT91" s="13">
        <f>IF('Données projet'!$A$140&gt;35,CT90+CS91-DB90,IF(A91&lt;'Données projet'!$A$140,$CQ$205^A91,IF(A91='Données projet'!$A$140,'Données projet'!$B$140,CT90+CS91-DB90)))</f>
        <v>308.14102564102518</v>
      </c>
      <c r="CU91" s="18">
        <f>CT91*VLOOKUP('Données projet'!$B$13,Paramètres!$A$1:$I$89,3,0)*VLOOKUP('Données projet'!$B$13,Paramètres!$A$1:$I$89,5,0)</f>
        <v>144.20999999999978</v>
      </c>
      <c r="CV91" s="14">
        <f t="shared" si="95"/>
        <v>37.259788027931044</v>
      </c>
      <c r="CW91" s="22">
        <f t="shared" si="67"/>
        <v>316.05988081531285</v>
      </c>
      <c r="CX91" s="62">
        <f t="shared" si="68"/>
        <v>609.39321414864617</v>
      </c>
      <c r="CY91" s="62">
        <f ca="1">AVERAGE(OFFSET($CX$3,0,0,'Données projet'!$E$13+1,1))-AVERAGE(OFFSET($H$3,0,0,'Données projet'!$E$13+1,1))</f>
        <v>246.64907095367749</v>
      </c>
      <c r="CZ91" s="62">
        <f t="shared" si="96"/>
        <v>145.34368562171613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-5.6843418860808015E-14</v>
      </c>
      <c r="DP91" s="18">
        <f>DO91*VLOOKUP('Données projet'!$B$14,Paramètres!$A$1:$I$89,3,0)*VLOOKUP('Données projet'!$B$14,Paramètres!$A$1:$I$89,5,0)</f>
        <v>-4.5224624045658861E-14</v>
      </c>
      <c r="DQ91" s="14" t="e">
        <f t="shared" si="97"/>
        <v>#NUM!</v>
      </c>
      <c r="DR91" s="22" t="e">
        <f t="shared" si="70"/>
        <v>#NUM!</v>
      </c>
      <c r="DS91" s="62" t="e">
        <f t="shared" si="71"/>
        <v>#NUM!</v>
      </c>
      <c r="DT91" s="62">
        <f ca="1">AVERAGE(OFFSET($DS$3,0,0,'Données projet'!$E$14+1,1))-AVERAGE(OFFSET($H$3,0,0,'Données projet'!$E$14+1,1))</f>
        <v>370.38521334472284</v>
      </c>
      <c r="DU91" s="62">
        <f t="shared" si="98"/>
        <v>404.61777090709171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11.5</v>
      </c>
      <c r="EJ91" s="13">
        <f>IF('Données projet'!$A$192&gt;35,EJ90+EI91-ER90,IF(A91&lt;'Données projet'!$A$192,$EG$205^A91,IF(A91='Données projet'!$A$192,'Données projet'!$B$192,EJ90+EI91-ER90)))</f>
        <v>465.99999999999966</v>
      </c>
      <c r="EK91" s="18">
        <f>EJ91*VLOOKUP('Données projet'!$B$15,Paramètres!$A$1:$I$89,3,0)*VLOOKUP('Données projet'!$B$15,Paramètres!$A$1:$I$89,5,0)</f>
        <v>399.82799999999975</v>
      </c>
      <c r="EL91" s="14">
        <f t="shared" si="99"/>
        <v>91.741793988042701</v>
      </c>
      <c r="EM91" s="22">
        <f t="shared" si="73"/>
        <v>856.15072452917377</v>
      </c>
      <c r="EN91" s="62">
        <f t="shared" si="74"/>
        <v>1149.4840578625071</v>
      </c>
      <c r="EO91" s="62">
        <f ca="1">AVERAGE(OFFSET($EN$3,0,0,'Données projet'!$E$15+1,1))-AVERAGE(OFFSET($H$3,0,0,'Données projet'!$E$15+1,1))</f>
        <v>445.81166342116865</v>
      </c>
      <c r="EP91" s="62">
        <f t="shared" si="100"/>
        <v>230.82970731138215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0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3.8</v>
      </c>
      <c r="FE91" s="13">
        <f>IF('Données projet'!$A$218&gt;35,FE90+FD91-FM90,IF(A91&lt;'Données projet'!$A$218,$FB$205^A91,IF(A91='Données projet'!$A$218,'Données projet'!$B$218,FE90+FD91-FM90)))</f>
        <v>350.40000000000009</v>
      </c>
      <c r="FF91" s="18">
        <f>FE91*VLOOKUP('Données projet'!$B$16,Paramètres!$A$1:$I$89,3,0)*VLOOKUP('Données projet'!$B$16,Paramètres!$A$1:$I$89,5,0)</f>
        <v>338.90688000000006</v>
      </c>
      <c r="FG91" s="14">
        <f t="shared" si="101"/>
        <v>79.274058598821114</v>
      </c>
      <c r="FH91" s="22">
        <f t="shared" si="76"/>
        <v>728.33180139294689</v>
      </c>
      <c r="FI91" s="62">
        <f t="shared" si="77"/>
        <v>1021.6651347262803</v>
      </c>
      <c r="FJ91" s="62">
        <f ca="1">AVERAGE(OFFSET($FI$3,0,0,'Données projet'!$E$16+1,1))-AVERAGE(OFFSET($H$3,0,0,'Données projet'!$E$16+1,1))</f>
        <v>541.66888676162716</v>
      </c>
      <c r="FK91" s="62">
        <f t="shared" si="102"/>
        <v>294.45557293177131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>
        <f>EXP(-LN(2)/35)*FQ90+(1-EXP(-LN(2)/35))/(LN(2)/35)*FM91*FN91*VLOOKUP('Données projet'!$B$16,Paramètres!$A$1:$I$89,3,0)*0.475*44/12</f>
        <v>0</v>
      </c>
      <c r="FR91" s="23">
        <f>EXP(-LN(2)/25)*FR90+(1-EXP(-LN(2)/25))/(LN(2)/25)*Calculateur!FM91*Calculateur!FO91*VLOOKUP('Données projet'!$B$16,Paramètres!$A$1:$I$89,3,0)*0.475*44/12</f>
        <v>0</v>
      </c>
      <c r="FS91" s="23">
        <f>EXP(-LN(2)/2)*FS90+(1-EXP(-LN(2)/2))/(LN(2)/2)*FM91*FP91*VLOOKUP('Données projet'!$B$16,Paramètres!$A$1:$I$89,3,0)*0.475*44/12</f>
        <v>0</v>
      </c>
      <c r="FT91" s="24">
        <f t="shared" si="78"/>
        <v>0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1.1368683772161603E-13</v>
      </c>
      <c r="GA91" s="18">
        <f>FZ91*VLOOKUP('Données projet'!$B$17,Paramètres!$A$1:$I$89,3,0)*VLOOKUP('Données projet'!$B$17,Paramètres!$A$1:$I$89,5,0)</f>
        <v>8.8675733422860506E-14</v>
      </c>
      <c r="GB91" s="14">
        <f t="shared" si="103"/>
        <v>1.3509285393066301E-12</v>
      </c>
      <c r="GC91" s="22">
        <f t="shared" si="79"/>
        <v>2.5073107750038623E-12</v>
      </c>
      <c r="GD91" s="62">
        <f t="shared" si="80"/>
        <v>293.33333333333582</v>
      </c>
      <c r="GE91" s="62">
        <f ca="1">AVERAGE(OFFSET($GD$3,0,0,'Données projet'!$E$17+1,1))-AVERAGE(OFFSET($H$3,0,0,'Données projet'!$E$17+1,1))</f>
        <v>292.57482726862594</v>
      </c>
      <c r="GF91" s="62">
        <f t="shared" si="104"/>
        <v>283.48738729114024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>
        <f>EXP(-LN(2)/35)*GL90+(1-EXP(-LN(2)/35))/(LN(2)/35)*GH91*GI91*VLOOKUP('Données projet'!$B$17,Paramètres!$A$1:$I$89,3,0)*0.475*44/12</f>
        <v>0</v>
      </c>
      <c r="GM91" s="23">
        <f>EXP(-LN(2)/25)*GM90+(1-EXP(-LN(2)/25))/(LN(2)/25)*Calculateur!GH91*Calculateur!GJ91*VLOOKUP('Données projet'!$B$17,Paramètres!$A$1:$I$89,3,0)*0.475*44/12</f>
        <v>0</v>
      </c>
      <c r="GN91" s="23">
        <f>EXP(-LN(2)/2)*GN90+(1-EXP(-LN(2)/2))/(LN(2)/2)*GH91*GK91*VLOOKUP('Données projet'!$B$17,Paramètres!$A$1:$I$89,3,0)*0.475*44/12</f>
        <v>0</v>
      </c>
      <c r="GO91" s="23">
        <f t="shared" si="81"/>
        <v>0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4.7435897435897463</v>
      </c>
      <c r="GU91" s="13">
        <f>IF('Données projet'!$A$270&gt;35,GU90+GT91-HC90,IF(A91&lt;'Données projet'!$A$270,$GR$205^A91,IF(A91='Données projet'!$A$270,'Données projet'!$B$270,GU90+GT91-HC90)))</f>
        <v>359.10256410256358</v>
      </c>
      <c r="GV91" s="18">
        <f>GU91*VLOOKUP('Données projet'!$B$18,Paramètres!$A$1:$I$89,3,0)*VLOOKUP('Données projet'!$B$18,Paramètres!$A$1:$I$89,5,0)</f>
        <v>240.88599999999965</v>
      </c>
      <c r="GW91" s="14">
        <f t="shared" si="105"/>
        <v>58.630116797214335</v>
      </c>
      <c r="GX91" s="22">
        <f t="shared" si="82"/>
        <v>521.65723675514766</v>
      </c>
      <c r="GY91" s="62">
        <f t="shared" si="83"/>
        <v>814.99057008848104</v>
      </c>
      <c r="GZ91" s="62">
        <f ca="1">AVERAGE(OFFSET($GY$3,0,0,'Données projet'!$E$18+1,1))-AVERAGE(OFFSET($H$3,0,0,'Données projet'!$E$18+1,1))</f>
        <v>410.20186800287411</v>
      </c>
      <c r="HA91" s="62">
        <f t="shared" si="106"/>
        <v>321.99347958016057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>
        <f>EXP(-LN(2)/35)*HG90+(1-EXP(-LN(2)/35))/(LN(2)/35)*HC91*HD91*VLOOKUP('Données projet'!$B$18,Paramètres!$A$1:$I$89,3,0)*0.475*44/12</f>
        <v>0</v>
      </c>
      <c r="HH91" s="23">
        <f>EXP(-LN(2)/25)*HH90+(1-EXP(-LN(2)/25))/(LN(2)/25)*Calculateur!HC91*Calculateur!HE91*VLOOKUP('Données projet'!$B$18,Paramètres!$A$1:$I$89,3,0)*0.475*44/12</f>
        <v>0</v>
      </c>
      <c r="HI91" s="23">
        <f>EXP(-LN(2)/2)*HI90+(1-EXP(-LN(2)/2))/(LN(2)/2)*HC91*HF91*VLOOKUP('Données projet'!$B$18,Paramètres!$A$1:$I$89,3,0)*0.475*44/12</f>
        <v>0</v>
      </c>
      <c r="HJ91" s="24">
        <f t="shared" si="84"/>
        <v>0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3.8</v>
      </c>
      <c r="N92" s="14">
        <f>IF('Données projet'!$A$36&gt;35,N91+M92-V91,IF(A92&lt;'Données projet'!$A$36,$K$205^A92,IF(A92='Données projet'!$A$36,'Données projet'!$B$36,N91+M92-V91)))</f>
        <v>354.2000000000001</v>
      </c>
      <c r="O92" s="14">
        <f>N92*VLOOKUP('Données projet'!$B$9,Paramètres!$A$1:$I$89,3,0)*VLOOKUP('Données projet'!$B$9,Paramètres!$A$1:$I$89,5,0)</f>
        <v>320.48016000000007</v>
      </c>
      <c r="P92" s="14">
        <f t="shared" si="87"/>
        <v>75.453251568997672</v>
      </c>
      <c r="Q92" s="22">
        <f t="shared" si="54"/>
        <v>689.58402514933766</v>
      </c>
      <c r="R92" s="62">
        <f t="shared" si="55"/>
        <v>982.91735848267103</v>
      </c>
      <c r="S92" s="62">
        <f ca="1">AVERAGE(OFFSET($R$3,0,0,'Données projet'!$E$9+1,1))-AVERAGE(OFFSET($H$3,0,0,'Données projet'!$E$9+1,1))</f>
        <v>509.56241660612449</v>
      </c>
      <c r="T92" s="62">
        <f t="shared" si="88"/>
        <v>278.21741231699929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3.8</v>
      </c>
      <c r="AI92" s="14">
        <f>IF('Données projet'!$A$62&gt;35,AI91+AH92-AQ91,IF(A92&lt;'Données projet'!$A$62,$AF$205^A92,IF(A92='Données projet'!$A$62,'Données projet'!$B$62,AI91+AH92-AQ91)))</f>
        <v>354.2000000000001</v>
      </c>
      <c r="AJ92" s="14">
        <f>AI92*VLOOKUP('Données projet'!$B$10,Paramètres!$A$1:$I$89,3,0)*VLOOKUP('Données projet'!$B$10,Paramètres!$A$1:$I$89,5,0)</f>
        <v>359.15880000000016</v>
      </c>
      <c r="AK92" s="14">
        <f t="shared" si="89"/>
        <v>83.445558693690174</v>
      </c>
      <c r="AL92" s="22">
        <f t="shared" si="58"/>
        <v>770.86925805817725</v>
      </c>
      <c r="AM92" s="62">
        <f t="shared" si="59"/>
        <v>1064.2025913915106</v>
      </c>
      <c r="AN92" s="62">
        <f ca="1">AVERAGE(OFFSET($AM$3,0,0,'Données projet'!$E$10+1,1))-AVERAGE(OFFSET($H$3,0,0,'Données projet'!$E$10+1,1))</f>
        <v>565.72091871734051</v>
      </c>
      <c r="AO92" s="62">
        <f t="shared" si="90"/>
        <v>306.61893266146666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-5.6843418860808015E-14</v>
      </c>
      <c r="BE92" s="14">
        <f>BD92*VLOOKUP('Données projet'!$B$11,Paramètres!$A$1:$I$89,3,0)*VLOOKUP('Données projet'!$B$11,Paramètres!$A$1:$I$89,5,0)</f>
        <v>-4.1677594708744434E-14</v>
      </c>
      <c r="BF92" s="14" t="e">
        <f t="shared" si="91"/>
        <v>#NUM!</v>
      </c>
      <c r="BG92" s="22" t="e">
        <f t="shared" si="61"/>
        <v>#NUM!</v>
      </c>
      <c r="BH92" s="62" t="e">
        <f t="shared" si="62"/>
        <v>#NUM!</v>
      </c>
      <c r="BI92" s="62">
        <f ca="1">AVERAGE(OFFSET($BH$3,0,0,'Données projet'!$E$11+1,1))-AVERAGE(OFFSET($H$3,0,0,'Données projet'!$E$11+1,1))</f>
        <v>344.26020118887629</v>
      </c>
      <c r="BJ92" s="62">
        <f t="shared" si="92"/>
        <v>376.41441893222185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3.8</v>
      </c>
      <c r="BY92" s="13">
        <f>IF('Données projet'!$A$114&gt;35,BY91+BX92-CG91,IF(A92&lt;'Données projet'!$A$114,$BV$205^A92,IF(A92='Données projet'!$A$114,'Données projet'!$B$114,BY91+BX92-CG91)))</f>
        <v>354.2000000000001</v>
      </c>
      <c r="BZ92" s="14">
        <f>BY92*VLOOKUP('Données projet'!$B$12,Paramètres!$A$1:$I$89,3,0)*VLOOKUP('Données projet'!$B$12,Paramètres!$A$1:$I$89,5,0)</f>
        <v>298.37808000000012</v>
      </c>
      <c r="CA92" s="14">
        <f t="shared" si="93"/>
        <v>70.836339542080978</v>
      </c>
      <c r="CB92" s="22">
        <f t="shared" si="64"/>
        <v>643.04844736912457</v>
      </c>
      <c r="CC92" s="62">
        <f t="shared" si="65"/>
        <v>936.38178070245795</v>
      </c>
      <c r="CD92" s="62">
        <f ca="1">AVERAGE(OFFSET($CC$3,0,0,'Données projet'!$E$12+1,1))-AVERAGE(OFFSET($H$3,0,0,'Données projet'!$E$12+1,1))</f>
        <v>477.4105367901771</v>
      </c>
      <c r="CE92" s="62">
        <f t="shared" si="94"/>
        <v>261.95434270986397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8.1410256410256405</v>
      </c>
      <c r="CT92" s="13">
        <f>IF('Données projet'!$A$140&gt;35,CT91+CS92-DB91,IF(A92&lt;'Données projet'!$A$140,$CQ$205^A92,IF(A92='Données projet'!$A$140,'Données projet'!$B$140,CT91+CS92-DB91)))</f>
        <v>316.28205128205082</v>
      </c>
      <c r="CU92" s="18">
        <f>CT92*VLOOKUP('Données projet'!$B$13,Paramètres!$A$1:$I$89,3,0)*VLOOKUP('Données projet'!$B$13,Paramètres!$A$1:$I$89,5,0)</f>
        <v>148.01999999999978</v>
      </c>
      <c r="CV92" s="14">
        <f t="shared" si="95"/>
        <v>38.12827612701787</v>
      </c>
      <c r="CW92" s="22">
        <f t="shared" si="67"/>
        <v>324.20824758788905</v>
      </c>
      <c r="CX92" s="62">
        <f t="shared" si="68"/>
        <v>617.54158092122236</v>
      </c>
      <c r="CY92" s="62">
        <f ca="1">AVERAGE(OFFSET($CX$3,0,0,'Données projet'!$E$13+1,1))-AVERAGE(OFFSET($H$3,0,0,'Données projet'!$E$13+1,1))</f>
        <v>246.64907095367749</v>
      </c>
      <c r="CZ92" s="62">
        <f t="shared" si="96"/>
        <v>145.34368562171613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-5.6843418860808015E-14</v>
      </c>
      <c r="DP92" s="18">
        <f>DO92*VLOOKUP('Données projet'!$B$14,Paramètres!$A$1:$I$89,3,0)*VLOOKUP('Données projet'!$B$14,Paramètres!$A$1:$I$89,5,0)</f>
        <v>-4.5224624045658861E-14</v>
      </c>
      <c r="DQ92" s="14" t="e">
        <f t="shared" si="97"/>
        <v>#NUM!</v>
      </c>
      <c r="DR92" s="22" t="e">
        <f t="shared" si="70"/>
        <v>#NUM!</v>
      </c>
      <c r="DS92" s="62" t="e">
        <f t="shared" si="71"/>
        <v>#NUM!</v>
      </c>
      <c r="DT92" s="62">
        <f ca="1">AVERAGE(OFFSET($DS$3,0,0,'Données projet'!$E$14+1,1))-AVERAGE(OFFSET($H$3,0,0,'Données projet'!$E$14+1,1))</f>
        <v>370.38521334472284</v>
      </c>
      <c r="DU92" s="62">
        <f t="shared" si="98"/>
        <v>404.61777090709171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11.5</v>
      </c>
      <c r="EJ92" s="13">
        <f>IF('Données projet'!$A$192&gt;35,EJ91+EI92-ER91,IF(A92&lt;'Données projet'!$A$192,$EG$205^A92,IF(A92='Données projet'!$A$192,'Données projet'!$B$192,EJ91+EI92-ER91)))</f>
        <v>477.49999999999966</v>
      </c>
      <c r="EK92" s="18">
        <f>EJ92*VLOOKUP('Données projet'!$B$15,Paramètres!$A$1:$I$89,3,0)*VLOOKUP('Données projet'!$B$15,Paramètres!$A$1:$I$89,5,0)</f>
        <v>409.69499999999977</v>
      </c>
      <c r="EL92" s="14">
        <f t="shared" si="99"/>
        <v>93.739429782288525</v>
      </c>
      <c r="EM92" s="22">
        <f t="shared" si="73"/>
        <v>876.81496520415214</v>
      </c>
      <c r="EN92" s="62">
        <f t="shared" si="74"/>
        <v>1170.1482985374855</v>
      </c>
      <c r="EO92" s="62">
        <f ca="1">AVERAGE(OFFSET($EN$3,0,0,'Données projet'!$E$15+1,1))-AVERAGE(OFFSET($H$3,0,0,'Données projet'!$E$15+1,1))</f>
        <v>445.81166342116865</v>
      </c>
      <c r="EP92" s="62">
        <f t="shared" si="100"/>
        <v>230.82970731138215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0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3.8</v>
      </c>
      <c r="FE92" s="13">
        <f>IF('Données projet'!$A$218&gt;35,FE91+FD92-FM91,IF(A92&lt;'Données projet'!$A$218,$FB$205^A92,IF(A92='Données projet'!$A$218,'Données projet'!$B$218,FE91+FD92-FM91)))</f>
        <v>354.2000000000001</v>
      </c>
      <c r="FF92" s="18">
        <f>FE92*VLOOKUP('Données projet'!$B$16,Paramètres!$A$1:$I$89,3,0)*VLOOKUP('Données projet'!$B$16,Paramètres!$A$1:$I$89,5,0)</f>
        <v>342.58224000000013</v>
      </c>
      <c r="FG92" s="14">
        <f t="shared" si="101"/>
        <v>80.033218398540058</v>
      </c>
      <c r="FH92" s="22">
        <f t="shared" si="76"/>
        <v>736.05525671079067</v>
      </c>
      <c r="FI92" s="62">
        <f t="shared" si="77"/>
        <v>1029.3885900441239</v>
      </c>
      <c r="FJ92" s="62">
        <f ca="1">AVERAGE(OFFSET($FI$3,0,0,'Données projet'!$E$16+1,1))-AVERAGE(OFFSET($H$3,0,0,'Données projet'!$E$16+1,1))</f>
        <v>541.66888676162716</v>
      </c>
      <c r="FK92" s="62">
        <f t="shared" si="102"/>
        <v>294.45557293177131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>
        <f>EXP(-LN(2)/35)*FQ91+(1-EXP(-LN(2)/35))/(LN(2)/35)*FM92*FN92*VLOOKUP('Données projet'!$B$16,Paramètres!$A$1:$I$89,3,0)*0.475*44/12</f>
        <v>0</v>
      </c>
      <c r="FR92" s="23">
        <f>EXP(-LN(2)/25)*FR91+(1-EXP(-LN(2)/25))/(LN(2)/25)*Calculateur!FM92*Calculateur!FO92*VLOOKUP('Données projet'!$B$16,Paramètres!$A$1:$I$89,3,0)*0.475*44/12</f>
        <v>0</v>
      </c>
      <c r="FS92" s="23">
        <f>EXP(-LN(2)/2)*FS91+(1-EXP(-LN(2)/2))/(LN(2)/2)*FM92*FP92*VLOOKUP('Données projet'!$B$16,Paramètres!$A$1:$I$89,3,0)*0.475*44/12</f>
        <v>0</v>
      </c>
      <c r="FT92" s="24">
        <f t="shared" si="78"/>
        <v>0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1.1368683772161603E-13</v>
      </c>
      <c r="GA92" s="18">
        <f>FZ92*VLOOKUP('Données projet'!$B$17,Paramètres!$A$1:$I$89,3,0)*VLOOKUP('Données projet'!$B$17,Paramètres!$A$1:$I$89,5,0)</f>
        <v>8.8675733422860506E-14</v>
      </c>
      <c r="GB92" s="14">
        <f t="shared" si="103"/>
        <v>1.3509285393066301E-12</v>
      </c>
      <c r="GC92" s="22">
        <f t="shared" si="79"/>
        <v>2.5073107750038623E-12</v>
      </c>
      <c r="GD92" s="62">
        <f t="shared" si="80"/>
        <v>293.33333333333582</v>
      </c>
      <c r="GE92" s="62">
        <f ca="1">AVERAGE(OFFSET($GD$3,0,0,'Données projet'!$E$17+1,1))-AVERAGE(OFFSET($H$3,0,0,'Données projet'!$E$17+1,1))</f>
        <v>292.57482726862594</v>
      </c>
      <c r="GF92" s="62">
        <f t="shared" si="104"/>
        <v>283.48738729114024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>
        <f>EXP(-LN(2)/35)*GL91+(1-EXP(-LN(2)/35))/(LN(2)/35)*GH92*GI92*VLOOKUP('Données projet'!$B$17,Paramètres!$A$1:$I$89,3,0)*0.475*44/12</f>
        <v>0</v>
      </c>
      <c r="GM92" s="23">
        <f>EXP(-LN(2)/25)*GM91+(1-EXP(-LN(2)/25))/(LN(2)/25)*Calculateur!GH92*Calculateur!GJ92*VLOOKUP('Données projet'!$B$17,Paramètres!$A$1:$I$89,3,0)*0.475*44/12</f>
        <v>0</v>
      </c>
      <c r="GN92" s="23">
        <f>EXP(-LN(2)/2)*GN91+(1-EXP(-LN(2)/2))/(LN(2)/2)*GH92*GK92*VLOOKUP('Données projet'!$B$17,Paramètres!$A$1:$I$89,3,0)*0.475*44/12</f>
        <v>0</v>
      </c>
      <c r="GO92" s="23">
        <f t="shared" si="81"/>
        <v>0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4.7435897435897463</v>
      </c>
      <c r="GU92" s="13">
        <f>IF('Données projet'!$A$270&gt;35,GU91+GT92-HC91,IF(A92&lt;'Données projet'!$A$270,$GR$205^A92,IF(A92='Données projet'!$A$270,'Données projet'!$B$270,GU91+GT92-HC91)))</f>
        <v>363.8461538461533</v>
      </c>
      <c r="GV92" s="18">
        <f>GU92*VLOOKUP('Données projet'!$B$18,Paramètres!$A$1:$I$89,3,0)*VLOOKUP('Données projet'!$B$18,Paramètres!$A$1:$I$89,5,0)</f>
        <v>244.06799999999964</v>
      </c>
      <c r="GW92" s="14">
        <f t="shared" si="105"/>
        <v>59.313922471509116</v>
      </c>
      <c r="GX92" s="22">
        <f t="shared" si="82"/>
        <v>528.39018163787762</v>
      </c>
      <c r="GY92" s="62">
        <f t="shared" si="83"/>
        <v>821.72351497121099</v>
      </c>
      <c r="GZ92" s="62">
        <f ca="1">AVERAGE(OFFSET($GY$3,0,0,'Données projet'!$E$18+1,1))-AVERAGE(OFFSET($H$3,0,0,'Données projet'!$E$18+1,1))</f>
        <v>410.20186800287411</v>
      </c>
      <c r="HA92" s="62">
        <f t="shared" si="106"/>
        <v>321.99347958016057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>
        <f>EXP(-LN(2)/35)*HG91+(1-EXP(-LN(2)/35))/(LN(2)/35)*HC92*HD92*VLOOKUP('Données projet'!$B$18,Paramètres!$A$1:$I$89,3,0)*0.475*44/12</f>
        <v>0</v>
      </c>
      <c r="HH92" s="23">
        <f>EXP(-LN(2)/25)*HH91+(1-EXP(-LN(2)/25))/(LN(2)/25)*Calculateur!HC92*Calculateur!HE92*VLOOKUP('Données projet'!$B$18,Paramètres!$A$1:$I$89,3,0)*0.475*44/12</f>
        <v>0</v>
      </c>
      <c r="HI92" s="23">
        <f>EXP(-LN(2)/2)*HI91+(1-EXP(-LN(2)/2))/(LN(2)/2)*HC92*HF92*VLOOKUP('Données projet'!$B$18,Paramètres!$A$1:$I$89,3,0)*0.475*44/12</f>
        <v>0</v>
      </c>
      <c r="HJ92" s="24">
        <f t="shared" si="84"/>
        <v>0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358</v>
      </c>
      <c r="L93" s="13">
        <f>VLOOKUP(A93,'Données projet'!$A$35:$I$55,9,0)</f>
        <v>3.8</v>
      </c>
      <c r="M93" s="13">
        <f t="array" ref="M93">INDEX(L:L,MIN(IF(ISNUMBER(L93:L289),ROW(L93:L289),"")))</f>
        <v>3.8</v>
      </c>
      <c r="N93" s="14">
        <f>IF('Données projet'!$A$36&gt;35,N92+M93-V92,IF(A93&lt;'Données projet'!$A$36,$K$205^A93,IF(A93='Données projet'!$A$36,'Données projet'!$B$36,N92+M93-V92)))</f>
        <v>358.00000000000011</v>
      </c>
      <c r="O93" s="14">
        <f>N93*VLOOKUP('Données projet'!$B$9,Paramètres!$A$1:$I$89,3,0)*VLOOKUP('Données projet'!$B$9,Paramètres!$A$1:$I$89,5,0)</f>
        <v>323.91840000000008</v>
      </c>
      <c r="P93" s="14">
        <f t="shared" si="87"/>
        <v>76.168074587293091</v>
      </c>
      <c r="Q93" s="22">
        <f t="shared" si="54"/>
        <v>696.81727657286899</v>
      </c>
      <c r="R93" s="62">
        <f t="shared" si="55"/>
        <v>990.15060990620236</v>
      </c>
      <c r="S93" s="62">
        <f ca="1">AVERAGE(OFFSET($R$3,0,0,'Données projet'!$E$9+1,1))-AVERAGE(OFFSET($H$3,0,0,'Données projet'!$E$9+1,1))</f>
        <v>509.56241660612449</v>
      </c>
      <c r="T93" s="62">
        <f t="shared" si="88"/>
        <v>278.21741231699929</v>
      </c>
      <c r="U93" s="16">
        <f>IF(ISNA(VLOOKUP(A93,'Données projet'!$A$35:$I$55,3,0)),0,VLOOKUP(A93,'Données projet'!$A$35:$I$55,3,0))</f>
        <v>7</v>
      </c>
      <c r="V93" s="16">
        <f>IF(ISNA(VLOOKUP(A93,'Données projet'!$A$35:$I$55,4,0)),0,VLOOKUP(A93,'Données projet'!$A$35:$I$55,4,0))</f>
        <v>56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358</v>
      </c>
      <c r="AG93" s="13">
        <f>VLOOKUP(A93,'Données projet'!$A$61:$I$81,9,0)</f>
        <v>3.8</v>
      </c>
      <c r="AH93" s="13">
        <f t="array" ref="AH93">INDEX(AG:AG,MIN(IF(ISNUMBER(AG93:AG289),ROW(AG93:AG289),"")))</f>
        <v>3.8</v>
      </c>
      <c r="AI93" s="14">
        <f>IF('Données projet'!$A$62&gt;35,AI92+AH93-AQ92,IF(A93&lt;'Données projet'!$A$62,$AF$205^A93,IF(A93='Données projet'!$A$62,'Données projet'!$B$62,AI92+AH93-AQ92)))</f>
        <v>358.00000000000011</v>
      </c>
      <c r="AJ93" s="14">
        <f>AI93*VLOOKUP('Données projet'!$B$10,Paramètres!$A$1:$I$89,3,0)*VLOOKUP('Données projet'!$B$10,Paramètres!$A$1:$I$89,5,0)</f>
        <v>363.01200000000011</v>
      </c>
      <c r="AK93" s="14">
        <f t="shared" si="89"/>
        <v>84.23609859605908</v>
      </c>
      <c r="AL93" s="22">
        <f t="shared" si="58"/>
        <v>778.95710505480304</v>
      </c>
      <c r="AM93" s="62">
        <f t="shared" si="59"/>
        <v>1072.2904383881364</v>
      </c>
      <c r="AN93" s="62">
        <f ca="1">AVERAGE(OFFSET($AM$3,0,0,'Données projet'!$E$10+1,1))-AVERAGE(OFFSET($H$3,0,0,'Données projet'!$E$10+1,1))</f>
        <v>565.72091871734051</v>
      </c>
      <c r="AO93" s="62">
        <f t="shared" si="90"/>
        <v>306.61893266146666</v>
      </c>
      <c r="AP93" s="16">
        <f>IF(ISNA(VLOOKUP(A93,'Données projet'!$A$61:$I$81,3,0)),0,VLOOKUP(A93,'Données projet'!$A$61:$I$81,3,0))</f>
        <v>7</v>
      </c>
      <c r="AQ93" s="16">
        <f>IF(ISNA(VLOOKUP(A93,'Données projet'!$A$61:$I$81,4,0)),0,VLOOKUP(A93,'Données projet'!$A$61:$I$81,4,0))</f>
        <v>56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-5.6843418860808015E-14</v>
      </c>
      <c r="BE93" s="14">
        <f>BD93*VLOOKUP('Données projet'!$B$11,Paramètres!$A$1:$I$89,3,0)*VLOOKUP('Données projet'!$B$11,Paramètres!$A$1:$I$89,5,0)</f>
        <v>-4.1677594708744434E-14</v>
      </c>
      <c r="BF93" s="14" t="e">
        <f t="shared" si="91"/>
        <v>#NUM!</v>
      </c>
      <c r="BG93" s="22" t="e">
        <f t="shared" si="61"/>
        <v>#NUM!</v>
      </c>
      <c r="BH93" s="62" t="e">
        <f t="shared" si="62"/>
        <v>#NUM!</v>
      </c>
      <c r="BI93" s="62">
        <f ca="1">AVERAGE(OFFSET($BH$3,0,0,'Données projet'!$E$11+1,1))-AVERAGE(OFFSET($H$3,0,0,'Données projet'!$E$11+1,1))</f>
        <v>344.26020118887629</v>
      </c>
      <c r="BJ93" s="62">
        <f t="shared" si="92"/>
        <v>376.41441893222185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358</v>
      </c>
      <c r="BW93" s="13">
        <f>VLOOKUP(A93,'Données projet'!$A$113:$I$133,9,0)</f>
        <v>3.8</v>
      </c>
      <c r="BX93" s="13">
        <f t="array" ref="BX93">INDEX(BW:BW,MIN(IF(ISNUMBER(BW93:BW289),ROW(BW93:BW289),"")))</f>
        <v>3.8</v>
      </c>
      <c r="BY93" s="13">
        <f>IF('Données projet'!$A$114&gt;35,BY92+BX93-CG92,IF(A93&lt;'Données projet'!$A$114,$BV$205^A93,IF(A93='Données projet'!$A$114,'Données projet'!$B$114,BY92+BX93-CG92)))</f>
        <v>358.00000000000011</v>
      </c>
      <c r="BZ93" s="14">
        <f>BY93*VLOOKUP('Données projet'!$B$12,Paramètres!$A$1:$I$89,3,0)*VLOOKUP('Données projet'!$B$12,Paramètres!$A$1:$I$89,5,0)</f>
        <v>301.57920000000013</v>
      </c>
      <c r="CA93" s="14">
        <f t="shared" si="93"/>
        <v>71.507423226130925</v>
      </c>
      <c r="CB93" s="22">
        <f t="shared" si="64"/>
        <v>649.79253545217819</v>
      </c>
      <c r="CC93" s="62">
        <f t="shared" si="65"/>
        <v>943.12586878551156</v>
      </c>
      <c r="CD93" s="62">
        <f ca="1">AVERAGE(OFFSET($CC$3,0,0,'Données projet'!$E$12+1,1))-AVERAGE(OFFSET($H$3,0,0,'Données projet'!$E$12+1,1))</f>
        <v>477.4105367901771</v>
      </c>
      <c r="CE93" s="62">
        <f t="shared" si="94"/>
        <v>261.95434270986397</v>
      </c>
      <c r="CF93" s="16">
        <f>IF(ISNA(VLOOKUP(A93,'Données projet'!$A$113:$I$133,3,0)),0,VLOOKUP(A93,'Données projet'!$A$113:$I$133,3,0))</f>
        <v>7</v>
      </c>
      <c r="CG93" s="16">
        <f>IF(ISNA(VLOOKUP(A93,'Données projet'!$A$113:$I$133,4,0)),0,VLOOKUP(A93,'Données projet'!$A$113:$I$133,4,0))</f>
        <v>56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8.1410256410256405</v>
      </c>
      <c r="CT93" s="13">
        <f>IF('Données projet'!$A$140&gt;35,CT92+CS93-DB92,IF(A93&lt;'Données projet'!$A$140,$CQ$205^A93,IF(A93='Données projet'!$A$140,'Données projet'!$B$140,CT92+CS93-DB92)))</f>
        <v>324.42307692307645</v>
      </c>
      <c r="CU93" s="18">
        <f>CT93*VLOOKUP('Données projet'!$B$13,Paramètres!$A$1:$I$89,3,0)*VLOOKUP('Données projet'!$B$13,Paramètres!$A$1:$I$89,5,0)</f>
        <v>151.82999999999979</v>
      </c>
      <c r="CV93" s="14">
        <f t="shared" si="95"/>
        <v>38.994165732360706</v>
      </c>
      <c r="CW93" s="22">
        <f t="shared" si="67"/>
        <v>332.35208865052783</v>
      </c>
      <c r="CX93" s="62">
        <f t="shared" si="68"/>
        <v>625.68542198386115</v>
      </c>
      <c r="CY93" s="62">
        <f ca="1">AVERAGE(OFFSET($CX$3,0,0,'Données projet'!$E$13+1,1))-AVERAGE(OFFSET($H$3,0,0,'Données projet'!$E$13+1,1))</f>
        <v>246.64907095367749</v>
      </c>
      <c r="CZ93" s="62">
        <f t="shared" si="96"/>
        <v>145.34368562171613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-5.6843418860808015E-14</v>
      </c>
      <c r="DP93" s="18">
        <f>DO93*VLOOKUP('Données projet'!$B$14,Paramètres!$A$1:$I$89,3,0)*VLOOKUP('Données projet'!$B$14,Paramètres!$A$1:$I$89,5,0)</f>
        <v>-4.5224624045658861E-14</v>
      </c>
      <c r="DQ93" s="14" t="e">
        <f t="shared" si="97"/>
        <v>#NUM!</v>
      </c>
      <c r="DR93" s="22" t="e">
        <f t="shared" si="70"/>
        <v>#NUM!</v>
      </c>
      <c r="DS93" s="62" t="e">
        <f t="shared" si="71"/>
        <v>#NUM!</v>
      </c>
      <c r="DT93" s="62">
        <f ca="1">AVERAGE(OFFSET($DS$3,0,0,'Données projet'!$E$14+1,1))-AVERAGE(OFFSET($H$3,0,0,'Données projet'!$E$14+1,1))</f>
        <v>370.38521334472284</v>
      </c>
      <c r="DU93" s="62">
        <f t="shared" si="98"/>
        <v>404.61777090709171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>
        <f>VLOOKUP(A93,'Données projet'!$A$191:$I$211,2,0)</f>
        <v>489</v>
      </c>
      <c r="EH93" s="13">
        <f>VLOOKUP(A93,'Données projet'!$A$191:$I$211,9,0)</f>
        <v>11.5</v>
      </c>
      <c r="EI93" s="13">
        <f t="array" ref="EI93">INDEX(EH:EH,MIN(IF(ISNUMBER(EH93:EH289),ROW(EH93:EH289),"")))</f>
        <v>11.5</v>
      </c>
      <c r="EJ93" s="13">
        <f>IF('Données projet'!$A$192&gt;35,EJ92+EI93-ER92,IF(A93&lt;'Données projet'!$A$192,$EG$205^A93,IF(A93='Données projet'!$A$192,'Données projet'!$B$192,EJ92+EI93-ER92)))</f>
        <v>488.99999999999966</v>
      </c>
      <c r="EK93" s="18">
        <f>EJ93*VLOOKUP('Données projet'!$B$15,Paramètres!$A$1:$I$89,3,0)*VLOOKUP('Données projet'!$B$15,Paramètres!$A$1:$I$89,5,0)</f>
        <v>419.56199999999973</v>
      </c>
      <c r="EL93" s="14">
        <f t="shared" si="99"/>
        <v>95.731472773408413</v>
      </c>
      <c r="EM93" s="22">
        <f t="shared" si="73"/>
        <v>897.46946508035228</v>
      </c>
      <c r="EN93" s="62">
        <f t="shared" si="74"/>
        <v>1190.8027984136857</v>
      </c>
      <c r="EO93" s="62">
        <f ca="1">AVERAGE(OFFSET($EN$3,0,0,'Données projet'!$E$15+1,1))-AVERAGE(OFFSET($H$3,0,0,'Données projet'!$E$15+1,1))</f>
        <v>445.81166342116865</v>
      </c>
      <c r="EP93" s="62">
        <f t="shared" si="100"/>
        <v>230.82970731138215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0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>
        <f>VLOOKUP(A93,'Données projet'!$A$217:$I$237,2,0)</f>
        <v>358</v>
      </c>
      <c r="FC93" s="13">
        <f>VLOOKUP(A93,'Données projet'!$A$217:$I$237,9,0)</f>
        <v>3.8</v>
      </c>
      <c r="FD93" s="13">
        <f t="array" ref="FD93">INDEX(FC:FC,MIN(IF(ISNUMBER(FC93:FC289),ROW(FC93:FC289),"")))</f>
        <v>3.8</v>
      </c>
      <c r="FE93" s="13">
        <f>IF('Données projet'!$A$218&gt;35,FE92+FD93-FM92,IF(A93&lt;'Données projet'!$A$218,$FB$205^A93,IF(A93='Données projet'!$A$218,'Données projet'!$B$218,FE92+FD93-FM92)))</f>
        <v>358.00000000000011</v>
      </c>
      <c r="FF93" s="18">
        <f>FE93*VLOOKUP('Données projet'!$B$16,Paramètres!$A$1:$I$89,3,0)*VLOOKUP('Données projet'!$B$16,Paramètres!$A$1:$I$89,5,0)</f>
        <v>346.25760000000014</v>
      </c>
      <c r="FG93" s="14">
        <f t="shared" si="101"/>
        <v>80.791430742606195</v>
      </c>
      <c r="FH93" s="22">
        <f t="shared" si="76"/>
        <v>743.77706187670594</v>
      </c>
      <c r="FI93" s="62">
        <f t="shared" si="77"/>
        <v>1037.1103952100393</v>
      </c>
      <c r="FJ93" s="62">
        <f ca="1">AVERAGE(OFFSET($FI$3,0,0,'Données projet'!$E$16+1,1))-AVERAGE(OFFSET($H$3,0,0,'Données projet'!$E$16+1,1))</f>
        <v>541.66888676162716</v>
      </c>
      <c r="FK93" s="62">
        <f t="shared" si="102"/>
        <v>294.45557293177131</v>
      </c>
      <c r="FL93" s="16">
        <f>IF(ISNA(VLOOKUP(A93,'Données projet'!$A$217:$I$237,3,0)),0,VLOOKUP(A93,'Données projet'!$A$217:$I$237,3,0))</f>
        <v>7</v>
      </c>
      <c r="FM93" s="16">
        <f>IF(ISNA(VLOOKUP(A93,'Données projet'!$A$217:$I$237,4,0)),0,VLOOKUP(A93,'Données projet'!$A$217:$I$237,4,0))</f>
        <v>56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>
        <f>EXP(-LN(2)/35)*FQ92+(1-EXP(-LN(2)/35))/(LN(2)/35)*FM93*FN93*VLOOKUP('Données projet'!$B$16,Paramètres!$A$1:$I$89,3,0)*0.475*44/12</f>
        <v>0</v>
      </c>
      <c r="FR93" s="23">
        <f>EXP(-LN(2)/25)*FR92+(1-EXP(-LN(2)/25))/(LN(2)/25)*Calculateur!FM93*Calculateur!FO93*VLOOKUP('Données projet'!$B$16,Paramètres!$A$1:$I$89,3,0)*0.475*44/12</f>
        <v>0</v>
      </c>
      <c r="FS93" s="23">
        <f>EXP(-LN(2)/2)*FS92+(1-EXP(-LN(2)/2))/(LN(2)/2)*FM93*FP93*VLOOKUP('Données projet'!$B$16,Paramètres!$A$1:$I$89,3,0)*0.475*44/12</f>
        <v>0</v>
      </c>
      <c r="FT93" s="24">
        <f t="shared" si="78"/>
        <v>0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1.1368683772161603E-13</v>
      </c>
      <c r="GA93" s="18">
        <f>FZ93*VLOOKUP('Données projet'!$B$17,Paramètres!$A$1:$I$89,3,0)*VLOOKUP('Données projet'!$B$17,Paramètres!$A$1:$I$89,5,0)</f>
        <v>8.8675733422860506E-14</v>
      </c>
      <c r="GB93" s="14">
        <f t="shared" si="103"/>
        <v>1.3509285393066301E-12</v>
      </c>
      <c r="GC93" s="22">
        <f t="shared" si="79"/>
        <v>2.5073107750038623E-12</v>
      </c>
      <c r="GD93" s="62">
        <f t="shared" si="80"/>
        <v>293.33333333333582</v>
      </c>
      <c r="GE93" s="62">
        <f ca="1">AVERAGE(OFFSET($GD$3,0,0,'Données projet'!$E$17+1,1))-AVERAGE(OFFSET($H$3,0,0,'Données projet'!$E$17+1,1))</f>
        <v>292.57482726862594</v>
      </c>
      <c r="GF93" s="62">
        <f t="shared" si="104"/>
        <v>283.48738729114024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>
        <f>EXP(-LN(2)/35)*GL92+(1-EXP(-LN(2)/35))/(LN(2)/35)*GH93*GI93*VLOOKUP('Données projet'!$B$17,Paramètres!$A$1:$I$89,3,0)*0.475*44/12</f>
        <v>0</v>
      </c>
      <c r="GM93" s="23">
        <f>EXP(-LN(2)/25)*GM92+(1-EXP(-LN(2)/25))/(LN(2)/25)*Calculateur!GH93*Calculateur!GJ93*VLOOKUP('Données projet'!$B$17,Paramètres!$A$1:$I$89,3,0)*0.475*44/12</f>
        <v>0</v>
      </c>
      <c r="GN93" s="23">
        <f>EXP(-LN(2)/2)*GN92+(1-EXP(-LN(2)/2))/(LN(2)/2)*GH93*GK93*VLOOKUP('Données projet'!$B$17,Paramètres!$A$1:$I$89,3,0)*0.475*44/12</f>
        <v>0</v>
      </c>
      <c r="GO93" s="23">
        <f t="shared" si="81"/>
        <v>0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>
        <f>VLOOKUP(A93,'Données projet'!$A$269:$I$289,2,0)</f>
        <v>368.58974358974359</v>
      </c>
      <c r="GS93" s="13">
        <f>VLOOKUP(A93,'Données projet'!$A$269:$I$289,9,0)</f>
        <v>4.7435897435897463</v>
      </c>
      <c r="GT93" s="13">
        <f t="array" ref="GT93">INDEX(GS:GS,MIN(IF(ISNUMBER(GS93:GS289),ROW(GS93:GS289),"")))</f>
        <v>4.7435897435897463</v>
      </c>
      <c r="GU93" s="13">
        <f>IF('Données projet'!$A$270&gt;35,GU92+GT93-HC92,IF(A93&lt;'Données projet'!$A$270,$GR$205^A93,IF(A93='Données projet'!$A$270,'Données projet'!$B$270,GU92+GT93-HC92)))</f>
        <v>368.58974358974302</v>
      </c>
      <c r="GV93" s="18">
        <f>GU93*VLOOKUP('Données projet'!$B$18,Paramètres!$A$1:$I$89,3,0)*VLOOKUP('Données projet'!$B$18,Paramètres!$A$1:$I$89,5,0)</f>
        <v>247.24999999999963</v>
      </c>
      <c r="GW93" s="14">
        <f t="shared" si="105"/>
        <v>59.99669119408982</v>
      </c>
      <c r="GX93" s="22">
        <f t="shared" si="82"/>
        <v>535.1213204963725</v>
      </c>
      <c r="GY93" s="62">
        <f t="shared" si="83"/>
        <v>828.45465382970588</v>
      </c>
      <c r="GZ93" s="62">
        <f ca="1">AVERAGE(OFFSET($GY$3,0,0,'Données projet'!$E$18+1,1))-AVERAGE(OFFSET($H$3,0,0,'Données projet'!$E$18+1,1))</f>
        <v>410.20186800287411</v>
      </c>
      <c r="HA93" s="62">
        <f t="shared" si="106"/>
        <v>321.99347958016057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>
        <f>EXP(-LN(2)/35)*HG92+(1-EXP(-LN(2)/35))/(LN(2)/35)*HC93*HD93*VLOOKUP('Données projet'!$B$18,Paramètres!$A$1:$I$89,3,0)*0.475*44/12</f>
        <v>0</v>
      </c>
      <c r="HH93" s="23">
        <f>EXP(-LN(2)/25)*HH92+(1-EXP(-LN(2)/25))/(LN(2)/25)*Calculateur!HC93*Calculateur!HE93*VLOOKUP('Données projet'!$B$18,Paramètres!$A$1:$I$89,3,0)*0.475*44/12</f>
        <v>0</v>
      </c>
      <c r="HI93" s="23">
        <f>EXP(-LN(2)/2)*HI92+(1-EXP(-LN(2)/2))/(LN(2)/2)*HC93*HF93*VLOOKUP('Données projet'!$B$18,Paramètres!$A$1:$I$89,3,0)*0.475*44/12</f>
        <v>0</v>
      </c>
      <c r="HJ93" s="24">
        <f t="shared" si="84"/>
        <v>0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5.9</v>
      </c>
      <c r="N94" s="14">
        <f>IF('Données projet'!$A$36&gt;35,N93+M94-V93,IF(A94&lt;'Données projet'!$A$36,$K$205^A94,IF(A94='Données projet'!$A$36,'Données projet'!$B$36,N93+M94-V93)))</f>
        <v>307.90000000000009</v>
      </c>
      <c r="O94" s="14">
        <f>N94*VLOOKUP('Données projet'!$B$9,Paramètres!$A$1:$I$89,3,0)*VLOOKUP('Données projet'!$B$9,Paramètres!$A$1:$I$89,5,0)</f>
        <v>278.58792000000011</v>
      </c>
      <c r="P94" s="14">
        <f t="shared" si="87"/>
        <v>66.668508032294213</v>
      </c>
      <c r="Q94" s="22">
        <f t="shared" si="54"/>
        <v>601.32161215624581</v>
      </c>
      <c r="R94" s="62">
        <f t="shared" si="55"/>
        <v>894.65494548957918</v>
      </c>
      <c r="S94" s="62">
        <f ca="1">AVERAGE(OFFSET($R$3,0,0,'Données projet'!$E$9+1,1))-AVERAGE(OFFSET($H$3,0,0,'Données projet'!$E$9+1,1))</f>
        <v>509.56241660612449</v>
      </c>
      <c r="T94" s="62">
        <f t="shared" si="88"/>
        <v>278.21741231699929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5.9</v>
      </c>
      <c r="AI94" s="14">
        <f>IF('Données projet'!$A$62&gt;35,AI93+AH94-AQ93,IF(A94&lt;'Données projet'!$A$62,$AF$205^A94,IF(A94='Données projet'!$A$62,'Données projet'!$B$62,AI93+AH94-AQ93)))</f>
        <v>307.90000000000009</v>
      </c>
      <c r="AJ94" s="14">
        <f>AI94*VLOOKUP('Données projet'!$B$10,Paramètres!$A$1:$I$89,3,0)*VLOOKUP('Données projet'!$B$10,Paramètres!$A$1:$I$89,5,0)</f>
        <v>312.21060000000011</v>
      </c>
      <c r="AK94" s="14">
        <f t="shared" si="89"/>
        <v>73.730300342886324</v>
      </c>
      <c r="AL94" s="22">
        <f t="shared" si="58"/>
        <v>672.18040143052724</v>
      </c>
      <c r="AM94" s="62">
        <f t="shared" si="59"/>
        <v>965.51373476386061</v>
      </c>
      <c r="AN94" s="62">
        <f ca="1">AVERAGE(OFFSET($AM$3,0,0,'Données projet'!$E$10+1,1))-AVERAGE(OFFSET($H$3,0,0,'Données projet'!$E$10+1,1))</f>
        <v>565.72091871734051</v>
      </c>
      <c r="AO94" s="62">
        <f t="shared" si="90"/>
        <v>306.61893266146666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-5.6843418860808015E-14</v>
      </c>
      <c r="BE94" s="14">
        <f>BD94*VLOOKUP('Données projet'!$B$11,Paramètres!$A$1:$I$89,3,0)*VLOOKUP('Données projet'!$B$11,Paramètres!$A$1:$I$89,5,0)</f>
        <v>-4.1677594708744434E-14</v>
      </c>
      <c r="BF94" s="14" t="e">
        <f t="shared" si="91"/>
        <v>#NUM!</v>
      </c>
      <c r="BG94" s="22" t="e">
        <f t="shared" si="61"/>
        <v>#NUM!</v>
      </c>
      <c r="BH94" s="62" t="e">
        <f t="shared" si="62"/>
        <v>#NUM!</v>
      </c>
      <c r="BI94" s="62">
        <f ca="1">AVERAGE(OFFSET($BH$3,0,0,'Données projet'!$E$11+1,1))-AVERAGE(OFFSET($H$3,0,0,'Données projet'!$E$11+1,1))</f>
        <v>344.26020118887629</v>
      </c>
      <c r="BJ94" s="62">
        <f t="shared" si="92"/>
        <v>376.41441893222185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5.9</v>
      </c>
      <c r="BY94" s="13">
        <f>IF('Données projet'!$A$114&gt;35,BY93+BX94-CG93,IF(A94&lt;'Données projet'!$A$114,$BV$205^A94,IF(A94='Données projet'!$A$114,'Données projet'!$B$114,BY93+BX94-CG93)))</f>
        <v>307.90000000000009</v>
      </c>
      <c r="BZ94" s="14">
        <f>BY94*VLOOKUP('Données projet'!$B$12,Paramètres!$A$1:$I$89,3,0)*VLOOKUP('Données projet'!$B$12,Paramètres!$A$1:$I$89,5,0)</f>
        <v>259.3749600000001</v>
      </c>
      <c r="CA94" s="14">
        <f t="shared" si="93"/>
        <v>62.589126028863618</v>
      </c>
      <c r="CB94" s="22">
        <f t="shared" si="64"/>
        <v>560.75411650027092</v>
      </c>
      <c r="CC94" s="62">
        <f t="shared" si="65"/>
        <v>854.0874498336043</v>
      </c>
      <c r="CD94" s="62">
        <f ca="1">AVERAGE(OFFSET($CC$3,0,0,'Données projet'!$E$12+1,1))-AVERAGE(OFFSET($H$3,0,0,'Données projet'!$E$12+1,1))</f>
        <v>477.4105367901771</v>
      </c>
      <c r="CE94" s="62">
        <f t="shared" si="94"/>
        <v>261.95434270986397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8.1410256410256405</v>
      </c>
      <c r="CT94" s="13">
        <f>IF('Données projet'!$A$140&gt;35,CT93+CS94-DB93,IF(A94&lt;'Données projet'!$A$140,$CQ$205^A94,IF(A94='Données projet'!$A$140,'Données projet'!$B$140,CT93+CS94-DB93)))</f>
        <v>332.56410256410209</v>
      </c>
      <c r="CU94" s="18">
        <f>CT94*VLOOKUP('Données projet'!$B$13,Paramètres!$A$1:$I$89,3,0)*VLOOKUP('Données projet'!$B$13,Paramètres!$A$1:$I$89,5,0)</f>
        <v>155.63999999999979</v>
      </c>
      <c r="CV94" s="14">
        <f t="shared" si="95"/>
        <v>39.857529549413819</v>
      </c>
      <c r="CW94" s="22">
        <f t="shared" si="67"/>
        <v>340.49153063189533</v>
      </c>
      <c r="CX94" s="62">
        <f t="shared" si="68"/>
        <v>633.82486396522859</v>
      </c>
      <c r="CY94" s="62">
        <f ca="1">AVERAGE(OFFSET($CX$3,0,0,'Données projet'!$E$13+1,1))-AVERAGE(OFFSET($H$3,0,0,'Données projet'!$E$13+1,1))</f>
        <v>246.64907095367749</v>
      </c>
      <c r="CZ94" s="62">
        <f t="shared" si="96"/>
        <v>145.34368562171613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-5.6843418860808015E-14</v>
      </c>
      <c r="DP94" s="18">
        <f>DO94*VLOOKUP('Données projet'!$B$14,Paramètres!$A$1:$I$89,3,0)*VLOOKUP('Données projet'!$B$14,Paramètres!$A$1:$I$89,5,0)</f>
        <v>-4.5224624045658861E-14</v>
      </c>
      <c r="DQ94" s="14" t="e">
        <f t="shared" si="97"/>
        <v>#NUM!</v>
      </c>
      <c r="DR94" s="22" t="e">
        <f t="shared" si="70"/>
        <v>#NUM!</v>
      </c>
      <c r="DS94" s="62" t="e">
        <f t="shared" si="71"/>
        <v>#NUM!</v>
      </c>
      <c r="DT94" s="62">
        <f ca="1">AVERAGE(OFFSET($DS$3,0,0,'Données projet'!$E$14+1,1))-AVERAGE(OFFSET($H$3,0,0,'Données projet'!$E$14+1,1))</f>
        <v>370.38521334472284</v>
      </c>
      <c r="DU94" s="62">
        <f t="shared" si="98"/>
        <v>404.61777090709171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11.333333333333334</v>
      </c>
      <c r="EJ94" s="13">
        <f>IF('Données projet'!$A$192&gt;35,EJ93+EI94-ER93,IF(A94&lt;'Données projet'!$A$192,$EG$205^A94,IF(A94='Données projet'!$A$192,'Données projet'!$B$192,EJ93+EI94-ER93)))</f>
        <v>500.33333333333297</v>
      </c>
      <c r="EK94" s="18">
        <f>EJ94*VLOOKUP('Données projet'!$B$15,Paramètres!$A$1:$I$89,3,0)*VLOOKUP('Données projet'!$B$15,Paramètres!$A$1:$I$89,5,0)</f>
        <v>429.28599999999977</v>
      </c>
      <c r="EL94" s="14">
        <f t="shared" si="99"/>
        <v>97.689316592289586</v>
      </c>
      <c r="EM94" s="22">
        <f t="shared" si="73"/>
        <v>917.81534306490391</v>
      </c>
      <c r="EN94" s="62">
        <f t="shared" si="74"/>
        <v>1211.1486763982373</v>
      </c>
      <c r="EO94" s="62">
        <f ca="1">AVERAGE(OFFSET($EN$3,0,0,'Données projet'!$E$15+1,1))-AVERAGE(OFFSET($H$3,0,0,'Données projet'!$E$15+1,1))</f>
        <v>445.81166342116865</v>
      </c>
      <c r="EP94" s="62">
        <f t="shared" si="100"/>
        <v>230.82970731138215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0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5.9</v>
      </c>
      <c r="FE94" s="13">
        <f>IF('Données projet'!$A$218&gt;35,FE93+FD94-FM93,IF(A94&lt;'Données projet'!$A$218,$FB$205^A94,IF(A94='Données projet'!$A$218,'Données projet'!$B$218,FE93+FD94-FM93)))</f>
        <v>307.90000000000009</v>
      </c>
      <c r="FF94" s="18">
        <f>FE94*VLOOKUP('Données projet'!$B$16,Paramètres!$A$1:$I$89,3,0)*VLOOKUP('Données projet'!$B$16,Paramètres!$A$1:$I$89,5,0)</f>
        <v>297.80088000000012</v>
      </c>
      <c r="FG94" s="14">
        <f t="shared" si="101"/>
        <v>70.715246231293804</v>
      </c>
      <c r="FH94" s="22">
        <f t="shared" si="76"/>
        <v>641.83225318617019</v>
      </c>
      <c r="FI94" s="62">
        <f t="shared" si="77"/>
        <v>935.16558651950345</v>
      </c>
      <c r="FJ94" s="62">
        <f ca="1">AVERAGE(OFFSET($FI$3,0,0,'Données projet'!$E$16+1,1))-AVERAGE(OFFSET($H$3,0,0,'Données projet'!$E$16+1,1))</f>
        <v>541.66888676162716</v>
      </c>
      <c r="FK94" s="62">
        <f t="shared" si="102"/>
        <v>294.45557293177131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>
        <f>EXP(-LN(2)/35)*FQ93+(1-EXP(-LN(2)/35))/(LN(2)/35)*FM94*FN94*VLOOKUP('Données projet'!$B$16,Paramètres!$A$1:$I$89,3,0)*0.475*44/12</f>
        <v>0</v>
      </c>
      <c r="FR94" s="23">
        <f>EXP(-LN(2)/25)*FR93+(1-EXP(-LN(2)/25))/(LN(2)/25)*Calculateur!FM94*Calculateur!FO94*VLOOKUP('Données projet'!$B$16,Paramètres!$A$1:$I$89,3,0)*0.475*44/12</f>
        <v>0</v>
      </c>
      <c r="FS94" s="23">
        <f>EXP(-LN(2)/2)*FS93+(1-EXP(-LN(2)/2))/(LN(2)/2)*FM94*FP94*VLOOKUP('Données projet'!$B$16,Paramètres!$A$1:$I$89,3,0)*0.475*44/12</f>
        <v>0</v>
      </c>
      <c r="FT94" s="24">
        <f t="shared" si="78"/>
        <v>0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1.1368683772161603E-13</v>
      </c>
      <c r="GA94" s="18">
        <f>FZ94*VLOOKUP('Données projet'!$B$17,Paramètres!$A$1:$I$89,3,0)*VLOOKUP('Données projet'!$B$17,Paramètres!$A$1:$I$89,5,0)</f>
        <v>8.8675733422860506E-14</v>
      </c>
      <c r="GB94" s="14">
        <f t="shared" si="103"/>
        <v>1.3509285393066301E-12</v>
      </c>
      <c r="GC94" s="22">
        <f t="shared" si="79"/>
        <v>2.5073107750038623E-12</v>
      </c>
      <c r="GD94" s="62">
        <f t="shared" si="80"/>
        <v>293.33333333333582</v>
      </c>
      <c r="GE94" s="62">
        <f ca="1">AVERAGE(OFFSET($GD$3,0,0,'Données projet'!$E$17+1,1))-AVERAGE(OFFSET($H$3,0,0,'Données projet'!$E$17+1,1))</f>
        <v>292.57482726862594</v>
      </c>
      <c r="GF94" s="62">
        <f t="shared" si="104"/>
        <v>283.48738729114024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>
        <f>EXP(-LN(2)/35)*GL93+(1-EXP(-LN(2)/35))/(LN(2)/35)*GH94*GI94*VLOOKUP('Données projet'!$B$17,Paramètres!$A$1:$I$89,3,0)*0.475*44/12</f>
        <v>0</v>
      </c>
      <c r="GM94" s="23">
        <f>EXP(-LN(2)/25)*GM93+(1-EXP(-LN(2)/25))/(LN(2)/25)*Calculateur!GH94*Calculateur!GJ94*VLOOKUP('Données projet'!$B$17,Paramètres!$A$1:$I$89,3,0)*0.475*44/12</f>
        <v>0</v>
      </c>
      <c r="GN94" s="23">
        <f>EXP(-LN(2)/2)*GN93+(1-EXP(-LN(2)/2))/(LN(2)/2)*GH94*GK94*VLOOKUP('Données projet'!$B$17,Paramètres!$A$1:$I$89,3,0)*0.475*44/12</f>
        <v>0</v>
      </c>
      <c r="GO94" s="23">
        <f t="shared" si="81"/>
        <v>0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4.4871794871794801</v>
      </c>
      <c r="GU94" s="13">
        <f>IF('Données projet'!$A$270&gt;35,GU93+GT94-HC93,IF(A94&lt;'Données projet'!$A$270,$GR$205^A94,IF(A94='Données projet'!$A$270,'Données projet'!$B$270,GU93+GT94-HC93)))</f>
        <v>373.07692307692253</v>
      </c>
      <c r="GV94" s="18">
        <f>GU94*VLOOKUP('Données projet'!$B$18,Paramètres!$A$1:$I$89,3,0)*VLOOKUP('Données projet'!$B$18,Paramètres!$A$1:$I$89,5,0)</f>
        <v>250.25999999999962</v>
      </c>
      <c r="GW94" s="14">
        <f t="shared" si="105"/>
        <v>60.641612570577124</v>
      </c>
      <c r="GX94" s="22">
        <f t="shared" si="82"/>
        <v>541.48697522708778</v>
      </c>
      <c r="GY94" s="62">
        <f t="shared" si="83"/>
        <v>834.82030856042115</v>
      </c>
      <c r="GZ94" s="62">
        <f ca="1">AVERAGE(OFFSET($GY$3,0,0,'Données projet'!$E$18+1,1))-AVERAGE(OFFSET($H$3,0,0,'Données projet'!$E$18+1,1))</f>
        <v>410.20186800287411</v>
      </c>
      <c r="HA94" s="62">
        <f t="shared" si="106"/>
        <v>321.99347958016057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>
        <f>EXP(-LN(2)/35)*HG93+(1-EXP(-LN(2)/35))/(LN(2)/35)*HC94*HD94*VLOOKUP('Données projet'!$B$18,Paramètres!$A$1:$I$89,3,0)*0.475*44/12</f>
        <v>0</v>
      </c>
      <c r="HH94" s="23">
        <f>EXP(-LN(2)/25)*HH93+(1-EXP(-LN(2)/25))/(LN(2)/25)*Calculateur!HC94*Calculateur!HE94*VLOOKUP('Données projet'!$B$18,Paramètres!$A$1:$I$89,3,0)*0.475*44/12</f>
        <v>0</v>
      </c>
      <c r="HI94" s="23">
        <f>EXP(-LN(2)/2)*HI93+(1-EXP(-LN(2)/2))/(LN(2)/2)*HC94*HF94*VLOOKUP('Données projet'!$B$18,Paramètres!$A$1:$I$89,3,0)*0.475*44/12</f>
        <v>0</v>
      </c>
      <c r="HJ94" s="24">
        <f t="shared" si="84"/>
        <v>0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5.9</v>
      </c>
      <c r="N95" s="14">
        <f>IF('Données projet'!$A$36&gt;35,N94+M95-V94,IF(A95&lt;'Données projet'!$A$36,$K$205^A95,IF(A95='Données projet'!$A$36,'Données projet'!$B$36,N94+M95-V94)))</f>
        <v>313.80000000000007</v>
      </c>
      <c r="O95" s="14">
        <f>N95*VLOOKUP('Données projet'!$B$9,Paramètres!$A$1:$I$89,3,0)*VLOOKUP('Données projet'!$B$9,Paramètres!$A$1:$I$89,5,0)</f>
        <v>283.92624000000006</v>
      </c>
      <c r="P95" s="14">
        <f t="shared" si="87"/>
        <v>67.796062628528361</v>
      </c>
      <c r="Q95" s="22">
        <f t="shared" si="54"/>
        <v>612.58301041135371</v>
      </c>
      <c r="R95" s="62">
        <f t="shared" si="55"/>
        <v>905.91634374468708</v>
      </c>
      <c r="S95" s="62">
        <f ca="1">AVERAGE(OFFSET($R$3,0,0,'Données projet'!$E$9+1,1))-AVERAGE(OFFSET($H$3,0,0,'Données projet'!$E$9+1,1))</f>
        <v>509.56241660612449</v>
      </c>
      <c r="T95" s="62">
        <f t="shared" si="88"/>
        <v>278.21741231699929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5.9</v>
      </c>
      <c r="AI95" s="14">
        <f>IF('Données projet'!$A$62&gt;35,AI94+AH95-AQ94,IF(A95&lt;'Données projet'!$A$62,$AF$205^A95,IF(A95='Données projet'!$A$62,'Données projet'!$B$62,AI94+AH95-AQ94)))</f>
        <v>313.80000000000007</v>
      </c>
      <c r="AJ95" s="14">
        <f>AI95*VLOOKUP('Données projet'!$B$10,Paramètres!$A$1:$I$89,3,0)*VLOOKUP('Données projet'!$B$10,Paramètres!$A$1:$I$89,5,0)</f>
        <v>318.1932000000001</v>
      </c>
      <c r="AK95" s="14">
        <f t="shared" si="89"/>
        <v>74.977289985928564</v>
      </c>
      <c r="AL95" s="22">
        <f t="shared" si="58"/>
        <v>684.77193672549231</v>
      </c>
      <c r="AM95" s="62">
        <f t="shared" si="59"/>
        <v>978.10527005882568</v>
      </c>
      <c r="AN95" s="62">
        <f ca="1">AVERAGE(OFFSET($AM$3,0,0,'Données projet'!$E$10+1,1))-AVERAGE(OFFSET($H$3,0,0,'Données projet'!$E$10+1,1))</f>
        <v>565.72091871734051</v>
      </c>
      <c r="AO95" s="62">
        <f t="shared" si="90"/>
        <v>306.61893266146666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-5.6843418860808015E-14</v>
      </c>
      <c r="BE95" s="14">
        <f>BD95*VLOOKUP('Données projet'!$B$11,Paramètres!$A$1:$I$89,3,0)*VLOOKUP('Données projet'!$B$11,Paramètres!$A$1:$I$89,5,0)</f>
        <v>-4.1677594708744434E-14</v>
      </c>
      <c r="BF95" s="14" t="e">
        <f t="shared" si="91"/>
        <v>#NUM!</v>
      </c>
      <c r="BG95" s="22" t="e">
        <f t="shared" si="61"/>
        <v>#NUM!</v>
      </c>
      <c r="BH95" s="62" t="e">
        <f t="shared" si="62"/>
        <v>#NUM!</v>
      </c>
      <c r="BI95" s="62">
        <f ca="1">AVERAGE(OFFSET($BH$3,0,0,'Données projet'!$E$11+1,1))-AVERAGE(OFFSET($H$3,0,0,'Données projet'!$E$11+1,1))</f>
        <v>344.26020118887629</v>
      </c>
      <c r="BJ95" s="62">
        <f t="shared" si="92"/>
        <v>376.41441893222185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5.9</v>
      </c>
      <c r="BY95" s="13">
        <f>IF('Données projet'!$A$114&gt;35,BY94+BX95-CG94,IF(A95&lt;'Données projet'!$A$114,$BV$205^A95,IF(A95='Données projet'!$A$114,'Données projet'!$B$114,BY94+BX95-CG94)))</f>
        <v>313.80000000000007</v>
      </c>
      <c r="BZ95" s="14">
        <f>BY95*VLOOKUP('Données projet'!$B$12,Paramètres!$A$1:$I$89,3,0)*VLOOKUP('Données projet'!$B$12,Paramètres!$A$1:$I$89,5,0)</f>
        <v>264.34512000000012</v>
      </c>
      <c r="CA95" s="14">
        <f t="shared" si="93"/>
        <v>63.64768664182855</v>
      </c>
      <c r="CB95" s="22">
        <f t="shared" si="64"/>
        <v>571.25413823451822</v>
      </c>
      <c r="CC95" s="62">
        <f t="shared" si="65"/>
        <v>864.58747156785148</v>
      </c>
      <c r="CD95" s="62">
        <f ca="1">AVERAGE(OFFSET($CC$3,0,0,'Données projet'!$E$12+1,1))-AVERAGE(OFFSET($H$3,0,0,'Données projet'!$E$12+1,1))</f>
        <v>477.4105367901771</v>
      </c>
      <c r="CE95" s="62">
        <f t="shared" si="94"/>
        <v>261.95434270986397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8.1410256410256405</v>
      </c>
      <c r="CT95" s="13">
        <f>IF('Données projet'!$A$140&gt;35,CT94+CS95-DB94,IF(A95&lt;'Données projet'!$A$140,$CQ$205^A95,IF(A95='Données projet'!$A$140,'Données projet'!$B$140,CT94+CS95-DB94)))</f>
        <v>340.70512820512772</v>
      </c>
      <c r="CU95" s="18">
        <f>CT95*VLOOKUP('Données projet'!$B$13,Paramètres!$A$1:$I$89,3,0)*VLOOKUP('Données projet'!$B$13,Paramètres!$A$1:$I$89,5,0)</f>
        <v>159.44999999999976</v>
      </c>
      <c r="CV95" s="14">
        <f t="shared" si="95"/>
        <v>40.718436521095953</v>
      </c>
      <c r="CW95" s="22">
        <f t="shared" si="67"/>
        <v>348.62669360757508</v>
      </c>
      <c r="CX95" s="62">
        <f t="shared" si="68"/>
        <v>641.96002694090839</v>
      </c>
      <c r="CY95" s="62">
        <f ca="1">AVERAGE(OFFSET($CX$3,0,0,'Données projet'!$E$13+1,1))-AVERAGE(OFFSET($H$3,0,0,'Données projet'!$E$13+1,1))</f>
        <v>246.64907095367749</v>
      </c>
      <c r="CZ95" s="62">
        <f t="shared" si="96"/>
        <v>145.34368562171613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-5.6843418860808015E-14</v>
      </c>
      <c r="DP95" s="18">
        <f>DO95*VLOOKUP('Données projet'!$B$14,Paramètres!$A$1:$I$89,3,0)*VLOOKUP('Données projet'!$B$14,Paramètres!$A$1:$I$89,5,0)</f>
        <v>-4.5224624045658861E-14</v>
      </c>
      <c r="DQ95" s="14" t="e">
        <f t="shared" si="97"/>
        <v>#NUM!</v>
      </c>
      <c r="DR95" s="22" t="e">
        <f t="shared" si="70"/>
        <v>#NUM!</v>
      </c>
      <c r="DS95" s="62" t="e">
        <f t="shared" si="71"/>
        <v>#NUM!</v>
      </c>
      <c r="DT95" s="62">
        <f ca="1">AVERAGE(OFFSET($DS$3,0,0,'Données projet'!$E$14+1,1))-AVERAGE(OFFSET($H$3,0,0,'Données projet'!$E$14+1,1))</f>
        <v>370.38521334472284</v>
      </c>
      <c r="DU95" s="62">
        <f t="shared" si="98"/>
        <v>404.61777090709171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11.333333333333334</v>
      </c>
      <c r="EJ95" s="13">
        <f>IF('Données projet'!$A$192&gt;35,EJ94+EI95-ER94,IF(A95&lt;'Données projet'!$A$192,$EG$205^A95,IF(A95='Données projet'!$A$192,'Données projet'!$B$192,EJ94+EI95-ER94)))</f>
        <v>511.66666666666629</v>
      </c>
      <c r="EK95" s="18">
        <f>EJ95*VLOOKUP('Données projet'!$B$15,Paramètres!$A$1:$I$89,3,0)*VLOOKUP('Données projet'!$B$15,Paramètres!$A$1:$I$89,5,0)</f>
        <v>439.00999999999971</v>
      </c>
      <c r="EL95" s="14">
        <f t="shared" si="99"/>
        <v>99.642004610829247</v>
      </c>
      <c r="EM95" s="22">
        <f t="shared" si="73"/>
        <v>938.15224136386041</v>
      </c>
      <c r="EN95" s="62">
        <f t="shared" si="74"/>
        <v>1231.4855746971937</v>
      </c>
      <c r="EO95" s="62">
        <f ca="1">AVERAGE(OFFSET($EN$3,0,0,'Données projet'!$E$15+1,1))-AVERAGE(OFFSET($H$3,0,0,'Données projet'!$E$15+1,1))</f>
        <v>445.81166342116865</v>
      </c>
      <c r="EP95" s="62">
        <f t="shared" si="100"/>
        <v>230.82970731138215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0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5.9</v>
      </c>
      <c r="FE95" s="13">
        <f>IF('Données projet'!$A$218&gt;35,FE94+FD95-FM94,IF(A95&lt;'Données projet'!$A$218,$FB$205^A95,IF(A95='Données projet'!$A$218,'Données projet'!$B$218,FE94+FD95-FM94)))</f>
        <v>313.80000000000007</v>
      </c>
      <c r="FF95" s="18">
        <f>FE95*VLOOKUP('Données projet'!$B$16,Paramètres!$A$1:$I$89,3,0)*VLOOKUP('Données projet'!$B$16,Paramètres!$A$1:$I$89,5,0)</f>
        <v>303.50736000000006</v>
      </c>
      <c r="FG95" s="14">
        <f t="shared" si="101"/>
        <v>71.911242710970484</v>
      </c>
      <c r="FH95" s="22">
        <f t="shared" si="76"/>
        <v>653.85406638827374</v>
      </c>
      <c r="FI95" s="62">
        <f t="shared" si="77"/>
        <v>947.18739972160711</v>
      </c>
      <c r="FJ95" s="62">
        <f ca="1">AVERAGE(OFFSET($FI$3,0,0,'Données projet'!$E$16+1,1))-AVERAGE(OFFSET($H$3,0,0,'Données projet'!$E$16+1,1))</f>
        <v>541.66888676162716</v>
      </c>
      <c r="FK95" s="62">
        <f t="shared" si="102"/>
        <v>294.45557293177131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>
        <f>EXP(-LN(2)/35)*FQ94+(1-EXP(-LN(2)/35))/(LN(2)/35)*FM95*FN95*VLOOKUP('Données projet'!$B$16,Paramètres!$A$1:$I$89,3,0)*0.475*44/12</f>
        <v>0</v>
      </c>
      <c r="FR95" s="23">
        <f>EXP(-LN(2)/25)*FR94+(1-EXP(-LN(2)/25))/(LN(2)/25)*Calculateur!FM95*Calculateur!FO95*VLOOKUP('Données projet'!$B$16,Paramètres!$A$1:$I$89,3,0)*0.475*44/12</f>
        <v>0</v>
      </c>
      <c r="FS95" s="23">
        <f>EXP(-LN(2)/2)*FS94+(1-EXP(-LN(2)/2))/(LN(2)/2)*FM95*FP95*VLOOKUP('Données projet'!$B$16,Paramètres!$A$1:$I$89,3,0)*0.475*44/12</f>
        <v>0</v>
      </c>
      <c r="FT95" s="24">
        <f t="shared" si="78"/>
        <v>0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1.1368683772161603E-13</v>
      </c>
      <c r="GA95" s="18">
        <f>FZ95*VLOOKUP('Données projet'!$B$17,Paramètres!$A$1:$I$89,3,0)*VLOOKUP('Données projet'!$B$17,Paramètres!$A$1:$I$89,5,0)</f>
        <v>8.8675733422860506E-14</v>
      </c>
      <c r="GB95" s="14">
        <f t="shared" si="103"/>
        <v>1.3509285393066301E-12</v>
      </c>
      <c r="GC95" s="22">
        <f t="shared" si="79"/>
        <v>2.5073107750038623E-12</v>
      </c>
      <c r="GD95" s="62">
        <f t="shared" si="80"/>
        <v>293.33333333333582</v>
      </c>
      <c r="GE95" s="62">
        <f ca="1">AVERAGE(OFFSET($GD$3,0,0,'Données projet'!$E$17+1,1))-AVERAGE(OFFSET($H$3,0,0,'Données projet'!$E$17+1,1))</f>
        <v>292.57482726862594</v>
      </c>
      <c r="GF95" s="62">
        <f t="shared" si="104"/>
        <v>283.48738729114024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>
        <f>EXP(-LN(2)/35)*GL94+(1-EXP(-LN(2)/35))/(LN(2)/35)*GH95*GI95*VLOOKUP('Données projet'!$B$17,Paramètres!$A$1:$I$89,3,0)*0.475*44/12</f>
        <v>0</v>
      </c>
      <c r="GM95" s="23">
        <f>EXP(-LN(2)/25)*GM94+(1-EXP(-LN(2)/25))/(LN(2)/25)*Calculateur!GH95*Calculateur!GJ95*VLOOKUP('Données projet'!$B$17,Paramètres!$A$1:$I$89,3,0)*0.475*44/12</f>
        <v>0</v>
      </c>
      <c r="GN95" s="23">
        <f>EXP(-LN(2)/2)*GN94+(1-EXP(-LN(2)/2))/(LN(2)/2)*GH95*GK95*VLOOKUP('Données projet'!$B$17,Paramètres!$A$1:$I$89,3,0)*0.475*44/12</f>
        <v>0</v>
      </c>
      <c r="GO95" s="23">
        <f t="shared" si="81"/>
        <v>0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4.4871794871794801</v>
      </c>
      <c r="GU95" s="13">
        <f>IF('Données projet'!$A$270&gt;35,GU94+GT95-HC94,IF(A95&lt;'Données projet'!$A$270,$GR$205^A95,IF(A95='Données projet'!$A$270,'Données projet'!$B$270,GU94+GT95-HC94)))</f>
        <v>377.56410256410203</v>
      </c>
      <c r="GV95" s="18">
        <f>GU95*VLOOKUP('Données projet'!$B$18,Paramètres!$A$1:$I$89,3,0)*VLOOKUP('Données projet'!$B$18,Paramètres!$A$1:$I$89,5,0)</f>
        <v>253.26999999999964</v>
      </c>
      <c r="GW95" s="14">
        <f t="shared" si="105"/>
        <v>61.285631665860663</v>
      </c>
      <c r="GX95" s="22">
        <f t="shared" si="82"/>
        <v>547.85105848470664</v>
      </c>
      <c r="GY95" s="62">
        <f t="shared" si="83"/>
        <v>841.18439181804001</v>
      </c>
      <c r="GZ95" s="62">
        <f ca="1">AVERAGE(OFFSET($GY$3,0,0,'Données projet'!$E$18+1,1))-AVERAGE(OFFSET($H$3,0,0,'Données projet'!$E$18+1,1))</f>
        <v>410.20186800287411</v>
      </c>
      <c r="HA95" s="62">
        <f t="shared" si="106"/>
        <v>321.99347958016057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>
        <f>EXP(-LN(2)/35)*HG94+(1-EXP(-LN(2)/35))/(LN(2)/35)*HC95*HD95*VLOOKUP('Données projet'!$B$18,Paramètres!$A$1:$I$89,3,0)*0.475*44/12</f>
        <v>0</v>
      </c>
      <c r="HH95" s="23">
        <f>EXP(-LN(2)/25)*HH94+(1-EXP(-LN(2)/25))/(LN(2)/25)*Calculateur!HC95*Calculateur!HE95*VLOOKUP('Données projet'!$B$18,Paramètres!$A$1:$I$89,3,0)*0.475*44/12</f>
        <v>0</v>
      </c>
      <c r="HI95" s="23">
        <f>EXP(-LN(2)/2)*HI94+(1-EXP(-LN(2)/2))/(LN(2)/2)*HC95*HF95*VLOOKUP('Données projet'!$B$18,Paramètres!$A$1:$I$89,3,0)*0.475*44/12</f>
        <v>0</v>
      </c>
      <c r="HJ95" s="24">
        <f t="shared" si="84"/>
        <v>0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5.9</v>
      </c>
      <c r="N96" s="14">
        <f>IF('Données projet'!$A$36&gt;35,N95+M96-V95,IF(A96&lt;'Données projet'!$A$36,$K$205^A96,IF(A96='Données projet'!$A$36,'Données projet'!$B$36,N95+M96-V95)))</f>
        <v>319.70000000000005</v>
      </c>
      <c r="O96" s="14">
        <f>N96*VLOOKUP('Données projet'!$B$9,Paramètres!$A$1:$I$89,3,0)*VLOOKUP('Données projet'!$B$9,Paramètres!$A$1:$I$89,5,0)</f>
        <v>289.26456000000002</v>
      </c>
      <c r="P96" s="14">
        <f t="shared" si="87"/>
        <v>68.921152085057912</v>
      </c>
      <c r="Q96" s="22">
        <f t="shared" si="54"/>
        <v>623.84011521480932</v>
      </c>
      <c r="R96" s="62">
        <f t="shared" si="55"/>
        <v>917.17344854814269</v>
      </c>
      <c r="S96" s="62">
        <f ca="1">AVERAGE(OFFSET($R$3,0,0,'Données projet'!$E$9+1,1))-AVERAGE(OFFSET($H$3,0,0,'Données projet'!$E$9+1,1))</f>
        <v>509.56241660612449</v>
      </c>
      <c r="T96" s="62">
        <f t="shared" si="88"/>
        <v>278.21741231699929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5.9</v>
      </c>
      <c r="AI96" s="14">
        <f>IF('Données projet'!$A$62&gt;35,AI95+AH96-AQ95,IF(A96&lt;'Données projet'!$A$62,$AF$205^A96,IF(A96='Données projet'!$A$62,'Données projet'!$B$62,AI95+AH96-AQ95)))</f>
        <v>319.70000000000005</v>
      </c>
      <c r="AJ96" s="14">
        <f>AI96*VLOOKUP('Données projet'!$B$10,Paramètres!$A$1:$I$89,3,0)*VLOOKUP('Données projet'!$B$10,Paramètres!$A$1:$I$89,5,0)</f>
        <v>324.17580000000004</v>
      </c>
      <c r="AK96" s="14">
        <f t="shared" si="89"/>
        <v>76.221553371909195</v>
      </c>
      <c r="AL96" s="22">
        <f t="shared" si="58"/>
        <v>697.3587237894086</v>
      </c>
      <c r="AM96" s="62">
        <f t="shared" si="59"/>
        <v>990.69205712274197</v>
      </c>
      <c r="AN96" s="62">
        <f ca="1">AVERAGE(OFFSET($AM$3,0,0,'Données projet'!$E$10+1,1))-AVERAGE(OFFSET($H$3,0,0,'Données projet'!$E$10+1,1))</f>
        <v>565.72091871734051</v>
      </c>
      <c r="AO96" s="62">
        <f t="shared" si="90"/>
        <v>306.61893266146666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-5.6843418860808015E-14</v>
      </c>
      <c r="BE96" s="14">
        <f>BD96*VLOOKUP('Données projet'!$B$11,Paramètres!$A$1:$I$89,3,0)*VLOOKUP('Données projet'!$B$11,Paramètres!$A$1:$I$89,5,0)</f>
        <v>-4.1677594708744434E-14</v>
      </c>
      <c r="BF96" s="14" t="e">
        <f t="shared" si="91"/>
        <v>#NUM!</v>
      </c>
      <c r="BG96" s="22" t="e">
        <f t="shared" si="61"/>
        <v>#NUM!</v>
      </c>
      <c r="BH96" s="62" t="e">
        <f t="shared" si="62"/>
        <v>#NUM!</v>
      </c>
      <c r="BI96" s="62">
        <f ca="1">AVERAGE(OFFSET($BH$3,0,0,'Données projet'!$E$11+1,1))-AVERAGE(OFFSET($H$3,0,0,'Données projet'!$E$11+1,1))</f>
        <v>344.26020118887629</v>
      </c>
      <c r="BJ96" s="62">
        <f t="shared" si="92"/>
        <v>376.41441893222185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5.9</v>
      </c>
      <c r="BY96" s="13">
        <f>IF('Données projet'!$A$114&gt;35,BY95+BX96-CG95,IF(A96&lt;'Données projet'!$A$114,$BV$205^A96,IF(A96='Données projet'!$A$114,'Données projet'!$B$114,BY95+BX96-CG95)))</f>
        <v>319.70000000000005</v>
      </c>
      <c r="BZ96" s="14">
        <f>BY96*VLOOKUP('Données projet'!$B$12,Paramètres!$A$1:$I$89,3,0)*VLOOKUP('Données projet'!$B$12,Paramètres!$A$1:$I$89,5,0)</f>
        <v>269.31528000000009</v>
      </c>
      <c r="CA96" s="14">
        <f t="shared" si="93"/>
        <v>64.703932954620839</v>
      </c>
      <c r="CB96" s="22">
        <f t="shared" si="64"/>
        <v>581.75012922929807</v>
      </c>
      <c r="CC96" s="62">
        <f t="shared" si="65"/>
        <v>875.08346256263144</v>
      </c>
      <c r="CD96" s="62">
        <f ca="1">AVERAGE(OFFSET($CC$3,0,0,'Données projet'!$E$12+1,1))-AVERAGE(OFFSET($H$3,0,0,'Données projet'!$E$12+1,1))</f>
        <v>477.4105367901771</v>
      </c>
      <c r="CE96" s="62">
        <f t="shared" si="94"/>
        <v>261.95434270986397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8.1410256410256405</v>
      </c>
      <c r="CT96" s="13">
        <f>IF('Données projet'!$A$140&gt;35,CT95+CS96-DB95,IF(A96&lt;'Données projet'!$A$140,$CQ$205^A96,IF(A96='Données projet'!$A$140,'Données projet'!$B$140,CT95+CS96-DB95)))</f>
        <v>348.84615384615336</v>
      </c>
      <c r="CU96" s="18">
        <f>CT96*VLOOKUP('Données projet'!$B$13,Paramètres!$A$1:$I$89,3,0)*VLOOKUP('Données projet'!$B$13,Paramètres!$A$1:$I$89,5,0)</f>
        <v>163.25999999999976</v>
      </c>
      <c r="CV96" s="14">
        <f t="shared" si="95"/>
        <v>41.576952107686338</v>
      </c>
      <c r="CW96" s="22">
        <f t="shared" si="67"/>
        <v>356.75769158755321</v>
      </c>
      <c r="CX96" s="62">
        <f t="shared" si="68"/>
        <v>650.09102492088653</v>
      </c>
      <c r="CY96" s="62">
        <f ca="1">AVERAGE(OFFSET($CX$3,0,0,'Données projet'!$E$13+1,1))-AVERAGE(OFFSET($H$3,0,0,'Données projet'!$E$13+1,1))</f>
        <v>246.64907095367749</v>
      </c>
      <c r="CZ96" s="62">
        <f t="shared" si="96"/>
        <v>145.34368562171613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-5.6843418860808015E-14</v>
      </c>
      <c r="DP96" s="18">
        <f>DO96*VLOOKUP('Données projet'!$B$14,Paramètres!$A$1:$I$89,3,0)*VLOOKUP('Données projet'!$B$14,Paramètres!$A$1:$I$89,5,0)</f>
        <v>-4.5224624045658861E-14</v>
      </c>
      <c r="DQ96" s="14" t="e">
        <f t="shared" si="97"/>
        <v>#NUM!</v>
      </c>
      <c r="DR96" s="22" t="e">
        <f t="shared" si="70"/>
        <v>#NUM!</v>
      </c>
      <c r="DS96" s="62" t="e">
        <f t="shared" si="71"/>
        <v>#NUM!</v>
      </c>
      <c r="DT96" s="62">
        <f ca="1">AVERAGE(OFFSET($DS$3,0,0,'Données projet'!$E$14+1,1))-AVERAGE(OFFSET($H$3,0,0,'Données projet'!$E$14+1,1))</f>
        <v>370.38521334472284</v>
      </c>
      <c r="DU96" s="62">
        <f t="shared" si="98"/>
        <v>404.61777090709171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11.333333333333334</v>
      </c>
      <c r="EJ96" s="13">
        <f>IF('Données projet'!$A$192&gt;35,EJ95+EI96-ER95,IF(A96&lt;'Données projet'!$A$192,$EG$205^A96,IF(A96='Données projet'!$A$192,'Données projet'!$B$192,EJ95+EI96-ER95)))</f>
        <v>522.99999999999966</v>
      </c>
      <c r="EK96" s="18">
        <f>EJ96*VLOOKUP('Données projet'!$B$15,Paramètres!$A$1:$I$89,3,0)*VLOOKUP('Données projet'!$B$15,Paramètres!$A$1:$I$89,5,0)</f>
        <v>448.73399999999981</v>
      </c>
      <c r="EL96" s="14">
        <f t="shared" si="99"/>
        <v>101.58966417888674</v>
      </c>
      <c r="EM96" s="22">
        <f t="shared" si="73"/>
        <v>958.48038177822752</v>
      </c>
      <c r="EN96" s="62">
        <f t="shared" si="74"/>
        <v>1251.8137151115609</v>
      </c>
      <c r="EO96" s="62">
        <f ca="1">AVERAGE(OFFSET($EN$3,0,0,'Données projet'!$E$15+1,1))-AVERAGE(OFFSET($H$3,0,0,'Données projet'!$E$15+1,1))</f>
        <v>445.81166342116865</v>
      </c>
      <c r="EP96" s="62">
        <f t="shared" si="100"/>
        <v>230.82970731138215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0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5.9</v>
      </c>
      <c r="FE96" s="13">
        <f>IF('Données projet'!$A$218&gt;35,FE95+FD96-FM95,IF(A96&lt;'Données projet'!$A$218,$FB$205^A96,IF(A96='Données projet'!$A$218,'Données projet'!$B$218,FE95+FD96-FM95)))</f>
        <v>319.70000000000005</v>
      </c>
      <c r="FF96" s="18">
        <f>FE96*VLOOKUP('Données projet'!$B$16,Paramètres!$A$1:$I$89,3,0)*VLOOKUP('Données projet'!$B$16,Paramètres!$A$1:$I$89,5,0)</f>
        <v>309.21384000000006</v>
      </c>
      <c r="FG96" s="14">
        <f t="shared" si="101"/>
        <v>73.104624418450499</v>
      </c>
      <c r="FH96" s="22">
        <f t="shared" si="76"/>
        <v>665.87132552880132</v>
      </c>
      <c r="FI96" s="62">
        <f t="shared" si="77"/>
        <v>959.20465886213469</v>
      </c>
      <c r="FJ96" s="62">
        <f ca="1">AVERAGE(OFFSET($FI$3,0,0,'Données projet'!$E$16+1,1))-AVERAGE(OFFSET($H$3,0,0,'Données projet'!$E$16+1,1))</f>
        <v>541.66888676162716</v>
      </c>
      <c r="FK96" s="62">
        <f t="shared" si="102"/>
        <v>294.45557293177131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>
        <f>EXP(-LN(2)/35)*FQ95+(1-EXP(-LN(2)/35))/(LN(2)/35)*FM96*FN96*VLOOKUP('Données projet'!$B$16,Paramètres!$A$1:$I$89,3,0)*0.475*44/12</f>
        <v>0</v>
      </c>
      <c r="FR96" s="23">
        <f>EXP(-LN(2)/25)*FR95+(1-EXP(-LN(2)/25))/(LN(2)/25)*Calculateur!FM96*Calculateur!FO96*VLOOKUP('Données projet'!$B$16,Paramètres!$A$1:$I$89,3,0)*0.475*44/12</f>
        <v>0</v>
      </c>
      <c r="FS96" s="23">
        <f>EXP(-LN(2)/2)*FS95+(1-EXP(-LN(2)/2))/(LN(2)/2)*FM96*FP96*VLOOKUP('Données projet'!$B$16,Paramètres!$A$1:$I$89,3,0)*0.475*44/12</f>
        <v>0</v>
      </c>
      <c r="FT96" s="24">
        <f t="shared" si="78"/>
        <v>0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1.1368683772161603E-13</v>
      </c>
      <c r="GA96" s="18">
        <f>FZ96*VLOOKUP('Données projet'!$B$17,Paramètres!$A$1:$I$89,3,0)*VLOOKUP('Données projet'!$B$17,Paramètres!$A$1:$I$89,5,0)</f>
        <v>8.8675733422860506E-14</v>
      </c>
      <c r="GB96" s="14">
        <f t="shared" si="103"/>
        <v>1.3509285393066301E-12</v>
      </c>
      <c r="GC96" s="22">
        <f t="shared" si="79"/>
        <v>2.5073107750038623E-12</v>
      </c>
      <c r="GD96" s="62">
        <f t="shared" si="80"/>
        <v>293.33333333333582</v>
      </c>
      <c r="GE96" s="62">
        <f ca="1">AVERAGE(OFFSET($GD$3,0,0,'Données projet'!$E$17+1,1))-AVERAGE(OFFSET($H$3,0,0,'Données projet'!$E$17+1,1))</f>
        <v>292.57482726862594</v>
      </c>
      <c r="GF96" s="62">
        <f t="shared" si="104"/>
        <v>283.48738729114024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>
        <f>EXP(-LN(2)/35)*GL95+(1-EXP(-LN(2)/35))/(LN(2)/35)*GH96*GI96*VLOOKUP('Données projet'!$B$17,Paramètres!$A$1:$I$89,3,0)*0.475*44/12</f>
        <v>0</v>
      </c>
      <c r="GM96" s="23">
        <f>EXP(-LN(2)/25)*GM95+(1-EXP(-LN(2)/25))/(LN(2)/25)*Calculateur!GH96*Calculateur!GJ96*VLOOKUP('Données projet'!$B$17,Paramètres!$A$1:$I$89,3,0)*0.475*44/12</f>
        <v>0</v>
      </c>
      <c r="GN96" s="23">
        <f>EXP(-LN(2)/2)*GN95+(1-EXP(-LN(2)/2))/(LN(2)/2)*GH96*GK96*VLOOKUP('Données projet'!$B$17,Paramètres!$A$1:$I$89,3,0)*0.475*44/12</f>
        <v>0</v>
      </c>
      <c r="GO96" s="23">
        <f t="shared" si="81"/>
        <v>0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4.4871794871794801</v>
      </c>
      <c r="GU96" s="13">
        <f>IF('Données projet'!$A$270&gt;35,GU95+GT96-HC95,IF(A96&lt;'Données projet'!$A$270,$GR$205^A96,IF(A96='Données projet'!$A$270,'Données projet'!$B$270,GU95+GT96-HC95)))</f>
        <v>382.05128205128153</v>
      </c>
      <c r="GV96" s="18">
        <f>GU96*VLOOKUP('Données projet'!$B$18,Paramètres!$A$1:$I$89,3,0)*VLOOKUP('Données projet'!$B$18,Paramètres!$A$1:$I$89,5,0)</f>
        <v>256.27999999999963</v>
      </c>
      <c r="GW96" s="14">
        <f t="shared" si="105"/>
        <v>61.928760443617371</v>
      </c>
      <c r="GX96" s="22">
        <f t="shared" si="82"/>
        <v>554.2135911059662</v>
      </c>
      <c r="GY96" s="62">
        <f t="shared" si="83"/>
        <v>847.54692443929957</v>
      </c>
      <c r="GZ96" s="62">
        <f ca="1">AVERAGE(OFFSET($GY$3,0,0,'Données projet'!$E$18+1,1))-AVERAGE(OFFSET($H$3,0,0,'Données projet'!$E$18+1,1))</f>
        <v>410.20186800287411</v>
      </c>
      <c r="HA96" s="62">
        <f t="shared" si="106"/>
        <v>321.99347958016057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>
        <f>EXP(-LN(2)/35)*HG95+(1-EXP(-LN(2)/35))/(LN(2)/35)*HC96*HD96*VLOOKUP('Données projet'!$B$18,Paramètres!$A$1:$I$89,3,0)*0.475*44/12</f>
        <v>0</v>
      </c>
      <c r="HH96" s="23">
        <f>EXP(-LN(2)/25)*HH95+(1-EXP(-LN(2)/25))/(LN(2)/25)*Calculateur!HC96*Calculateur!HE96*VLOOKUP('Données projet'!$B$18,Paramètres!$A$1:$I$89,3,0)*0.475*44/12</f>
        <v>0</v>
      </c>
      <c r="HI96" s="23">
        <f>EXP(-LN(2)/2)*HI95+(1-EXP(-LN(2)/2))/(LN(2)/2)*HC96*HF96*VLOOKUP('Données projet'!$B$18,Paramètres!$A$1:$I$89,3,0)*0.475*44/12</f>
        <v>0</v>
      </c>
      <c r="HJ96" s="24">
        <f t="shared" si="84"/>
        <v>0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5.9</v>
      </c>
      <c r="N97" s="14">
        <f>IF('Données projet'!$A$36&gt;35,N96+M97-V96,IF(A97&lt;'Données projet'!$A$36,$K$205^A97,IF(A97='Données projet'!$A$36,'Données projet'!$B$36,N96+M97-V96)))</f>
        <v>325.60000000000002</v>
      </c>
      <c r="O97" s="14">
        <f>N97*VLOOKUP('Données projet'!$B$9,Paramètres!$A$1:$I$89,3,0)*VLOOKUP('Données projet'!$B$9,Paramètres!$A$1:$I$89,5,0)</f>
        <v>294.60288000000003</v>
      </c>
      <c r="P97" s="14">
        <f t="shared" si="87"/>
        <v>70.043827142305744</v>
      </c>
      <c r="Q97" s="22">
        <f t="shared" si="54"/>
        <v>635.09301493951591</v>
      </c>
      <c r="R97" s="62">
        <f t="shared" si="55"/>
        <v>928.42634827284928</v>
      </c>
      <c r="S97" s="62">
        <f ca="1">AVERAGE(OFFSET($R$3,0,0,'Données projet'!$E$9+1,1))-AVERAGE(OFFSET($H$3,0,0,'Données projet'!$E$9+1,1))</f>
        <v>509.56241660612449</v>
      </c>
      <c r="T97" s="62">
        <f t="shared" si="88"/>
        <v>278.21741231699929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5.9</v>
      </c>
      <c r="AI97" s="14">
        <f>IF('Données projet'!$A$62&gt;35,AI96+AH97-AQ96,IF(A97&lt;'Données projet'!$A$62,$AF$205^A97,IF(A97='Données projet'!$A$62,'Données projet'!$B$62,AI96+AH97-AQ96)))</f>
        <v>325.60000000000002</v>
      </c>
      <c r="AJ97" s="14">
        <f>AI97*VLOOKUP('Données projet'!$B$10,Paramètres!$A$1:$I$89,3,0)*VLOOKUP('Données projet'!$B$10,Paramètres!$A$1:$I$89,5,0)</f>
        <v>330.15840000000003</v>
      </c>
      <c r="AK97" s="14">
        <f t="shared" si="89"/>
        <v>77.463146615877591</v>
      </c>
      <c r="AL97" s="22">
        <f t="shared" si="58"/>
        <v>709.94086035598684</v>
      </c>
      <c r="AM97" s="62">
        <f t="shared" si="59"/>
        <v>1003.2741936893201</v>
      </c>
      <c r="AN97" s="62">
        <f ca="1">AVERAGE(OFFSET($AM$3,0,0,'Données projet'!$E$10+1,1))-AVERAGE(OFFSET($H$3,0,0,'Données projet'!$E$10+1,1))</f>
        <v>565.72091871734051</v>
      </c>
      <c r="AO97" s="62">
        <f t="shared" si="90"/>
        <v>306.61893266146666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-5.6843418860808015E-14</v>
      </c>
      <c r="BE97" s="14">
        <f>BD97*VLOOKUP('Données projet'!$B$11,Paramètres!$A$1:$I$89,3,0)*VLOOKUP('Données projet'!$B$11,Paramètres!$A$1:$I$89,5,0)</f>
        <v>-4.1677594708744434E-14</v>
      </c>
      <c r="BF97" s="14" t="e">
        <f t="shared" si="91"/>
        <v>#NUM!</v>
      </c>
      <c r="BG97" s="22" t="e">
        <f t="shared" si="61"/>
        <v>#NUM!</v>
      </c>
      <c r="BH97" s="62" t="e">
        <f t="shared" si="62"/>
        <v>#NUM!</v>
      </c>
      <c r="BI97" s="62">
        <f ca="1">AVERAGE(OFFSET($BH$3,0,0,'Données projet'!$E$11+1,1))-AVERAGE(OFFSET($H$3,0,0,'Données projet'!$E$11+1,1))</f>
        <v>344.26020118887629</v>
      </c>
      <c r="BJ97" s="62">
        <f t="shared" si="92"/>
        <v>376.41441893222185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5.9</v>
      </c>
      <c r="BY97" s="13">
        <f>IF('Données projet'!$A$114&gt;35,BY96+BX97-CG96,IF(A97&lt;'Données projet'!$A$114,$BV$205^A97,IF(A97='Données projet'!$A$114,'Données projet'!$B$114,BY96+BX97-CG96)))</f>
        <v>325.60000000000002</v>
      </c>
      <c r="BZ97" s="14">
        <f>BY97*VLOOKUP('Données projet'!$B$12,Paramètres!$A$1:$I$89,3,0)*VLOOKUP('Données projet'!$B$12,Paramètres!$A$1:$I$89,5,0)</f>
        <v>274.28544000000005</v>
      </c>
      <c r="CA97" s="14">
        <f t="shared" si="93"/>
        <v>65.75791260290552</v>
      </c>
      <c r="CB97" s="22">
        <f t="shared" si="64"/>
        <v>592.24217245006048</v>
      </c>
      <c r="CC97" s="62">
        <f t="shared" si="65"/>
        <v>885.57550578339374</v>
      </c>
      <c r="CD97" s="62">
        <f ca="1">AVERAGE(OFFSET($CC$3,0,0,'Données projet'!$E$12+1,1))-AVERAGE(OFFSET($H$3,0,0,'Données projet'!$E$12+1,1))</f>
        <v>477.4105367901771</v>
      </c>
      <c r="CE97" s="62">
        <f t="shared" si="94"/>
        <v>261.95434270986397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8.1410256410256405</v>
      </c>
      <c r="CT97" s="13">
        <f>IF('Données projet'!$A$140&gt;35,CT96+CS97-DB96,IF(A97&lt;'Données projet'!$A$140,$CQ$205^A97,IF(A97='Données projet'!$A$140,'Données projet'!$B$140,CT96+CS97-DB96)))</f>
        <v>356.98717948717899</v>
      </c>
      <c r="CU97" s="18">
        <f>CT97*VLOOKUP('Données projet'!$B$13,Paramètres!$A$1:$I$89,3,0)*VLOOKUP('Données projet'!$B$13,Paramètres!$A$1:$I$89,5,0)</f>
        <v>167.06999999999977</v>
      </c>
      <c r="CV97" s="14">
        <f t="shared" si="95"/>
        <v>42.433138539856941</v>
      </c>
      <c r="CW97" s="22">
        <f t="shared" si="67"/>
        <v>364.88463295691707</v>
      </c>
      <c r="CX97" s="62">
        <f t="shared" si="68"/>
        <v>658.21796629025039</v>
      </c>
      <c r="CY97" s="62">
        <f ca="1">AVERAGE(OFFSET($CX$3,0,0,'Données projet'!$E$13+1,1))-AVERAGE(OFFSET($H$3,0,0,'Données projet'!$E$13+1,1))</f>
        <v>246.64907095367749</v>
      </c>
      <c r="CZ97" s="62">
        <f t="shared" si="96"/>
        <v>145.34368562171613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-5.6843418860808015E-14</v>
      </c>
      <c r="DP97" s="18">
        <f>DO97*VLOOKUP('Données projet'!$B$14,Paramètres!$A$1:$I$89,3,0)*VLOOKUP('Données projet'!$B$14,Paramètres!$A$1:$I$89,5,0)</f>
        <v>-4.5224624045658861E-14</v>
      </c>
      <c r="DQ97" s="14" t="e">
        <f t="shared" si="97"/>
        <v>#NUM!</v>
      </c>
      <c r="DR97" s="22" t="e">
        <f t="shared" si="70"/>
        <v>#NUM!</v>
      </c>
      <c r="DS97" s="62" t="e">
        <f t="shared" si="71"/>
        <v>#NUM!</v>
      </c>
      <c r="DT97" s="62">
        <f ca="1">AVERAGE(OFFSET($DS$3,0,0,'Données projet'!$E$14+1,1))-AVERAGE(OFFSET($H$3,0,0,'Données projet'!$E$14+1,1))</f>
        <v>370.38521334472284</v>
      </c>
      <c r="DU97" s="62">
        <f t="shared" si="98"/>
        <v>404.61777090709171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11.333333333333334</v>
      </c>
      <c r="EJ97" s="13">
        <f>IF('Données projet'!$A$192&gt;35,EJ96+EI97-ER96,IF(A97&lt;'Données projet'!$A$192,$EG$205^A97,IF(A97='Données projet'!$A$192,'Données projet'!$B$192,EJ96+EI97-ER96)))</f>
        <v>534.33333333333303</v>
      </c>
      <c r="EK97" s="18">
        <f>EJ97*VLOOKUP('Données projet'!$B$15,Paramètres!$A$1:$I$89,3,0)*VLOOKUP('Données projet'!$B$15,Paramètres!$A$1:$I$89,5,0)</f>
        <v>458.4579999999998</v>
      </c>
      <c r="EL97" s="14">
        <f t="shared" si="99"/>
        <v>103.53241681177968</v>
      </c>
      <c r="EM97" s="22">
        <f t="shared" si="73"/>
        <v>978.79997594718259</v>
      </c>
      <c r="EN97" s="62">
        <f t="shared" si="74"/>
        <v>1272.133309280516</v>
      </c>
      <c r="EO97" s="62">
        <f ca="1">AVERAGE(OFFSET($EN$3,0,0,'Données projet'!$E$15+1,1))-AVERAGE(OFFSET($H$3,0,0,'Données projet'!$E$15+1,1))</f>
        <v>445.81166342116865</v>
      </c>
      <c r="EP97" s="62">
        <f t="shared" si="100"/>
        <v>230.82970731138215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0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5.9</v>
      </c>
      <c r="FE97" s="13">
        <f>IF('Données projet'!$A$218&gt;35,FE96+FD97-FM96,IF(A97&lt;'Données projet'!$A$218,$FB$205^A97,IF(A97='Données projet'!$A$218,'Données projet'!$B$218,FE96+FD97-FM96)))</f>
        <v>325.60000000000002</v>
      </c>
      <c r="FF97" s="18">
        <f>FE97*VLOOKUP('Données projet'!$B$16,Paramètres!$A$1:$I$89,3,0)*VLOOKUP('Données projet'!$B$16,Paramètres!$A$1:$I$89,5,0)</f>
        <v>314.92032000000006</v>
      </c>
      <c r="FG97" s="14">
        <f t="shared" si="101"/>
        <v>74.295445174069485</v>
      </c>
      <c r="FH97" s="22">
        <f t="shared" si="76"/>
        <v>677.8841243448378</v>
      </c>
      <c r="FI97" s="62">
        <f t="shared" si="77"/>
        <v>971.21745767817106</v>
      </c>
      <c r="FJ97" s="62">
        <f ca="1">AVERAGE(OFFSET($FI$3,0,0,'Données projet'!$E$16+1,1))-AVERAGE(OFFSET($H$3,0,0,'Données projet'!$E$16+1,1))</f>
        <v>541.66888676162716</v>
      </c>
      <c r="FK97" s="62">
        <f t="shared" si="102"/>
        <v>294.45557293177131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>
        <f>EXP(-LN(2)/35)*FQ96+(1-EXP(-LN(2)/35))/(LN(2)/35)*FM97*FN97*VLOOKUP('Données projet'!$B$16,Paramètres!$A$1:$I$89,3,0)*0.475*44/12</f>
        <v>0</v>
      </c>
      <c r="FR97" s="23">
        <f>EXP(-LN(2)/25)*FR96+(1-EXP(-LN(2)/25))/(LN(2)/25)*Calculateur!FM97*Calculateur!FO97*VLOOKUP('Données projet'!$B$16,Paramètres!$A$1:$I$89,3,0)*0.475*44/12</f>
        <v>0</v>
      </c>
      <c r="FS97" s="23">
        <f>EXP(-LN(2)/2)*FS96+(1-EXP(-LN(2)/2))/(LN(2)/2)*FM97*FP97*VLOOKUP('Données projet'!$B$16,Paramètres!$A$1:$I$89,3,0)*0.475*44/12</f>
        <v>0</v>
      </c>
      <c r="FT97" s="24">
        <f t="shared" si="78"/>
        <v>0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1.1368683772161603E-13</v>
      </c>
      <c r="GA97" s="18">
        <f>FZ97*VLOOKUP('Données projet'!$B$17,Paramètres!$A$1:$I$89,3,0)*VLOOKUP('Données projet'!$B$17,Paramètres!$A$1:$I$89,5,0)</f>
        <v>8.8675733422860506E-14</v>
      </c>
      <c r="GB97" s="14">
        <f t="shared" si="103"/>
        <v>1.3509285393066301E-12</v>
      </c>
      <c r="GC97" s="22">
        <f t="shared" si="79"/>
        <v>2.5073107750038623E-12</v>
      </c>
      <c r="GD97" s="62">
        <f t="shared" si="80"/>
        <v>293.33333333333582</v>
      </c>
      <c r="GE97" s="62">
        <f ca="1">AVERAGE(OFFSET($GD$3,0,0,'Données projet'!$E$17+1,1))-AVERAGE(OFFSET($H$3,0,0,'Données projet'!$E$17+1,1))</f>
        <v>292.57482726862594</v>
      </c>
      <c r="GF97" s="62">
        <f t="shared" si="104"/>
        <v>283.48738729114024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>
        <f>EXP(-LN(2)/35)*GL96+(1-EXP(-LN(2)/35))/(LN(2)/35)*GH97*GI97*VLOOKUP('Données projet'!$B$17,Paramètres!$A$1:$I$89,3,0)*0.475*44/12</f>
        <v>0</v>
      </c>
      <c r="GM97" s="23">
        <f>EXP(-LN(2)/25)*GM96+(1-EXP(-LN(2)/25))/(LN(2)/25)*Calculateur!GH97*Calculateur!GJ97*VLOOKUP('Données projet'!$B$17,Paramètres!$A$1:$I$89,3,0)*0.475*44/12</f>
        <v>0</v>
      </c>
      <c r="GN97" s="23">
        <f>EXP(-LN(2)/2)*GN96+(1-EXP(-LN(2)/2))/(LN(2)/2)*GH97*GK97*VLOOKUP('Données projet'!$B$17,Paramètres!$A$1:$I$89,3,0)*0.475*44/12</f>
        <v>0</v>
      </c>
      <c r="GO97" s="23">
        <f t="shared" si="81"/>
        <v>0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4.4871794871794801</v>
      </c>
      <c r="GU97" s="13">
        <f>IF('Données projet'!$A$270&gt;35,GU96+GT97-HC96,IF(A97&lt;'Données projet'!$A$270,$GR$205^A97,IF(A97='Données projet'!$A$270,'Données projet'!$B$270,GU96+GT97-HC96)))</f>
        <v>386.53846153846104</v>
      </c>
      <c r="GV97" s="18">
        <f>GU97*VLOOKUP('Données projet'!$B$18,Paramètres!$A$1:$I$89,3,0)*VLOOKUP('Données projet'!$B$18,Paramètres!$A$1:$I$89,5,0)</f>
        <v>259.28999999999968</v>
      </c>
      <c r="GW97" s="14">
        <f t="shared" si="105"/>
        <v>62.571010570325562</v>
      </c>
      <c r="GX97" s="22">
        <f t="shared" si="82"/>
        <v>560.57459340998309</v>
      </c>
      <c r="GY97" s="62">
        <f t="shared" si="83"/>
        <v>853.90792674331647</v>
      </c>
      <c r="GZ97" s="62">
        <f ca="1">AVERAGE(OFFSET($GY$3,0,0,'Données projet'!$E$18+1,1))-AVERAGE(OFFSET($H$3,0,0,'Données projet'!$E$18+1,1))</f>
        <v>410.20186800287411</v>
      </c>
      <c r="HA97" s="62">
        <f t="shared" si="106"/>
        <v>321.99347958016057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>
        <f>EXP(-LN(2)/35)*HG96+(1-EXP(-LN(2)/35))/(LN(2)/35)*HC97*HD97*VLOOKUP('Données projet'!$B$18,Paramètres!$A$1:$I$89,3,0)*0.475*44/12</f>
        <v>0</v>
      </c>
      <c r="HH97" s="23">
        <f>EXP(-LN(2)/25)*HH96+(1-EXP(-LN(2)/25))/(LN(2)/25)*Calculateur!HC97*Calculateur!HE97*VLOOKUP('Données projet'!$B$18,Paramètres!$A$1:$I$89,3,0)*0.475*44/12</f>
        <v>0</v>
      </c>
      <c r="HI97" s="23">
        <f>EXP(-LN(2)/2)*HI96+(1-EXP(-LN(2)/2))/(LN(2)/2)*HC97*HF97*VLOOKUP('Données projet'!$B$18,Paramètres!$A$1:$I$89,3,0)*0.475*44/12</f>
        <v>0</v>
      </c>
      <c r="HJ97" s="24">
        <f t="shared" si="84"/>
        <v>0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5.9</v>
      </c>
      <c r="N98" s="14">
        <f>IF('Données projet'!$A$36&gt;35,N97+M98-V97,IF(A98&lt;'Données projet'!$A$36,$K$205^A98,IF(A98='Données projet'!$A$36,'Données projet'!$B$36,N97+M98-V97)))</f>
        <v>331.5</v>
      </c>
      <c r="O98" s="14">
        <f>N98*VLOOKUP('Données projet'!$B$9,Paramètres!$A$1:$I$89,3,0)*VLOOKUP('Données projet'!$B$9,Paramètres!$A$1:$I$89,5,0)</f>
        <v>299.94119999999998</v>
      </c>
      <c r="P98" s="14">
        <f t="shared" si="87"/>
        <v>71.164136596531506</v>
      </c>
      <c r="Q98" s="22">
        <f t="shared" si="54"/>
        <v>646.34179457229243</v>
      </c>
      <c r="R98" s="62">
        <f t="shared" si="55"/>
        <v>939.67512790562569</v>
      </c>
      <c r="S98" s="62">
        <f ca="1">AVERAGE(OFFSET($R$3,0,0,'Données projet'!$E$9+1,1))-AVERAGE(OFFSET($H$3,0,0,'Données projet'!$E$9+1,1))</f>
        <v>509.56241660612449</v>
      </c>
      <c r="T98" s="62">
        <f t="shared" si="88"/>
        <v>278.21741231699929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5.9</v>
      </c>
      <c r="AI98" s="14">
        <f>IF('Données projet'!$A$62&gt;35,AI97+AH98-AQ97,IF(A98&lt;'Données projet'!$A$62,$AF$205^A98,IF(A98='Données projet'!$A$62,'Données projet'!$B$62,AI97+AH98-AQ97)))</f>
        <v>331.5</v>
      </c>
      <c r="AJ98" s="14">
        <f>AI98*VLOOKUP('Données projet'!$B$10,Paramètres!$A$1:$I$89,3,0)*VLOOKUP('Données projet'!$B$10,Paramètres!$A$1:$I$89,5,0)</f>
        <v>336.14100000000002</v>
      </c>
      <c r="AK98" s="14">
        <f t="shared" si="89"/>
        <v>78.70212368278645</v>
      </c>
      <c r="AL98" s="22">
        <f t="shared" si="58"/>
        <v>722.51844041418644</v>
      </c>
      <c r="AM98" s="62">
        <f t="shared" si="59"/>
        <v>1015.8517737475197</v>
      </c>
      <c r="AN98" s="62">
        <f ca="1">AVERAGE(OFFSET($AM$3,0,0,'Données projet'!$E$10+1,1))-AVERAGE(OFFSET($H$3,0,0,'Données projet'!$E$10+1,1))</f>
        <v>565.72091871734051</v>
      </c>
      <c r="AO98" s="62">
        <f t="shared" si="90"/>
        <v>306.61893266146666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-5.6843418860808015E-14</v>
      </c>
      <c r="BE98" s="14">
        <f>BD98*VLOOKUP('Données projet'!$B$11,Paramètres!$A$1:$I$89,3,0)*VLOOKUP('Données projet'!$B$11,Paramètres!$A$1:$I$89,5,0)</f>
        <v>-4.1677594708744434E-14</v>
      </c>
      <c r="BF98" s="14" t="e">
        <f t="shared" si="91"/>
        <v>#NUM!</v>
      </c>
      <c r="BG98" s="22" t="e">
        <f t="shared" si="61"/>
        <v>#NUM!</v>
      </c>
      <c r="BH98" s="62" t="e">
        <f t="shared" si="62"/>
        <v>#NUM!</v>
      </c>
      <c r="BI98" s="62">
        <f ca="1">AVERAGE(OFFSET($BH$3,0,0,'Données projet'!$E$11+1,1))-AVERAGE(OFFSET($H$3,0,0,'Données projet'!$E$11+1,1))</f>
        <v>344.26020118887629</v>
      </c>
      <c r="BJ98" s="62">
        <f t="shared" si="92"/>
        <v>376.41441893222185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5.9</v>
      </c>
      <c r="BY98" s="13">
        <f>IF('Données projet'!$A$114&gt;35,BY97+BX98-CG97,IF(A98&lt;'Données projet'!$A$114,$BV$205^A98,IF(A98='Données projet'!$A$114,'Données projet'!$B$114,BY97+BX98-CG97)))</f>
        <v>331.5</v>
      </c>
      <c r="BZ98" s="14">
        <f>BY98*VLOOKUP('Données projet'!$B$12,Paramètres!$A$1:$I$89,3,0)*VLOOKUP('Données projet'!$B$12,Paramètres!$A$1:$I$89,5,0)</f>
        <v>279.25560000000002</v>
      </c>
      <c r="CA98" s="14">
        <f t="shared" si="93"/>
        <v>66.809671397146161</v>
      </c>
      <c r="CB98" s="22">
        <f t="shared" si="64"/>
        <v>602.73034768336277</v>
      </c>
      <c r="CC98" s="62">
        <f t="shared" si="65"/>
        <v>896.06368101669614</v>
      </c>
      <c r="CD98" s="62">
        <f ca="1">AVERAGE(OFFSET($CC$3,0,0,'Données projet'!$E$12+1,1))-AVERAGE(OFFSET($H$3,0,0,'Données projet'!$E$12+1,1))</f>
        <v>477.4105367901771</v>
      </c>
      <c r="CE98" s="62">
        <f t="shared" si="94"/>
        <v>261.95434270986397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8.1410256410256405</v>
      </c>
      <c r="CT98" s="13">
        <f>IF('Données projet'!$A$140&gt;35,CT97+CS98-DB97,IF(A98&lt;'Données projet'!$A$140,$CQ$205^A98,IF(A98='Données projet'!$A$140,'Données projet'!$B$140,CT97+CS98-DB97)))</f>
        <v>365.12820512820463</v>
      </c>
      <c r="CU98" s="18">
        <f>CT98*VLOOKUP('Données projet'!$B$13,Paramètres!$A$1:$I$89,3,0)*VLOOKUP('Données projet'!$B$13,Paramètres!$A$1:$I$89,5,0)</f>
        <v>170.87999999999977</v>
      </c>
      <c r="CV98" s="14">
        <f t="shared" si="95"/>
        <v>43.287055047972629</v>
      </c>
      <c r="CW98" s="22">
        <f t="shared" si="67"/>
        <v>373.00762087521849</v>
      </c>
      <c r="CX98" s="62">
        <f t="shared" si="68"/>
        <v>666.34095420855181</v>
      </c>
      <c r="CY98" s="62">
        <f ca="1">AVERAGE(OFFSET($CX$3,0,0,'Données projet'!$E$13+1,1))-AVERAGE(OFFSET($H$3,0,0,'Données projet'!$E$13+1,1))</f>
        <v>246.64907095367749</v>
      </c>
      <c r="CZ98" s="62">
        <f t="shared" si="96"/>
        <v>145.34368562171613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-5.6843418860808015E-14</v>
      </c>
      <c r="DP98" s="18">
        <f>DO98*VLOOKUP('Données projet'!$B$14,Paramètres!$A$1:$I$89,3,0)*VLOOKUP('Données projet'!$B$14,Paramètres!$A$1:$I$89,5,0)</f>
        <v>-4.5224624045658861E-14</v>
      </c>
      <c r="DQ98" s="14" t="e">
        <f t="shared" si="97"/>
        <v>#NUM!</v>
      </c>
      <c r="DR98" s="22" t="e">
        <f t="shared" si="70"/>
        <v>#NUM!</v>
      </c>
      <c r="DS98" s="62" t="e">
        <f t="shared" si="71"/>
        <v>#NUM!</v>
      </c>
      <c r="DT98" s="62">
        <f ca="1">AVERAGE(OFFSET($DS$3,0,0,'Données projet'!$E$14+1,1))-AVERAGE(OFFSET($H$3,0,0,'Données projet'!$E$14+1,1))</f>
        <v>370.38521334472284</v>
      </c>
      <c r="DU98" s="62">
        <f t="shared" si="98"/>
        <v>404.61777090709171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11.333333333333334</v>
      </c>
      <c r="EJ98" s="13">
        <f>IF('Données projet'!$A$192&gt;35,EJ97+EI98-ER97,IF(A98&lt;'Données projet'!$A$192,$EG$205^A98,IF(A98='Données projet'!$A$192,'Données projet'!$B$192,EJ97+EI98-ER97)))</f>
        <v>545.6666666666664</v>
      </c>
      <c r="EK98" s="18">
        <f>EJ98*VLOOKUP('Données projet'!$B$15,Paramètres!$A$1:$I$89,3,0)*VLOOKUP('Données projet'!$B$15,Paramètres!$A$1:$I$89,5,0)</f>
        <v>468.18199999999985</v>
      </c>
      <c r="EL98" s="14">
        <f t="shared" si="99"/>
        <v>105.47037857558523</v>
      </c>
      <c r="EM98" s="22">
        <f t="shared" si="73"/>
        <v>999.11122601914394</v>
      </c>
      <c r="EN98" s="62">
        <f t="shared" si="74"/>
        <v>1292.4445593524772</v>
      </c>
      <c r="EO98" s="62">
        <f ca="1">AVERAGE(OFFSET($EN$3,0,0,'Données projet'!$E$15+1,1))-AVERAGE(OFFSET($H$3,0,0,'Données projet'!$E$15+1,1))</f>
        <v>445.81166342116865</v>
      </c>
      <c r="EP98" s="62">
        <f t="shared" si="100"/>
        <v>230.82970731138215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0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5.9</v>
      </c>
      <c r="FE98" s="13">
        <f>IF('Données projet'!$A$218&gt;35,FE97+FD98-FM97,IF(A98&lt;'Données projet'!$A$218,$FB$205^A98,IF(A98='Données projet'!$A$218,'Données projet'!$B$218,FE97+FD98-FM97)))</f>
        <v>331.5</v>
      </c>
      <c r="FF98" s="18">
        <f>FE98*VLOOKUP('Données projet'!$B$16,Paramètres!$A$1:$I$89,3,0)*VLOOKUP('Données projet'!$B$16,Paramètres!$A$1:$I$89,5,0)</f>
        <v>320.6268</v>
      </c>
      <c r="FG98" s="14">
        <f t="shared" si="101"/>
        <v>75.483756735990909</v>
      </c>
      <c r="FH98" s="22">
        <f t="shared" si="76"/>
        <v>689.89255298185083</v>
      </c>
      <c r="FI98" s="62">
        <f t="shared" si="77"/>
        <v>983.2258863151842</v>
      </c>
      <c r="FJ98" s="62">
        <f ca="1">AVERAGE(OFFSET($FI$3,0,0,'Données projet'!$E$16+1,1))-AVERAGE(OFFSET($H$3,0,0,'Données projet'!$E$16+1,1))</f>
        <v>541.66888676162716</v>
      </c>
      <c r="FK98" s="62">
        <f t="shared" si="102"/>
        <v>294.45557293177131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>
        <f>EXP(-LN(2)/35)*FQ97+(1-EXP(-LN(2)/35))/(LN(2)/35)*FM98*FN98*VLOOKUP('Données projet'!$B$16,Paramètres!$A$1:$I$89,3,0)*0.475*44/12</f>
        <v>0</v>
      </c>
      <c r="FR98" s="23">
        <f>EXP(-LN(2)/25)*FR97+(1-EXP(-LN(2)/25))/(LN(2)/25)*Calculateur!FM98*Calculateur!FO98*VLOOKUP('Données projet'!$B$16,Paramètres!$A$1:$I$89,3,0)*0.475*44/12</f>
        <v>0</v>
      </c>
      <c r="FS98" s="23">
        <f>EXP(-LN(2)/2)*FS97+(1-EXP(-LN(2)/2))/(LN(2)/2)*FM98*FP98*VLOOKUP('Données projet'!$B$16,Paramètres!$A$1:$I$89,3,0)*0.475*44/12</f>
        <v>0</v>
      </c>
      <c r="FT98" s="24">
        <f t="shared" si="78"/>
        <v>0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1.1368683772161603E-13</v>
      </c>
      <c r="GA98" s="18">
        <f>FZ98*VLOOKUP('Données projet'!$B$17,Paramètres!$A$1:$I$89,3,0)*VLOOKUP('Données projet'!$B$17,Paramètres!$A$1:$I$89,5,0)</f>
        <v>8.8675733422860506E-14</v>
      </c>
      <c r="GB98" s="14">
        <f t="shared" si="103"/>
        <v>1.3509285393066301E-12</v>
      </c>
      <c r="GC98" s="22">
        <f t="shared" si="79"/>
        <v>2.5073107750038623E-12</v>
      </c>
      <c r="GD98" s="62">
        <f t="shared" si="80"/>
        <v>293.33333333333582</v>
      </c>
      <c r="GE98" s="62">
        <f ca="1">AVERAGE(OFFSET($GD$3,0,0,'Données projet'!$E$17+1,1))-AVERAGE(OFFSET($H$3,0,0,'Données projet'!$E$17+1,1))</f>
        <v>292.57482726862594</v>
      </c>
      <c r="GF98" s="62">
        <f t="shared" si="104"/>
        <v>283.48738729114024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>
        <f>EXP(-LN(2)/35)*GL97+(1-EXP(-LN(2)/35))/(LN(2)/35)*GH98*GI98*VLOOKUP('Données projet'!$B$17,Paramètres!$A$1:$I$89,3,0)*0.475*44/12</f>
        <v>0</v>
      </c>
      <c r="GM98" s="23">
        <f>EXP(-LN(2)/25)*GM97+(1-EXP(-LN(2)/25))/(LN(2)/25)*Calculateur!GH98*Calculateur!GJ98*VLOOKUP('Données projet'!$B$17,Paramètres!$A$1:$I$89,3,0)*0.475*44/12</f>
        <v>0</v>
      </c>
      <c r="GN98" s="23">
        <f>EXP(-LN(2)/2)*GN97+(1-EXP(-LN(2)/2))/(LN(2)/2)*GH98*GK98*VLOOKUP('Données projet'!$B$17,Paramètres!$A$1:$I$89,3,0)*0.475*44/12</f>
        <v>0</v>
      </c>
      <c r="GO98" s="23">
        <f t="shared" si="81"/>
        <v>0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>
        <f>VLOOKUP(A98,'Données projet'!$A$269:$I$289,2,0)</f>
        <v>391.02564102564099</v>
      </c>
      <c r="GS98" s="13">
        <f>VLOOKUP(A98,'Données projet'!$A$269:$I$289,9,0)</f>
        <v>4.4871794871794801</v>
      </c>
      <c r="GT98" s="13">
        <f t="array" ref="GT98">INDEX(GS:GS,MIN(IF(ISNUMBER(GS98:GS294),ROW(GS98:GS294),"")))</f>
        <v>4.4871794871794801</v>
      </c>
      <c r="GU98" s="13">
        <f>IF('Données projet'!$A$270&gt;35,GU97+GT98-HC97,IF(A98&lt;'Données projet'!$A$270,$GR$205^A98,IF(A98='Données projet'!$A$270,'Données projet'!$B$270,GU97+GT98-HC97)))</f>
        <v>391.02564102564054</v>
      </c>
      <c r="GV98" s="18">
        <f>GU98*VLOOKUP('Données projet'!$B$18,Paramètres!$A$1:$I$89,3,0)*VLOOKUP('Données projet'!$B$18,Paramètres!$A$1:$I$89,5,0)</f>
        <v>262.29999999999967</v>
      </c>
      <c r="GW98" s="14">
        <f t="shared" si="105"/>
        <v>63.212393426010095</v>
      </c>
      <c r="GX98" s="22">
        <f t="shared" si="82"/>
        <v>566.93408521696699</v>
      </c>
      <c r="GY98" s="62">
        <f t="shared" si="83"/>
        <v>860.26741855030036</v>
      </c>
      <c r="GZ98" s="62">
        <f ca="1">AVERAGE(OFFSET($GY$3,0,0,'Données projet'!$E$18+1,1))-AVERAGE(OFFSET($H$3,0,0,'Données projet'!$E$18+1,1))</f>
        <v>410.20186800287411</v>
      </c>
      <c r="HA98" s="62">
        <f t="shared" si="106"/>
        <v>321.99347958016057</v>
      </c>
      <c r="HB98" s="16">
        <f>IF(ISNA(VLOOKUP(A98,'Données projet'!$A$269:$I$289,3,0)),0,VLOOKUP(A98,'Données projet'!$A$269:$I$289,3,0))</f>
        <v>9</v>
      </c>
      <c r="HC98" s="16">
        <f>IF(ISNA(VLOOKUP(A98,'Données projet'!$A$269:$I$289,4,0)),0,VLOOKUP(A98,'Données projet'!$A$269:$I$289,4,0))</f>
        <v>28.846153846153847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>
        <f>EXP(-LN(2)/35)*HG97+(1-EXP(-LN(2)/35))/(LN(2)/35)*HC98*HD98*VLOOKUP('Données projet'!$B$18,Paramètres!$A$1:$I$89,3,0)*0.475*44/12</f>
        <v>0</v>
      </c>
      <c r="HH98" s="23">
        <f>EXP(-LN(2)/25)*HH97+(1-EXP(-LN(2)/25))/(LN(2)/25)*Calculateur!HC98*Calculateur!HE98*VLOOKUP('Données projet'!$B$18,Paramètres!$A$1:$I$89,3,0)*0.475*44/12</f>
        <v>0</v>
      </c>
      <c r="HI98" s="23">
        <f>EXP(-LN(2)/2)*HI97+(1-EXP(-LN(2)/2))/(LN(2)/2)*HC98*HF98*VLOOKUP('Données projet'!$B$18,Paramètres!$A$1:$I$89,3,0)*0.475*44/12</f>
        <v>0</v>
      </c>
      <c r="HJ98" s="24">
        <f t="shared" si="84"/>
        <v>0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5.9</v>
      </c>
      <c r="N99" s="14">
        <f>IF('Données projet'!$A$36&gt;35,N98+M99-V98,IF(A99&lt;'Données projet'!$A$36,$K$205^A99,IF(A99='Données projet'!$A$36,'Données projet'!$B$36,N98+M99-V98)))</f>
        <v>337.4</v>
      </c>
      <c r="O99" s="14">
        <f>N99*VLOOKUP('Données projet'!$B$9,Paramètres!$A$1:$I$89,3,0)*VLOOKUP('Données projet'!$B$9,Paramètres!$A$1:$I$89,5,0)</f>
        <v>305.27951999999999</v>
      </c>
      <c r="P99" s="14">
        <f t="shared" si="87"/>
        <v>72.282127407576809</v>
      </c>
      <c r="Q99" s="22">
        <f t="shared" ref="Q99:Q130" si="107">(O99+P99)*0.475*44/12</f>
        <v>657.5865359015296</v>
      </c>
      <c r="R99" s="62">
        <f t="shared" si="55"/>
        <v>950.91986923486297</v>
      </c>
      <c r="S99" s="62">
        <f ca="1">AVERAGE(OFFSET($R$3,0,0,'Données projet'!$E$9+1,1))-AVERAGE(OFFSET($H$3,0,0,'Données projet'!$E$9+1,1))</f>
        <v>509.56241660612449</v>
      </c>
      <c r="T99" s="62">
        <f t="shared" si="88"/>
        <v>278.21741231699929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5.9</v>
      </c>
      <c r="AI99" s="14">
        <f>IF('Données projet'!$A$62&gt;35,AI98+AH99-AQ98,IF(A99&lt;'Données projet'!$A$62,$AF$205^A99,IF(A99='Données projet'!$A$62,'Données projet'!$B$62,AI98+AH99-AQ98)))</f>
        <v>337.4</v>
      </c>
      <c r="AJ99" s="14">
        <f>AI99*VLOOKUP('Données projet'!$B$10,Paramètres!$A$1:$I$89,3,0)*VLOOKUP('Données projet'!$B$10,Paramètres!$A$1:$I$89,5,0)</f>
        <v>342.12360000000001</v>
      </c>
      <c r="AK99" s="14">
        <f t="shared" si="89"/>
        <v>79.938536506649669</v>
      </c>
      <c r="AL99" s="22">
        <f t="shared" si="58"/>
        <v>735.09155441574819</v>
      </c>
      <c r="AM99" s="62">
        <f t="shared" si="59"/>
        <v>1028.4248877490816</v>
      </c>
      <c r="AN99" s="62">
        <f ca="1">AVERAGE(OFFSET($AM$3,0,0,'Données projet'!$E$10+1,1))-AVERAGE(OFFSET($H$3,0,0,'Données projet'!$E$10+1,1))</f>
        <v>565.72091871734051</v>
      </c>
      <c r="AO99" s="62">
        <f t="shared" si="90"/>
        <v>306.61893266146666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-5.6843418860808015E-14</v>
      </c>
      <c r="BE99" s="14">
        <f>BD99*VLOOKUP('Données projet'!$B$11,Paramètres!$A$1:$I$89,3,0)*VLOOKUP('Données projet'!$B$11,Paramètres!$A$1:$I$89,5,0)</f>
        <v>-4.1677594708744434E-14</v>
      </c>
      <c r="BF99" s="14" t="e">
        <f t="shared" si="91"/>
        <v>#NUM!</v>
      </c>
      <c r="BG99" s="22" t="e">
        <f t="shared" si="61"/>
        <v>#NUM!</v>
      </c>
      <c r="BH99" s="62" t="e">
        <f t="shared" si="62"/>
        <v>#NUM!</v>
      </c>
      <c r="BI99" s="62">
        <f ca="1">AVERAGE(OFFSET($BH$3,0,0,'Données projet'!$E$11+1,1))-AVERAGE(OFFSET($H$3,0,0,'Données projet'!$E$11+1,1))</f>
        <v>344.26020118887629</v>
      </c>
      <c r="BJ99" s="62">
        <f t="shared" si="92"/>
        <v>376.41441893222185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5.9</v>
      </c>
      <c r="BY99" s="13">
        <f>IF('Données projet'!$A$114&gt;35,BY98+BX99-CG98,IF(A99&lt;'Données projet'!$A$114,$BV$205^A99,IF(A99='Données projet'!$A$114,'Données projet'!$B$114,BY98+BX99-CG98)))</f>
        <v>337.4</v>
      </c>
      <c r="BZ99" s="14">
        <f>BY99*VLOOKUP('Données projet'!$B$12,Paramètres!$A$1:$I$89,3,0)*VLOOKUP('Données projet'!$B$12,Paramètres!$A$1:$I$89,5,0)</f>
        <v>284.22575999999998</v>
      </c>
      <c r="CA99" s="14">
        <f t="shared" si="93"/>
        <v>67.859253423756542</v>
      </c>
      <c r="CB99" s="22">
        <f t="shared" si="64"/>
        <v>613.21473171304262</v>
      </c>
      <c r="CC99" s="62">
        <f t="shared" si="65"/>
        <v>906.548065046376</v>
      </c>
      <c r="CD99" s="62">
        <f ca="1">AVERAGE(OFFSET($CC$3,0,0,'Données projet'!$E$12+1,1))-AVERAGE(OFFSET($H$3,0,0,'Données projet'!$E$12+1,1))</f>
        <v>477.4105367901771</v>
      </c>
      <c r="CE99" s="62">
        <f t="shared" si="94"/>
        <v>261.95434270986397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8.1410256410256405</v>
      </c>
      <c r="CT99" s="13">
        <f>IF('Données projet'!$A$140&gt;35,CT98+CS99-DB98,IF(A99&lt;'Données projet'!$A$140,$CQ$205^A99,IF(A99='Données projet'!$A$140,'Données projet'!$B$140,CT98+CS99-DB98)))</f>
        <v>373.26923076923026</v>
      </c>
      <c r="CU99" s="18">
        <f>CT99*VLOOKUP('Données projet'!$B$13,Paramètres!$A$1:$I$89,3,0)*VLOOKUP('Données projet'!$B$13,Paramètres!$A$1:$I$89,5,0)</f>
        <v>174.68999999999974</v>
      </c>
      <c r="CV99" s="14">
        <f t="shared" si="95"/>
        <v>44.138758070364624</v>
      </c>
      <c r="CW99" s="22">
        <f t="shared" si="67"/>
        <v>381.1267536392179</v>
      </c>
      <c r="CX99" s="62">
        <f t="shared" si="68"/>
        <v>674.46008697255115</v>
      </c>
      <c r="CY99" s="62">
        <f ca="1">AVERAGE(OFFSET($CX$3,0,0,'Données projet'!$E$13+1,1))-AVERAGE(OFFSET($H$3,0,0,'Données projet'!$E$13+1,1))</f>
        <v>246.64907095367749</v>
      </c>
      <c r="CZ99" s="62">
        <f t="shared" si="96"/>
        <v>145.34368562171613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-5.6843418860808015E-14</v>
      </c>
      <c r="DP99" s="18">
        <f>DO99*VLOOKUP('Données projet'!$B$14,Paramètres!$A$1:$I$89,3,0)*VLOOKUP('Données projet'!$B$14,Paramètres!$A$1:$I$89,5,0)</f>
        <v>-4.5224624045658861E-14</v>
      </c>
      <c r="DQ99" s="14" t="e">
        <f t="shared" si="97"/>
        <v>#NUM!</v>
      </c>
      <c r="DR99" s="22" t="e">
        <f t="shared" si="70"/>
        <v>#NUM!</v>
      </c>
      <c r="DS99" s="62" t="e">
        <f t="shared" si="71"/>
        <v>#NUM!</v>
      </c>
      <c r="DT99" s="62">
        <f ca="1">AVERAGE(OFFSET($DS$3,0,0,'Données projet'!$E$14+1,1))-AVERAGE(OFFSET($H$3,0,0,'Données projet'!$E$14+1,1))</f>
        <v>370.38521334472284</v>
      </c>
      <c r="DU99" s="62">
        <f t="shared" si="98"/>
        <v>404.61777090709171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>
        <f>VLOOKUP(A99,'Données projet'!$A$191:$I$211,2,0)</f>
        <v>557</v>
      </c>
      <c r="EH99" s="13">
        <f>VLOOKUP(A99,'Données projet'!$A$191:$I$211,9,0)</f>
        <v>11.333333333333334</v>
      </c>
      <c r="EI99" s="13">
        <f t="array" ref="EI99">INDEX(EH:EH,MIN(IF(ISNUMBER(EH99:EH295),ROW(EH99:EH295),"")))</f>
        <v>11.333333333333334</v>
      </c>
      <c r="EJ99" s="13">
        <f>IF('Données projet'!$A$192&gt;35,EJ98+EI99-ER98,IF(A99&lt;'Données projet'!$A$192,$EG$205^A99,IF(A99='Données projet'!$A$192,'Données projet'!$B$192,EJ98+EI99-ER98)))</f>
        <v>556.99999999999977</v>
      </c>
      <c r="EK99" s="18">
        <f>EJ99*VLOOKUP('Données projet'!$B$15,Paramètres!$A$1:$I$89,3,0)*VLOOKUP('Données projet'!$B$15,Paramètres!$A$1:$I$89,5,0)</f>
        <v>477.90599999999989</v>
      </c>
      <c r="EL99" s="14">
        <f t="shared" si="99"/>
        <v>107.4036604395269</v>
      </c>
      <c r="EM99" s="22">
        <f t="shared" si="73"/>
        <v>1019.4143252655093</v>
      </c>
      <c r="EN99" s="62">
        <f t="shared" si="74"/>
        <v>1312.7476585988427</v>
      </c>
      <c r="EO99" s="62">
        <f ca="1">AVERAGE(OFFSET($EN$3,0,0,'Données projet'!$E$15+1,1))-AVERAGE(OFFSET($H$3,0,0,'Données projet'!$E$15+1,1))</f>
        <v>445.81166342116865</v>
      </c>
      <c r="EP99" s="62">
        <f t="shared" si="100"/>
        <v>230.82970731138215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0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5.9</v>
      </c>
      <c r="FE99" s="13">
        <f>IF('Données projet'!$A$218&gt;35,FE98+FD99-FM98,IF(A99&lt;'Données projet'!$A$218,$FB$205^A99,IF(A99='Données projet'!$A$218,'Données projet'!$B$218,FE98+FD99-FM98)))</f>
        <v>337.4</v>
      </c>
      <c r="FF99" s="18">
        <f>FE99*VLOOKUP('Données projet'!$B$16,Paramètres!$A$1:$I$89,3,0)*VLOOKUP('Données projet'!$B$16,Paramètres!$A$1:$I$89,5,0)</f>
        <v>326.33328</v>
      </c>
      <c r="FG99" s="14">
        <f t="shared" si="101"/>
        <v>76.669608914490098</v>
      </c>
      <c r="FH99" s="22">
        <f t="shared" si="76"/>
        <v>701.89669819273684</v>
      </c>
      <c r="FI99" s="62">
        <f t="shared" si="77"/>
        <v>995.23003152607021</v>
      </c>
      <c r="FJ99" s="62">
        <f ca="1">AVERAGE(OFFSET($FI$3,0,0,'Données projet'!$E$16+1,1))-AVERAGE(OFFSET($H$3,0,0,'Données projet'!$E$16+1,1))</f>
        <v>541.66888676162716</v>
      </c>
      <c r="FK99" s="62">
        <f t="shared" si="102"/>
        <v>294.45557293177131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>
        <f>EXP(-LN(2)/35)*FQ98+(1-EXP(-LN(2)/35))/(LN(2)/35)*FM99*FN99*VLOOKUP('Données projet'!$B$16,Paramètres!$A$1:$I$89,3,0)*0.475*44/12</f>
        <v>0</v>
      </c>
      <c r="FR99" s="23">
        <f>EXP(-LN(2)/25)*FR98+(1-EXP(-LN(2)/25))/(LN(2)/25)*Calculateur!FM99*Calculateur!FO99*VLOOKUP('Données projet'!$B$16,Paramètres!$A$1:$I$89,3,0)*0.475*44/12</f>
        <v>0</v>
      </c>
      <c r="FS99" s="23">
        <f>EXP(-LN(2)/2)*FS98+(1-EXP(-LN(2)/2))/(LN(2)/2)*FM99*FP99*VLOOKUP('Données projet'!$B$16,Paramètres!$A$1:$I$89,3,0)*0.475*44/12</f>
        <v>0</v>
      </c>
      <c r="FT99" s="24">
        <f t="shared" si="78"/>
        <v>0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1.1368683772161603E-13</v>
      </c>
      <c r="GA99" s="18">
        <f>FZ99*VLOOKUP('Données projet'!$B$17,Paramètres!$A$1:$I$89,3,0)*VLOOKUP('Données projet'!$B$17,Paramètres!$A$1:$I$89,5,0)</f>
        <v>8.8675733422860506E-14</v>
      </c>
      <c r="GB99" s="14">
        <f t="shared" si="103"/>
        <v>1.3509285393066301E-12</v>
      </c>
      <c r="GC99" s="22">
        <f t="shared" si="79"/>
        <v>2.5073107750038623E-12</v>
      </c>
      <c r="GD99" s="62">
        <f t="shared" si="80"/>
        <v>293.33333333333582</v>
      </c>
      <c r="GE99" s="62">
        <f ca="1">AVERAGE(OFFSET($GD$3,0,0,'Données projet'!$E$17+1,1))-AVERAGE(OFFSET($H$3,0,0,'Données projet'!$E$17+1,1))</f>
        <v>292.57482726862594</v>
      </c>
      <c r="GF99" s="62">
        <f t="shared" si="104"/>
        <v>283.48738729114024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>
        <f>EXP(-LN(2)/35)*GL98+(1-EXP(-LN(2)/35))/(LN(2)/35)*GH99*GI99*VLOOKUP('Données projet'!$B$17,Paramètres!$A$1:$I$89,3,0)*0.475*44/12</f>
        <v>0</v>
      </c>
      <c r="GM99" s="23">
        <f>EXP(-LN(2)/25)*GM98+(1-EXP(-LN(2)/25))/(LN(2)/25)*Calculateur!GH99*Calculateur!GJ99*VLOOKUP('Données projet'!$B$17,Paramètres!$A$1:$I$89,3,0)*0.475*44/12</f>
        <v>0</v>
      </c>
      <c r="GN99" s="23">
        <f>EXP(-LN(2)/2)*GN98+(1-EXP(-LN(2)/2))/(LN(2)/2)*GH99*GK99*VLOOKUP('Données projet'!$B$17,Paramètres!$A$1:$I$89,3,0)*0.475*44/12</f>
        <v>0</v>
      </c>
      <c r="GO99" s="23">
        <f t="shared" si="81"/>
        <v>0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4.3589743589743648</v>
      </c>
      <c r="GU99" s="13">
        <f>IF('Données projet'!$A$270&gt;35,GU98+GT99-HC98,IF(A99&lt;'Données projet'!$A$270,$GR$205^A99,IF(A99='Données projet'!$A$270,'Données projet'!$B$270,GU98+GT99-HC98)))</f>
        <v>366.53846153846104</v>
      </c>
      <c r="GV99" s="18">
        <f>GU99*VLOOKUP('Données projet'!$B$18,Paramètres!$A$1:$I$89,3,0)*VLOOKUP('Données projet'!$B$18,Paramètres!$A$1:$I$89,5,0)</f>
        <v>245.87399999999965</v>
      </c>
      <c r="GW99" s="14">
        <f t="shared" si="105"/>
        <v>59.701566142488083</v>
      </c>
      <c r="GX99" s="22">
        <f t="shared" si="82"/>
        <v>532.21077769816611</v>
      </c>
      <c r="GY99" s="62">
        <f t="shared" si="83"/>
        <v>825.54411103149937</v>
      </c>
      <c r="GZ99" s="62">
        <f ca="1">AVERAGE(OFFSET($GY$3,0,0,'Données projet'!$E$18+1,1))-AVERAGE(OFFSET($H$3,0,0,'Données projet'!$E$18+1,1))</f>
        <v>410.20186800287411</v>
      </c>
      <c r="HA99" s="62">
        <f t="shared" si="106"/>
        <v>321.99347958016057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>
        <f>EXP(-LN(2)/35)*HG98+(1-EXP(-LN(2)/35))/(LN(2)/35)*HC99*HD99*VLOOKUP('Données projet'!$B$18,Paramètres!$A$1:$I$89,3,0)*0.475*44/12</f>
        <v>0</v>
      </c>
      <c r="HH99" s="23">
        <f>EXP(-LN(2)/25)*HH98+(1-EXP(-LN(2)/25))/(LN(2)/25)*Calculateur!HC99*Calculateur!HE99*VLOOKUP('Données projet'!$B$18,Paramètres!$A$1:$I$89,3,0)*0.475*44/12</f>
        <v>0</v>
      </c>
      <c r="HI99" s="23">
        <f>EXP(-LN(2)/2)*HI98+(1-EXP(-LN(2)/2))/(LN(2)/2)*HC99*HF99*VLOOKUP('Données projet'!$B$18,Paramètres!$A$1:$I$89,3,0)*0.475*44/12</f>
        <v>0</v>
      </c>
      <c r="HJ99" s="24">
        <f t="shared" si="84"/>
        <v>0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5.9</v>
      </c>
      <c r="N100" s="14">
        <f>IF('Données projet'!$A$36&gt;35,N99+M100-V99,IF(A100&lt;'Données projet'!$A$36,$K$205^A100,IF(A100='Données projet'!$A$36,'Données projet'!$B$36,N99+M100-V99)))</f>
        <v>343.29999999999995</v>
      </c>
      <c r="O100" s="14">
        <f>N100*VLOOKUP('Données projet'!$B$9,Paramètres!$A$1:$I$89,3,0)*VLOOKUP('Données projet'!$B$9,Paramètres!$A$1:$I$89,5,0)</f>
        <v>310.61783999999994</v>
      </c>
      <c r="P100" s="14">
        <f t="shared" si="87"/>
        <v>73.397844798859666</v>
      </c>
      <c r="Q100" s="22">
        <f t="shared" si="107"/>
        <v>668.82731769134716</v>
      </c>
      <c r="R100" s="62">
        <f t="shared" si="55"/>
        <v>962.16065102468042</v>
      </c>
      <c r="S100" s="62">
        <f ca="1">AVERAGE(OFFSET($R$3,0,0,'Données projet'!$E$9+1,1))-AVERAGE(OFFSET($H$3,0,0,'Données projet'!$E$9+1,1))</f>
        <v>509.56241660612449</v>
      </c>
      <c r="T100" s="62">
        <f t="shared" si="88"/>
        <v>278.21741231699929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5.9</v>
      </c>
      <c r="AI100" s="14">
        <f>IF('Données projet'!$A$62&gt;35,AI99+AH100-AQ99,IF(A100&lt;'Données projet'!$A$62,$AF$205^A100,IF(A100='Données projet'!$A$62,'Données projet'!$B$62,AI99+AH100-AQ99)))</f>
        <v>343.29999999999995</v>
      </c>
      <c r="AJ100" s="14">
        <f>AI100*VLOOKUP('Données projet'!$B$10,Paramètres!$A$1:$I$89,3,0)*VLOOKUP('Données projet'!$B$10,Paramètres!$A$1:$I$89,5,0)</f>
        <v>348.1062</v>
      </c>
      <c r="AK100" s="14">
        <f t="shared" si="89"/>
        <v>81.172435101128713</v>
      </c>
      <c r="AL100" s="22">
        <f t="shared" si="58"/>
        <v>747.66028946779909</v>
      </c>
      <c r="AM100" s="62">
        <f t="shared" si="59"/>
        <v>1040.9936228011325</v>
      </c>
      <c r="AN100" s="62">
        <f ca="1">AVERAGE(OFFSET($AM$3,0,0,'Données projet'!$E$10+1,1))-AVERAGE(OFFSET($H$3,0,0,'Données projet'!$E$10+1,1))</f>
        <v>565.72091871734051</v>
      </c>
      <c r="AO100" s="62">
        <f t="shared" si="90"/>
        <v>306.61893266146666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-5.6843418860808015E-14</v>
      </c>
      <c r="BE100" s="14">
        <f>BD100*VLOOKUP('Données projet'!$B$11,Paramètres!$A$1:$I$89,3,0)*VLOOKUP('Données projet'!$B$11,Paramètres!$A$1:$I$89,5,0)</f>
        <v>-4.1677594708744434E-14</v>
      </c>
      <c r="BF100" s="14" t="e">
        <f t="shared" si="91"/>
        <v>#NUM!</v>
      </c>
      <c r="BG100" s="22" t="e">
        <f t="shared" si="61"/>
        <v>#NUM!</v>
      </c>
      <c r="BH100" s="62" t="e">
        <f t="shared" si="62"/>
        <v>#NUM!</v>
      </c>
      <c r="BI100" s="62">
        <f ca="1">AVERAGE(OFFSET($BH$3,0,0,'Données projet'!$E$11+1,1))-AVERAGE(OFFSET($H$3,0,0,'Données projet'!$E$11+1,1))</f>
        <v>344.26020118887629</v>
      </c>
      <c r="BJ100" s="62">
        <f t="shared" si="92"/>
        <v>376.41441893222185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5.9</v>
      </c>
      <c r="BY100" s="13">
        <f>IF('Données projet'!$A$114&gt;35,BY99+BX100-CG99,IF(A100&lt;'Données projet'!$A$114,$BV$205^A100,IF(A100='Données projet'!$A$114,'Données projet'!$B$114,BY99+BX100-CG99)))</f>
        <v>343.29999999999995</v>
      </c>
      <c r="BZ100" s="14">
        <f>BY100*VLOOKUP('Données projet'!$B$12,Paramètres!$A$1:$I$89,3,0)*VLOOKUP('Données projet'!$B$12,Paramètres!$A$1:$I$89,5,0)</f>
        <v>289.19592</v>
      </c>
      <c r="CA100" s="14">
        <f t="shared" si="93"/>
        <v>68.906701138977212</v>
      </c>
      <c r="CB100" s="22">
        <f t="shared" si="64"/>
        <v>623.69539848371858</v>
      </c>
      <c r="CC100" s="62">
        <f t="shared" si="65"/>
        <v>917.02873181705195</v>
      </c>
      <c r="CD100" s="62">
        <f ca="1">AVERAGE(OFFSET($CC$3,0,0,'Données projet'!$E$12+1,1))-AVERAGE(OFFSET($H$3,0,0,'Données projet'!$E$12+1,1))</f>
        <v>477.4105367901771</v>
      </c>
      <c r="CE100" s="62">
        <f t="shared" si="94"/>
        <v>261.95434270986397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8.1410256410256405</v>
      </c>
      <c r="CT100" s="13">
        <f>IF('Données projet'!$A$140&gt;35,CT99+CS100-DB99,IF(A100&lt;'Données projet'!$A$140,$CQ$205^A100,IF(A100='Données projet'!$A$140,'Données projet'!$B$140,CT99+CS100-DB99)))</f>
        <v>381.4102564102559</v>
      </c>
      <c r="CU100" s="18">
        <f>CT100*VLOOKUP('Données projet'!$B$13,Paramètres!$A$1:$I$89,3,0)*VLOOKUP('Données projet'!$B$13,Paramètres!$A$1:$I$89,5,0)</f>
        <v>178.49999999999977</v>
      </c>
      <c r="CV100" s="14">
        <f t="shared" si="95"/>
        <v>44.988301442921504</v>
      </c>
      <c r="CW100" s="22">
        <f t="shared" si="67"/>
        <v>389.24212501308784</v>
      </c>
      <c r="CX100" s="62">
        <f t="shared" si="68"/>
        <v>682.5754583464211</v>
      </c>
      <c r="CY100" s="62">
        <f ca="1">AVERAGE(OFFSET($CX$3,0,0,'Données projet'!$E$13+1,1))-AVERAGE(OFFSET($H$3,0,0,'Données projet'!$E$13+1,1))</f>
        <v>246.64907095367749</v>
      </c>
      <c r="CZ100" s="62">
        <f t="shared" si="96"/>
        <v>145.34368562171613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-5.6843418860808015E-14</v>
      </c>
      <c r="DP100" s="18">
        <f>DO100*VLOOKUP('Données projet'!$B$14,Paramètres!$A$1:$I$89,3,0)*VLOOKUP('Données projet'!$B$14,Paramètres!$A$1:$I$89,5,0)</f>
        <v>-4.5224624045658861E-14</v>
      </c>
      <c r="DQ100" s="14" t="e">
        <f t="shared" si="97"/>
        <v>#NUM!</v>
      </c>
      <c r="DR100" s="22" t="e">
        <f t="shared" si="70"/>
        <v>#NUM!</v>
      </c>
      <c r="DS100" s="62" t="e">
        <f t="shared" si="71"/>
        <v>#NUM!</v>
      </c>
      <c r="DT100" s="62">
        <f ca="1">AVERAGE(OFFSET($DS$3,0,0,'Données projet'!$E$14+1,1))-AVERAGE(OFFSET($H$3,0,0,'Données projet'!$E$14+1,1))</f>
        <v>370.38521334472284</v>
      </c>
      <c r="DU100" s="62">
        <f t="shared" si="98"/>
        <v>404.61777090709171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11.333333333333334</v>
      </c>
      <c r="EJ100" s="13">
        <f>IF('Données projet'!$A$192&gt;35,EJ99+EI100-ER99,IF(A100&lt;'Données projet'!$A$192,$EG$205^A100,IF(A100='Données projet'!$A$192,'Données projet'!$B$192,EJ99+EI100-ER99)))</f>
        <v>568.33333333333314</v>
      </c>
      <c r="EK100" s="18">
        <f>EJ100*VLOOKUP('Données projet'!$B$15,Paramètres!$A$1:$I$89,3,0)*VLOOKUP('Données projet'!$B$15,Paramètres!$A$1:$I$89,5,0)</f>
        <v>487.62999999999988</v>
      </c>
      <c r="EL100" s="14">
        <f t="shared" si="99"/>
        <v>109.33236859887117</v>
      </c>
      <c r="EM100" s="22">
        <f t="shared" si="73"/>
        <v>1039.7094586430337</v>
      </c>
      <c r="EN100" s="62">
        <f t="shared" si="74"/>
        <v>1333.042791976367</v>
      </c>
      <c r="EO100" s="62">
        <f ca="1">AVERAGE(OFFSET($EN$3,0,0,'Données projet'!$E$15+1,1))-AVERAGE(OFFSET($H$3,0,0,'Données projet'!$E$15+1,1))</f>
        <v>445.81166342116865</v>
      </c>
      <c r="EP100" s="62">
        <f t="shared" si="100"/>
        <v>230.82970731138215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0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5.9</v>
      </c>
      <c r="FE100" s="13">
        <f>IF('Données projet'!$A$218&gt;35,FE99+FD100-FM99,IF(A100&lt;'Données projet'!$A$218,$FB$205^A100,IF(A100='Données projet'!$A$218,'Données projet'!$B$218,FE99+FD100-FM99)))</f>
        <v>343.29999999999995</v>
      </c>
      <c r="FF100" s="18">
        <f>FE100*VLOOKUP('Données projet'!$B$16,Paramètres!$A$1:$I$89,3,0)*VLOOKUP('Données projet'!$B$16,Paramètres!$A$1:$I$89,5,0)</f>
        <v>332.03975999999994</v>
      </c>
      <c r="FG100" s="14">
        <f t="shared" si="101"/>
        <v>77.853049678019573</v>
      </c>
      <c r="FH100" s="22">
        <f t="shared" si="76"/>
        <v>713.89664352255056</v>
      </c>
      <c r="FI100" s="62">
        <f t="shared" si="77"/>
        <v>1007.2299768558839</v>
      </c>
      <c r="FJ100" s="62">
        <f ca="1">AVERAGE(OFFSET($FI$3,0,0,'Données projet'!$E$16+1,1))-AVERAGE(OFFSET($H$3,0,0,'Données projet'!$E$16+1,1))</f>
        <v>541.66888676162716</v>
      </c>
      <c r="FK100" s="62">
        <f t="shared" si="102"/>
        <v>294.45557293177131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>
        <f>EXP(-LN(2)/35)*FQ99+(1-EXP(-LN(2)/35))/(LN(2)/35)*FM100*FN100*VLOOKUP('Données projet'!$B$16,Paramètres!$A$1:$I$89,3,0)*0.475*44/12</f>
        <v>0</v>
      </c>
      <c r="FR100" s="23">
        <f>EXP(-LN(2)/25)*FR99+(1-EXP(-LN(2)/25))/(LN(2)/25)*Calculateur!FM100*Calculateur!FO100*VLOOKUP('Données projet'!$B$16,Paramètres!$A$1:$I$89,3,0)*0.475*44/12</f>
        <v>0</v>
      </c>
      <c r="FS100" s="23">
        <f>EXP(-LN(2)/2)*FS99+(1-EXP(-LN(2)/2))/(LN(2)/2)*FM100*FP100*VLOOKUP('Données projet'!$B$16,Paramètres!$A$1:$I$89,3,0)*0.475*44/12</f>
        <v>0</v>
      </c>
      <c r="FT100" s="24">
        <f t="shared" si="78"/>
        <v>0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1.1368683772161603E-13</v>
      </c>
      <c r="GA100" s="18">
        <f>FZ100*VLOOKUP('Données projet'!$B$17,Paramètres!$A$1:$I$89,3,0)*VLOOKUP('Données projet'!$B$17,Paramètres!$A$1:$I$89,5,0)</f>
        <v>8.8675733422860506E-14</v>
      </c>
      <c r="GB100" s="14">
        <f t="shared" si="103"/>
        <v>1.3509285393066301E-12</v>
      </c>
      <c r="GC100" s="22">
        <f t="shared" si="79"/>
        <v>2.5073107750038623E-12</v>
      </c>
      <c r="GD100" s="62">
        <f t="shared" si="80"/>
        <v>293.33333333333582</v>
      </c>
      <c r="GE100" s="62">
        <f ca="1">AVERAGE(OFFSET($GD$3,0,0,'Données projet'!$E$17+1,1))-AVERAGE(OFFSET($H$3,0,0,'Données projet'!$E$17+1,1))</f>
        <v>292.57482726862594</v>
      </c>
      <c r="GF100" s="62">
        <f t="shared" si="104"/>
        <v>283.48738729114024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>
        <f>EXP(-LN(2)/35)*GL99+(1-EXP(-LN(2)/35))/(LN(2)/35)*GH100*GI100*VLOOKUP('Données projet'!$B$17,Paramètres!$A$1:$I$89,3,0)*0.475*44/12</f>
        <v>0</v>
      </c>
      <c r="GM100" s="23">
        <f>EXP(-LN(2)/25)*GM99+(1-EXP(-LN(2)/25))/(LN(2)/25)*Calculateur!GH100*Calculateur!GJ100*VLOOKUP('Données projet'!$B$17,Paramètres!$A$1:$I$89,3,0)*0.475*44/12</f>
        <v>0</v>
      </c>
      <c r="GN100" s="23">
        <f>EXP(-LN(2)/2)*GN99+(1-EXP(-LN(2)/2))/(LN(2)/2)*GH100*GK100*VLOOKUP('Données projet'!$B$17,Paramètres!$A$1:$I$89,3,0)*0.475*44/12</f>
        <v>0</v>
      </c>
      <c r="GO100" s="23">
        <f t="shared" si="81"/>
        <v>0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4.3589743589743648</v>
      </c>
      <c r="GU100" s="13">
        <f>IF('Données projet'!$A$270&gt;35,GU99+GT100-HC99,IF(A100&lt;'Données projet'!$A$270,$GR$205^A100,IF(A100='Données projet'!$A$270,'Données projet'!$B$270,GU99+GT100-HC99)))</f>
        <v>370.8974358974354</v>
      </c>
      <c r="GV100" s="18">
        <f>GU100*VLOOKUP('Données projet'!$B$18,Paramètres!$A$1:$I$89,3,0)*VLOOKUP('Données projet'!$B$18,Paramètres!$A$1:$I$89,5,0)</f>
        <v>248.79799999999966</v>
      </c>
      <c r="GW100" s="14">
        <f t="shared" si="105"/>
        <v>60.328478489662025</v>
      </c>
      <c r="GX100" s="22">
        <f t="shared" si="82"/>
        <v>538.395283369494</v>
      </c>
      <c r="GY100" s="62">
        <f t="shared" si="83"/>
        <v>831.72861670282737</v>
      </c>
      <c r="GZ100" s="62">
        <f ca="1">AVERAGE(OFFSET($GY$3,0,0,'Données projet'!$E$18+1,1))-AVERAGE(OFFSET($H$3,0,0,'Données projet'!$E$18+1,1))</f>
        <v>410.20186800287411</v>
      </c>
      <c r="HA100" s="62">
        <f t="shared" si="106"/>
        <v>321.99347958016057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>
        <f>EXP(-LN(2)/35)*HG99+(1-EXP(-LN(2)/35))/(LN(2)/35)*HC100*HD100*VLOOKUP('Données projet'!$B$18,Paramètres!$A$1:$I$89,3,0)*0.475*44/12</f>
        <v>0</v>
      </c>
      <c r="HH100" s="23">
        <f>EXP(-LN(2)/25)*HH99+(1-EXP(-LN(2)/25))/(LN(2)/25)*Calculateur!HC100*Calculateur!HE100*VLOOKUP('Données projet'!$B$18,Paramètres!$A$1:$I$89,3,0)*0.475*44/12</f>
        <v>0</v>
      </c>
      <c r="HI100" s="23">
        <f>EXP(-LN(2)/2)*HI99+(1-EXP(-LN(2)/2))/(LN(2)/2)*HC100*HF100*VLOOKUP('Données projet'!$B$18,Paramètres!$A$1:$I$89,3,0)*0.475*44/12</f>
        <v>0</v>
      </c>
      <c r="HJ100" s="24">
        <f t="shared" si="84"/>
        <v>0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5.9</v>
      </c>
      <c r="N101" s="14">
        <f>IF('Données projet'!$A$36&gt;35,N100+M101-V100,IF(A101&lt;'Données projet'!$A$36,$K$205^A101,IF(A101='Données projet'!$A$36,'Données projet'!$B$36,N100+M101-V100)))</f>
        <v>349.19999999999993</v>
      </c>
      <c r="O101" s="14">
        <f>N101*VLOOKUP('Données projet'!$B$9,Paramètres!$A$1:$I$89,3,0)*VLOOKUP('Données projet'!$B$9,Paramètres!$A$1:$I$89,5,0)</f>
        <v>315.9561599999999</v>
      </c>
      <c r="P101" s="14">
        <f t="shared" si="87"/>
        <v>74.511332350300975</v>
      </c>
      <c r="Q101" s="22">
        <f t="shared" si="107"/>
        <v>680.06421584344059</v>
      </c>
      <c r="R101" s="62">
        <f t="shared" si="55"/>
        <v>973.39754917677396</v>
      </c>
      <c r="S101" s="62">
        <f ca="1">AVERAGE(OFFSET($R$3,0,0,'Données projet'!$E$9+1,1))-AVERAGE(OFFSET($H$3,0,0,'Données projet'!$E$9+1,1))</f>
        <v>509.56241660612449</v>
      </c>
      <c r="T101" s="62">
        <f t="shared" si="88"/>
        <v>278.21741231699929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5.9</v>
      </c>
      <c r="AI101" s="14">
        <f>IF('Données projet'!$A$62&gt;35,AI100+AH101-AQ100,IF(A101&lt;'Données projet'!$A$62,$AF$205^A101,IF(A101='Données projet'!$A$62,'Données projet'!$B$62,AI100+AH101-AQ100)))</f>
        <v>349.19999999999993</v>
      </c>
      <c r="AJ101" s="14">
        <f>AI101*VLOOKUP('Données projet'!$B$10,Paramètres!$A$1:$I$89,3,0)*VLOOKUP('Données projet'!$B$10,Paramètres!$A$1:$I$89,5,0)</f>
        <v>354.08879999999994</v>
      </c>
      <c r="AK101" s="14">
        <f t="shared" si="89"/>
        <v>82.403867662302346</v>
      </c>
      <c r="AL101" s="22">
        <f t="shared" si="58"/>
        <v>760.22472951184307</v>
      </c>
      <c r="AM101" s="62">
        <f t="shared" si="59"/>
        <v>1053.5580628451764</v>
      </c>
      <c r="AN101" s="62">
        <f ca="1">AVERAGE(OFFSET($AM$3,0,0,'Données projet'!$E$10+1,1))-AVERAGE(OFFSET($H$3,0,0,'Données projet'!$E$10+1,1))</f>
        <v>565.72091871734051</v>
      </c>
      <c r="AO101" s="62">
        <f t="shared" si="90"/>
        <v>306.61893266146666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-5.6843418860808015E-14</v>
      </c>
      <c r="BE101" s="14">
        <f>BD101*VLOOKUP('Données projet'!$B$11,Paramètres!$A$1:$I$89,3,0)*VLOOKUP('Données projet'!$B$11,Paramètres!$A$1:$I$89,5,0)</f>
        <v>-4.1677594708744434E-14</v>
      </c>
      <c r="BF101" s="14" t="e">
        <f t="shared" si="91"/>
        <v>#NUM!</v>
      </c>
      <c r="BG101" s="22" t="e">
        <f t="shared" si="61"/>
        <v>#NUM!</v>
      </c>
      <c r="BH101" s="62" t="e">
        <f t="shared" si="62"/>
        <v>#NUM!</v>
      </c>
      <c r="BI101" s="62">
        <f ca="1">AVERAGE(OFFSET($BH$3,0,0,'Données projet'!$E$11+1,1))-AVERAGE(OFFSET($H$3,0,0,'Données projet'!$E$11+1,1))</f>
        <v>344.26020118887629</v>
      </c>
      <c r="BJ101" s="62">
        <f t="shared" si="92"/>
        <v>376.41441893222185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5.9</v>
      </c>
      <c r="BY101" s="13">
        <f>IF('Données projet'!$A$114&gt;35,BY100+BX101-CG100,IF(A101&lt;'Données projet'!$A$114,$BV$205^A101,IF(A101='Données projet'!$A$114,'Données projet'!$B$114,BY100+BX101-CG100)))</f>
        <v>349.19999999999993</v>
      </c>
      <c r="BZ101" s="14">
        <f>BY101*VLOOKUP('Données projet'!$B$12,Paramètres!$A$1:$I$89,3,0)*VLOOKUP('Données projet'!$B$12,Paramètres!$A$1:$I$89,5,0)</f>
        <v>294.16607999999997</v>
      </c>
      <c r="CA101" s="14">
        <f t="shared" si="93"/>
        <v>69.952055456115559</v>
      </c>
      <c r="CB101" s="22">
        <f t="shared" si="64"/>
        <v>634.17241925273447</v>
      </c>
      <c r="CC101" s="62">
        <f t="shared" si="65"/>
        <v>927.50575258606773</v>
      </c>
      <c r="CD101" s="62">
        <f ca="1">AVERAGE(OFFSET($CC$3,0,0,'Données projet'!$E$12+1,1))-AVERAGE(OFFSET($H$3,0,0,'Données projet'!$E$12+1,1))</f>
        <v>477.4105367901771</v>
      </c>
      <c r="CE101" s="62">
        <f t="shared" si="94"/>
        <v>261.95434270986397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8.1410256410256405</v>
      </c>
      <c r="CT101" s="13">
        <f>IF('Données projet'!$A$140&gt;35,CT100+CS101-DB100,IF(A101&lt;'Données projet'!$A$140,$CQ$205^A101,IF(A101='Données projet'!$A$140,'Données projet'!$B$140,CT100+CS101-DB100)))</f>
        <v>389.55128205128153</v>
      </c>
      <c r="CU101" s="18">
        <f>CT101*VLOOKUP('Données projet'!$B$13,Paramètres!$A$1:$I$89,3,0)*VLOOKUP('Données projet'!$B$13,Paramètres!$A$1:$I$89,5,0)</f>
        <v>182.30999999999975</v>
      </c>
      <c r="CV101" s="14">
        <f t="shared" si="95"/>
        <v>45.835736572036403</v>
      </c>
      <c r="CW101" s="22">
        <f t="shared" si="67"/>
        <v>397.35382452962966</v>
      </c>
      <c r="CX101" s="62">
        <f t="shared" si="68"/>
        <v>690.68715786296298</v>
      </c>
      <c r="CY101" s="62">
        <f ca="1">AVERAGE(OFFSET($CX$3,0,0,'Données projet'!$E$13+1,1))-AVERAGE(OFFSET($H$3,0,0,'Données projet'!$E$13+1,1))</f>
        <v>246.64907095367749</v>
      </c>
      <c r="CZ101" s="62">
        <f t="shared" si="96"/>
        <v>145.34368562171613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-5.6843418860808015E-14</v>
      </c>
      <c r="DP101" s="18">
        <f>DO101*VLOOKUP('Données projet'!$B$14,Paramètres!$A$1:$I$89,3,0)*VLOOKUP('Données projet'!$B$14,Paramètres!$A$1:$I$89,5,0)</f>
        <v>-4.5224624045658861E-14</v>
      </c>
      <c r="DQ101" s="14" t="e">
        <f t="shared" si="97"/>
        <v>#NUM!</v>
      </c>
      <c r="DR101" s="22" t="e">
        <f t="shared" si="70"/>
        <v>#NUM!</v>
      </c>
      <c r="DS101" s="62" t="e">
        <f t="shared" si="71"/>
        <v>#NUM!</v>
      </c>
      <c r="DT101" s="62">
        <f ca="1">AVERAGE(OFFSET($DS$3,0,0,'Données projet'!$E$14+1,1))-AVERAGE(OFFSET($H$3,0,0,'Données projet'!$E$14+1,1))</f>
        <v>370.38521334472284</v>
      </c>
      <c r="DU101" s="62">
        <f t="shared" si="98"/>
        <v>404.61777090709171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11.333333333333334</v>
      </c>
      <c r="EJ101" s="13">
        <f>IF('Données projet'!$A$192&gt;35,EJ100+EI101-ER100,IF(A101&lt;'Données projet'!$A$192,$EG$205^A101,IF(A101='Données projet'!$A$192,'Données projet'!$B$192,EJ100+EI101-ER100)))</f>
        <v>579.66666666666652</v>
      </c>
      <c r="EK101" s="18">
        <f>EJ101*VLOOKUP('Données projet'!$B$15,Paramètres!$A$1:$I$89,3,0)*VLOOKUP('Données projet'!$B$15,Paramètres!$A$1:$I$89,5,0)</f>
        <v>497.35399999999993</v>
      </c>
      <c r="EL101" s="14">
        <f t="shared" si="99"/>
        <v>111.25660477134088</v>
      </c>
      <c r="EM101" s="22">
        <f t="shared" si="73"/>
        <v>1059.9968033100852</v>
      </c>
      <c r="EN101" s="62">
        <f t="shared" si="74"/>
        <v>1353.3301366434184</v>
      </c>
      <c r="EO101" s="62">
        <f ca="1">AVERAGE(OFFSET($EN$3,0,0,'Données projet'!$E$15+1,1))-AVERAGE(OFFSET($H$3,0,0,'Données projet'!$E$15+1,1))</f>
        <v>445.81166342116865</v>
      </c>
      <c r="EP101" s="62">
        <f t="shared" si="100"/>
        <v>230.82970731138215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0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5.9</v>
      </c>
      <c r="FE101" s="13">
        <f>IF('Données projet'!$A$218&gt;35,FE100+FD101-FM100,IF(A101&lt;'Données projet'!$A$218,$FB$205^A101,IF(A101='Données projet'!$A$218,'Données projet'!$B$218,FE100+FD101-FM100)))</f>
        <v>349.19999999999993</v>
      </c>
      <c r="FF101" s="18">
        <f>FE101*VLOOKUP('Données projet'!$B$16,Paramètres!$A$1:$I$89,3,0)*VLOOKUP('Données projet'!$B$16,Paramètres!$A$1:$I$89,5,0)</f>
        <v>337.74623999999994</v>
      </c>
      <c r="FG101" s="14">
        <f t="shared" si="101"/>
        <v>79.034125251774896</v>
      </c>
      <c r="FH101" s="22">
        <f t="shared" si="76"/>
        <v>725.89246948017444</v>
      </c>
      <c r="FI101" s="62">
        <f t="shared" si="77"/>
        <v>1019.2258028135077</v>
      </c>
      <c r="FJ101" s="62">
        <f ca="1">AVERAGE(OFFSET($FI$3,0,0,'Données projet'!$E$16+1,1))-AVERAGE(OFFSET($H$3,0,0,'Données projet'!$E$16+1,1))</f>
        <v>541.66888676162716</v>
      </c>
      <c r="FK101" s="62">
        <f t="shared" si="102"/>
        <v>294.45557293177131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>
        <f>EXP(-LN(2)/35)*FQ100+(1-EXP(-LN(2)/35))/(LN(2)/35)*FM101*FN101*VLOOKUP('Données projet'!$B$16,Paramètres!$A$1:$I$89,3,0)*0.475*44/12</f>
        <v>0</v>
      </c>
      <c r="FR101" s="23">
        <f>EXP(-LN(2)/25)*FR100+(1-EXP(-LN(2)/25))/(LN(2)/25)*Calculateur!FM101*Calculateur!FO101*VLOOKUP('Données projet'!$B$16,Paramètres!$A$1:$I$89,3,0)*0.475*44/12</f>
        <v>0</v>
      </c>
      <c r="FS101" s="23">
        <f>EXP(-LN(2)/2)*FS100+(1-EXP(-LN(2)/2))/(LN(2)/2)*FM101*FP101*VLOOKUP('Données projet'!$B$16,Paramètres!$A$1:$I$89,3,0)*0.475*44/12</f>
        <v>0</v>
      </c>
      <c r="FT101" s="24">
        <f t="shared" si="78"/>
        <v>0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1.1368683772161603E-13</v>
      </c>
      <c r="GA101" s="18">
        <f>FZ101*VLOOKUP('Données projet'!$B$17,Paramètres!$A$1:$I$89,3,0)*VLOOKUP('Données projet'!$B$17,Paramètres!$A$1:$I$89,5,0)</f>
        <v>8.8675733422860506E-14</v>
      </c>
      <c r="GB101" s="14">
        <f t="shared" si="103"/>
        <v>1.3509285393066301E-12</v>
      </c>
      <c r="GC101" s="22">
        <f t="shared" si="79"/>
        <v>2.5073107750038623E-12</v>
      </c>
      <c r="GD101" s="62">
        <f t="shared" si="80"/>
        <v>293.33333333333582</v>
      </c>
      <c r="GE101" s="62">
        <f ca="1">AVERAGE(OFFSET($GD$3,0,0,'Données projet'!$E$17+1,1))-AVERAGE(OFFSET($H$3,0,0,'Données projet'!$E$17+1,1))</f>
        <v>292.57482726862594</v>
      </c>
      <c r="GF101" s="62">
        <f t="shared" si="104"/>
        <v>283.48738729114024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>
        <f>EXP(-LN(2)/35)*GL100+(1-EXP(-LN(2)/35))/(LN(2)/35)*GH101*GI101*VLOOKUP('Données projet'!$B$17,Paramètres!$A$1:$I$89,3,0)*0.475*44/12</f>
        <v>0</v>
      </c>
      <c r="GM101" s="23">
        <f>EXP(-LN(2)/25)*GM100+(1-EXP(-LN(2)/25))/(LN(2)/25)*Calculateur!GH101*Calculateur!GJ101*VLOOKUP('Données projet'!$B$17,Paramètres!$A$1:$I$89,3,0)*0.475*44/12</f>
        <v>0</v>
      </c>
      <c r="GN101" s="23">
        <f>EXP(-LN(2)/2)*GN100+(1-EXP(-LN(2)/2))/(LN(2)/2)*GH101*GK101*VLOOKUP('Données projet'!$B$17,Paramètres!$A$1:$I$89,3,0)*0.475*44/12</f>
        <v>0</v>
      </c>
      <c r="GO101" s="23">
        <f t="shared" si="81"/>
        <v>0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4.3589743589743648</v>
      </c>
      <c r="GU101" s="13">
        <f>IF('Données projet'!$A$270&gt;35,GU100+GT101-HC100,IF(A101&lt;'Données projet'!$A$270,$GR$205^A101,IF(A101='Données projet'!$A$270,'Données projet'!$B$270,GU100+GT101-HC100)))</f>
        <v>375.25641025640977</v>
      </c>
      <c r="GV101" s="18">
        <f>GU101*VLOOKUP('Données projet'!$B$18,Paramètres!$A$1:$I$89,3,0)*VLOOKUP('Données projet'!$B$18,Paramètres!$A$1:$I$89,5,0)</f>
        <v>251.72199999999967</v>
      </c>
      <c r="GW101" s="14">
        <f t="shared" si="105"/>
        <v>60.954533791416665</v>
      </c>
      <c r="GX101" s="22">
        <f t="shared" si="82"/>
        <v>544.57829635338339</v>
      </c>
      <c r="GY101" s="62">
        <f t="shared" si="83"/>
        <v>837.91162968671665</v>
      </c>
      <c r="GZ101" s="62">
        <f ca="1">AVERAGE(OFFSET($GY$3,0,0,'Données projet'!$E$18+1,1))-AVERAGE(OFFSET($H$3,0,0,'Données projet'!$E$18+1,1))</f>
        <v>410.20186800287411</v>
      </c>
      <c r="HA101" s="62">
        <f t="shared" si="106"/>
        <v>321.99347958016057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>
        <f>EXP(-LN(2)/35)*HG100+(1-EXP(-LN(2)/35))/(LN(2)/35)*HC101*HD101*VLOOKUP('Données projet'!$B$18,Paramètres!$A$1:$I$89,3,0)*0.475*44/12</f>
        <v>0</v>
      </c>
      <c r="HH101" s="23">
        <f>EXP(-LN(2)/25)*HH100+(1-EXP(-LN(2)/25))/(LN(2)/25)*Calculateur!HC101*Calculateur!HE101*VLOOKUP('Données projet'!$B$18,Paramètres!$A$1:$I$89,3,0)*0.475*44/12</f>
        <v>0</v>
      </c>
      <c r="HI101" s="23">
        <f>EXP(-LN(2)/2)*HI100+(1-EXP(-LN(2)/2))/(LN(2)/2)*HC101*HF101*VLOOKUP('Données projet'!$B$18,Paramètres!$A$1:$I$89,3,0)*0.475*44/12</f>
        <v>0</v>
      </c>
      <c r="HJ101" s="24">
        <f t="shared" si="84"/>
        <v>0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5.9</v>
      </c>
      <c r="N102" s="14">
        <f>IF('Données projet'!$A$36&gt;35,N101+M102-V101,IF(A102&lt;'Données projet'!$A$36,$K$205^A102,IF(A102='Données projet'!$A$36,'Données projet'!$B$36,N101+M102-V101)))</f>
        <v>355.09999999999991</v>
      </c>
      <c r="O102" s="14">
        <f>N102*VLOOKUP('Données projet'!$B$9,Paramètres!$A$1:$I$89,3,0)*VLOOKUP('Données projet'!$B$9,Paramètres!$A$1:$I$89,5,0)</f>
        <v>321.29447999999991</v>
      </c>
      <c r="P102" s="14">
        <f t="shared" si="87"/>
        <v>75.622632084792471</v>
      </c>
      <c r="Q102" s="22">
        <f t="shared" si="107"/>
        <v>691.29730354767992</v>
      </c>
      <c r="R102" s="62">
        <f t="shared" si="55"/>
        <v>984.63063688101329</v>
      </c>
      <c r="S102" s="62">
        <f ca="1">AVERAGE(OFFSET($R$3,0,0,'Données projet'!$E$9+1,1))-AVERAGE(OFFSET($H$3,0,0,'Données projet'!$E$9+1,1))</f>
        <v>509.56241660612449</v>
      </c>
      <c r="T102" s="62">
        <f t="shared" si="88"/>
        <v>278.21741231699929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5.9</v>
      </c>
      <c r="AI102" s="14">
        <f>IF('Données projet'!$A$62&gt;35,AI101+AH102-AQ101,IF(A102&lt;'Données projet'!$A$62,$AF$205^A102,IF(A102='Données projet'!$A$62,'Données projet'!$B$62,AI101+AH102-AQ101)))</f>
        <v>355.09999999999991</v>
      </c>
      <c r="AJ102" s="14">
        <f>AI102*VLOOKUP('Données projet'!$B$10,Paramètres!$A$1:$I$89,3,0)*VLOOKUP('Données projet'!$B$10,Paramètres!$A$1:$I$89,5,0)</f>
        <v>360.07139999999993</v>
      </c>
      <c r="AK102" s="14">
        <f t="shared" si="89"/>
        <v>83.632880664293282</v>
      </c>
      <c r="AL102" s="22">
        <f t="shared" si="58"/>
        <v>772.78495549031061</v>
      </c>
      <c r="AM102" s="62">
        <f t="shared" si="59"/>
        <v>1066.118288823644</v>
      </c>
      <c r="AN102" s="62">
        <f ca="1">AVERAGE(OFFSET($AM$3,0,0,'Données projet'!$E$10+1,1))-AVERAGE(OFFSET($H$3,0,0,'Données projet'!$E$10+1,1))</f>
        <v>565.72091871734051</v>
      </c>
      <c r="AO102" s="62">
        <f t="shared" si="90"/>
        <v>306.61893266146666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-5.6843418860808015E-14</v>
      </c>
      <c r="BE102" s="14">
        <f>BD102*VLOOKUP('Données projet'!$B$11,Paramètres!$A$1:$I$89,3,0)*VLOOKUP('Données projet'!$B$11,Paramètres!$A$1:$I$89,5,0)</f>
        <v>-4.1677594708744434E-14</v>
      </c>
      <c r="BF102" s="14" t="e">
        <f t="shared" si="91"/>
        <v>#NUM!</v>
      </c>
      <c r="BG102" s="22" t="e">
        <f t="shared" si="61"/>
        <v>#NUM!</v>
      </c>
      <c r="BH102" s="62" t="e">
        <f t="shared" si="62"/>
        <v>#NUM!</v>
      </c>
      <c r="BI102" s="62">
        <f ca="1">AVERAGE(OFFSET($BH$3,0,0,'Données projet'!$E$11+1,1))-AVERAGE(OFFSET($H$3,0,0,'Données projet'!$E$11+1,1))</f>
        <v>344.26020118887629</v>
      </c>
      <c r="BJ102" s="62">
        <f t="shared" si="92"/>
        <v>376.41441893222185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5.9</v>
      </c>
      <c r="BY102" s="13">
        <f>IF('Données projet'!$A$114&gt;35,BY101+BX102-CG101,IF(A102&lt;'Données projet'!$A$114,$BV$205^A102,IF(A102='Données projet'!$A$114,'Données projet'!$B$114,BY101+BX102-CG101)))</f>
        <v>355.09999999999991</v>
      </c>
      <c r="BZ102" s="14">
        <f>BY102*VLOOKUP('Données projet'!$B$12,Paramètres!$A$1:$I$89,3,0)*VLOOKUP('Données projet'!$B$12,Paramètres!$A$1:$I$89,5,0)</f>
        <v>299.13623999999993</v>
      </c>
      <c r="CA102" s="14">
        <f t="shared" si="93"/>
        <v>70.995355826722829</v>
      </c>
      <c r="CB102" s="22">
        <f t="shared" si="64"/>
        <v>644.64586273154214</v>
      </c>
      <c r="CC102" s="62">
        <f t="shared" si="65"/>
        <v>937.9791960648754</v>
      </c>
      <c r="CD102" s="62">
        <f ca="1">AVERAGE(OFFSET($CC$3,0,0,'Données projet'!$E$12+1,1))-AVERAGE(OFFSET($H$3,0,0,'Données projet'!$E$12+1,1))</f>
        <v>477.4105367901771</v>
      </c>
      <c r="CE102" s="62">
        <f t="shared" si="94"/>
        <v>261.95434270986397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>
        <f>VLOOKUP(A102,'Données projet'!$A$139:$I$159,2,0)</f>
        <v>397.69230769230768</v>
      </c>
      <c r="CR102" s="13">
        <f>VLOOKUP(A102,'Données projet'!$A$139:$I$159,9,0)</f>
        <v>8.1410256410256405</v>
      </c>
      <c r="CS102" s="13">
        <f t="array" ref="CS102">INDEX(CR:CR,MIN(IF(ISNUMBER(CR102:CR298),ROW(CR102:CR298),"")))</f>
        <v>8.1410256410256405</v>
      </c>
      <c r="CT102" s="13">
        <f>IF('Données projet'!$A$140&gt;35,CT101+CS102-DB101,IF(A102&lt;'Données projet'!$A$140,$CQ$205^A102,IF(A102='Données projet'!$A$140,'Données projet'!$B$140,CT101+CS102-DB101)))</f>
        <v>397.69230769230717</v>
      </c>
      <c r="CU102" s="18">
        <f>CT102*VLOOKUP('Données projet'!$B$13,Paramètres!$A$1:$I$89,3,0)*VLOOKUP('Données projet'!$B$13,Paramètres!$A$1:$I$89,5,0)</f>
        <v>186.11999999999975</v>
      </c>
      <c r="CV102" s="14">
        <f t="shared" si="95"/>
        <v>46.681112592689374</v>
      </c>
      <c r="CW102" s="22">
        <f t="shared" si="67"/>
        <v>405.46193776560017</v>
      </c>
      <c r="CX102" s="62">
        <f t="shared" si="68"/>
        <v>698.79527109893343</v>
      </c>
      <c r="CY102" s="62">
        <f ca="1">AVERAGE(OFFSET($CX$3,0,0,'Données projet'!$E$13+1,1))-AVERAGE(OFFSET($H$3,0,0,'Données projet'!$E$13+1,1))</f>
        <v>246.64907095367749</v>
      </c>
      <c r="CZ102" s="62">
        <f t="shared" si="96"/>
        <v>145.34368562171613</v>
      </c>
      <c r="DA102" s="16">
        <f>IF(ISNA(VLOOKUP(A102,'Données projet'!$A$139:$I$159,3,0)),0,VLOOKUP(A102,'Données projet'!$A$139:$I$159,3,0))</f>
        <v>5</v>
      </c>
      <c r="DB102" s="16">
        <f>IF(ISNA(VLOOKUP(A102,'Données projet'!$A$139:$I$159,4,0)),0,VLOOKUP(A102,'Données projet'!$A$139:$I$159,4,0))</f>
        <v>198.46153846153845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-5.6843418860808015E-14</v>
      </c>
      <c r="DP102" s="18">
        <f>DO102*VLOOKUP('Données projet'!$B$14,Paramètres!$A$1:$I$89,3,0)*VLOOKUP('Données projet'!$B$14,Paramètres!$A$1:$I$89,5,0)</f>
        <v>-4.5224624045658861E-14</v>
      </c>
      <c r="DQ102" s="14" t="e">
        <f t="shared" si="97"/>
        <v>#NUM!</v>
      </c>
      <c r="DR102" s="22" t="e">
        <f t="shared" si="70"/>
        <v>#NUM!</v>
      </c>
      <c r="DS102" s="62" t="e">
        <f t="shared" si="71"/>
        <v>#NUM!</v>
      </c>
      <c r="DT102" s="62">
        <f ca="1">AVERAGE(OFFSET($DS$3,0,0,'Données projet'!$E$14+1,1))-AVERAGE(OFFSET($H$3,0,0,'Données projet'!$E$14+1,1))</f>
        <v>370.38521334472284</v>
      </c>
      <c r="DU102" s="62">
        <f t="shared" si="98"/>
        <v>404.61777090709171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>
        <f>VLOOKUP(A102,'Données projet'!$A$191:$I$211,2,0)</f>
        <v>591</v>
      </c>
      <c r="EH102" s="13">
        <f>VLOOKUP(A102,'Données projet'!$A$191:$I$211,9,0)</f>
        <v>11.333333333333334</v>
      </c>
      <c r="EI102" s="13">
        <f t="array" ref="EI102">INDEX(EH:EH,MIN(IF(ISNUMBER(EH102:EH298),ROW(EH102:EH298),"")))</f>
        <v>11.333333333333334</v>
      </c>
      <c r="EJ102" s="13">
        <f>IF('Données projet'!$A$192&gt;35,EJ101+EI102-ER101,IF(A102&lt;'Données projet'!$A$192,$EG$205^A102,IF(A102='Données projet'!$A$192,'Données projet'!$B$192,EJ101+EI102-ER101)))</f>
        <v>590.99999999999989</v>
      </c>
      <c r="EK102" s="18">
        <f>EJ102*VLOOKUP('Données projet'!$B$15,Paramètres!$A$1:$I$89,3,0)*VLOOKUP('Données projet'!$B$15,Paramètres!$A$1:$I$89,5,0)</f>
        <v>507.07799999999997</v>
      </c>
      <c r="EL102" s="14">
        <f t="shared" si="99"/>
        <v>113.17646646969149</v>
      </c>
      <c r="EM102" s="22">
        <f t="shared" si="73"/>
        <v>1080.2765291013793</v>
      </c>
      <c r="EN102" s="62">
        <f t="shared" si="74"/>
        <v>1373.6098624347126</v>
      </c>
      <c r="EO102" s="62">
        <f ca="1">AVERAGE(OFFSET($EN$3,0,0,'Données projet'!$E$15+1,1))-AVERAGE(OFFSET($H$3,0,0,'Données projet'!$E$15+1,1))</f>
        <v>445.81166342116865</v>
      </c>
      <c r="EP102" s="62">
        <f t="shared" si="100"/>
        <v>230.82970731138215</v>
      </c>
      <c r="EQ102" s="16">
        <f>IF(ISNA(VLOOKUP(A102,'Données projet'!$A$191:$I$211,3,0)),0,VLOOKUP(A102,'Données projet'!$A$191:$I$211,3,0))</f>
        <v>10</v>
      </c>
      <c r="ER102" s="16">
        <f>IF(ISNA(VLOOKUP(A102,'Données projet'!$A$191:$I$211,4,0)),0,VLOOKUP(A102,'Données projet'!$A$191:$I$211,4,0))</f>
        <v>591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0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5.9</v>
      </c>
      <c r="FE102" s="13">
        <f>IF('Données projet'!$A$218&gt;35,FE101+FD102-FM101,IF(A102&lt;'Données projet'!$A$218,$FB$205^A102,IF(A102='Données projet'!$A$218,'Données projet'!$B$218,FE101+FD102-FM101)))</f>
        <v>355.09999999999991</v>
      </c>
      <c r="FF102" s="18">
        <f>FE102*VLOOKUP('Données projet'!$B$16,Paramètres!$A$1:$I$89,3,0)*VLOOKUP('Données projet'!$B$16,Paramètres!$A$1:$I$89,5,0)</f>
        <v>343.45271999999994</v>
      </c>
      <c r="FG102" s="14">
        <f t="shared" si="101"/>
        <v>80.212880209411935</v>
      </c>
      <c r="FH102" s="22">
        <f t="shared" si="76"/>
        <v>737.88425369805884</v>
      </c>
      <c r="FI102" s="62">
        <f t="shared" si="77"/>
        <v>1031.2175870313922</v>
      </c>
      <c r="FJ102" s="62">
        <f ca="1">AVERAGE(OFFSET($FI$3,0,0,'Données projet'!$E$16+1,1))-AVERAGE(OFFSET($H$3,0,0,'Données projet'!$E$16+1,1))</f>
        <v>541.66888676162716</v>
      </c>
      <c r="FK102" s="62">
        <f t="shared" si="102"/>
        <v>294.45557293177131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>
        <f>EXP(-LN(2)/35)*FQ101+(1-EXP(-LN(2)/35))/(LN(2)/35)*FM102*FN102*VLOOKUP('Données projet'!$B$16,Paramètres!$A$1:$I$89,3,0)*0.475*44/12</f>
        <v>0</v>
      </c>
      <c r="FR102" s="23">
        <f>EXP(-LN(2)/25)*FR101+(1-EXP(-LN(2)/25))/(LN(2)/25)*Calculateur!FM102*Calculateur!FO102*VLOOKUP('Données projet'!$B$16,Paramètres!$A$1:$I$89,3,0)*0.475*44/12</f>
        <v>0</v>
      </c>
      <c r="FS102" s="23">
        <f>EXP(-LN(2)/2)*FS101+(1-EXP(-LN(2)/2))/(LN(2)/2)*FM102*FP102*VLOOKUP('Données projet'!$B$16,Paramètres!$A$1:$I$89,3,0)*0.475*44/12</f>
        <v>0</v>
      </c>
      <c r="FT102" s="24">
        <f t="shared" si="78"/>
        <v>0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1.1368683772161603E-13</v>
      </c>
      <c r="GA102" s="18">
        <f>FZ102*VLOOKUP('Données projet'!$B$17,Paramètres!$A$1:$I$89,3,0)*VLOOKUP('Données projet'!$B$17,Paramètres!$A$1:$I$89,5,0)</f>
        <v>8.8675733422860506E-14</v>
      </c>
      <c r="GB102" s="14">
        <f t="shared" si="103"/>
        <v>1.3509285393066301E-12</v>
      </c>
      <c r="GC102" s="22">
        <f t="shared" si="79"/>
        <v>2.5073107750038623E-12</v>
      </c>
      <c r="GD102" s="62">
        <f t="shared" si="80"/>
        <v>293.33333333333582</v>
      </c>
      <c r="GE102" s="62">
        <f ca="1">AVERAGE(OFFSET($GD$3,0,0,'Données projet'!$E$17+1,1))-AVERAGE(OFFSET($H$3,0,0,'Données projet'!$E$17+1,1))</f>
        <v>292.57482726862594</v>
      </c>
      <c r="GF102" s="62">
        <f t="shared" si="104"/>
        <v>283.48738729114024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>
        <f>EXP(-LN(2)/35)*GL101+(1-EXP(-LN(2)/35))/(LN(2)/35)*GH102*GI102*VLOOKUP('Données projet'!$B$17,Paramètres!$A$1:$I$89,3,0)*0.475*44/12</f>
        <v>0</v>
      </c>
      <c r="GM102" s="23">
        <f>EXP(-LN(2)/25)*GM101+(1-EXP(-LN(2)/25))/(LN(2)/25)*Calculateur!GH102*Calculateur!GJ102*VLOOKUP('Données projet'!$B$17,Paramètres!$A$1:$I$89,3,0)*0.475*44/12</f>
        <v>0</v>
      </c>
      <c r="GN102" s="23">
        <f>EXP(-LN(2)/2)*GN101+(1-EXP(-LN(2)/2))/(LN(2)/2)*GH102*GK102*VLOOKUP('Données projet'!$B$17,Paramètres!$A$1:$I$89,3,0)*0.475*44/12</f>
        <v>0</v>
      </c>
      <c r="GO102" s="23">
        <f t="shared" si="81"/>
        <v>0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4.3589743589743648</v>
      </c>
      <c r="GU102" s="13">
        <f>IF('Données projet'!$A$270&gt;35,GU101+GT102-HC101,IF(A102&lt;'Données projet'!$A$270,$GR$205^A102,IF(A102='Données projet'!$A$270,'Données projet'!$B$270,GU101+GT102-HC101)))</f>
        <v>379.61538461538413</v>
      </c>
      <c r="GV102" s="18">
        <f>GU102*VLOOKUP('Données projet'!$B$18,Paramètres!$A$1:$I$89,3,0)*VLOOKUP('Données projet'!$B$18,Paramètres!$A$1:$I$89,5,0)</f>
        <v>254.6459999999997</v>
      </c>
      <c r="GW102" s="14">
        <f t="shared" si="105"/>
        <v>61.579743154986069</v>
      </c>
      <c r="GX102" s="22">
        <f t="shared" si="82"/>
        <v>550.7598359949335</v>
      </c>
      <c r="GY102" s="62">
        <f t="shared" si="83"/>
        <v>844.09316932826687</v>
      </c>
      <c r="GZ102" s="62">
        <f ca="1">AVERAGE(OFFSET($GY$3,0,0,'Données projet'!$E$18+1,1))-AVERAGE(OFFSET($H$3,0,0,'Données projet'!$E$18+1,1))</f>
        <v>410.20186800287411</v>
      </c>
      <c r="HA102" s="62">
        <f t="shared" si="106"/>
        <v>321.99347958016057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>
        <f>EXP(-LN(2)/35)*HG101+(1-EXP(-LN(2)/35))/(LN(2)/35)*HC102*HD102*VLOOKUP('Données projet'!$B$18,Paramètres!$A$1:$I$89,3,0)*0.475*44/12</f>
        <v>0</v>
      </c>
      <c r="HH102" s="23">
        <f>EXP(-LN(2)/25)*HH101+(1-EXP(-LN(2)/25))/(LN(2)/25)*Calculateur!HC102*Calculateur!HE102*VLOOKUP('Données projet'!$B$18,Paramètres!$A$1:$I$89,3,0)*0.475*44/12</f>
        <v>0</v>
      </c>
      <c r="HI102" s="23">
        <f>EXP(-LN(2)/2)*HI101+(1-EXP(-LN(2)/2))/(LN(2)/2)*HC102*HF102*VLOOKUP('Données projet'!$B$18,Paramètres!$A$1:$I$89,3,0)*0.475*44/12</f>
        <v>0</v>
      </c>
      <c r="HJ102" s="24">
        <f t="shared" si="84"/>
        <v>0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361</v>
      </c>
      <c r="L103" s="13">
        <f>VLOOKUP(A103,'Données projet'!$A$35:$I$55,9,0)</f>
        <v>5.9</v>
      </c>
      <c r="M103" s="13">
        <f t="array" ref="M103">INDEX(L:L,MIN(IF(ISNUMBER(L103:L299),ROW(L103:L299),"")))</f>
        <v>5.9</v>
      </c>
      <c r="N103" s="14">
        <f>IF('Données projet'!$A$36&gt;35,N102+M103-V102,IF(A103&lt;'Données projet'!$A$36,$K$205^A103,IF(A103='Données projet'!$A$36,'Données projet'!$B$36,N102+M103-V102)))</f>
        <v>360.99999999999989</v>
      </c>
      <c r="O103" s="14">
        <f>N103*VLOOKUP('Données projet'!$B$9,Paramètres!$A$1:$I$89,3,0)*VLOOKUP('Données projet'!$B$9,Paramètres!$A$1:$I$89,5,0)</f>
        <v>326.63279999999986</v>
      </c>
      <c r="P103" s="14">
        <f t="shared" si="87"/>
        <v>76.731784548754774</v>
      </c>
      <c r="Q103" s="22">
        <f t="shared" si="107"/>
        <v>702.52665142241437</v>
      </c>
      <c r="R103" s="62">
        <f t="shared" si="55"/>
        <v>995.85998475574775</v>
      </c>
      <c r="S103" s="62">
        <f ca="1">AVERAGE(OFFSET($R$3,0,0,'Données projet'!$E$9+1,1))-AVERAGE(OFFSET($H$3,0,0,'Données projet'!$E$9+1,1))</f>
        <v>509.56241660612449</v>
      </c>
      <c r="T103" s="62">
        <f t="shared" si="88"/>
        <v>278.21741231699929</v>
      </c>
      <c r="U103" s="16">
        <f>IF(ISNA(VLOOKUP(A103,'Données projet'!$A$35:$I$55,3,0)),0,VLOOKUP(A103,'Données projet'!$A$35:$I$55,3,0))</f>
        <v>8</v>
      </c>
      <c r="V103" s="16">
        <f>IF(ISNA(VLOOKUP(A103,'Données projet'!$A$35:$I$55,4,0)),0,VLOOKUP(A103,'Données projet'!$A$35:$I$55,4,0))</f>
        <v>55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>
        <f>VLOOKUP(A103,'Données projet'!$A$61:$I$81,2,0)</f>
        <v>361</v>
      </c>
      <c r="AG103" s="13">
        <f>VLOOKUP(A103,'Données projet'!$A$61:$I$81,9,0)</f>
        <v>5.9</v>
      </c>
      <c r="AH103" s="13">
        <f t="array" ref="AH103">INDEX(AG:AG,MIN(IF(ISNUMBER(AG103:AG299),ROW(AG103:AG299),"")))</f>
        <v>5.9</v>
      </c>
      <c r="AI103" s="14">
        <f>IF('Données projet'!$A$62&gt;35,AI102+AH103-AQ102,IF(A103&lt;'Données projet'!$A$62,$AF$205^A103,IF(A103='Données projet'!$A$62,'Données projet'!$B$62,AI102+AH103-AQ102)))</f>
        <v>360.99999999999989</v>
      </c>
      <c r="AJ103" s="14">
        <f>AI103*VLOOKUP('Données projet'!$B$10,Paramètres!$A$1:$I$89,3,0)*VLOOKUP('Données projet'!$B$10,Paramètres!$A$1:$I$89,5,0)</f>
        <v>366.05399999999986</v>
      </c>
      <c r="AK103" s="14">
        <f t="shared" si="89"/>
        <v>84.85951894835965</v>
      </c>
      <c r="AL103" s="22">
        <f t="shared" si="58"/>
        <v>785.34104550172617</v>
      </c>
      <c r="AM103" s="62">
        <f t="shared" si="59"/>
        <v>1078.6743788350595</v>
      </c>
      <c r="AN103" s="62">
        <f ca="1">AVERAGE(OFFSET($AM$3,0,0,'Données projet'!$E$10+1,1))-AVERAGE(OFFSET($H$3,0,0,'Données projet'!$E$10+1,1))</f>
        <v>565.72091871734051</v>
      </c>
      <c r="AO103" s="62">
        <f t="shared" si="90"/>
        <v>306.61893266146666</v>
      </c>
      <c r="AP103" s="16">
        <f>IF(ISNA(VLOOKUP(A103,'Données projet'!$A$61:$I$81,3,0)),0,VLOOKUP(A103,'Données projet'!$A$61:$I$81,3,0))</f>
        <v>8</v>
      </c>
      <c r="AQ103" s="16">
        <f>IF(ISNA(VLOOKUP(A103,'Données projet'!$A$61:$I$81,4,0)),0,VLOOKUP(A103,'Données projet'!$A$61:$I$81,4,0))</f>
        <v>55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-5.6843418860808015E-14</v>
      </c>
      <c r="BE103" s="14">
        <f>BD103*VLOOKUP('Données projet'!$B$11,Paramètres!$A$1:$I$89,3,0)*VLOOKUP('Données projet'!$B$11,Paramètres!$A$1:$I$89,5,0)</f>
        <v>-4.1677594708744434E-14</v>
      </c>
      <c r="BF103" s="14" t="e">
        <f t="shared" si="91"/>
        <v>#NUM!</v>
      </c>
      <c r="BG103" s="22" t="e">
        <f t="shared" si="61"/>
        <v>#NUM!</v>
      </c>
      <c r="BH103" s="62" t="e">
        <f t="shared" si="62"/>
        <v>#NUM!</v>
      </c>
      <c r="BI103" s="62">
        <f ca="1">AVERAGE(OFFSET($BH$3,0,0,'Données projet'!$E$11+1,1))-AVERAGE(OFFSET($H$3,0,0,'Données projet'!$E$11+1,1))</f>
        <v>344.26020118887629</v>
      </c>
      <c r="BJ103" s="62">
        <f t="shared" si="92"/>
        <v>376.41441893222185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>
        <f>VLOOKUP(A103,'Données projet'!$A$113:$I$133,2,0)</f>
        <v>361</v>
      </c>
      <c r="BW103" s="13">
        <f>VLOOKUP(A103,'Données projet'!$A$113:$I$133,9,0)</f>
        <v>5.9</v>
      </c>
      <c r="BX103" s="13">
        <f t="array" ref="BX103">INDEX(BW:BW,MIN(IF(ISNUMBER(BW103:BW299),ROW(BW103:BW299),"")))</f>
        <v>5.9</v>
      </c>
      <c r="BY103" s="13">
        <f>IF('Données projet'!$A$114&gt;35,BY102+BX103-CG102,IF(A103&lt;'Données projet'!$A$114,$BV$205^A103,IF(A103='Données projet'!$A$114,'Données projet'!$B$114,BY102+BX103-CG102)))</f>
        <v>360.99999999999989</v>
      </c>
      <c r="BZ103" s="14">
        <f>BY103*VLOOKUP('Données projet'!$B$12,Paramètres!$A$1:$I$89,3,0)*VLOOKUP('Données projet'!$B$12,Paramètres!$A$1:$I$89,5,0)</f>
        <v>304.10639999999989</v>
      </c>
      <c r="CA103" s="14">
        <f t="shared" si="93"/>
        <v>72.036640316223298</v>
      </c>
      <c r="CB103" s="22">
        <f t="shared" si="64"/>
        <v>655.11579521742192</v>
      </c>
      <c r="CC103" s="62">
        <f t="shared" si="65"/>
        <v>948.44912855075518</v>
      </c>
      <c r="CD103" s="62">
        <f ca="1">AVERAGE(OFFSET($CC$3,0,0,'Données projet'!$E$12+1,1))-AVERAGE(OFFSET($H$3,0,0,'Données projet'!$E$12+1,1))</f>
        <v>477.4105367901771</v>
      </c>
      <c r="CE103" s="62">
        <f t="shared" si="94"/>
        <v>261.95434270986397</v>
      </c>
      <c r="CF103" s="16">
        <f>IF(ISNA(VLOOKUP(A103,'Données projet'!$A$113:$I$133,3,0)),0,VLOOKUP(A103,'Données projet'!$A$113:$I$133,3,0))</f>
        <v>8</v>
      </c>
      <c r="CG103" s="16">
        <f>IF(ISNA(VLOOKUP(A103,'Données projet'!$A$113:$I$133,4,0)),0,VLOOKUP(A103,'Données projet'!$A$113:$I$133,4,0))</f>
        <v>55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5.6923076923076907</v>
      </c>
      <c r="CT103" s="13">
        <f>IF('Données projet'!$A$140&gt;35,CT102+CS103-DB102,IF(A103&lt;'Données projet'!$A$140,$CQ$205^A103,IF(A103='Données projet'!$A$140,'Données projet'!$B$140,CT102+CS103-DB102)))</f>
        <v>204.92307692307639</v>
      </c>
      <c r="CU103" s="18">
        <f>CT103*VLOOKUP('Données projet'!$B$13,Paramètres!$A$1:$I$89,3,0)*VLOOKUP('Données projet'!$B$13,Paramètres!$A$1:$I$89,5,0)</f>
        <v>95.903999999999741</v>
      </c>
      <c r="CV103" s="14">
        <f t="shared" si="95"/>
        <v>25.983819565312803</v>
      </c>
      <c r="CW103" s="22">
        <f t="shared" si="67"/>
        <v>212.28795240958598</v>
      </c>
      <c r="CX103" s="62">
        <f t="shared" si="68"/>
        <v>505.62128574291933</v>
      </c>
      <c r="CY103" s="62">
        <f ca="1">AVERAGE(OFFSET($CX$3,0,0,'Données projet'!$E$13+1,1))-AVERAGE(OFFSET($H$3,0,0,'Données projet'!$E$13+1,1))</f>
        <v>246.64907095367749</v>
      </c>
      <c r="CZ103" s="62">
        <f t="shared" si="96"/>
        <v>145.34368562171613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-5.6843418860808015E-14</v>
      </c>
      <c r="DP103" s="18">
        <f>DO103*VLOOKUP('Données projet'!$B$14,Paramètres!$A$1:$I$89,3,0)*VLOOKUP('Données projet'!$B$14,Paramètres!$A$1:$I$89,5,0)</f>
        <v>-4.5224624045658861E-14</v>
      </c>
      <c r="DQ103" s="14" t="e">
        <f t="shared" si="97"/>
        <v>#NUM!</v>
      </c>
      <c r="DR103" s="22" t="e">
        <f t="shared" si="70"/>
        <v>#NUM!</v>
      </c>
      <c r="DS103" s="62" t="e">
        <f t="shared" si="71"/>
        <v>#NUM!</v>
      </c>
      <c r="DT103" s="62">
        <f ca="1">AVERAGE(OFFSET($DS$3,0,0,'Données projet'!$E$14+1,1))-AVERAGE(OFFSET($H$3,0,0,'Données projet'!$E$14+1,1))</f>
        <v>370.38521334472284</v>
      </c>
      <c r="DU103" s="62">
        <f t="shared" si="98"/>
        <v>404.61777090709171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-1.1368683772161603E-13</v>
      </c>
      <c r="EK103" s="18">
        <f>EJ103*VLOOKUP('Données projet'!$B$15,Paramètres!$A$1:$I$89,3,0)*VLOOKUP('Données projet'!$B$15,Paramètres!$A$1:$I$89,5,0)</f>
        <v>-9.7543306765146564E-14</v>
      </c>
      <c r="EL103" s="14" t="e">
        <f t="shared" si="99"/>
        <v>#NUM!</v>
      </c>
      <c r="EM103" s="22" t="e">
        <f t="shared" si="73"/>
        <v>#NUM!</v>
      </c>
      <c r="EN103" s="62" t="e">
        <f t="shared" si="74"/>
        <v>#NUM!</v>
      </c>
      <c r="EO103" s="62">
        <f ca="1">AVERAGE(OFFSET($EN$3,0,0,'Données projet'!$E$15+1,1))-AVERAGE(OFFSET($H$3,0,0,'Données projet'!$E$15+1,1))</f>
        <v>445.81166342116865</v>
      </c>
      <c r="EP103" s="62">
        <f t="shared" si="100"/>
        <v>230.82970731138215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0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>
        <f>VLOOKUP(A103,'Données projet'!$A$217:$I$237,2,0)</f>
        <v>361</v>
      </c>
      <c r="FC103" s="13">
        <f>VLOOKUP(A103,'Données projet'!$A$217:$I$237,9,0)</f>
        <v>5.9</v>
      </c>
      <c r="FD103" s="13">
        <f t="array" ref="FD103">INDEX(FC:FC,MIN(IF(ISNUMBER(FC103:FC299),ROW(FC103:FC299),"")))</f>
        <v>5.9</v>
      </c>
      <c r="FE103" s="13">
        <f>IF('Données projet'!$A$218&gt;35,FE102+FD103-FM102,IF(A103&lt;'Données projet'!$A$218,$FB$205^A103,IF(A103='Données projet'!$A$218,'Données projet'!$B$218,FE102+FD103-FM102)))</f>
        <v>360.99999999999989</v>
      </c>
      <c r="FF103" s="18">
        <f>FE103*VLOOKUP('Données projet'!$B$16,Paramètres!$A$1:$I$89,3,0)*VLOOKUP('Données projet'!$B$16,Paramètres!$A$1:$I$89,5,0)</f>
        <v>349.15919999999988</v>
      </c>
      <c r="FG103" s="14">
        <f t="shared" si="101"/>
        <v>81.389357558494837</v>
      </c>
      <c r="FH103" s="22">
        <f t="shared" si="76"/>
        <v>749.87207108104496</v>
      </c>
      <c r="FI103" s="62">
        <f t="shared" si="77"/>
        <v>1043.2054044143783</v>
      </c>
      <c r="FJ103" s="62">
        <f ca="1">AVERAGE(OFFSET($FI$3,0,0,'Données projet'!$E$16+1,1))-AVERAGE(OFFSET($H$3,0,0,'Données projet'!$E$16+1,1))</f>
        <v>541.66888676162716</v>
      </c>
      <c r="FK103" s="62">
        <f t="shared" si="102"/>
        <v>294.45557293177131</v>
      </c>
      <c r="FL103" s="16">
        <f>IF(ISNA(VLOOKUP(A103,'Données projet'!$A$217:$I$237,3,0)),0,VLOOKUP(A103,'Données projet'!$A$217:$I$237,3,0))</f>
        <v>8</v>
      </c>
      <c r="FM103" s="16">
        <f>IF(ISNA(VLOOKUP(A103,'Données projet'!$A$217:$I$237,4,0)),0,VLOOKUP(A103,'Données projet'!$A$217:$I$237,4,0))</f>
        <v>55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>
        <f>EXP(-LN(2)/35)*FQ102+(1-EXP(-LN(2)/35))/(LN(2)/35)*FM103*FN103*VLOOKUP('Données projet'!$B$16,Paramètres!$A$1:$I$89,3,0)*0.475*44/12</f>
        <v>0</v>
      </c>
      <c r="FR103" s="23">
        <f>EXP(-LN(2)/25)*FR102+(1-EXP(-LN(2)/25))/(LN(2)/25)*Calculateur!FM103*Calculateur!FO103*VLOOKUP('Données projet'!$B$16,Paramètres!$A$1:$I$89,3,0)*0.475*44/12</f>
        <v>0</v>
      </c>
      <c r="FS103" s="23">
        <f>EXP(-LN(2)/2)*FS102+(1-EXP(-LN(2)/2))/(LN(2)/2)*FM103*FP103*VLOOKUP('Données projet'!$B$16,Paramètres!$A$1:$I$89,3,0)*0.475*44/12</f>
        <v>0</v>
      </c>
      <c r="FT103" s="24">
        <f t="shared" si="78"/>
        <v>0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1.1368683772161603E-13</v>
      </c>
      <c r="GA103" s="18">
        <f>FZ103*VLOOKUP('Données projet'!$B$17,Paramètres!$A$1:$I$89,3,0)*VLOOKUP('Données projet'!$B$17,Paramètres!$A$1:$I$89,5,0)</f>
        <v>8.8675733422860506E-14</v>
      </c>
      <c r="GB103" s="14">
        <f t="shared" si="103"/>
        <v>1.3509285393066301E-12</v>
      </c>
      <c r="GC103" s="22">
        <f t="shared" si="79"/>
        <v>2.5073107750038623E-12</v>
      </c>
      <c r="GD103" s="62">
        <f t="shared" si="80"/>
        <v>293.33333333333582</v>
      </c>
      <c r="GE103" s="62">
        <f ca="1">AVERAGE(OFFSET($GD$3,0,0,'Données projet'!$E$17+1,1))-AVERAGE(OFFSET($H$3,0,0,'Données projet'!$E$17+1,1))</f>
        <v>292.57482726862594</v>
      </c>
      <c r="GF103" s="62">
        <f t="shared" si="104"/>
        <v>283.48738729114024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>
        <f>EXP(-LN(2)/35)*GL102+(1-EXP(-LN(2)/35))/(LN(2)/35)*GH103*GI103*VLOOKUP('Données projet'!$B$17,Paramètres!$A$1:$I$89,3,0)*0.475*44/12</f>
        <v>0</v>
      </c>
      <c r="GM103" s="23">
        <f>EXP(-LN(2)/25)*GM102+(1-EXP(-LN(2)/25))/(LN(2)/25)*Calculateur!GH103*Calculateur!GJ103*VLOOKUP('Données projet'!$B$17,Paramètres!$A$1:$I$89,3,0)*0.475*44/12</f>
        <v>0</v>
      </c>
      <c r="GN103" s="23">
        <f>EXP(-LN(2)/2)*GN102+(1-EXP(-LN(2)/2))/(LN(2)/2)*GH103*GK103*VLOOKUP('Données projet'!$B$17,Paramètres!$A$1:$I$89,3,0)*0.475*44/12</f>
        <v>0</v>
      </c>
      <c r="GO103" s="23">
        <f t="shared" si="81"/>
        <v>0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>
        <f>VLOOKUP(A103,'Données projet'!$A$269:$I$289,2,0)</f>
        <v>383.97435897435895</v>
      </c>
      <c r="GS103" s="13">
        <f>VLOOKUP(A103,'Données projet'!$A$269:$I$289,9,0)</f>
        <v>4.3589743589743648</v>
      </c>
      <c r="GT103" s="13">
        <f t="array" ref="GT103">INDEX(GS:GS,MIN(IF(ISNUMBER(GS103:GS299),ROW(GS103:GS299),"")))</f>
        <v>4.3589743589743648</v>
      </c>
      <c r="GU103" s="13">
        <f>IF('Données projet'!$A$270&gt;35,GU102+GT103-HC102,IF(A103&lt;'Données projet'!$A$270,$GR$205^A103,IF(A103='Données projet'!$A$270,'Données projet'!$B$270,GU102+GT103-HC102)))</f>
        <v>383.97435897435849</v>
      </c>
      <c r="GV103" s="18">
        <f>GU103*VLOOKUP('Données projet'!$B$18,Paramètres!$A$1:$I$89,3,0)*VLOOKUP('Données projet'!$B$18,Paramètres!$A$1:$I$89,5,0)</f>
        <v>257.56999999999965</v>
      </c>
      <c r="GW103" s="14">
        <f t="shared" si="105"/>
        <v>62.204117417841346</v>
      </c>
      <c r="GX103" s="22">
        <f t="shared" si="82"/>
        <v>556.93992116940638</v>
      </c>
      <c r="GY103" s="62">
        <f t="shared" si="83"/>
        <v>850.27325450273975</v>
      </c>
      <c r="GZ103" s="62">
        <f ca="1">AVERAGE(OFFSET($GY$3,0,0,'Données projet'!$E$18+1,1))-AVERAGE(OFFSET($H$3,0,0,'Données projet'!$E$18+1,1))</f>
        <v>410.20186800287411</v>
      </c>
      <c r="HA103" s="62">
        <f t="shared" si="106"/>
        <v>321.99347958016057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>
        <f>EXP(-LN(2)/35)*HG102+(1-EXP(-LN(2)/35))/(LN(2)/35)*HC103*HD103*VLOOKUP('Données projet'!$B$18,Paramètres!$A$1:$I$89,3,0)*0.475*44/12</f>
        <v>0</v>
      </c>
      <c r="HH103" s="23">
        <f>EXP(-LN(2)/25)*HH102+(1-EXP(-LN(2)/25))/(LN(2)/25)*Calculateur!HC103*Calculateur!HE103*VLOOKUP('Données projet'!$B$18,Paramètres!$A$1:$I$89,3,0)*0.475*44/12</f>
        <v>0</v>
      </c>
      <c r="HI103" s="23">
        <f>EXP(-LN(2)/2)*HI102+(1-EXP(-LN(2)/2))/(LN(2)/2)*HC103*HF103*VLOOKUP('Données projet'!$B$18,Paramètres!$A$1:$I$89,3,0)*0.475*44/12</f>
        <v>0</v>
      </c>
      <c r="HJ103" s="24">
        <f t="shared" si="84"/>
        <v>0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5.4</v>
      </c>
      <c r="N104" s="14">
        <f>IF('Données projet'!$A$36&gt;35,N103+M104-V103,IF(A104&lt;'Données projet'!$A$36,$K$205^A104,IF(A104='Données projet'!$A$36,'Données projet'!$B$36,N103+M104-V103)))</f>
        <v>311.39999999999986</v>
      </c>
      <c r="O104" s="14">
        <f>N104*VLOOKUP('Données projet'!$B$9,Paramètres!$A$1:$I$89,3,0)*VLOOKUP('Données projet'!$B$9,Paramètres!$A$1:$I$89,5,0)</f>
        <v>281.75471999999985</v>
      </c>
      <c r="P104" s="14">
        <f t="shared" si="87"/>
        <v>67.337696723120317</v>
      </c>
      <c r="Q104" s="22">
        <f t="shared" si="107"/>
        <v>608.0026257927675</v>
      </c>
      <c r="R104" s="62">
        <f t="shared" si="55"/>
        <v>901.33595912610076</v>
      </c>
      <c r="S104" s="62">
        <f ca="1">AVERAGE(OFFSET($R$3,0,0,'Données projet'!$E$9+1,1))-AVERAGE(OFFSET($H$3,0,0,'Données projet'!$E$9+1,1))</f>
        <v>509.56241660612449</v>
      </c>
      <c r="T104" s="62">
        <f t="shared" si="88"/>
        <v>278.21741231699929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5.4</v>
      </c>
      <c r="AI104" s="14">
        <f>IF('Données projet'!$A$62&gt;35,AI103+AH104-AQ103,IF(A104&lt;'Données projet'!$A$62,$AF$205^A104,IF(A104='Données projet'!$A$62,'Données projet'!$B$62,AI103+AH104-AQ103)))</f>
        <v>311.39999999999986</v>
      </c>
      <c r="AJ104" s="14">
        <f>AI104*VLOOKUP('Données projet'!$B$10,Paramètres!$A$1:$I$89,3,0)*VLOOKUP('Données projet'!$B$10,Paramètres!$A$1:$I$89,5,0)</f>
        <v>315.75959999999986</v>
      </c>
      <c r="AK104" s="14">
        <f t="shared" si="89"/>
        <v>74.470372149154613</v>
      </c>
      <c r="AL104" s="22">
        <f t="shared" si="58"/>
        <v>679.65053482644407</v>
      </c>
      <c r="AM104" s="62">
        <f t="shared" si="59"/>
        <v>972.98386815977733</v>
      </c>
      <c r="AN104" s="62">
        <f ca="1">AVERAGE(OFFSET($AM$3,0,0,'Données projet'!$E$10+1,1))-AVERAGE(OFFSET($H$3,0,0,'Données projet'!$E$10+1,1))</f>
        <v>565.72091871734051</v>
      </c>
      <c r="AO104" s="62">
        <f t="shared" si="90"/>
        <v>306.61893266146666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-5.6843418860808015E-14</v>
      </c>
      <c r="BE104" s="14">
        <f>BD104*VLOOKUP('Données projet'!$B$11,Paramètres!$A$1:$I$89,3,0)*VLOOKUP('Données projet'!$B$11,Paramètres!$A$1:$I$89,5,0)</f>
        <v>-4.1677594708744434E-14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344.26020118887629</v>
      </c>
      <c r="BJ104" s="62">
        <f t="shared" si="92"/>
        <v>376.41441893222185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5.4</v>
      </c>
      <c r="BY104" s="13">
        <f>IF('Données projet'!$A$114&gt;35,BY103+BX104-CG103,IF(A104&lt;'Données projet'!$A$114,$BV$205^A104,IF(A104='Données projet'!$A$114,'Données projet'!$B$114,BY103+BX104-CG103)))</f>
        <v>311.39999999999986</v>
      </c>
      <c r="BZ104" s="14">
        <f>BY104*VLOOKUP('Données projet'!$B$12,Paramètres!$A$1:$I$89,3,0)*VLOOKUP('Données projet'!$B$12,Paramètres!$A$1:$I$89,5,0)</f>
        <v>262.32335999999992</v>
      </c>
      <c r="CA104" s="14">
        <f t="shared" si="93"/>
        <v>63.217367706132187</v>
      </c>
      <c r="CB104" s="22">
        <f t="shared" si="64"/>
        <v>566.98343408817993</v>
      </c>
      <c r="CC104" s="62">
        <f t="shared" si="65"/>
        <v>860.3167674215133</v>
      </c>
      <c r="CD104" s="62">
        <f ca="1">AVERAGE(OFFSET($CC$3,0,0,'Données projet'!$E$12+1,1))-AVERAGE(OFFSET($H$3,0,0,'Données projet'!$E$12+1,1))</f>
        <v>477.4105367901771</v>
      </c>
      <c r="CE104" s="62">
        <f t="shared" si="94"/>
        <v>261.95434270986397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5.6923076923076907</v>
      </c>
      <c r="CT104" s="13">
        <f>IF('Données projet'!$A$140&gt;35,CT103+CS104-DB103,IF(A104&lt;'Données projet'!$A$140,$CQ$205^A104,IF(A104='Données projet'!$A$140,'Données projet'!$B$140,CT103+CS104-DB103)))</f>
        <v>210.61538461538407</v>
      </c>
      <c r="CU104" s="18">
        <f>CT104*VLOOKUP('Données projet'!$B$13,Paramètres!$A$1:$I$89,3,0)*VLOOKUP('Données projet'!$B$13,Paramètres!$A$1:$I$89,5,0)</f>
        <v>98.567999999999756</v>
      </c>
      <c r="CV104" s="14">
        <f t="shared" si="95"/>
        <v>26.620557442262673</v>
      </c>
      <c r="CW104" s="22">
        <f t="shared" si="67"/>
        <v>218.03673754527372</v>
      </c>
      <c r="CX104" s="62">
        <f t="shared" si="68"/>
        <v>511.37007087860707</v>
      </c>
      <c r="CY104" s="62">
        <f ca="1">AVERAGE(OFFSET($CX$3,0,0,'Données projet'!$E$13+1,1))-AVERAGE(OFFSET($H$3,0,0,'Données projet'!$E$13+1,1))</f>
        <v>246.64907095367749</v>
      </c>
      <c r="CZ104" s="62">
        <f t="shared" si="96"/>
        <v>145.34368562171613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-5.6843418860808015E-14</v>
      </c>
      <c r="DP104" s="18">
        <f>DO104*VLOOKUP('Données projet'!$B$14,Paramètres!$A$1:$I$89,3,0)*VLOOKUP('Données projet'!$B$14,Paramètres!$A$1:$I$89,5,0)</f>
        <v>-4.5224624045658861E-14</v>
      </c>
      <c r="DQ104" s="14" t="e">
        <f t="shared" si="97"/>
        <v>#NUM!</v>
      </c>
      <c r="DR104" s="22" t="e">
        <f t="shared" si="70"/>
        <v>#NUM!</v>
      </c>
      <c r="DS104" s="62" t="e">
        <f t="shared" si="71"/>
        <v>#NUM!</v>
      </c>
      <c r="DT104" s="62">
        <f ca="1">AVERAGE(OFFSET($DS$3,0,0,'Données projet'!$E$14+1,1))-AVERAGE(OFFSET($H$3,0,0,'Données projet'!$E$14+1,1))</f>
        <v>370.38521334472284</v>
      </c>
      <c r="DU104" s="62">
        <f t="shared" si="98"/>
        <v>404.61777090709171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-1.1368683772161603E-13</v>
      </c>
      <c r="EK104" s="18">
        <f>EJ104*VLOOKUP('Données projet'!$B$15,Paramètres!$A$1:$I$89,3,0)*VLOOKUP('Données projet'!$B$15,Paramètres!$A$1:$I$89,5,0)</f>
        <v>-9.7543306765146564E-14</v>
      </c>
      <c r="EL104" s="14" t="e">
        <f t="shared" si="99"/>
        <v>#NUM!</v>
      </c>
      <c r="EM104" s="22" t="e">
        <f t="shared" si="73"/>
        <v>#NUM!</v>
      </c>
      <c r="EN104" s="62" t="e">
        <f t="shared" si="74"/>
        <v>#NUM!</v>
      </c>
      <c r="EO104" s="62">
        <f ca="1">AVERAGE(OFFSET($EN$3,0,0,'Données projet'!$E$15+1,1))-AVERAGE(OFFSET($H$3,0,0,'Données projet'!$E$15+1,1))</f>
        <v>445.81166342116865</v>
      </c>
      <c r="EP104" s="62">
        <f t="shared" si="100"/>
        <v>230.82970731138215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0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5.4</v>
      </c>
      <c r="FE104" s="13">
        <f>IF('Données projet'!$A$218&gt;35,FE103+FD104-FM103,IF(A104&lt;'Données projet'!$A$218,$FB$205^A104,IF(A104='Données projet'!$A$218,'Données projet'!$B$218,FE103+FD104-FM103)))</f>
        <v>311.39999999999986</v>
      </c>
      <c r="FF104" s="18">
        <f>FE104*VLOOKUP('Données projet'!$B$16,Paramètres!$A$1:$I$89,3,0)*VLOOKUP('Données projet'!$B$16,Paramètres!$A$1:$I$89,5,0)</f>
        <v>301.18607999999989</v>
      </c>
      <c r="FG104" s="14">
        <f t="shared" si="101"/>
        <v>71.425054271756295</v>
      </c>
      <c r="FH104" s="22">
        <f t="shared" si="76"/>
        <v>648.96439218997534</v>
      </c>
      <c r="FI104" s="62">
        <f t="shared" si="77"/>
        <v>942.2977255233086</v>
      </c>
      <c r="FJ104" s="62">
        <f ca="1">AVERAGE(OFFSET($FI$3,0,0,'Données projet'!$E$16+1,1))-AVERAGE(OFFSET($H$3,0,0,'Données projet'!$E$16+1,1))</f>
        <v>541.66888676162716</v>
      </c>
      <c r="FK104" s="62">
        <f t="shared" si="102"/>
        <v>294.45557293177131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>
        <f>EXP(-LN(2)/35)*FQ103+(1-EXP(-LN(2)/35))/(LN(2)/35)*FM104*FN104*VLOOKUP('Données projet'!$B$16,Paramètres!$A$1:$I$89,3,0)*0.475*44/12</f>
        <v>0</v>
      </c>
      <c r="FR104" s="23">
        <f>EXP(-LN(2)/25)*FR103+(1-EXP(-LN(2)/25))/(LN(2)/25)*Calculateur!FM104*Calculateur!FO104*VLOOKUP('Données projet'!$B$16,Paramètres!$A$1:$I$89,3,0)*0.475*44/12</f>
        <v>0</v>
      </c>
      <c r="FS104" s="23">
        <f>EXP(-LN(2)/2)*FS103+(1-EXP(-LN(2)/2))/(LN(2)/2)*FM104*FP104*VLOOKUP('Données projet'!$B$16,Paramètres!$A$1:$I$89,3,0)*0.475*44/12</f>
        <v>0</v>
      </c>
      <c r="FT104" s="24">
        <f t="shared" si="78"/>
        <v>0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1.1368683772161603E-13</v>
      </c>
      <c r="GA104" s="18">
        <f>FZ104*VLOOKUP('Données projet'!$B$17,Paramètres!$A$1:$I$89,3,0)*VLOOKUP('Données projet'!$B$17,Paramètres!$A$1:$I$89,5,0)</f>
        <v>8.8675733422860506E-14</v>
      </c>
      <c r="GB104" s="14">
        <f t="shared" si="103"/>
        <v>1.3509285393066301E-12</v>
      </c>
      <c r="GC104" s="22">
        <f t="shared" si="79"/>
        <v>2.5073107750038623E-12</v>
      </c>
      <c r="GD104" s="62">
        <f t="shared" si="80"/>
        <v>293.33333333333582</v>
      </c>
      <c r="GE104" s="62">
        <f ca="1">AVERAGE(OFFSET($GD$3,0,0,'Données projet'!$E$17+1,1))-AVERAGE(OFFSET($H$3,0,0,'Données projet'!$E$17+1,1))</f>
        <v>292.57482726862594</v>
      </c>
      <c r="GF104" s="62">
        <f t="shared" si="104"/>
        <v>283.48738729114024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>
        <f>EXP(-LN(2)/35)*GL103+(1-EXP(-LN(2)/35))/(LN(2)/35)*GH104*GI104*VLOOKUP('Données projet'!$B$17,Paramètres!$A$1:$I$89,3,0)*0.475*44/12</f>
        <v>0</v>
      </c>
      <c r="GM104" s="23">
        <f>EXP(-LN(2)/25)*GM103+(1-EXP(-LN(2)/25))/(LN(2)/25)*Calculateur!GH104*Calculateur!GJ104*VLOOKUP('Données projet'!$B$17,Paramètres!$A$1:$I$89,3,0)*0.475*44/12</f>
        <v>0</v>
      </c>
      <c r="GN104" s="23">
        <f>EXP(-LN(2)/2)*GN103+(1-EXP(-LN(2)/2))/(LN(2)/2)*GH104*GK104*VLOOKUP('Données projet'!$B$17,Paramètres!$A$1:$I$89,3,0)*0.475*44/12</f>
        <v>0</v>
      </c>
      <c r="GO104" s="23">
        <f t="shared" si="81"/>
        <v>0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3.974358974358978</v>
      </c>
      <c r="GU104" s="13">
        <f>IF('Données projet'!$A$270&gt;35,GU103+GT104-HC103,IF(A104&lt;'Données projet'!$A$270,$GR$205^A104,IF(A104='Données projet'!$A$270,'Données projet'!$B$270,GU103+GT104-HC103)))</f>
        <v>387.94871794871744</v>
      </c>
      <c r="GV104" s="18">
        <f>GU104*VLOOKUP('Données projet'!$B$18,Paramètres!$A$1:$I$89,3,0)*VLOOKUP('Données projet'!$B$18,Paramètres!$A$1:$I$89,5,0)</f>
        <v>260.23599999999965</v>
      </c>
      <c r="GW104" s="14">
        <f t="shared" si="105"/>
        <v>62.772680962551817</v>
      </c>
      <c r="GX104" s="22">
        <f t="shared" si="82"/>
        <v>562.57345267644382</v>
      </c>
      <c r="GY104" s="62">
        <f t="shared" si="83"/>
        <v>855.90678600977708</v>
      </c>
      <c r="GZ104" s="62">
        <f ca="1">AVERAGE(OFFSET($GY$3,0,0,'Données projet'!$E$18+1,1))-AVERAGE(OFFSET($H$3,0,0,'Données projet'!$E$18+1,1))</f>
        <v>410.20186800287411</v>
      </c>
      <c r="HA104" s="62">
        <f t="shared" si="106"/>
        <v>321.99347958016057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>
        <f>EXP(-LN(2)/35)*HG103+(1-EXP(-LN(2)/35))/(LN(2)/35)*HC104*HD104*VLOOKUP('Données projet'!$B$18,Paramètres!$A$1:$I$89,3,0)*0.475*44/12</f>
        <v>0</v>
      </c>
      <c r="HH104" s="23">
        <f>EXP(-LN(2)/25)*HH103+(1-EXP(-LN(2)/25))/(LN(2)/25)*Calculateur!HC104*Calculateur!HE104*VLOOKUP('Données projet'!$B$18,Paramètres!$A$1:$I$89,3,0)*0.475*44/12</f>
        <v>0</v>
      </c>
      <c r="HI104" s="23">
        <f>EXP(-LN(2)/2)*HI103+(1-EXP(-LN(2)/2))/(LN(2)/2)*HC104*HF104*VLOOKUP('Données projet'!$B$18,Paramètres!$A$1:$I$89,3,0)*0.475*44/12</f>
        <v>0</v>
      </c>
      <c r="HJ104" s="24">
        <f t="shared" si="84"/>
        <v>0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5.4</v>
      </c>
      <c r="N105" s="14">
        <f>IF('Données projet'!$A$36&gt;35,N104+M105-V104,IF(A105&lt;'Données projet'!$A$36,$K$205^A105,IF(A105='Données projet'!$A$36,'Données projet'!$B$36,N104+M105-V104)))</f>
        <v>316.79999999999984</v>
      </c>
      <c r="O105" s="14">
        <f>N105*VLOOKUP('Données projet'!$B$9,Paramètres!$A$1:$I$89,3,0)*VLOOKUP('Données projet'!$B$9,Paramètres!$A$1:$I$89,5,0)</f>
        <v>286.64063999999985</v>
      </c>
      <c r="P105" s="14">
        <f t="shared" si="87"/>
        <v>68.368446832003599</v>
      </c>
      <c r="Q105" s="22">
        <f t="shared" si="107"/>
        <v>618.3074928990726</v>
      </c>
      <c r="R105" s="62">
        <f t="shared" si="55"/>
        <v>911.64082623240597</v>
      </c>
      <c r="S105" s="62">
        <f ca="1">AVERAGE(OFFSET($R$3,0,0,'Données projet'!$E$9+1,1))-AVERAGE(OFFSET($H$3,0,0,'Données projet'!$E$9+1,1))</f>
        <v>509.56241660612449</v>
      </c>
      <c r="T105" s="62">
        <f t="shared" si="88"/>
        <v>278.21741231699929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5.4</v>
      </c>
      <c r="AI105" s="14">
        <f>IF('Données projet'!$A$62&gt;35,AI104+AH105-AQ104,IF(A105&lt;'Données projet'!$A$62,$AF$205^A105,IF(A105='Données projet'!$A$62,'Données projet'!$B$62,AI104+AH105-AQ104)))</f>
        <v>316.79999999999984</v>
      </c>
      <c r="AJ105" s="14">
        <f>AI105*VLOOKUP('Données projet'!$B$10,Paramètres!$A$1:$I$89,3,0)*VLOOKUP('Données projet'!$B$10,Paramètres!$A$1:$I$89,5,0)</f>
        <v>321.23519999999985</v>
      </c>
      <c r="AK105" s="14">
        <f t="shared" si="89"/>
        <v>75.610303390297929</v>
      </c>
      <c r="AL105" s="22">
        <f t="shared" si="58"/>
        <v>691.17258507143526</v>
      </c>
      <c r="AM105" s="62">
        <f t="shared" si="59"/>
        <v>984.50591840476864</v>
      </c>
      <c r="AN105" s="62">
        <f ca="1">AVERAGE(OFFSET($AM$3,0,0,'Données projet'!$E$10+1,1))-AVERAGE(OFFSET($H$3,0,0,'Données projet'!$E$10+1,1))</f>
        <v>565.72091871734051</v>
      </c>
      <c r="AO105" s="62">
        <f t="shared" si="90"/>
        <v>306.61893266146666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-5.6843418860808015E-14</v>
      </c>
      <c r="BE105" s="14">
        <f>BD105*VLOOKUP('Données projet'!$B$11,Paramètres!$A$1:$I$89,3,0)*VLOOKUP('Données projet'!$B$11,Paramètres!$A$1:$I$89,5,0)</f>
        <v>-4.1677594708744434E-14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344.26020118887629</v>
      </c>
      <c r="BJ105" s="62">
        <f t="shared" si="92"/>
        <v>376.41441893222185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5.4</v>
      </c>
      <c r="BY105" s="13">
        <f>IF('Données projet'!$A$114&gt;35,BY104+BX105-CG104,IF(A105&lt;'Données projet'!$A$114,$BV$205^A105,IF(A105='Données projet'!$A$114,'Données projet'!$B$114,BY104+BX105-CG104)))</f>
        <v>316.79999999999984</v>
      </c>
      <c r="BZ105" s="14">
        <f>BY105*VLOOKUP('Données projet'!$B$12,Paramètres!$A$1:$I$89,3,0)*VLOOKUP('Données projet'!$B$12,Paramètres!$A$1:$I$89,5,0)</f>
        <v>266.87231999999989</v>
      </c>
      <c r="CA105" s="14">
        <f t="shared" si="93"/>
        <v>64.185047205393062</v>
      </c>
      <c r="CB105" s="22">
        <f t="shared" si="64"/>
        <v>576.59158121605935</v>
      </c>
      <c r="CC105" s="62">
        <f t="shared" si="65"/>
        <v>869.92491454939272</v>
      </c>
      <c r="CD105" s="62">
        <f ca="1">AVERAGE(OFFSET($CC$3,0,0,'Données projet'!$E$12+1,1))-AVERAGE(OFFSET($H$3,0,0,'Données projet'!$E$12+1,1))</f>
        <v>477.4105367901771</v>
      </c>
      <c r="CE105" s="62">
        <f t="shared" si="94"/>
        <v>261.95434270986397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5.6923076923076907</v>
      </c>
      <c r="CT105" s="13">
        <f>IF('Données projet'!$A$140&gt;35,CT104+CS105-DB104,IF(A105&lt;'Données projet'!$A$140,$CQ$205^A105,IF(A105='Données projet'!$A$140,'Données projet'!$B$140,CT104+CS105-DB104)))</f>
        <v>216.30769230769175</v>
      </c>
      <c r="CU105" s="18">
        <f>CT105*VLOOKUP('Données projet'!$B$13,Paramètres!$A$1:$I$89,3,0)*VLOOKUP('Données projet'!$B$13,Paramètres!$A$1:$I$89,5,0)</f>
        <v>101.23199999999974</v>
      </c>
      <c r="CV105" s="14">
        <f t="shared" si="95"/>
        <v>27.255295066527388</v>
      </c>
      <c r="CW105" s="22">
        <f t="shared" si="67"/>
        <v>223.78203890753477</v>
      </c>
      <c r="CX105" s="62">
        <f t="shared" si="68"/>
        <v>517.11537224086806</v>
      </c>
      <c r="CY105" s="62">
        <f ca="1">AVERAGE(OFFSET($CX$3,0,0,'Données projet'!$E$13+1,1))-AVERAGE(OFFSET($H$3,0,0,'Données projet'!$E$13+1,1))</f>
        <v>246.64907095367749</v>
      </c>
      <c r="CZ105" s="62">
        <f t="shared" si="96"/>
        <v>145.34368562171613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-5.6843418860808015E-14</v>
      </c>
      <c r="DP105" s="18">
        <f>DO105*VLOOKUP('Données projet'!$B$14,Paramètres!$A$1:$I$89,3,0)*VLOOKUP('Données projet'!$B$14,Paramètres!$A$1:$I$89,5,0)</f>
        <v>-4.5224624045658861E-14</v>
      </c>
      <c r="DQ105" s="14" t="e">
        <f t="shared" si="97"/>
        <v>#NUM!</v>
      </c>
      <c r="DR105" s="22" t="e">
        <f t="shared" si="70"/>
        <v>#NUM!</v>
      </c>
      <c r="DS105" s="62" t="e">
        <f t="shared" si="71"/>
        <v>#NUM!</v>
      </c>
      <c r="DT105" s="62">
        <f ca="1">AVERAGE(OFFSET($DS$3,0,0,'Données projet'!$E$14+1,1))-AVERAGE(OFFSET($H$3,0,0,'Données projet'!$E$14+1,1))</f>
        <v>370.38521334472284</v>
      </c>
      <c r="DU105" s="62">
        <f t="shared" si="98"/>
        <v>404.61777090709171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-1.1368683772161603E-13</v>
      </c>
      <c r="EK105" s="18">
        <f>EJ105*VLOOKUP('Données projet'!$B$15,Paramètres!$A$1:$I$89,3,0)*VLOOKUP('Données projet'!$B$15,Paramètres!$A$1:$I$89,5,0)</f>
        <v>-9.7543306765146564E-14</v>
      </c>
      <c r="EL105" s="14" t="e">
        <f t="shared" si="99"/>
        <v>#NUM!</v>
      </c>
      <c r="EM105" s="22" t="e">
        <f t="shared" si="73"/>
        <v>#NUM!</v>
      </c>
      <c r="EN105" s="62" t="e">
        <f t="shared" si="74"/>
        <v>#NUM!</v>
      </c>
      <c r="EO105" s="62">
        <f ca="1">AVERAGE(OFFSET($EN$3,0,0,'Données projet'!$E$15+1,1))-AVERAGE(OFFSET($H$3,0,0,'Données projet'!$E$15+1,1))</f>
        <v>445.81166342116865</v>
      </c>
      <c r="EP105" s="62">
        <f t="shared" si="100"/>
        <v>230.82970731138215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0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5.4</v>
      </c>
      <c r="FE105" s="13">
        <f>IF('Données projet'!$A$218&gt;35,FE104+FD105-FM104,IF(A105&lt;'Données projet'!$A$218,$FB$205^A105,IF(A105='Données projet'!$A$218,'Données projet'!$B$218,FE104+FD105-FM104)))</f>
        <v>316.79999999999984</v>
      </c>
      <c r="FF105" s="18">
        <f>FE105*VLOOKUP('Données projet'!$B$16,Paramètres!$A$1:$I$89,3,0)*VLOOKUP('Données projet'!$B$16,Paramètres!$A$1:$I$89,5,0)</f>
        <v>306.40895999999987</v>
      </c>
      <c r="FG105" s="14">
        <f t="shared" si="101"/>
        <v>72.518370290127407</v>
      </c>
      <c r="FH105" s="22">
        <f t="shared" si="76"/>
        <v>659.96510025530495</v>
      </c>
      <c r="FI105" s="62">
        <f t="shared" si="77"/>
        <v>953.29843358863832</v>
      </c>
      <c r="FJ105" s="62">
        <f ca="1">AVERAGE(OFFSET($FI$3,0,0,'Données projet'!$E$16+1,1))-AVERAGE(OFFSET($H$3,0,0,'Données projet'!$E$16+1,1))</f>
        <v>541.66888676162716</v>
      </c>
      <c r="FK105" s="62">
        <f t="shared" si="102"/>
        <v>294.45557293177131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>
        <f>EXP(-LN(2)/35)*FQ104+(1-EXP(-LN(2)/35))/(LN(2)/35)*FM105*FN105*VLOOKUP('Données projet'!$B$16,Paramètres!$A$1:$I$89,3,0)*0.475*44/12</f>
        <v>0</v>
      </c>
      <c r="FR105" s="23">
        <f>EXP(-LN(2)/25)*FR104+(1-EXP(-LN(2)/25))/(LN(2)/25)*Calculateur!FM105*Calculateur!FO105*VLOOKUP('Données projet'!$B$16,Paramètres!$A$1:$I$89,3,0)*0.475*44/12</f>
        <v>0</v>
      </c>
      <c r="FS105" s="23">
        <f>EXP(-LN(2)/2)*FS104+(1-EXP(-LN(2)/2))/(LN(2)/2)*FM105*FP105*VLOOKUP('Données projet'!$B$16,Paramètres!$A$1:$I$89,3,0)*0.475*44/12</f>
        <v>0</v>
      </c>
      <c r="FT105" s="24">
        <f t="shared" si="78"/>
        <v>0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1.1368683772161603E-13</v>
      </c>
      <c r="GA105" s="18">
        <f>FZ105*VLOOKUP('Données projet'!$B$17,Paramètres!$A$1:$I$89,3,0)*VLOOKUP('Données projet'!$B$17,Paramètres!$A$1:$I$89,5,0)</f>
        <v>8.8675733422860506E-14</v>
      </c>
      <c r="GB105" s="14">
        <f t="shared" si="103"/>
        <v>1.3509285393066301E-12</v>
      </c>
      <c r="GC105" s="22">
        <f t="shared" si="79"/>
        <v>2.5073107750038623E-12</v>
      </c>
      <c r="GD105" s="62">
        <f t="shared" si="80"/>
        <v>293.33333333333582</v>
      </c>
      <c r="GE105" s="62">
        <f ca="1">AVERAGE(OFFSET($GD$3,0,0,'Données projet'!$E$17+1,1))-AVERAGE(OFFSET($H$3,0,0,'Données projet'!$E$17+1,1))</f>
        <v>292.57482726862594</v>
      </c>
      <c r="GF105" s="62">
        <f t="shared" si="104"/>
        <v>283.48738729114024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>
        <f>EXP(-LN(2)/35)*GL104+(1-EXP(-LN(2)/35))/(LN(2)/35)*GH105*GI105*VLOOKUP('Données projet'!$B$17,Paramètres!$A$1:$I$89,3,0)*0.475*44/12</f>
        <v>0</v>
      </c>
      <c r="GM105" s="23">
        <f>EXP(-LN(2)/25)*GM104+(1-EXP(-LN(2)/25))/(LN(2)/25)*Calculateur!GH105*Calculateur!GJ105*VLOOKUP('Données projet'!$B$17,Paramètres!$A$1:$I$89,3,0)*0.475*44/12</f>
        <v>0</v>
      </c>
      <c r="GN105" s="23">
        <f>EXP(-LN(2)/2)*GN104+(1-EXP(-LN(2)/2))/(LN(2)/2)*GH105*GK105*VLOOKUP('Données projet'!$B$17,Paramètres!$A$1:$I$89,3,0)*0.475*44/12</f>
        <v>0</v>
      </c>
      <c r="GO105" s="23">
        <f t="shared" si="81"/>
        <v>0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3.974358974358978</v>
      </c>
      <c r="GU105" s="13">
        <f>IF('Données projet'!$A$270&gt;35,GU104+GT105-HC104,IF(A105&lt;'Données projet'!$A$270,$GR$205^A105,IF(A105='Données projet'!$A$270,'Données projet'!$B$270,GU104+GT105-HC104)))</f>
        <v>391.92307692307645</v>
      </c>
      <c r="GV105" s="18">
        <f>GU105*VLOOKUP('Données projet'!$B$18,Paramètres!$A$1:$I$89,3,0)*VLOOKUP('Données projet'!$B$18,Paramètres!$A$1:$I$89,5,0)</f>
        <v>262.9019999999997</v>
      </c>
      <c r="GW105" s="14">
        <f t="shared" si="105"/>
        <v>63.340566906509345</v>
      </c>
      <c r="GX105" s="22">
        <f t="shared" si="82"/>
        <v>568.20580402883661</v>
      </c>
      <c r="GY105" s="62">
        <f t="shared" si="83"/>
        <v>861.53913736216987</v>
      </c>
      <c r="GZ105" s="62">
        <f ca="1">AVERAGE(OFFSET($GY$3,0,0,'Données projet'!$E$18+1,1))-AVERAGE(OFFSET($H$3,0,0,'Données projet'!$E$18+1,1))</f>
        <v>410.20186800287411</v>
      </c>
      <c r="HA105" s="62">
        <f t="shared" si="106"/>
        <v>321.99347958016057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>
        <f>EXP(-LN(2)/35)*HG104+(1-EXP(-LN(2)/35))/(LN(2)/35)*HC105*HD105*VLOOKUP('Données projet'!$B$18,Paramètres!$A$1:$I$89,3,0)*0.475*44/12</f>
        <v>0</v>
      </c>
      <c r="HH105" s="23">
        <f>EXP(-LN(2)/25)*HH104+(1-EXP(-LN(2)/25))/(LN(2)/25)*Calculateur!HC105*Calculateur!HE105*VLOOKUP('Données projet'!$B$18,Paramètres!$A$1:$I$89,3,0)*0.475*44/12</f>
        <v>0</v>
      </c>
      <c r="HI105" s="23">
        <f>EXP(-LN(2)/2)*HI104+(1-EXP(-LN(2)/2))/(LN(2)/2)*HC105*HF105*VLOOKUP('Données projet'!$B$18,Paramètres!$A$1:$I$89,3,0)*0.475*44/12</f>
        <v>0</v>
      </c>
      <c r="HJ105" s="24">
        <f t="shared" si="84"/>
        <v>0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5.4</v>
      </c>
      <c r="N106" s="14">
        <f>IF('Données projet'!$A$36&gt;35,N105+M106-V105,IF(A106&lt;'Données projet'!$A$36,$K$205^A106,IF(A106='Données projet'!$A$36,'Données projet'!$B$36,N105+M106-V105)))</f>
        <v>322.19999999999982</v>
      </c>
      <c r="O106" s="14">
        <f>N106*VLOOKUP('Données projet'!$B$9,Paramètres!$A$1:$I$89,3,0)*VLOOKUP('Données projet'!$B$9,Paramètres!$A$1:$I$89,5,0)</f>
        <v>291.52655999999985</v>
      </c>
      <c r="P106" s="14">
        <f t="shared" si="87"/>
        <v>69.397153761857183</v>
      </c>
      <c r="Q106" s="22">
        <f t="shared" si="107"/>
        <v>628.60880146856755</v>
      </c>
      <c r="R106" s="62">
        <f t="shared" si="55"/>
        <v>921.94213480190092</v>
      </c>
      <c r="S106" s="62">
        <f ca="1">AVERAGE(OFFSET($R$3,0,0,'Données projet'!$E$9+1,1))-AVERAGE(OFFSET($H$3,0,0,'Données projet'!$E$9+1,1))</f>
        <v>509.56241660612449</v>
      </c>
      <c r="T106" s="62">
        <f t="shared" si="88"/>
        <v>278.21741231699929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5.4</v>
      </c>
      <c r="AI106" s="14">
        <f>IF('Données projet'!$A$62&gt;35,AI105+AH106-AQ105,IF(A106&lt;'Données projet'!$A$62,$AF$205^A106,IF(A106='Données projet'!$A$62,'Données projet'!$B$62,AI105+AH106-AQ105)))</f>
        <v>322.19999999999982</v>
      </c>
      <c r="AJ106" s="14">
        <f>AI106*VLOOKUP('Données projet'!$B$10,Paramètres!$A$1:$I$89,3,0)*VLOOKUP('Données projet'!$B$10,Paramètres!$A$1:$I$89,5,0)</f>
        <v>326.71079999999984</v>
      </c>
      <c r="AK106" s="14">
        <f t="shared" si="89"/>
        <v>76.747975030799822</v>
      </c>
      <c r="AL106" s="22">
        <f t="shared" si="58"/>
        <v>702.69069984530927</v>
      </c>
      <c r="AM106" s="62">
        <f t="shared" si="59"/>
        <v>996.02403317864264</v>
      </c>
      <c r="AN106" s="62">
        <f ca="1">AVERAGE(OFFSET($AM$3,0,0,'Données projet'!$E$10+1,1))-AVERAGE(OFFSET($H$3,0,0,'Données projet'!$E$10+1,1))</f>
        <v>565.72091871734051</v>
      </c>
      <c r="AO106" s="62">
        <f t="shared" si="90"/>
        <v>306.61893266146666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-5.6843418860808015E-14</v>
      </c>
      <c r="BE106" s="14">
        <f>BD106*VLOOKUP('Données projet'!$B$11,Paramètres!$A$1:$I$89,3,0)*VLOOKUP('Données projet'!$B$11,Paramètres!$A$1:$I$89,5,0)</f>
        <v>-4.1677594708744434E-14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344.26020118887629</v>
      </c>
      <c r="BJ106" s="62">
        <f t="shared" si="92"/>
        <v>376.41441893222185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5.4</v>
      </c>
      <c r="BY106" s="13">
        <f>IF('Données projet'!$A$114&gt;35,BY105+BX106-CG105,IF(A106&lt;'Données projet'!$A$114,$BV$205^A106,IF(A106='Données projet'!$A$114,'Données projet'!$B$114,BY105+BX106-CG105)))</f>
        <v>322.19999999999982</v>
      </c>
      <c r="BZ106" s="14">
        <f>BY106*VLOOKUP('Données projet'!$B$12,Paramètres!$A$1:$I$89,3,0)*VLOOKUP('Données projet'!$B$12,Paramètres!$A$1:$I$89,5,0)</f>
        <v>271.42127999999985</v>
      </c>
      <c r="CA106" s="14">
        <f t="shared" si="93"/>
        <v>65.15080854578764</v>
      </c>
      <c r="CB106" s="22">
        <f t="shared" si="64"/>
        <v>586.19638755057986</v>
      </c>
      <c r="CC106" s="62">
        <f t="shared" si="65"/>
        <v>879.52972088391311</v>
      </c>
      <c r="CD106" s="62">
        <f ca="1">AVERAGE(OFFSET($CC$3,0,0,'Données projet'!$E$12+1,1))-AVERAGE(OFFSET($H$3,0,0,'Données projet'!$E$12+1,1))</f>
        <v>477.4105367901771</v>
      </c>
      <c r="CE106" s="62">
        <f t="shared" si="94"/>
        <v>261.95434270986397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5.6923076923076907</v>
      </c>
      <c r="CT106" s="13">
        <f>IF('Données projet'!$A$140&gt;35,CT105+CS106-DB105,IF(A106&lt;'Données projet'!$A$140,$CQ$205^A106,IF(A106='Données projet'!$A$140,'Données projet'!$B$140,CT105+CS106-DB105)))</f>
        <v>221.99999999999943</v>
      </c>
      <c r="CU106" s="18">
        <f>CT106*VLOOKUP('Données projet'!$B$13,Paramètres!$A$1:$I$89,3,0)*VLOOKUP('Données projet'!$B$13,Paramètres!$A$1:$I$89,5,0)</f>
        <v>103.89599999999973</v>
      </c>
      <c r="CV106" s="14">
        <f t="shared" si="95"/>
        <v>27.888091127225749</v>
      </c>
      <c r="CW106" s="22">
        <f t="shared" si="67"/>
        <v>229.52395871325101</v>
      </c>
      <c r="CX106" s="62">
        <f t="shared" si="68"/>
        <v>522.85729204658435</v>
      </c>
      <c r="CY106" s="62">
        <f ca="1">AVERAGE(OFFSET($CX$3,0,0,'Données projet'!$E$13+1,1))-AVERAGE(OFFSET($H$3,0,0,'Données projet'!$E$13+1,1))</f>
        <v>246.64907095367749</v>
      </c>
      <c r="CZ106" s="62">
        <f t="shared" si="96"/>
        <v>145.34368562171613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-5.6843418860808015E-14</v>
      </c>
      <c r="DP106" s="18">
        <f>DO106*VLOOKUP('Données projet'!$B$14,Paramètres!$A$1:$I$89,3,0)*VLOOKUP('Données projet'!$B$14,Paramètres!$A$1:$I$89,5,0)</f>
        <v>-4.5224624045658861E-14</v>
      </c>
      <c r="DQ106" s="14" t="e">
        <f t="shared" si="97"/>
        <v>#NUM!</v>
      </c>
      <c r="DR106" s="22" t="e">
        <f t="shared" si="70"/>
        <v>#NUM!</v>
      </c>
      <c r="DS106" s="62" t="e">
        <f t="shared" si="71"/>
        <v>#NUM!</v>
      </c>
      <c r="DT106" s="62">
        <f ca="1">AVERAGE(OFFSET($DS$3,0,0,'Données projet'!$E$14+1,1))-AVERAGE(OFFSET($H$3,0,0,'Données projet'!$E$14+1,1))</f>
        <v>370.38521334472284</v>
      </c>
      <c r="DU106" s="62">
        <f t="shared" si="98"/>
        <v>404.61777090709171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-1.1368683772161603E-13</v>
      </c>
      <c r="EK106" s="18">
        <f>EJ106*VLOOKUP('Données projet'!$B$15,Paramètres!$A$1:$I$89,3,0)*VLOOKUP('Données projet'!$B$15,Paramètres!$A$1:$I$89,5,0)</f>
        <v>-9.7543306765146564E-14</v>
      </c>
      <c r="EL106" s="14" t="e">
        <f t="shared" si="99"/>
        <v>#NUM!</v>
      </c>
      <c r="EM106" s="22" t="e">
        <f t="shared" si="73"/>
        <v>#NUM!</v>
      </c>
      <c r="EN106" s="62" t="e">
        <f t="shared" si="74"/>
        <v>#NUM!</v>
      </c>
      <c r="EO106" s="62">
        <f ca="1">AVERAGE(OFFSET($EN$3,0,0,'Données projet'!$E$15+1,1))-AVERAGE(OFFSET($H$3,0,0,'Données projet'!$E$15+1,1))</f>
        <v>445.81166342116865</v>
      </c>
      <c r="EP106" s="62">
        <f t="shared" si="100"/>
        <v>230.82970731138215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0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5.4</v>
      </c>
      <c r="FE106" s="13">
        <f>IF('Données projet'!$A$218&gt;35,FE105+FD106-FM105,IF(A106&lt;'Données projet'!$A$218,$FB$205^A106,IF(A106='Données projet'!$A$218,'Données projet'!$B$218,FE105+FD106-FM105)))</f>
        <v>322.19999999999982</v>
      </c>
      <c r="FF106" s="18">
        <f>FE106*VLOOKUP('Données projet'!$B$16,Paramètres!$A$1:$I$89,3,0)*VLOOKUP('Données projet'!$B$16,Paramètres!$A$1:$I$89,5,0)</f>
        <v>311.63183999999984</v>
      </c>
      <c r="FG106" s="14">
        <f t="shared" si="101"/>
        <v>73.609519109735089</v>
      </c>
      <c r="FH106" s="22">
        <f t="shared" si="76"/>
        <v>670.96203378278835</v>
      </c>
      <c r="FI106" s="62">
        <f t="shared" si="77"/>
        <v>964.29536711612172</v>
      </c>
      <c r="FJ106" s="62">
        <f ca="1">AVERAGE(OFFSET($FI$3,0,0,'Données projet'!$E$16+1,1))-AVERAGE(OFFSET($H$3,0,0,'Données projet'!$E$16+1,1))</f>
        <v>541.66888676162716</v>
      </c>
      <c r="FK106" s="62">
        <f t="shared" si="102"/>
        <v>294.45557293177131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>
        <f>EXP(-LN(2)/35)*FQ105+(1-EXP(-LN(2)/35))/(LN(2)/35)*FM106*FN106*VLOOKUP('Données projet'!$B$16,Paramètres!$A$1:$I$89,3,0)*0.475*44/12</f>
        <v>0</v>
      </c>
      <c r="FR106" s="23">
        <f>EXP(-LN(2)/25)*FR105+(1-EXP(-LN(2)/25))/(LN(2)/25)*Calculateur!FM106*Calculateur!FO106*VLOOKUP('Données projet'!$B$16,Paramètres!$A$1:$I$89,3,0)*0.475*44/12</f>
        <v>0</v>
      </c>
      <c r="FS106" s="23">
        <f>EXP(-LN(2)/2)*FS105+(1-EXP(-LN(2)/2))/(LN(2)/2)*FM106*FP106*VLOOKUP('Données projet'!$B$16,Paramètres!$A$1:$I$89,3,0)*0.475*44/12</f>
        <v>0</v>
      </c>
      <c r="FT106" s="24">
        <f t="shared" si="78"/>
        <v>0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1.1368683772161603E-13</v>
      </c>
      <c r="GA106" s="18">
        <f>FZ106*VLOOKUP('Données projet'!$B$17,Paramètres!$A$1:$I$89,3,0)*VLOOKUP('Données projet'!$B$17,Paramètres!$A$1:$I$89,5,0)</f>
        <v>8.8675733422860506E-14</v>
      </c>
      <c r="GB106" s="14">
        <f t="shared" si="103"/>
        <v>1.3509285393066301E-12</v>
      </c>
      <c r="GC106" s="22">
        <f t="shared" si="79"/>
        <v>2.5073107750038623E-12</v>
      </c>
      <c r="GD106" s="62">
        <f t="shared" si="80"/>
        <v>293.33333333333582</v>
      </c>
      <c r="GE106" s="62">
        <f ca="1">AVERAGE(OFFSET($GD$3,0,0,'Données projet'!$E$17+1,1))-AVERAGE(OFFSET($H$3,0,0,'Données projet'!$E$17+1,1))</f>
        <v>292.57482726862594</v>
      </c>
      <c r="GF106" s="62">
        <f t="shared" si="104"/>
        <v>283.48738729114024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>
        <f>EXP(-LN(2)/35)*GL105+(1-EXP(-LN(2)/35))/(LN(2)/35)*GH106*GI106*VLOOKUP('Données projet'!$B$17,Paramètres!$A$1:$I$89,3,0)*0.475*44/12</f>
        <v>0</v>
      </c>
      <c r="GM106" s="23">
        <f>EXP(-LN(2)/25)*GM105+(1-EXP(-LN(2)/25))/(LN(2)/25)*Calculateur!GH106*Calculateur!GJ106*VLOOKUP('Données projet'!$B$17,Paramètres!$A$1:$I$89,3,0)*0.475*44/12</f>
        <v>0</v>
      </c>
      <c r="GN106" s="23">
        <f>EXP(-LN(2)/2)*GN105+(1-EXP(-LN(2)/2))/(LN(2)/2)*GH106*GK106*VLOOKUP('Données projet'!$B$17,Paramètres!$A$1:$I$89,3,0)*0.475*44/12</f>
        <v>0</v>
      </c>
      <c r="GO106" s="23">
        <f t="shared" si="81"/>
        <v>0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3.974358974358978</v>
      </c>
      <c r="GU106" s="13">
        <f>IF('Données projet'!$A$270&gt;35,GU105+GT106-HC105,IF(A106&lt;'Données projet'!$A$270,$GR$205^A106,IF(A106='Données projet'!$A$270,'Données projet'!$B$270,GU105+GT106-HC105)))</f>
        <v>395.89743589743546</v>
      </c>
      <c r="GV106" s="18">
        <f>GU106*VLOOKUP('Données projet'!$B$18,Paramètres!$A$1:$I$89,3,0)*VLOOKUP('Données projet'!$B$18,Paramètres!$A$1:$I$89,5,0)</f>
        <v>265.5679999999997</v>
      </c>
      <c r="GW106" s="14">
        <f t="shared" si="105"/>
        <v>63.907782916593277</v>
      </c>
      <c r="GX106" s="22">
        <f t="shared" si="82"/>
        <v>573.83698857973275</v>
      </c>
      <c r="GY106" s="62">
        <f t="shared" si="83"/>
        <v>867.17032191306612</v>
      </c>
      <c r="GZ106" s="62">
        <f ca="1">AVERAGE(OFFSET($GY$3,0,0,'Données projet'!$E$18+1,1))-AVERAGE(OFFSET($H$3,0,0,'Données projet'!$E$18+1,1))</f>
        <v>410.20186800287411</v>
      </c>
      <c r="HA106" s="62">
        <f t="shared" si="106"/>
        <v>321.99347958016057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>
        <f>EXP(-LN(2)/35)*HG105+(1-EXP(-LN(2)/35))/(LN(2)/35)*HC106*HD106*VLOOKUP('Données projet'!$B$18,Paramètres!$A$1:$I$89,3,0)*0.475*44/12</f>
        <v>0</v>
      </c>
      <c r="HH106" s="23">
        <f>EXP(-LN(2)/25)*HH105+(1-EXP(-LN(2)/25))/(LN(2)/25)*Calculateur!HC106*Calculateur!HE106*VLOOKUP('Données projet'!$B$18,Paramètres!$A$1:$I$89,3,0)*0.475*44/12</f>
        <v>0</v>
      </c>
      <c r="HI106" s="23">
        <f>EXP(-LN(2)/2)*HI105+(1-EXP(-LN(2)/2))/(LN(2)/2)*HC106*HF106*VLOOKUP('Données projet'!$B$18,Paramètres!$A$1:$I$89,3,0)*0.475*44/12</f>
        <v>0</v>
      </c>
      <c r="HJ106" s="24">
        <f t="shared" si="84"/>
        <v>0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5.4</v>
      </c>
      <c r="N107" s="14">
        <f>IF('Données projet'!$A$36&gt;35,N106+M107-V106,IF(A107&lt;'Données projet'!$A$36,$K$205^A107,IF(A107='Données projet'!$A$36,'Données projet'!$B$36,N106+M107-V106)))</f>
        <v>327.5999999999998</v>
      </c>
      <c r="O107" s="14">
        <f>N107*VLOOKUP('Données projet'!$B$9,Paramètres!$A$1:$I$89,3,0)*VLOOKUP('Données projet'!$B$9,Paramètres!$A$1:$I$89,5,0)</f>
        <v>296.41247999999979</v>
      </c>
      <c r="P107" s="14">
        <f t="shared" si="87"/>
        <v>70.423855708154704</v>
      </c>
      <c r="Q107" s="22">
        <f t="shared" si="107"/>
        <v>638.90661802503575</v>
      </c>
      <c r="R107" s="62">
        <f t="shared" si="55"/>
        <v>932.23995135836913</v>
      </c>
      <c r="S107" s="62">
        <f ca="1">AVERAGE(OFFSET($R$3,0,0,'Données projet'!$E$9+1,1))-AVERAGE(OFFSET($H$3,0,0,'Données projet'!$E$9+1,1))</f>
        <v>509.56241660612449</v>
      </c>
      <c r="T107" s="62">
        <f t="shared" si="88"/>
        <v>278.21741231699929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5.4</v>
      </c>
      <c r="AI107" s="14">
        <f>IF('Données projet'!$A$62&gt;35,AI106+AH107-AQ106,IF(A107&lt;'Données projet'!$A$62,$AF$205^A107,IF(A107='Données projet'!$A$62,'Données projet'!$B$62,AI106+AH107-AQ106)))</f>
        <v>327.5999999999998</v>
      </c>
      <c r="AJ107" s="14">
        <f>AI107*VLOOKUP('Données projet'!$B$10,Paramètres!$A$1:$I$89,3,0)*VLOOKUP('Données projet'!$B$10,Paramètres!$A$1:$I$89,5,0)</f>
        <v>332.18639999999982</v>
      </c>
      <c r="AK107" s="14">
        <f t="shared" si="89"/>
        <v>77.88342931194974</v>
      </c>
      <c r="AL107" s="22">
        <f t="shared" si="58"/>
        <v>714.20495271831214</v>
      </c>
      <c r="AM107" s="62">
        <f t="shared" si="59"/>
        <v>1007.5382860516454</v>
      </c>
      <c r="AN107" s="62">
        <f ca="1">AVERAGE(OFFSET($AM$3,0,0,'Données projet'!$E$10+1,1))-AVERAGE(OFFSET($H$3,0,0,'Données projet'!$E$10+1,1))</f>
        <v>565.72091871734051</v>
      </c>
      <c r="AO107" s="62">
        <f t="shared" si="90"/>
        <v>306.61893266146666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-5.6843418860808015E-14</v>
      </c>
      <c r="BE107" s="14">
        <f>BD107*VLOOKUP('Données projet'!$B$11,Paramètres!$A$1:$I$89,3,0)*VLOOKUP('Données projet'!$B$11,Paramètres!$A$1:$I$89,5,0)</f>
        <v>-4.1677594708744434E-14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344.26020118887629</v>
      </c>
      <c r="BJ107" s="62">
        <f t="shared" si="92"/>
        <v>376.41441893222185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5.4</v>
      </c>
      <c r="BY107" s="13">
        <f>IF('Données projet'!$A$114&gt;35,BY106+BX107-CG106,IF(A107&lt;'Données projet'!$A$114,$BV$205^A107,IF(A107='Données projet'!$A$114,'Données projet'!$B$114,BY106+BX107-CG106)))</f>
        <v>327.5999999999998</v>
      </c>
      <c r="BZ107" s="14">
        <f>BY107*VLOOKUP('Données projet'!$B$12,Paramètres!$A$1:$I$89,3,0)*VLOOKUP('Données projet'!$B$12,Paramètres!$A$1:$I$89,5,0)</f>
        <v>275.97023999999988</v>
      </c>
      <c r="CA107" s="14">
        <f t="shared" si="93"/>
        <v>66.114687585645072</v>
      </c>
      <c r="CB107" s="22">
        <f t="shared" si="64"/>
        <v>595.79791554499832</v>
      </c>
      <c r="CC107" s="62">
        <f t="shared" si="65"/>
        <v>889.13124887833169</v>
      </c>
      <c r="CD107" s="62">
        <f ca="1">AVERAGE(OFFSET($CC$3,0,0,'Données projet'!$E$12+1,1))-AVERAGE(OFFSET($H$3,0,0,'Données projet'!$E$12+1,1))</f>
        <v>477.4105367901771</v>
      </c>
      <c r="CE107" s="62">
        <f t="shared" si="94"/>
        <v>261.95434270986397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5.6923076923076907</v>
      </c>
      <c r="CT107" s="13">
        <f>IF('Données projet'!$A$140&gt;35,CT106+CS107-DB106,IF(A107&lt;'Données projet'!$A$140,$CQ$205^A107,IF(A107='Données projet'!$A$140,'Données projet'!$B$140,CT106+CS107-DB106)))</f>
        <v>227.69230769230711</v>
      </c>
      <c r="CU107" s="18">
        <f>CT107*VLOOKUP('Données projet'!$B$13,Paramètres!$A$1:$I$89,3,0)*VLOOKUP('Données projet'!$B$13,Paramètres!$A$1:$I$89,5,0)</f>
        <v>106.55999999999973</v>
      </c>
      <c r="CV107" s="14">
        <f t="shared" si="95"/>
        <v>28.519001132310215</v>
      </c>
      <c r="CW107" s="22">
        <f t="shared" si="67"/>
        <v>235.26259363877315</v>
      </c>
      <c r="CX107" s="62">
        <f t="shared" si="68"/>
        <v>528.59592697210644</v>
      </c>
      <c r="CY107" s="62">
        <f ca="1">AVERAGE(OFFSET($CX$3,0,0,'Données projet'!$E$13+1,1))-AVERAGE(OFFSET($H$3,0,0,'Données projet'!$E$13+1,1))</f>
        <v>246.64907095367749</v>
      </c>
      <c r="CZ107" s="62">
        <f t="shared" si="96"/>
        <v>145.34368562171613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-5.6843418860808015E-14</v>
      </c>
      <c r="DP107" s="18">
        <f>DO107*VLOOKUP('Données projet'!$B$14,Paramètres!$A$1:$I$89,3,0)*VLOOKUP('Données projet'!$B$14,Paramètres!$A$1:$I$89,5,0)</f>
        <v>-4.5224624045658861E-14</v>
      </c>
      <c r="DQ107" s="14" t="e">
        <f t="shared" si="97"/>
        <v>#NUM!</v>
      </c>
      <c r="DR107" s="22" t="e">
        <f t="shared" si="70"/>
        <v>#NUM!</v>
      </c>
      <c r="DS107" s="62" t="e">
        <f t="shared" si="71"/>
        <v>#NUM!</v>
      </c>
      <c r="DT107" s="62">
        <f ca="1">AVERAGE(OFFSET($DS$3,0,0,'Données projet'!$E$14+1,1))-AVERAGE(OFFSET($H$3,0,0,'Données projet'!$E$14+1,1))</f>
        <v>370.38521334472284</v>
      </c>
      <c r="DU107" s="62">
        <f t="shared" si="98"/>
        <v>404.61777090709171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-1.1368683772161603E-13</v>
      </c>
      <c r="EK107" s="18">
        <f>EJ107*VLOOKUP('Données projet'!$B$15,Paramètres!$A$1:$I$89,3,0)*VLOOKUP('Données projet'!$B$15,Paramètres!$A$1:$I$89,5,0)</f>
        <v>-9.7543306765146564E-14</v>
      </c>
      <c r="EL107" s="14" t="e">
        <f t="shared" si="99"/>
        <v>#NUM!</v>
      </c>
      <c r="EM107" s="22" t="e">
        <f t="shared" si="73"/>
        <v>#NUM!</v>
      </c>
      <c r="EN107" s="62" t="e">
        <f t="shared" si="74"/>
        <v>#NUM!</v>
      </c>
      <c r="EO107" s="62">
        <f ca="1">AVERAGE(OFFSET($EN$3,0,0,'Données projet'!$E$15+1,1))-AVERAGE(OFFSET($H$3,0,0,'Données projet'!$E$15+1,1))</f>
        <v>445.81166342116865</v>
      </c>
      <c r="EP107" s="62">
        <f t="shared" si="100"/>
        <v>230.82970731138215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0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5.4</v>
      </c>
      <c r="FE107" s="13">
        <f>IF('Données projet'!$A$218&gt;35,FE106+FD107-FM106,IF(A107&lt;'Données projet'!$A$218,$FB$205^A107,IF(A107='Données projet'!$A$218,'Données projet'!$B$218,FE106+FD107-FM106)))</f>
        <v>327.5999999999998</v>
      </c>
      <c r="FF107" s="18">
        <f>FE107*VLOOKUP('Données projet'!$B$16,Paramètres!$A$1:$I$89,3,0)*VLOOKUP('Données projet'!$B$16,Paramètres!$A$1:$I$89,5,0)</f>
        <v>316.85471999999982</v>
      </c>
      <c r="FG107" s="14">
        <f t="shared" si="101"/>
        <v>74.698541244494848</v>
      </c>
      <c r="FH107" s="22">
        <f t="shared" si="76"/>
        <v>681.95526333416149</v>
      </c>
      <c r="FI107" s="62">
        <f t="shared" si="77"/>
        <v>975.28859666749486</v>
      </c>
      <c r="FJ107" s="62">
        <f ca="1">AVERAGE(OFFSET($FI$3,0,0,'Données projet'!$E$16+1,1))-AVERAGE(OFFSET($H$3,0,0,'Données projet'!$E$16+1,1))</f>
        <v>541.66888676162716</v>
      </c>
      <c r="FK107" s="62">
        <f t="shared" si="102"/>
        <v>294.45557293177131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>
        <f>EXP(-LN(2)/35)*FQ106+(1-EXP(-LN(2)/35))/(LN(2)/35)*FM107*FN107*VLOOKUP('Données projet'!$B$16,Paramètres!$A$1:$I$89,3,0)*0.475*44/12</f>
        <v>0</v>
      </c>
      <c r="FR107" s="23">
        <f>EXP(-LN(2)/25)*FR106+(1-EXP(-LN(2)/25))/(LN(2)/25)*Calculateur!FM107*Calculateur!FO107*VLOOKUP('Données projet'!$B$16,Paramètres!$A$1:$I$89,3,0)*0.475*44/12</f>
        <v>0</v>
      </c>
      <c r="FS107" s="23">
        <f>EXP(-LN(2)/2)*FS106+(1-EXP(-LN(2)/2))/(LN(2)/2)*FM107*FP107*VLOOKUP('Données projet'!$B$16,Paramètres!$A$1:$I$89,3,0)*0.475*44/12</f>
        <v>0</v>
      </c>
      <c r="FT107" s="24">
        <f t="shared" si="78"/>
        <v>0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1.1368683772161603E-13</v>
      </c>
      <c r="GA107" s="18">
        <f>FZ107*VLOOKUP('Données projet'!$B$17,Paramètres!$A$1:$I$89,3,0)*VLOOKUP('Données projet'!$B$17,Paramètres!$A$1:$I$89,5,0)</f>
        <v>8.8675733422860506E-14</v>
      </c>
      <c r="GB107" s="14">
        <f t="shared" si="103"/>
        <v>1.3509285393066301E-12</v>
      </c>
      <c r="GC107" s="22">
        <f t="shared" si="79"/>
        <v>2.5073107750038623E-12</v>
      </c>
      <c r="GD107" s="62">
        <f t="shared" si="80"/>
        <v>293.33333333333582</v>
      </c>
      <c r="GE107" s="62">
        <f ca="1">AVERAGE(OFFSET($GD$3,0,0,'Données projet'!$E$17+1,1))-AVERAGE(OFFSET($H$3,0,0,'Données projet'!$E$17+1,1))</f>
        <v>292.57482726862594</v>
      </c>
      <c r="GF107" s="62">
        <f t="shared" si="104"/>
        <v>283.48738729114024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>
        <f>EXP(-LN(2)/35)*GL106+(1-EXP(-LN(2)/35))/(LN(2)/35)*GH107*GI107*VLOOKUP('Données projet'!$B$17,Paramètres!$A$1:$I$89,3,0)*0.475*44/12</f>
        <v>0</v>
      </c>
      <c r="GM107" s="23">
        <f>EXP(-LN(2)/25)*GM106+(1-EXP(-LN(2)/25))/(LN(2)/25)*Calculateur!GH107*Calculateur!GJ107*VLOOKUP('Données projet'!$B$17,Paramètres!$A$1:$I$89,3,0)*0.475*44/12</f>
        <v>0</v>
      </c>
      <c r="GN107" s="23">
        <f>EXP(-LN(2)/2)*GN106+(1-EXP(-LN(2)/2))/(LN(2)/2)*GH107*GK107*VLOOKUP('Données projet'!$B$17,Paramètres!$A$1:$I$89,3,0)*0.475*44/12</f>
        <v>0</v>
      </c>
      <c r="GO107" s="23">
        <f t="shared" si="81"/>
        <v>0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3.974358974358978</v>
      </c>
      <c r="GU107" s="13">
        <f>IF('Données projet'!$A$270&gt;35,GU106+GT107-HC106,IF(A107&lt;'Données projet'!$A$270,$GR$205^A107,IF(A107='Données projet'!$A$270,'Données projet'!$B$270,GU106+GT107-HC106)))</f>
        <v>399.87179487179446</v>
      </c>
      <c r="GV107" s="18">
        <f>GU107*VLOOKUP('Données projet'!$B$18,Paramètres!$A$1:$I$89,3,0)*VLOOKUP('Données projet'!$B$18,Paramètres!$A$1:$I$89,5,0)</f>
        <v>268.23399999999975</v>
      </c>
      <c r="GW107" s="14">
        <f t="shared" si="105"/>
        <v>64.474336496877569</v>
      </c>
      <c r="GX107" s="22">
        <f t="shared" si="82"/>
        <v>579.46701939872798</v>
      </c>
      <c r="GY107" s="62">
        <f t="shared" si="83"/>
        <v>872.80035273206136</v>
      </c>
      <c r="GZ107" s="62">
        <f ca="1">AVERAGE(OFFSET($GY$3,0,0,'Données projet'!$E$18+1,1))-AVERAGE(OFFSET($H$3,0,0,'Données projet'!$E$18+1,1))</f>
        <v>410.20186800287411</v>
      </c>
      <c r="HA107" s="62">
        <f t="shared" si="106"/>
        <v>321.99347958016057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>
        <f>EXP(-LN(2)/35)*HG106+(1-EXP(-LN(2)/35))/(LN(2)/35)*HC107*HD107*VLOOKUP('Données projet'!$B$18,Paramètres!$A$1:$I$89,3,0)*0.475*44/12</f>
        <v>0</v>
      </c>
      <c r="HH107" s="23">
        <f>EXP(-LN(2)/25)*HH106+(1-EXP(-LN(2)/25))/(LN(2)/25)*Calculateur!HC107*Calculateur!HE107*VLOOKUP('Données projet'!$B$18,Paramètres!$A$1:$I$89,3,0)*0.475*44/12</f>
        <v>0</v>
      </c>
      <c r="HI107" s="23">
        <f>EXP(-LN(2)/2)*HI106+(1-EXP(-LN(2)/2))/(LN(2)/2)*HC107*HF107*VLOOKUP('Données projet'!$B$18,Paramètres!$A$1:$I$89,3,0)*0.475*44/12</f>
        <v>0</v>
      </c>
      <c r="HJ107" s="24">
        <f t="shared" si="84"/>
        <v>0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5.4</v>
      </c>
      <c r="N108" s="14">
        <f>IF('Données projet'!$A$36&gt;35,N107+M108-V107,IF(A108&lt;'Données projet'!$A$36,$K$205^A108,IF(A108='Données projet'!$A$36,'Données projet'!$B$36,N107+M108-V107)))</f>
        <v>332.99999999999977</v>
      </c>
      <c r="O108" s="14">
        <f>N108*VLOOKUP('Données projet'!$B$9,Paramètres!$A$1:$I$89,3,0)*VLOOKUP('Données projet'!$B$9,Paramètres!$A$1:$I$89,5,0)</f>
        <v>301.29839999999979</v>
      </c>
      <c r="P108" s="14">
        <f t="shared" si="87"/>
        <v>71.448589534990461</v>
      </c>
      <c r="Q108" s="22">
        <f t="shared" si="107"/>
        <v>649.20100677344124</v>
      </c>
      <c r="R108" s="62">
        <f t="shared" si="55"/>
        <v>942.53434010677461</v>
      </c>
      <c r="S108" s="62">
        <f ca="1">AVERAGE(OFFSET($R$3,0,0,'Données projet'!$E$9+1,1))-AVERAGE(OFFSET($H$3,0,0,'Données projet'!$E$9+1,1))</f>
        <v>509.56241660612449</v>
      </c>
      <c r="T108" s="62">
        <f t="shared" si="88"/>
        <v>278.21741231699929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5.4</v>
      </c>
      <c r="AI108" s="14">
        <f>IF('Données projet'!$A$62&gt;35,AI107+AH108-AQ107,IF(A108&lt;'Données projet'!$A$62,$AF$205^A108,IF(A108='Données projet'!$A$62,'Données projet'!$B$62,AI107+AH108-AQ107)))</f>
        <v>332.99999999999977</v>
      </c>
      <c r="AJ108" s="14">
        <f>AI108*VLOOKUP('Données projet'!$B$10,Paramètres!$A$1:$I$89,3,0)*VLOOKUP('Données projet'!$B$10,Paramètres!$A$1:$I$89,5,0)</f>
        <v>337.66199999999975</v>
      </c>
      <c r="AK108" s="14">
        <f t="shared" si="89"/>
        <v>79.016707002632614</v>
      </c>
      <c r="AL108" s="22">
        <f t="shared" si="58"/>
        <v>725.71541469625129</v>
      </c>
      <c r="AM108" s="62">
        <f t="shared" si="59"/>
        <v>1019.0487480295847</v>
      </c>
      <c r="AN108" s="62">
        <f ca="1">AVERAGE(OFFSET($AM$3,0,0,'Données projet'!$E$10+1,1))-AVERAGE(OFFSET($H$3,0,0,'Données projet'!$E$10+1,1))</f>
        <v>565.72091871734051</v>
      </c>
      <c r="AO108" s="62">
        <f t="shared" si="90"/>
        <v>306.61893266146666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-5.6843418860808015E-14</v>
      </c>
      <c r="BE108" s="14">
        <f>BD108*VLOOKUP('Données projet'!$B$11,Paramètres!$A$1:$I$89,3,0)*VLOOKUP('Données projet'!$B$11,Paramètres!$A$1:$I$89,5,0)</f>
        <v>-4.1677594708744434E-14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344.26020118887629</v>
      </c>
      <c r="BJ108" s="62">
        <f t="shared" si="92"/>
        <v>376.41441893222185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5.4</v>
      </c>
      <c r="BY108" s="13">
        <f>IF('Données projet'!$A$114&gt;35,BY107+BX108-CG107,IF(A108&lt;'Données projet'!$A$114,$BV$205^A108,IF(A108='Données projet'!$A$114,'Données projet'!$B$114,BY107+BX108-CG107)))</f>
        <v>332.99999999999977</v>
      </c>
      <c r="BZ108" s="14">
        <f>BY108*VLOOKUP('Données projet'!$B$12,Paramètres!$A$1:$I$89,3,0)*VLOOKUP('Données projet'!$B$12,Paramètres!$A$1:$I$89,5,0)</f>
        <v>280.51919999999984</v>
      </c>
      <c r="CA108" s="14">
        <f t="shared" si="93"/>
        <v>67.076718933381159</v>
      </c>
      <c r="CB108" s="22">
        <f t="shared" si="64"/>
        <v>605.39622547563852</v>
      </c>
      <c r="CC108" s="62">
        <f t="shared" si="65"/>
        <v>898.72955880897189</v>
      </c>
      <c r="CD108" s="62">
        <f ca="1">AVERAGE(OFFSET($CC$3,0,0,'Données projet'!$E$12+1,1))-AVERAGE(OFFSET($H$3,0,0,'Données projet'!$E$12+1,1))</f>
        <v>477.4105367901771</v>
      </c>
      <c r="CE108" s="62">
        <f t="shared" si="94"/>
        <v>261.95434270986397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5.6923076923076907</v>
      </c>
      <c r="CT108" s="13">
        <f>IF('Données projet'!$A$140&gt;35,CT107+CS108-DB107,IF(A108&lt;'Données projet'!$A$140,$CQ$205^A108,IF(A108='Données projet'!$A$140,'Données projet'!$B$140,CT107+CS108-DB107)))</f>
        <v>233.38461538461479</v>
      </c>
      <c r="CU108" s="18">
        <f>CT108*VLOOKUP('Données projet'!$B$13,Paramètres!$A$1:$I$89,3,0)*VLOOKUP('Données projet'!$B$13,Paramètres!$A$1:$I$89,5,0)</f>
        <v>109.22399999999972</v>
      </c>
      <c r="CV108" s="14">
        <f t="shared" si="95"/>
        <v>29.148077656155348</v>
      </c>
      <c r="CW108" s="22">
        <f t="shared" si="67"/>
        <v>240.99803525113671</v>
      </c>
      <c r="CX108" s="62">
        <f t="shared" si="68"/>
        <v>534.33136858447006</v>
      </c>
      <c r="CY108" s="62">
        <f ca="1">AVERAGE(OFFSET($CX$3,0,0,'Données projet'!$E$13+1,1))-AVERAGE(OFFSET($H$3,0,0,'Données projet'!$E$13+1,1))</f>
        <v>246.64907095367749</v>
      </c>
      <c r="CZ108" s="62">
        <f t="shared" si="96"/>
        <v>145.34368562171613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-5.6843418860808015E-14</v>
      </c>
      <c r="DP108" s="18">
        <f>DO108*VLOOKUP('Données projet'!$B$14,Paramètres!$A$1:$I$89,3,0)*VLOOKUP('Données projet'!$B$14,Paramètres!$A$1:$I$89,5,0)</f>
        <v>-4.5224624045658861E-14</v>
      </c>
      <c r="DQ108" s="14" t="e">
        <f t="shared" si="97"/>
        <v>#NUM!</v>
      </c>
      <c r="DR108" s="22" t="e">
        <f t="shared" si="70"/>
        <v>#NUM!</v>
      </c>
      <c r="DS108" s="62" t="e">
        <f t="shared" si="71"/>
        <v>#NUM!</v>
      </c>
      <c r="DT108" s="62">
        <f ca="1">AVERAGE(OFFSET($DS$3,0,0,'Données projet'!$E$14+1,1))-AVERAGE(OFFSET($H$3,0,0,'Données projet'!$E$14+1,1))</f>
        <v>370.38521334472284</v>
      </c>
      <c r="DU108" s="62">
        <f t="shared" si="98"/>
        <v>404.61777090709171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-1.1368683772161603E-13</v>
      </c>
      <c r="EK108" s="18">
        <f>EJ108*VLOOKUP('Données projet'!$B$15,Paramètres!$A$1:$I$89,3,0)*VLOOKUP('Données projet'!$B$15,Paramètres!$A$1:$I$89,5,0)</f>
        <v>-9.7543306765146564E-14</v>
      </c>
      <c r="EL108" s="14" t="e">
        <f t="shared" si="99"/>
        <v>#NUM!</v>
      </c>
      <c r="EM108" s="22" t="e">
        <f t="shared" si="73"/>
        <v>#NUM!</v>
      </c>
      <c r="EN108" s="62" t="e">
        <f t="shared" si="74"/>
        <v>#NUM!</v>
      </c>
      <c r="EO108" s="62">
        <f ca="1">AVERAGE(OFFSET($EN$3,0,0,'Données projet'!$E$15+1,1))-AVERAGE(OFFSET($H$3,0,0,'Données projet'!$E$15+1,1))</f>
        <v>445.81166342116865</v>
      </c>
      <c r="EP108" s="62">
        <f t="shared" si="100"/>
        <v>230.82970731138215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0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5.4</v>
      </c>
      <c r="FE108" s="13">
        <f>IF('Données projet'!$A$218&gt;35,FE107+FD108-FM107,IF(A108&lt;'Données projet'!$A$218,$FB$205^A108,IF(A108='Données projet'!$A$218,'Données projet'!$B$218,FE107+FD108-FM107)))</f>
        <v>332.99999999999977</v>
      </c>
      <c r="FF108" s="18">
        <f>FE108*VLOOKUP('Données projet'!$B$16,Paramètres!$A$1:$I$89,3,0)*VLOOKUP('Données projet'!$B$16,Paramètres!$A$1:$I$89,5,0)</f>
        <v>322.07759999999979</v>
      </c>
      <c r="FG108" s="14">
        <f t="shared" si="101"/>
        <v>75.785475796129404</v>
      </c>
      <c r="FH108" s="22">
        <f t="shared" si="76"/>
        <v>692.94485701159158</v>
      </c>
      <c r="FI108" s="62">
        <f t="shared" si="77"/>
        <v>986.27819034492495</v>
      </c>
      <c r="FJ108" s="62">
        <f ca="1">AVERAGE(OFFSET($FI$3,0,0,'Données projet'!$E$16+1,1))-AVERAGE(OFFSET($H$3,0,0,'Données projet'!$E$16+1,1))</f>
        <v>541.66888676162716</v>
      </c>
      <c r="FK108" s="62">
        <f t="shared" si="102"/>
        <v>294.45557293177131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>
        <f>EXP(-LN(2)/35)*FQ107+(1-EXP(-LN(2)/35))/(LN(2)/35)*FM108*FN108*VLOOKUP('Données projet'!$B$16,Paramètres!$A$1:$I$89,3,0)*0.475*44/12</f>
        <v>0</v>
      </c>
      <c r="FR108" s="23">
        <f>EXP(-LN(2)/25)*FR107+(1-EXP(-LN(2)/25))/(LN(2)/25)*Calculateur!FM108*Calculateur!FO108*VLOOKUP('Données projet'!$B$16,Paramètres!$A$1:$I$89,3,0)*0.475*44/12</f>
        <v>0</v>
      </c>
      <c r="FS108" s="23">
        <f>EXP(-LN(2)/2)*FS107+(1-EXP(-LN(2)/2))/(LN(2)/2)*FM108*FP108*VLOOKUP('Données projet'!$B$16,Paramètres!$A$1:$I$89,3,0)*0.475*44/12</f>
        <v>0</v>
      </c>
      <c r="FT108" s="24">
        <f t="shared" si="78"/>
        <v>0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1.1368683772161603E-13</v>
      </c>
      <c r="GA108" s="18">
        <f>FZ108*VLOOKUP('Données projet'!$B$17,Paramètres!$A$1:$I$89,3,0)*VLOOKUP('Données projet'!$B$17,Paramètres!$A$1:$I$89,5,0)</f>
        <v>8.8675733422860506E-14</v>
      </c>
      <c r="GB108" s="14">
        <f t="shared" si="103"/>
        <v>1.3509285393066301E-12</v>
      </c>
      <c r="GC108" s="22">
        <f t="shared" si="79"/>
        <v>2.5073107750038623E-12</v>
      </c>
      <c r="GD108" s="62">
        <f t="shared" si="80"/>
        <v>293.33333333333582</v>
      </c>
      <c r="GE108" s="62">
        <f ca="1">AVERAGE(OFFSET($GD$3,0,0,'Données projet'!$E$17+1,1))-AVERAGE(OFFSET($H$3,0,0,'Données projet'!$E$17+1,1))</f>
        <v>292.57482726862594</v>
      </c>
      <c r="GF108" s="62">
        <f t="shared" si="104"/>
        <v>283.48738729114024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>
        <f>EXP(-LN(2)/35)*GL107+(1-EXP(-LN(2)/35))/(LN(2)/35)*GH108*GI108*VLOOKUP('Données projet'!$B$17,Paramètres!$A$1:$I$89,3,0)*0.475*44/12</f>
        <v>0</v>
      </c>
      <c r="GM108" s="23">
        <f>EXP(-LN(2)/25)*GM107+(1-EXP(-LN(2)/25))/(LN(2)/25)*Calculateur!GH108*Calculateur!GJ108*VLOOKUP('Données projet'!$B$17,Paramètres!$A$1:$I$89,3,0)*0.475*44/12</f>
        <v>0</v>
      </c>
      <c r="GN108" s="23">
        <f>EXP(-LN(2)/2)*GN107+(1-EXP(-LN(2)/2))/(LN(2)/2)*GH108*GK108*VLOOKUP('Données projet'!$B$17,Paramètres!$A$1:$I$89,3,0)*0.475*44/12</f>
        <v>0</v>
      </c>
      <c r="GO108" s="23">
        <f t="shared" si="81"/>
        <v>0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3.974358974358978</v>
      </c>
      <c r="GU108" s="13">
        <f>IF('Données projet'!$A$270&gt;35,GU107+GT108-HC107,IF(A108&lt;'Données projet'!$A$270,$GR$205^A108,IF(A108='Données projet'!$A$270,'Données projet'!$B$270,GU107+GT108-HC107)))</f>
        <v>403.84615384615347</v>
      </c>
      <c r="GV108" s="18">
        <f>GU108*VLOOKUP('Données projet'!$B$18,Paramètres!$A$1:$I$89,3,0)*VLOOKUP('Données projet'!$B$18,Paramètres!$A$1:$I$89,5,0)</f>
        <v>270.89999999999975</v>
      </c>
      <c r="GW108" s="14">
        <f t="shared" si="105"/>
        <v>65.040234993671021</v>
      </c>
      <c r="GX108" s="22">
        <f t="shared" si="82"/>
        <v>585.09590928064313</v>
      </c>
      <c r="GY108" s="62">
        <f t="shared" si="83"/>
        <v>878.42924261397638</v>
      </c>
      <c r="GZ108" s="62">
        <f ca="1">AVERAGE(OFFSET($GY$3,0,0,'Données projet'!$E$18+1,1))-AVERAGE(OFFSET($H$3,0,0,'Données projet'!$E$18+1,1))</f>
        <v>410.20186800287411</v>
      </c>
      <c r="HA108" s="62">
        <f t="shared" si="106"/>
        <v>321.99347958016057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>
        <f>EXP(-LN(2)/35)*HG107+(1-EXP(-LN(2)/35))/(LN(2)/35)*HC108*HD108*VLOOKUP('Données projet'!$B$18,Paramètres!$A$1:$I$89,3,0)*0.475*44/12</f>
        <v>0</v>
      </c>
      <c r="HH108" s="23">
        <f>EXP(-LN(2)/25)*HH107+(1-EXP(-LN(2)/25))/(LN(2)/25)*Calculateur!HC108*Calculateur!HE108*VLOOKUP('Données projet'!$B$18,Paramètres!$A$1:$I$89,3,0)*0.475*44/12</f>
        <v>0</v>
      </c>
      <c r="HI108" s="23">
        <f>EXP(-LN(2)/2)*HI107+(1-EXP(-LN(2)/2))/(LN(2)/2)*HC108*HF108*VLOOKUP('Données projet'!$B$18,Paramètres!$A$1:$I$89,3,0)*0.475*44/12</f>
        <v>0</v>
      </c>
      <c r="HJ108" s="24">
        <f t="shared" si="84"/>
        <v>0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5.4</v>
      </c>
      <c r="N109" s="14">
        <f>IF('Données projet'!$A$36&gt;35,N108+M109-V108,IF(A109&lt;'Données projet'!$A$36,$K$205^A109,IF(A109='Données projet'!$A$36,'Données projet'!$B$36,N108+M109-V108)))</f>
        <v>338.39999999999975</v>
      </c>
      <c r="O109" s="14">
        <f>N109*VLOOKUP('Données projet'!$B$9,Paramètres!$A$1:$I$89,3,0)*VLOOKUP('Données projet'!$B$9,Paramètres!$A$1:$I$89,5,0)</f>
        <v>306.18431999999979</v>
      </c>
      <c r="P109" s="14">
        <f t="shared" si="87"/>
        <v>72.471390842310868</v>
      </c>
      <c r="Q109" s="22">
        <f t="shared" si="107"/>
        <v>659.49202971702437</v>
      </c>
      <c r="R109" s="62">
        <f t="shared" si="55"/>
        <v>952.82536305035774</v>
      </c>
      <c r="S109" s="62">
        <f ca="1">AVERAGE(OFFSET($R$3,0,0,'Données projet'!$E$9+1,1))-AVERAGE(OFFSET($H$3,0,0,'Données projet'!$E$9+1,1))</f>
        <v>509.56241660612449</v>
      </c>
      <c r="T109" s="62">
        <f t="shared" si="88"/>
        <v>278.21741231699929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5.4</v>
      </c>
      <c r="AI109" s="14">
        <f>IF('Données projet'!$A$62&gt;35,AI108+AH109-AQ108,IF(A109&lt;'Données projet'!$A$62,$AF$205^A109,IF(A109='Données projet'!$A$62,'Données projet'!$B$62,AI108+AH109-AQ108)))</f>
        <v>338.39999999999975</v>
      </c>
      <c r="AJ109" s="14">
        <f>AI109*VLOOKUP('Données projet'!$B$10,Paramètres!$A$1:$I$89,3,0)*VLOOKUP('Données projet'!$B$10,Paramètres!$A$1:$I$89,5,0)</f>
        <v>343.13759999999974</v>
      </c>
      <c r="AK109" s="14">
        <f t="shared" si="89"/>
        <v>80.14784747368239</v>
      </c>
      <c r="AL109" s="22">
        <f t="shared" si="58"/>
        <v>737.22215434999634</v>
      </c>
      <c r="AM109" s="62">
        <f t="shared" si="59"/>
        <v>1030.5554876833296</v>
      </c>
      <c r="AN109" s="62">
        <f ca="1">AVERAGE(OFFSET($AM$3,0,0,'Données projet'!$E$10+1,1))-AVERAGE(OFFSET($H$3,0,0,'Données projet'!$E$10+1,1))</f>
        <v>565.72091871734051</v>
      </c>
      <c r="AO109" s="62">
        <f t="shared" si="90"/>
        <v>306.61893266146666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-5.6843418860808015E-14</v>
      </c>
      <c r="BE109" s="14">
        <f>BD109*VLOOKUP('Données projet'!$B$11,Paramètres!$A$1:$I$89,3,0)*VLOOKUP('Données projet'!$B$11,Paramètres!$A$1:$I$89,5,0)</f>
        <v>-4.1677594708744434E-14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344.26020118887629</v>
      </c>
      <c r="BJ109" s="62">
        <f t="shared" si="92"/>
        <v>376.41441893222185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5.4</v>
      </c>
      <c r="BY109" s="13">
        <f>IF('Données projet'!$A$114&gt;35,BY108+BX109-CG108,IF(A109&lt;'Données projet'!$A$114,$BV$205^A109,IF(A109='Données projet'!$A$114,'Données projet'!$B$114,BY108+BX109-CG108)))</f>
        <v>338.39999999999975</v>
      </c>
      <c r="BZ109" s="14">
        <f>BY109*VLOOKUP('Données projet'!$B$12,Paramètres!$A$1:$I$89,3,0)*VLOOKUP('Données projet'!$B$12,Paramètres!$A$1:$I$89,5,0)</f>
        <v>285.06815999999981</v>
      </c>
      <c r="CA109" s="14">
        <f t="shared" si="93"/>
        <v>68.036936010615804</v>
      </c>
      <c r="CB109" s="22">
        <f t="shared" si="64"/>
        <v>614.99137555182222</v>
      </c>
      <c r="CC109" s="62">
        <f t="shared" si="65"/>
        <v>908.32470888515559</v>
      </c>
      <c r="CD109" s="62">
        <f ca="1">AVERAGE(OFFSET($CC$3,0,0,'Données projet'!$E$12+1,1))-AVERAGE(OFFSET($H$3,0,0,'Données projet'!$E$12+1,1))</f>
        <v>477.4105367901771</v>
      </c>
      <c r="CE109" s="62">
        <f t="shared" si="94"/>
        <v>261.95434270986397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5.6923076923076907</v>
      </c>
      <c r="CT109" s="13">
        <f>IF('Données projet'!$A$140&gt;35,CT108+CS109-DB108,IF(A109&lt;'Données projet'!$A$140,$CQ$205^A109,IF(A109='Données projet'!$A$140,'Données projet'!$B$140,CT108+CS109-DB108)))</f>
        <v>239.07692307692247</v>
      </c>
      <c r="CU109" s="18">
        <f>CT109*VLOOKUP('Données projet'!$B$13,Paramètres!$A$1:$I$89,3,0)*VLOOKUP('Données projet'!$B$13,Paramètres!$A$1:$I$89,5,0)</f>
        <v>111.88799999999971</v>
      </c>
      <c r="CV109" s="14">
        <f t="shared" si="95"/>
        <v>29.775370562311089</v>
      </c>
      <c r="CW109" s="22">
        <f t="shared" si="67"/>
        <v>246.73037039602465</v>
      </c>
      <c r="CX109" s="62">
        <f t="shared" si="68"/>
        <v>540.06370372935794</v>
      </c>
      <c r="CY109" s="62">
        <f ca="1">AVERAGE(OFFSET($CX$3,0,0,'Données projet'!$E$13+1,1))-AVERAGE(OFFSET($H$3,0,0,'Données projet'!$E$13+1,1))</f>
        <v>246.64907095367749</v>
      </c>
      <c r="CZ109" s="62">
        <f t="shared" si="96"/>
        <v>145.34368562171613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-5.6843418860808015E-14</v>
      </c>
      <c r="DP109" s="18">
        <f>DO109*VLOOKUP('Données projet'!$B$14,Paramètres!$A$1:$I$89,3,0)*VLOOKUP('Données projet'!$B$14,Paramètres!$A$1:$I$89,5,0)</f>
        <v>-4.5224624045658861E-14</v>
      </c>
      <c r="DQ109" s="14" t="e">
        <f t="shared" si="97"/>
        <v>#NUM!</v>
      </c>
      <c r="DR109" s="22" t="e">
        <f t="shared" si="70"/>
        <v>#NUM!</v>
      </c>
      <c r="DS109" s="62" t="e">
        <f t="shared" si="71"/>
        <v>#NUM!</v>
      </c>
      <c r="DT109" s="62">
        <f ca="1">AVERAGE(OFFSET($DS$3,0,0,'Données projet'!$E$14+1,1))-AVERAGE(OFFSET($H$3,0,0,'Données projet'!$E$14+1,1))</f>
        <v>370.38521334472284</v>
      </c>
      <c r="DU109" s="62">
        <f t="shared" si="98"/>
        <v>404.61777090709171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-1.1368683772161603E-13</v>
      </c>
      <c r="EK109" s="18">
        <f>EJ109*VLOOKUP('Données projet'!$B$15,Paramètres!$A$1:$I$89,3,0)*VLOOKUP('Données projet'!$B$15,Paramètres!$A$1:$I$89,5,0)</f>
        <v>-9.7543306765146564E-14</v>
      </c>
      <c r="EL109" s="14" t="e">
        <f t="shared" si="99"/>
        <v>#NUM!</v>
      </c>
      <c r="EM109" s="22" t="e">
        <f t="shared" si="73"/>
        <v>#NUM!</v>
      </c>
      <c r="EN109" s="62" t="e">
        <f t="shared" si="74"/>
        <v>#NUM!</v>
      </c>
      <c r="EO109" s="62">
        <f ca="1">AVERAGE(OFFSET($EN$3,0,0,'Données projet'!$E$15+1,1))-AVERAGE(OFFSET($H$3,0,0,'Données projet'!$E$15+1,1))</f>
        <v>445.81166342116865</v>
      </c>
      <c r="EP109" s="62">
        <f t="shared" si="100"/>
        <v>230.82970731138215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0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5.4</v>
      </c>
      <c r="FE109" s="13">
        <f>IF('Données projet'!$A$218&gt;35,FE108+FD109-FM108,IF(A109&lt;'Données projet'!$A$218,$FB$205^A109,IF(A109='Données projet'!$A$218,'Données projet'!$B$218,FE108+FD109-FM108)))</f>
        <v>338.39999999999975</v>
      </c>
      <c r="FF109" s="18">
        <f>FE109*VLOOKUP('Données projet'!$B$16,Paramètres!$A$1:$I$89,3,0)*VLOOKUP('Données projet'!$B$16,Paramètres!$A$1:$I$89,5,0)</f>
        <v>327.30047999999977</v>
      </c>
      <c r="FG109" s="14">
        <f t="shared" si="101"/>
        <v>76.870360525480351</v>
      </c>
      <c r="FH109" s="22">
        <f t="shared" si="76"/>
        <v>703.93088058187789</v>
      </c>
      <c r="FI109" s="62">
        <f t="shared" si="77"/>
        <v>997.26421391521126</v>
      </c>
      <c r="FJ109" s="62">
        <f ca="1">AVERAGE(OFFSET($FI$3,0,0,'Données projet'!$E$16+1,1))-AVERAGE(OFFSET($H$3,0,0,'Données projet'!$E$16+1,1))</f>
        <v>541.66888676162716</v>
      </c>
      <c r="FK109" s="62">
        <f t="shared" si="102"/>
        <v>294.45557293177131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>
        <f>EXP(-LN(2)/35)*FQ108+(1-EXP(-LN(2)/35))/(LN(2)/35)*FM109*FN109*VLOOKUP('Données projet'!$B$16,Paramètres!$A$1:$I$89,3,0)*0.475*44/12</f>
        <v>0</v>
      </c>
      <c r="FR109" s="23">
        <f>EXP(-LN(2)/25)*FR108+(1-EXP(-LN(2)/25))/(LN(2)/25)*Calculateur!FM109*Calculateur!FO109*VLOOKUP('Données projet'!$B$16,Paramètres!$A$1:$I$89,3,0)*0.475*44/12</f>
        <v>0</v>
      </c>
      <c r="FS109" s="23">
        <f>EXP(-LN(2)/2)*FS108+(1-EXP(-LN(2)/2))/(LN(2)/2)*FM109*FP109*VLOOKUP('Données projet'!$B$16,Paramètres!$A$1:$I$89,3,0)*0.475*44/12</f>
        <v>0</v>
      </c>
      <c r="FT109" s="24">
        <f t="shared" si="78"/>
        <v>0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1.1368683772161603E-13</v>
      </c>
      <c r="GA109" s="18">
        <f>FZ109*VLOOKUP('Données projet'!$B$17,Paramètres!$A$1:$I$89,3,0)*VLOOKUP('Données projet'!$B$17,Paramètres!$A$1:$I$89,5,0)</f>
        <v>8.8675733422860506E-14</v>
      </c>
      <c r="GB109" s="14">
        <f t="shared" si="103"/>
        <v>1.3509285393066301E-12</v>
      </c>
      <c r="GC109" s="22">
        <f t="shared" si="79"/>
        <v>2.5073107750038623E-12</v>
      </c>
      <c r="GD109" s="62">
        <f t="shared" si="80"/>
        <v>293.33333333333582</v>
      </c>
      <c r="GE109" s="62">
        <f ca="1">AVERAGE(OFFSET($GD$3,0,0,'Données projet'!$E$17+1,1))-AVERAGE(OFFSET($H$3,0,0,'Données projet'!$E$17+1,1))</f>
        <v>292.57482726862594</v>
      </c>
      <c r="GF109" s="62">
        <f t="shared" si="104"/>
        <v>283.48738729114024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>
        <f>EXP(-LN(2)/35)*GL108+(1-EXP(-LN(2)/35))/(LN(2)/35)*GH109*GI109*VLOOKUP('Données projet'!$B$17,Paramètres!$A$1:$I$89,3,0)*0.475*44/12</f>
        <v>0</v>
      </c>
      <c r="GM109" s="23">
        <f>EXP(-LN(2)/25)*GM108+(1-EXP(-LN(2)/25))/(LN(2)/25)*Calculateur!GH109*Calculateur!GJ109*VLOOKUP('Données projet'!$B$17,Paramètres!$A$1:$I$89,3,0)*0.475*44/12</f>
        <v>0</v>
      </c>
      <c r="GN109" s="23">
        <f>EXP(-LN(2)/2)*GN108+(1-EXP(-LN(2)/2))/(LN(2)/2)*GH109*GK109*VLOOKUP('Données projet'!$B$17,Paramètres!$A$1:$I$89,3,0)*0.475*44/12</f>
        <v>0</v>
      </c>
      <c r="GO109" s="23">
        <f t="shared" si="81"/>
        <v>0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3.974358974358978</v>
      </c>
      <c r="GU109" s="13">
        <f>IF('Données projet'!$A$270&gt;35,GU108+GT109-HC108,IF(A109&lt;'Données projet'!$A$270,$GR$205^A109,IF(A109='Données projet'!$A$270,'Données projet'!$B$270,GU108+GT109-HC108)))</f>
        <v>407.82051282051248</v>
      </c>
      <c r="GV109" s="18">
        <f>GU109*VLOOKUP('Données projet'!$B$18,Paramètres!$A$1:$I$89,3,0)*VLOOKUP('Données projet'!$B$18,Paramètres!$A$1:$I$89,5,0)</f>
        <v>273.56599999999975</v>
      </c>
      <c r="GW109" s="14">
        <f t="shared" si="105"/>
        <v>65.605485600353234</v>
      </c>
      <c r="GX109" s="22">
        <f t="shared" si="82"/>
        <v>590.72367075394811</v>
      </c>
      <c r="GY109" s="62">
        <f t="shared" si="83"/>
        <v>884.05700408728148</v>
      </c>
      <c r="GZ109" s="62">
        <f ca="1">AVERAGE(OFFSET($GY$3,0,0,'Données projet'!$E$18+1,1))-AVERAGE(OFFSET($H$3,0,0,'Données projet'!$E$18+1,1))</f>
        <v>410.20186800287411</v>
      </c>
      <c r="HA109" s="62">
        <f t="shared" si="106"/>
        <v>321.99347958016057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>
        <f>EXP(-LN(2)/35)*HG108+(1-EXP(-LN(2)/35))/(LN(2)/35)*HC109*HD109*VLOOKUP('Données projet'!$B$18,Paramètres!$A$1:$I$89,3,0)*0.475*44/12</f>
        <v>0</v>
      </c>
      <c r="HH109" s="23">
        <f>EXP(-LN(2)/25)*HH108+(1-EXP(-LN(2)/25))/(LN(2)/25)*Calculateur!HC109*Calculateur!HE109*VLOOKUP('Données projet'!$B$18,Paramètres!$A$1:$I$89,3,0)*0.475*44/12</f>
        <v>0</v>
      </c>
      <c r="HI109" s="23">
        <f>EXP(-LN(2)/2)*HI108+(1-EXP(-LN(2)/2))/(LN(2)/2)*HC109*HF109*VLOOKUP('Données projet'!$B$18,Paramètres!$A$1:$I$89,3,0)*0.475*44/12</f>
        <v>0</v>
      </c>
      <c r="HJ109" s="24">
        <f t="shared" si="84"/>
        <v>0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5.4</v>
      </c>
      <c r="N110" s="14">
        <f>IF('Données projet'!$A$36&gt;35,N109+M110-V109,IF(A110&lt;'Données projet'!$A$36,$K$205^A110,IF(A110='Données projet'!$A$36,'Données projet'!$B$36,N109+M110-V109)))</f>
        <v>343.79999999999973</v>
      </c>
      <c r="O110" s="14">
        <f>N110*VLOOKUP('Données projet'!$B$9,Paramètres!$A$1:$I$89,3,0)*VLOOKUP('Données projet'!$B$9,Paramètres!$A$1:$I$89,5,0)</f>
        <v>311.07023999999973</v>
      </c>
      <c r="P110" s="14">
        <f t="shared" si="87"/>
        <v>73.492294028732417</v>
      </c>
      <c r="Q110" s="22">
        <f t="shared" si="107"/>
        <v>669.77974676670851</v>
      </c>
      <c r="R110" s="62">
        <f t="shared" si="55"/>
        <v>963.11308010004177</v>
      </c>
      <c r="S110" s="62">
        <f ca="1">AVERAGE(OFFSET($R$3,0,0,'Données projet'!$E$9+1,1))-AVERAGE(OFFSET($H$3,0,0,'Données projet'!$E$9+1,1))</f>
        <v>509.56241660612449</v>
      </c>
      <c r="T110" s="62">
        <f t="shared" si="88"/>
        <v>278.21741231699929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5.4</v>
      </c>
      <c r="AI110" s="14">
        <f>IF('Données projet'!$A$62&gt;35,AI109+AH110-AQ109,IF(A110&lt;'Données projet'!$A$62,$AF$205^A110,IF(A110='Données projet'!$A$62,'Données projet'!$B$62,AI109+AH110-AQ109)))</f>
        <v>343.79999999999973</v>
      </c>
      <c r="AJ110" s="14">
        <f>AI110*VLOOKUP('Données projet'!$B$10,Paramètres!$A$1:$I$89,3,0)*VLOOKUP('Données projet'!$B$10,Paramètres!$A$1:$I$89,5,0)</f>
        <v>348.61319999999972</v>
      </c>
      <c r="AK110" s="14">
        <f t="shared" si="89"/>
        <v>81.276888767352929</v>
      </c>
      <c r="AL110" s="22">
        <f t="shared" si="58"/>
        <v>748.72523793647258</v>
      </c>
      <c r="AM110" s="62">
        <f t="shared" si="59"/>
        <v>1042.058571269806</v>
      </c>
      <c r="AN110" s="62">
        <f ca="1">AVERAGE(OFFSET($AM$3,0,0,'Données projet'!$E$10+1,1))-AVERAGE(OFFSET($H$3,0,0,'Données projet'!$E$10+1,1))</f>
        <v>565.72091871734051</v>
      </c>
      <c r="AO110" s="62">
        <f t="shared" si="90"/>
        <v>306.61893266146666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-5.6843418860808015E-14</v>
      </c>
      <c r="BE110" s="14">
        <f>BD110*VLOOKUP('Données projet'!$B$11,Paramètres!$A$1:$I$89,3,0)*VLOOKUP('Données projet'!$B$11,Paramètres!$A$1:$I$89,5,0)</f>
        <v>-4.1677594708744434E-14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344.26020118887629</v>
      </c>
      <c r="BJ110" s="62">
        <f t="shared" si="92"/>
        <v>376.41441893222185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5.4</v>
      </c>
      <c r="BY110" s="13">
        <f>IF('Données projet'!$A$114&gt;35,BY109+BX110-CG109,IF(A110&lt;'Données projet'!$A$114,$BV$205^A110,IF(A110='Données projet'!$A$114,'Données projet'!$B$114,BY109+BX110-CG109)))</f>
        <v>343.79999999999973</v>
      </c>
      <c r="BZ110" s="14">
        <f>BY110*VLOOKUP('Données projet'!$B$12,Paramètres!$A$1:$I$89,3,0)*VLOOKUP('Données projet'!$B$12,Paramètres!$A$1:$I$89,5,0)</f>
        <v>289.61711999999983</v>
      </c>
      <c r="CA110" s="14">
        <f t="shared" si="93"/>
        <v>68.995371111147151</v>
      </c>
      <c r="CB110" s="22">
        <f t="shared" si="64"/>
        <v>624.58342201858102</v>
      </c>
      <c r="CC110" s="62">
        <f t="shared" si="65"/>
        <v>917.91675535191439</v>
      </c>
      <c r="CD110" s="62">
        <f ca="1">AVERAGE(OFFSET($CC$3,0,0,'Données projet'!$E$12+1,1))-AVERAGE(OFFSET($H$3,0,0,'Données projet'!$E$12+1,1))</f>
        <v>477.4105367901771</v>
      </c>
      <c r="CE110" s="62">
        <f t="shared" si="94"/>
        <v>261.95434270986397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5.6923076923076907</v>
      </c>
      <c r="CT110" s="13">
        <f>IF('Données projet'!$A$140&gt;35,CT109+CS110-DB109,IF(A110&lt;'Données projet'!$A$140,$CQ$205^A110,IF(A110='Données projet'!$A$140,'Données projet'!$B$140,CT109+CS110-DB109)))</f>
        <v>244.76923076923015</v>
      </c>
      <c r="CU110" s="18">
        <f>CT110*VLOOKUP('Données projet'!$B$13,Paramètres!$A$1:$I$89,3,0)*VLOOKUP('Données projet'!$B$13,Paramètres!$A$1:$I$89,5,0)</f>
        <v>114.55199999999971</v>
      </c>
      <c r="CV110" s="14">
        <f t="shared" si="95"/>
        <v>30.400927204443892</v>
      </c>
      <c r="CW110" s="22">
        <f t="shared" si="67"/>
        <v>252.45968154773928</v>
      </c>
      <c r="CX110" s="62">
        <f t="shared" si="68"/>
        <v>545.79301488107262</v>
      </c>
      <c r="CY110" s="62">
        <f ca="1">AVERAGE(OFFSET($CX$3,0,0,'Données projet'!$E$13+1,1))-AVERAGE(OFFSET($H$3,0,0,'Données projet'!$E$13+1,1))</f>
        <v>246.64907095367749</v>
      </c>
      <c r="CZ110" s="62">
        <f t="shared" si="96"/>
        <v>145.34368562171613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-5.6843418860808015E-14</v>
      </c>
      <c r="DP110" s="18">
        <f>DO110*VLOOKUP('Données projet'!$B$14,Paramètres!$A$1:$I$89,3,0)*VLOOKUP('Données projet'!$B$14,Paramètres!$A$1:$I$89,5,0)</f>
        <v>-4.5224624045658861E-14</v>
      </c>
      <c r="DQ110" s="14" t="e">
        <f t="shared" si="97"/>
        <v>#NUM!</v>
      </c>
      <c r="DR110" s="22" t="e">
        <f t="shared" si="70"/>
        <v>#NUM!</v>
      </c>
      <c r="DS110" s="62" t="e">
        <f t="shared" si="71"/>
        <v>#NUM!</v>
      </c>
      <c r="DT110" s="62">
        <f ca="1">AVERAGE(OFFSET($DS$3,0,0,'Données projet'!$E$14+1,1))-AVERAGE(OFFSET($H$3,0,0,'Données projet'!$E$14+1,1))</f>
        <v>370.38521334472284</v>
      </c>
      <c r="DU110" s="62">
        <f t="shared" si="98"/>
        <v>404.61777090709171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-1.1368683772161603E-13</v>
      </c>
      <c r="EK110" s="18">
        <f>EJ110*VLOOKUP('Données projet'!$B$15,Paramètres!$A$1:$I$89,3,0)*VLOOKUP('Données projet'!$B$15,Paramètres!$A$1:$I$89,5,0)</f>
        <v>-9.7543306765146564E-14</v>
      </c>
      <c r="EL110" s="14" t="e">
        <f t="shared" si="99"/>
        <v>#NUM!</v>
      </c>
      <c r="EM110" s="22" t="e">
        <f t="shared" si="73"/>
        <v>#NUM!</v>
      </c>
      <c r="EN110" s="62" t="e">
        <f t="shared" si="74"/>
        <v>#NUM!</v>
      </c>
      <c r="EO110" s="62">
        <f ca="1">AVERAGE(OFFSET($EN$3,0,0,'Données projet'!$E$15+1,1))-AVERAGE(OFFSET($H$3,0,0,'Données projet'!$E$15+1,1))</f>
        <v>445.81166342116865</v>
      </c>
      <c r="EP110" s="62">
        <f t="shared" si="100"/>
        <v>230.82970731138215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0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5.4</v>
      </c>
      <c r="FE110" s="13">
        <f>IF('Données projet'!$A$218&gt;35,FE109+FD110-FM109,IF(A110&lt;'Données projet'!$A$218,$FB$205^A110,IF(A110='Données projet'!$A$218,'Données projet'!$B$218,FE109+FD110-FM109)))</f>
        <v>343.79999999999973</v>
      </c>
      <c r="FF110" s="18">
        <f>FE110*VLOOKUP('Données projet'!$B$16,Paramètres!$A$1:$I$89,3,0)*VLOOKUP('Données projet'!$B$16,Paramètres!$A$1:$I$89,5,0)</f>
        <v>332.52335999999974</v>
      </c>
      <c r="FG110" s="14">
        <f t="shared" si="101"/>
        <v>77.953231919139512</v>
      </c>
      <c r="FH110" s="22">
        <f t="shared" si="76"/>
        <v>714.91339759250093</v>
      </c>
      <c r="FI110" s="62">
        <f t="shared" si="77"/>
        <v>1008.2467309258343</v>
      </c>
      <c r="FJ110" s="62">
        <f ca="1">AVERAGE(OFFSET($FI$3,0,0,'Données projet'!$E$16+1,1))-AVERAGE(OFFSET($H$3,0,0,'Données projet'!$E$16+1,1))</f>
        <v>541.66888676162716</v>
      </c>
      <c r="FK110" s="62">
        <f t="shared" si="102"/>
        <v>294.45557293177131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>
        <f>EXP(-LN(2)/35)*FQ109+(1-EXP(-LN(2)/35))/(LN(2)/35)*FM110*FN110*VLOOKUP('Données projet'!$B$16,Paramètres!$A$1:$I$89,3,0)*0.475*44/12</f>
        <v>0</v>
      </c>
      <c r="FR110" s="23">
        <f>EXP(-LN(2)/25)*FR109+(1-EXP(-LN(2)/25))/(LN(2)/25)*Calculateur!FM110*Calculateur!FO110*VLOOKUP('Données projet'!$B$16,Paramètres!$A$1:$I$89,3,0)*0.475*44/12</f>
        <v>0</v>
      </c>
      <c r="FS110" s="23">
        <f>EXP(-LN(2)/2)*FS109+(1-EXP(-LN(2)/2))/(LN(2)/2)*FM110*FP110*VLOOKUP('Données projet'!$B$16,Paramètres!$A$1:$I$89,3,0)*0.475*44/12</f>
        <v>0</v>
      </c>
      <c r="FT110" s="24">
        <f t="shared" si="78"/>
        <v>0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1.1368683772161603E-13</v>
      </c>
      <c r="GA110" s="18">
        <f>FZ110*VLOOKUP('Données projet'!$B$17,Paramètres!$A$1:$I$89,3,0)*VLOOKUP('Données projet'!$B$17,Paramètres!$A$1:$I$89,5,0)</f>
        <v>8.8675733422860506E-14</v>
      </c>
      <c r="GB110" s="14">
        <f t="shared" si="103"/>
        <v>1.3509285393066301E-12</v>
      </c>
      <c r="GC110" s="22">
        <f t="shared" si="79"/>
        <v>2.5073107750038623E-12</v>
      </c>
      <c r="GD110" s="62">
        <f t="shared" si="80"/>
        <v>293.33333333333582</v>
      </c>
      <c r="GE110" s="62">
        <f ca="1">AVERAGE(OFFSET($GD$3,0,0,'Données projet'!$E$17+1,1))-AVERAGE(OFFSET($H$3,0,0,'Données projet'!$E$17+1,1))</f>
        <v>292.57482726862594</v>
      </c>
      <c r="GF110" s="62">
        <f t="shared" si="104"/>
        <v>283.48738729114024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>
        <f>EXP(-LN(2)/35)*GL109+(1-EXP(-LN(2)/35))/(LN(2)/35)*GH110*GI110*VLOOKUP('Données projet'!$B$17,Paramètres!$A$1:$I$89,3,0)*0.475*44/12</f>
        <v>0</v>
      </c>
      <c r="GM110" s="23">
        <f>EXP(-LN(2)/25)*GM109+(1-EXP(-LN(2)/25))/(LN(2)/25)*Calculateur!GH110*Calculateur!GJ110*VLOOKUP('Données projet'!$B$17,Paramètres!$A$1:$I$89,3,0)*0.475*44/12</f>
        <v>0</v>
      </c>
      <c r="GN110" s="23">
        <f>EXP(-LN(2)/2)*GN109+(1-EXP(-LN(2)/2))/(LN(2)/2)*GH110*GK110*VLOOKUP('Données projet'!$B$17,Paramètres!$A$1:$I$89,3,0)*0.475*44/12</f>
        <v>0</v>
      </c>
      <c r="GO110" s="23">
        <f t="shared" si="81"/>
        <v>0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3.974358974358978</v>
      </c>
      <c r="GU110" s="13">
        <f>IF('Données projet'!$A$270&gt;35,GU109+GT110-HC109,IF(A110&lt;'Données projet'!$A$270,$GR$205^A110,IF(A110='Données projet'!$A$270,'Données projet'!$B$270,GU109+GT110-HC109)))</f>
        <v>411.79487179487148</v>
      </c>
      <c r="GV110" s="18">
        <f>GU110*VLOOKUP('Données projet'!$B$18,Paramètres!$A$1:$I$89,3,0)*VLOOKUP('Données projet'!$B$18,Paramètres!$A$1:$I$89,5,0)</f>
        <v>276.2319999999998</v>
      </c>
      <c r="GW110" s="14">
        <f t="shared" si="105"/>
        <v>66.170095362016852</v>
      </c>
      <c r="GX110" s="22">
        <f t="shared" si="82"/>
        <v>596.3503160888456</v>
      </c>
      <c r="GY110" s="62">
        <f t="shared" si="83"/>
        <v>889.68364942217886</v>
      </c>
      <c r="GZ110" s="62">
        <f ca="1">AVERAGE(OFFSET($GY$3,0,0,'Données projet'!$E$18+1,1))-AVERAGE(OFFSET($H$3,0,0,'Données projet'!$E$18+1,1))</f>
        <v>410.20186800287411</v>
      </c>
      <c r="HA110" s="62">
        <f t="shared" si="106"/>
        <v>321.99347958016057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>
        <f>EXP(-LN(2)/35)*HG109+(1-EXP(-LN(2)/35))/(LN(2)/35)*HC110*HD110*VLOOKUP('Données projet'!$B$18,Paramètres!$A$1:$I$89,3,0)*0.475*44/12</f>
        <v>0</v>
      </c>
      <c r="HH110" s="23">
        <f>EXP(-LN(2)/25)*HH109+(1-EXP(-LN(2)/25))/(LN(2)/25)*Calculateur!HC110*Calculateur!HE110*VLOOKUP('Données projet'!$B$18,Paramètres!$A$1:$I$89,3,0)*0.475*44/12</f>
        <v>0</v>
      </c>
      <c r="HI110" s="23">
        <f>EXP(-LN(2)/2)*HI109+(1-EXP(-LN(2)/2))/(LN(2)/2)*HC110*HF110*VLOOKUP('Données projet'!$B$18,Paramètres!$A$1:$I$89,3,0)*0.475*44/12</f>
        <v>0</v>
      </c>
      <c r="HJ110" s="24">
        <f t="shared" si="84"/>
        <v>0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5.4</v>
      </c>
      <c r="N111" s="14">
        <f>IF('Données projet'!$A$36&gt;35,N110+M111-V110,IF(A111&lt;'Données projet'!$A$36,$K$205^A111,IF(A111='Données projet'!$A$36,'Données projet'!$B$36,N110+M111-V110)))</f>
        <v>349.1999999999997</v>
      </c>
      <c r="O111" s="14">
        <f>N111*VLOOKUP('Données projet'!$B$9,Paramètres!$A$1:$I$89,3,0)*VLOOKUP('Données projet'!$B$9,Paramètres!$A$1:$I$89,5,0)</f>
        <v>315.95615999999973</v>
      </c>
      <c r="P111" s="14">
        <f t="shared" si="87"/>
        <v>74.511332350300975</v>
      </c>
      <c r="Q111" s="22">
        <f t="shared" si="107"/>
        <v>680.06421584344037</v>
      </c>
      <c r="R111" s="62">
        <f t="shared" si="55"/>
        <v>973.39754917677374</v>
      </c>
      <c r="S111" s="62">
        <f ca="1">AVERAGE(OFFSET($R$3,0,0,'Données projet'!$E$9+1,1))-AVERAGE(OFFSET($H$3,0,0,'Données projet'!$E$9+1,1))</f>
        <v>509.56241660612449</v>
      </c>
      <c r="T111" s="62">
        <f t="shared" si="88"/>
        <v>278.21741231699929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5.4</v>
      </c>
      <c r="AI111" s="14">
        <f>IF('Données projet'!$A$62&gt;35,AI110+AH111-AQ110,IF(A111&lt;'Données projet'!$A$62,$AF$205^A111,IF(A111='Données projet'!$A$62,'Données projet'!$B$62,AI110+AH111-AQ110)))</f>
        <v>349.1999999999997</v>
      </c>
      <c r="AJ111" s="14">
        <f>AI111*VLOOKUP('Données projet'!$B$10,Paramètres!$A$1:$I$89,3,0)*VLOOKUP('Données projet'!$B$10,Paramètres!$A$1:$I$89,5,0)</f>
        <v>354.08879999999971</v>
      </c>
      <c r="AK111" s="14">
        <f t="shared" si="89"/>
        <v>82.403867662302346</v>
      </c>
      <c r="AL111" s="22">
        <f t="shared" si="58"/>
        <v>760.22472951184272</v>
      </c>
      <c r="AM111" s="62">
        <f t="shared" si="59"/>
        <v>1053.558062845176</v>
      </c>
      <c r="AN111" s="62">
        <f ca="1">AVERAGE(OFFSET($AM$3,0,0,'Données projet'!$E$10+1,1))-AVERAGE(OFFSET($H$3,0,0,'Données projet'!$E$10+1,1))</f>
        <v>565.72091871734051</v>
      </c>
      <c r="AO111" s="62">
        <f t="shared" si="90"/>
        <v>306.61893266146666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-5.6843418860808015E-14</v>
      </c>
      <c r="BE111" s="14">
        <f>BD111*VLOOKUP('Données projet'!$B$11,Paramètres!$A$1:$I$89,3,0)*VLOOKUP('Données projet'!$B$11,Paramètres!$A$1:$I$89,5,0)</f>
        <v>-4.1677594708744434E-14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344.26020118887629</v>
      </c>
      <c r="BJ111" s="62">
        <f t="shared" si="92"/>
        <v>376.41441893222185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5.4</v>
      </c>
      <c r="BY111" s="13">
        <f>IF('Données projet'!$A$114&gt;35,BY110+BX111-CG110,IF(A111&lt;'Données projet'!$A$114,$BV$205^A111,IF(A111='Données projet'!$A$114,'Données projet'!$B$114,BY110+BX111-CG110)))</f>
        <v>349.1999999999997</v>
      </c>
      <c r="BZ111" s="14">
        <f>BY111*VLOOKUP('Données projet'!$B$12,Paramètres!$A$1:$I$89,3,0)*VLOOKUP('Données projet'!$B$12,Paramètres!$A$1:$I$89,5,0)</f>
        <v>294.16607999999974</v>
      </c>
      <c r="CA111" s="14">
        <f t="shared" si="93"/>
        <v>69.952055456115502</v>
      </c>
      <c r="CB111" s="22">
        <f t="shared" si="64"/>
        <v>634.1724192527339</v>
      </c>
      <c r="CC111" s="62">
        <f t="shared" si="65"/>
        <v>927.50575258606727</v>
      </c>
      <c r="CD111" s="62">
        <f ca="1">AVERAGE(OFFSET($CC$3,0,0,'Données projet'!$E$12+1,1))-AVERAGE(OFFSET($H$3,0,0,'Données projet'!$E$12+1,1))</f>
        <v>477.4105367901771</v>
      </c>
      <c r="CE111" s="62">
        <f t="shared" si="94"/>
        <v>261.95434270986397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5.6923076923076907</v>
      </c>
      <c r="CT111" s="13">
        <f>IF('Données projet'!$A$140&gt;35,CT110+CS111-DB110,IF(A111&lt;'Données projet'!$A$140,$CQ$205^A111,IF(A111='Données projet'!$A$140,'Données projet'!$B$140,CT110+CS111-DB110)))</f>
        <v>250.46153846153783</v>
      </c>
      <c r="CU111" s="18">
        <f>CT111*VLOOKUP('Données projet'!$B$13,Paramètres!$A$1:$I$89,3,0)*VLOOKUP('Données projet'!$B$13,Paramètres!$A$1:$I$89,5,0)</f>
        <v>117.21599999999971</v>
      </c>
      <c r="CV111" s="14">
        <f t="shared" si="95"/>
        <v>31.024792608059023</v>
      </c>
      <c r="CW111" s="22">
        <f t="shared" si="67"/>
        <v>258.18604712570226</v>
      </c>
      <c r="CX111" s="62">
        <f t="shared" si="68"/>
        <v>551.51938045903557</v>
      </c>
      <c r="CY111" s="62">
        <f ca="1">AVERAGE(OFFSET($CX$3,0,0,'Données projet'!$E$13+1,1))-AVERAGE(OFFSET($H$3,0,0,'Données projet'!$E$13+1,1))</f>
        <v>246.64907095367749</v>
      </c>
      <c r="CZ111" s="62">
        <f t="shared" si="96"/>
        <v>145.34368562171613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-5.6843418860808015E-14</v>
      </c>
      <c r="DP111" s="18">
        <f>DO111*VLOOKUP('Données projet'!$B$14,Paramètres!$A$1:$I$89,3,0)*VLOOKUP('Données projet'!$B$14,Paramètres!$A$1:$I$89,5,0)</f>
        <v>-4.5224624045658861E-14</v>
      </c>
      <c r="DQ111" s="14" t="e">
        <f t="shared" si="97"/>
        <v>#NUM!</v>
      </c>
      <c r="DR111" s="22" t="e">
        <f t="shared" si="70"/>
        <v>#NUM!</v>
      </c>
      <c r="DS111" s="62" t="e">
        <f t="shared" si="71"/>
        <v>#NUM!</v>
      </c>
      <c r="DT111" s="62">
        <f ca="1">AVERAGE(OFFSET($DS$3,0,0,'Données projet'!$E$14+1,1))-AVERAGE(OFFSET($H$3,0,0,'Données projet'!$E$14+1,1))</f>
        <v>370.38521334472284</v>
      </c>
      <c r="DU111" s="62">
        <f t="shared" si="98"/>
        <v>404.61777090709171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-1.1368683772161603E-13</v>
      </c>
      <c r="EK111" s="18">
        <f>EJ111*VLOOKUP('Données projet'!$B$15,Paramètres!$A$1:$I$89,3,0)*VLOOKUP('Données projet'!$B$15,Paramètres!$A$1:$I$89,5,0)</f>
        <v>-9.7543306765146564E-14</v>
      </c>
      <c r="EL111" s="14" t="e">
        <f t="shared" si="99"/>
        <v>#NUM!</v>
      </c>
      <c r="EM111" s="22" t="e">
        <f t="shared" si="73"/>
        <v>#NUM!</v>
      </c>
      <c r="EN111" s="62" t="e">
        <f t="shared" si="74"/>
        <v>#NUM!</v>
      </c>
      <c r="EO111" s="62">
        <f ca="1">AVERAGE(OFFSET($EN$3,0,0,'Données projet'!$E$15+1,1))-AVERAGE(OFFSET($H$3,0,0,'Données projet'!$E$15+1,1))</f>
        <v>445.81166342116865</v>
      </c>
      <c r="EP111" s="62">
        <f t="shared" si="100"/>
        <v>230.82970731138215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0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5.4</v>
      </c>
      <c r="FE111" s="13">
        <f>IF('Données projet'!$A$218&gt;35,FE110+FD111-FM110,IF(A111&lt;'Données projet'!$A$218,$FB$205^A111,IF(A111='Données projet'!$A$218,'Données projet'!$B$218,FE110+FD111-FM110)))</f>
        <v>349.1999999999997</v>
      </c>
      <c r="FF111" s="18">
        <f>FE111*VLOOKUP('Données projet'!$B$16,Paramètres!$A$1:$I$89,3,0)*VLOOKUP('Données projet'!$B$16,Paramètres!$A$1:$I$89,5,0)</f>
        <v>337.74623999999972</v>
      </c>
      <c r="FG111" s="14">
        <f t="shared" si="101"/>
        <v>79.034125251774825</v>
      </c>
      <c r="FH111" s="22">
        <f t="shared" si="76"/>
        <v>725.89246948017399</v>
      </c>
      <c r="FI111" s="62">
        <f t="shared" si="77"/>
        <v>1019.2258028135072</v>
      </c>
      <c r="FJ111" s="62">
        <f ca="1">AVERAGE(OFFSET($FI$3,0,0,'Données projet'!$E$16+1,1))-AVERAGE(OFFSET($H$3,0,0,'Données projet'!$E$16+1,1))</f>
        <v>541.66888676162716</v>
      </c>
      <c r="FK111" s="62">
        <f t="shared" si="102"/>
        <v>294.45557293177131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>
        <f>EXP(-LN(2)/35)*FQ110+(1-EXP(-LN(2)/35))/(LN(2)/35)*FM111*FN111*VLOOKUP('Données projet'!$B$16,Paramètres!$A$1:$I$89,3,0)*0.475*44/12</f>
        <v>0</v>
      </c>
      <c r="FR111" s="23">
        <f>EXP(-LN(2)/25)*FR110+(1-EXP(-LN(2)/25))/(LN(2)/25)*Calculateur!FM111*Calculateur!FO111*VLOOKUP('Données projet'!$B$16,Paramètres!$A$1:$I$89,3,0)*0.475*44/12</f>
        <v>0</v>
      </c>
      <c r="FS111" s="23">
        <f>EXP(-LN(2)/2)*FS110+(1-EXP(-LN(2)/2))/(LN(2)/2)*FM111*FP111*VLOOKUP('Données projet'!$B$16,Paramètres!$A$1:$I$89,3,0)*0.475*44/12</f>
        <v>0</v>
      </c>
      <c r="FT111" s="24">
        <f t="shared" si="78"/>
        <v>0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1.1368683772161603E-13</v>
      </c>
      <c r="GA111" s="18">
        <f>FZ111*VLOOKUP('Données projet'!$B$17,Paramètres!$A$1:$I$89,3,0)*VLOOKUP('Données projet'!$B$17,Paramètres!$A$1:$I$89,5,0)</f>
        <v>8.8675733422860506E-14</v>
      </c>
      <c r="GB111" s="14">
        <f t="shared" si="103"/>
        <v>1.3509285393066301E-12</v>
      </c>
      <c r="GC111" s="22">
        <f t="shared" si="79"/>
        <v>2.5073107750038623E-12</v>
      </c>
      <c r="GD111" s="62">
        <f t="shared" si="80"/>
        <v>293.33333333333582</v>
      </c>
      <c r="GE111" s="62">
        <f ca="1">AVERAGE(OFFSET($GD$3,0,0,'Données projet'!$E$17+1,1))-AVERAGE(OFFSET($H$3,0,0,'Données projet'!$E$17+1,1))</f>
        <v>292.57482726862594</v>
      </c>
      <c r="GF111" s="62">
        <f t="shared" si="104"/>
        <v>283.48738729114024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>
        <f>EXP(-LN(2)/35)*GL110+(1-EXP(-LN(2)/35))/(LN(2)/35)*GH111*GI111*VLOOKUP('Données projet'!$B$17,Paramètres!$A$1:$I$89,3,0)*0.475*44/12</f>
        <v>0</v>
      </c>
      <c r="GM111" s="23">
        <f>EXP(-LN(2)/25)*GM110+(1-EXP(-LN(2)/25))/(LN(2)/25)*Calculateur!GH111*Calculateur!GJ111*VLOOKUP('Données projet'!$B$17,Paramètres!$A$1:$I$89,3,0)*0.475*44/12</f>
        <v>0</v>
      </c>
      <c r="GN111" s="23">
        <f>EXP(-LN(2)/2)*GN110+(1-EXP(-LN(2)/2))/(LN(2)/2)*GH111*GK111*VLOOKUP('Données projet'!$B$17,Paramètres!$A$1:$I$89,3,0)*0.475*44/12</f>
        <v>0</v>
      </c>
      <c r="GO111" s="23">
        <f t="shared" si="81"/>
        <v>0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3.974358974358978</v>
      </c>
      <c r="GU111" s="13">
        <f>IF('Données projet'!$A$270&gt;35,GU110+GT111-HC110,IF(A111&lt;'Données projet'!$A$270,$GR$205^A111,IF(A111='Données projet'!$A$270,'Données projet'!$B$270,GU110+GT111-HC110)))</f>
        <v>415.76923076923049</v>
      </c>
      <c r="GV111" s="18">
        <f>GU111*VLOOKUP('Données projet'!$B$18,Paramètres!$A$1:$I$89,3,0)*VLOOKUP('Données projet'!$B$18,Paramètres!$A$1:$I$89,5,0)</f>
        <v>278.8979999999998</v>
      </c>
      <c r="GW111" s="14">
        <f t="shared" si="105"/>
        <v>66.734071179925664</v>
      </c>
      <c r="GX111" s="22">
        <f t="shared" si="82"/>
        <v>601.97585730503681</v>
      </c>
      <c r="GY111" s="62">
        <f t="shared" si="83"/>
        <v>895.30919063837018</v>
      </c>
      <c r="GZ111" s="62">
        <f ca="1">AVERAGE(OFFSET($GY$3,0,0,'Données projet'!$E$18+1,1))-AVERAGE(OFFSET($H$3,0,0,'Données projet'!$E$18+1,1))</f>
        <v>410.20186800287411</v>
      </c>
      <c r="HA111" s="62">
        <f t="shared" si="106"/>
        <v>321.99347958016057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>
        <f>EXP(-LN(2)/35)*HG110+(1-EXP(-LN(2)/35))/(LN(2)/35)*HC111*HD111*VLOOKUP('Données projet'!$B$18,Paramètres!$A$1:$I$89,3,0)*0.475*44/12</f>
        <v>0</v>
      </c>
      <c r="HH111" s="23">
        <f>EXP(-LN(2)/25)*HH110+(1-EXP(-LN(2)/25))/(LN(2)/25)*Calculateur!HC111*Calculateur!HE111*VLOOKUP('Données projet'!$B$18,Paramètres!$A$1:$I$89,3,0)*0.475*44/12</f>
        <v>0</v>
      </c>
      <c r="HI111" s="23">
        <f>EXP(-LN(2)/2)*HI110+(1-EXP(-LN(2)/2))/(LN(2)/2)*HC111*HF111*VLOOKUP('Données projet'!$B$18,Paramètres!$A$1:$I$89,3,0)*0.475*44/12</f>
        <v>0</v>
      </c>
      <c r="HJ111" s="24">
        <f t="shared" si="84"/>
        <v>0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5.4</v>
      </c>
      <c r="N112" s="14">
        <f>IF('Données projet'!$A$36&gt;35,N111+M112-V111,IF(A112&lt;'Données projet'!$A$36,$K$205^A112,IF(A112='Données projet'!$A$36,'Données projet'!$B$36,N111+M112-V111)))</f>
        <v>354.59999999999968</v>
      </c>
      <c r="O112" s="14">
        <f>N112*VLOOKUP('Données projet'!$B$9,Paramètres!$A$1:$I$89,3,0)*VLOOKUP('Données projet'!$B$9,Paramètres!$A$1:$I$89,5,0)</f>
        <v>320.84207999999973</v>
      </c>
      <c r="P112" s="14">
        <f t="shared" si="87"/>
        <v>75.528537975513771</v>
      </c>
      <c r="Q112" s="22">
        <f t="shared" si="107"/>
        <v>690.34549297401929</v>
      </c>
      <c r="R112" s="62">
        <f t="shared" si="55"/>
        <v>983.67882630735267</v>
      </c>
      <c r="S112" s="62">
        <f ca="1">AVERAGE(OFFSET($R$3,0,0,'Données projet'!$E$9+1,1))-AVERAGE(OFFSET($H$3,0,0,'Données projet'!$E$9+1,1))</f>
        <v>509.56241660612449</v>
      </c>
      <c r="T112" s="62">
        <f t="shared" si="88"/>
        <v>278.21741231699929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5.4</v>
      </c>
      <c r="AI112" s="14">
        <f>IF('Données projet'!$A$62&gt;35,AI111+AH112-AQ111,IF(A112&lt;'Données projet'!$A$62,$AF$205^A112,IF(A112='Données projet'!$A$62,'Données projet'!$B$62,AI111+AH112-AQ111)))</f>
        <v>354.59999999999968</v>
      </c>
      <c r="AJ112" s="14">
        <f>AI112*VLOOKUP('Données projet'!$B$10,Paramètres!$A$1:$I$89,3,0)*VLOOKUP('Données projet'!$B$10,Paramètres!$A$1:$I$89,5,0)</f>
        <v>359.56439999999969</v>
      </c>
      <c r="AK112" s="14">
        <f t="shared" si="89"/>
        <v>83.528819734442351</v>
      </c>
      <c r="AL112" s="22">
        <f t="shared" si="58"/>
        <v>771.72069103748652</v>
      </c>
      <c r="AM112" s="62">
        <f t="shared" si="59"/>
        <v>1065.0540243708199</v>
      </c>
      <c r="AN112" s="62">
        <f ca="1">AVERAGE(OFFSET($AM$3,0,0,'Données projet'!$E$10+1,1))-AVERAGE(OFFSET($H$3,0,0,'Données projet'!$E$10+1,1))</f>
        <v>565.72091871734051</v>
      </c>
      <c r="AO112" s="62">
        <f t="shared" si="90"/>
        <v>306.61893266146666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-5.6843418860808015E-14</v>
      </c>
      <c r="BE112" s="14">
        <f>BD112*VLOOKUP('Données projet'!$B$11,Paramètres!$A$1:$I$89,3,0)*VLOOKUP('Données projet'!$B$11,Paramètres!$A$1:$I$89,5,0)</f>
        <v>-4.1677594708744434E-14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344.26020118887629</v>
      </c>
      <c r="BJ112" s="62">
        <f t="shared" si="92"/>
        <v>376.41441893222185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5.4</v>
      </c>
      <c r="BY112" s="13">
        <f>IF('Données projet'!$A$114&gt;35,BY111+BX112-CG111,IF(A112&lt;'Données projet'!$A$114,$BV$205^A112,IF(A112='Données projet'!$A$114,'Données projet'!$B$114,BY111+BX112-CG111)))</f>
        <v>354.59999999999968</v>
      </c>
      <c r="BZ112" s="14">
        <f>BY112*VLOOKUP('Données projet'!$B$12,Paramètres!$A$1:$I$89,3,0)*VLOOKUP('Données projet'!$B$12,Paramètres!$A$1:$I$89,5,0)</f>
        <v>298.71503999999976</v>
      </c>
      <c r="CA112" s="14">
        <f t="shared" si="93"/>
        <v>70.907019245658716</v>
      </c>
      <c r="CB112" s="22">
        <f t="shared" si="64"/>
        <v>643.75841985285513</v>
      </c>
      <c r="CC112" s="62">
        <f t="shared" si="65"/>
        <v>937.0917531861885</v>
      </c>
      <c r="CD112" s="62">
        <f ca="1">AVERAGE(OFFSET($CC$3,0,0,'Données projet'!$E$12+1,1))-AVERAGE(OFFSET($H$3,0,0,'Données projet'!$E$12+1,1))</f>
        <v>477.4105367901771</v>
      </c>
      <c r="CE112" s="62">
        <f t="shared" si="94"/>
        <v>261.95434270986397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>
        <f>VLOOKUP(A112,'Données projet'!$A$139:$I$159,2,0)</f>
        <v>256.15384615384613</v>
      </c>
      <c r="CR112" s="13">
        <f>VLOOKUP(A112,'Données projet'!$A$139:$I$159,9,0)</f>
        <v>5.6923076923076907</v>
      </c>
      <c r="CS112" s="13">
        <f t="array" ref="CS112">INDEX(CR:CR,MIN(IF(ISNUMBER(CR112:CR308),ROW(CR112:CR308),"")))</f>
        <v>5.6923076923076907</v>
      </c>
      <c r="CT112" s="13">
        <f>IF('Données projet'!$A$140&gt;35,CT111+CS112-DB111,IF(A112&lt;'Données projet'!$A$140,$CQ$205^A112,IF(A112='Données projet'!$A$140,'Données projet'!$B$140,CT111+CS112-DB111)))</f>
        <v>256.15384615384551</v>
      </c>
      <c r="CU112" s="18">
        <f>CT112*VLOOKUP('Données projet'!$B$13,Paramètres!$A$1:$I$89,3,0)*VLOOKUP('Données projet'!$B$13,Paramètres!$A$1:$I$89,5,0)</f>
        <v>119.8799999999997</v>
      </c>
      <c r="CV112" s="14">
        <f t="shared" si="95"/>
        <v>31.647009635236898</v>
      </c>
      <c r="CW112" s="22">
        <f t="shared" si="67"/>
        <v>263.90954178137036</v>
      </c>
      <c r="CX112" s="62">
        <f t="shared" si="68"/>
        <v>557.24287511470368</v>
      </c>
      <c r="CY112" s="62">
        <f ca="1">AVERAGE(OFFSET($CX$3,0,0,'Données projet'!$E$13+1,1))-AVERAGE(OFFSET($H$3,0,0,'Données projet'!$E$13+1,1))</f>
        <v>246.64907095367749</v>
      </c>
      <c r="CZ112" s="62">
        <f t="shared" si="96"/>
        <v>145.34368562171613</v>
      </c>
      <c r="DA112" s="16">
        <f>IF(ISNA(VLOOKUP(A112,'Données projet'!$A$139:$I$159,3,0)),0,VLOOKUP(A112,'Données projet'!$A$139:$I$159,3,0))</f>
        <v>6</v>
      </c>
      <c r="DB112" s="16">
        <f>IF(ISNA(VLOOKUP(A112,'Données projet'!$A$139:$I$159,4,0)),0,VLOOKUP(A112,'Données projet'!$A$139:$I$159,4,0))</f>
        <v>256.15384615384613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-5.6843418860808015E-14</v>
      </c>
      <c r="DP112" s="18">
        <f>DO112*VLOOKUP('Données projet'!$B$14,Paramètres!$A$1:$I$89,3,0)*VLOOKUP('Données projet'!$B$14,Paramètres!$A$1:$I$89,5,0)</f>
        <v>-4.5224624045658861E-14</v>
      </c>
      <c r="DQ112" s="14" t="e">
        <f t="shared" si="97"/>
        <v>#NUM!</v>
      </c>
      <c r="DR112" s="22" t="e">
        <f t="shared" si="70"/>
        <v>#NUM!</v>
      </c>
      <c r="DS112" s="62" t="e">
        <f t="shared" si="71"/>
        <v>#NUM!</v>
      </c>
      <c r="DT112" s="62">
        <f ca="1">AVERAGE(OFFSET($DS$3,0,0,'Données projet'!$E$14+1,1))-AVERAGE(OFFSET($H$3,0,0,'Données projet'!$E$14+1,1))</f>
        <v>370.38521334472284</v>
      </c>
      <c r="DU112" s="62">
        <f t="shared" si="98"/>
        <v>404.61777090709171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-1.1368683772161603E-13</v>
      </c>
      <c r="EK112" s="18">
        <f>EJ112*VLOOKUP('Données projet'!$B$15,Paramètres!$A$1:$I$89,3,0)*VLOOKUP('Données projet'!$B$15,Paramètres!$A$1:$I$89,5,0)</f>
        <v>-9.7543306765146564E-14</v>
      </c>
      <c r="EL112" s="14" t="e">
        <f t="shared" si="99"/>
        <v>#NUM!</v>
      </c>
      <c r="EM112" s="22" t="e">
        <f t="shared" si="73"/>
        <v>#NUM!</v>
      </c>
      <c r="EN112" s="62" t="e">
        <f t="shared" si="74"/>
        <v>#NUM!</v>
      </c>
      <c r="EO112" s="62">
        <f ca="1">AVERAGE(OFFSET($EN$3,0,0,'Données projet'!$E$15+1,1))-AVERAGE(OFFSET($H$3,0,0,'Données projet'!$E$15+1,1))</f>
        <v>445.81166342116865</v>
      </c>
      <c r="EP112" s="62">
        <f t="shared" si="100"/>
        <v>230.82970731138215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0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5.4</v>
      </c>
      <c r="FE112" s="13">
        <f>IF('Données projet'!$A$218&gt;35,FE111+FD112-FM111,IF(A112&lt;'Données projet'!$A$218,$FB$205^A112,IF(A112='Données projet'!$A$218,'Données projet'!$B$218,FE111+FD112-FM111)))</f>
        <v>354.59999999999968</v>
      </c>
      <c r="FF112" s="18">
        <f>FE112*VLOOKUP('Données projet'!$B$16,Paramètres!$A$1:$I$89,3,0)*VLOOKUP('Données projet'!$B$16,Paramètres!$A$1:$I$89,5,0)</f>
        <v>342.96911999999969</v>
      </c>
      <c r="FG112" s="14">
        <f t="shared" si="101"/>
        <v>80.113074644491633</v>
      </c>
      <c r="FH112" s="22">
        <f t="shared" si="76"/>
        <v>736.86815567248902</v>
      </c>
      <c r="FI112" s="62">
        <f t="shared" si="77"/>
        <v>1030.2014890058224</v>
      </c>
      <c r="FJ112" s="62">
        <f ca="1">AVERAGE(OFFSET($FI$3,0,0,'Données projet'!$E$16+1,1))-AVERAGE(OFFSET($H$3,0,0,'Données projet'!$E$16+1,1))</f>
        <v>541.66888676162716</v>
      </c>
      <c r="FK112" s="62">
        <f t="shared" si="102"/>
        <v>294.45557293177131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>
        <f>EXP(-LN(2)/35)*FQ111+(1-EXP(-LN(2)/35))/(LN(2)/35)*FM112*FN112*VLOOKUP('Données projet'!$B$16,Paramètres!$A$1:$I$89,3,0)*0.475*44/12</f>
        <v>0</v>
      </c>
      <c r="FR112" s="23">
        <f>EXP(-LN(2)/25)*FR111+(1-EXP(-LN(2)/25))/(LN(2)/25)*Calculateur!FM112*Calculateur!FO112*VLOOKUP('Données projet'!$B$16,Paramètres!$A$1:$I$89,3,0)*0.475*44/12</f>
        <v>0</v>
      </c>
      <c r="FS112" s="23">
        <f>EXP(-LN(2)/2)*FS111+(1-EXP(-LN(2)/2))/(LN(2)/2)*FM112*FP112*VLOOKUP('Données projet'!$B$16,Paramètres!$A$1:$I$89,3,0)*0.475*44/12</f>
        <v>0</v>
      </c>
      <c r="FT112" s="24">
        <f t="shared" si="78"/>
        <v>0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1.1368683772161603E-13</v>
      </c>
      <c r="GA112" s="18">
        <f>FZ112*VLOOKUP('Données projet'!$B$17,Paramètres!$A$1:$I$89,3,0)*VLOOKUP('Données projet'!$B$17,Paramètres!$A$1:$I$89,5,0)</f>
        <v>8.8675733422860506E-14</v>
      </c>
      <c r="GB112" s="14">
        <f t="shared" si="103"/>
        <v>1.3509285393066301E-12</v>
      </c>
      <c r="GC112" s="22">
        <f t="shared" si="79"/>
        <v>2.5073107750038623E-12</v>
      </c>
      <c r="GD112" s="62">
        <f t="shared" si="80"/>
        <v>293.33333333333582</v>
      </c>
      <c r="GE112" s="62">
        <f ca="1">AVERAGE(OFFSET($GD$3,0,0,'Données projet'!$E$17+1,1))-AVERAGE(OFFSET($H$3,0,0,'Données projet'!$E$17+1,1))</f>
        <v>292.57482726862594</v>
      </c>
      <c r="GF112" s="62">
        <f t="shared" si="104"/>
        <v>283.48738729114024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>
        <f>EXP(-LN(2)/35)*GL111+(1-EXP(-LN(2)/35))/(LN(2)/35)*GH112*GI112*VLOOKUP('Données projet'!$B$17,Paramètres!$A$1:$I$89,3,0)*0.475*44/12</f>
        <v>0</v>
      </c>
      <c r="GM112" s="23">
        <f>EXP(-LN(2)/25)*GM111+(1-EXP(-LN(2)/25))/(LN(2)/25)*Calculateur!GH112*Calculateur!GJ112*VLOOKUP('Données projet'!$B$17,Paramètres!$A$1:$I$89,3,0)*0.475*44/12</f>
        <v>0</v>
      </c>
      <c r="GN112" s="23">
        <f>EXP(-LN(2)/2)*GN111+(1-EXP(-LN(2)/2))/(LN(2)/2)*GH112*GK112*VLOOKUP('Données projet'!$B$17,Paramètres!$A$1:$I$89,3,0)*0.475*44/12</f>
        <v>0</v>
      </c>
      <c r="GO112" s="23">
        <f t="shared" si="81"/>
        <v>0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3.974358974358978</v>
      </c>
      <c r="GU112" s="13">
        <f>IF('Données projet'!$A$270&gt;35,GU111+GT112-HC111,IF(A112&lt;'Données projet'!$A$270,$GR$205^A112,IF(A112='Données projet'!$A$270,'Données projet'!$B$270,GU111+GT112-HC111)))</f>
        <v>419.7435897435895</v>
      </c>
      <c r="GV112" s="18">
        <f>GU112*VLOOKUP('Données projet'!$B$18,Paramètres!$A$1:$I$89,3,0)*VLOOKUP('Données projet'!$B$18,Paramètres!$A$1:$I$89,5,0)</f>
        <v>281.56399999999985</v>
      </c>
      <c r="GW112" s="14">
        <f t="shared" si="105"/>
        <v>67.297419815796616</v>
      </c>
      <c r="GX112" s="22">
        <f t="shared" si="82"/>
        <v>607.6003061791788</v>
      </c>
      <c r="GY112" s="62">
        <f t="shared" si="83"/>
        <v>900.93363951251217</v>
      </c>
      <c r="GZ112" s="62">
        <f ca="1">AVERAGE(OFFSET($GY$3,0,0,'Données projet'!$E$18+1,1))-AVERAGE(OFFSET($H$3,0,0,'Données projet'!$E$18+1,1))</f>
        <v>410.20186800287411</v>
      </c>
      <c r="HA112" s="62">
        <f t="shared" si="106"/>
        <v>321.99347958016057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>
        <f>EXP(-LN(2)/35)*HG111+(1-EXP(-LN(2)/35))/(LN(2)/35)*HC112*HD112*VLOOKUP('Données projet'!$B$18,Paramètres!$A$1:$I$89,3,0)*0.475*44/12</f>
        <v>0</v>
      </c>
      <c r="HH112" s="23">
        <f>EXP(-LN(2)/25)*HH111+(1-EXP(-LN(2)/25))/(LN(2)/25)*Calculateur!HC112*Calculateur!HE112*VLOOKUP('Données projet'!$B$18,Paramètres!$A$1:$I$89,3,0)*0.475*44/12</f>
        <v>0</v>
      </c>
      <c r="HI112" s="23">
        <f>EXP(-LN(2)/2)*HI111+(1-EXP(-LN(2)/2))/(LN(2)/2)*HC112*HF112*VLOOKUP('Données projet'!$B$18,Paramètres!$A$1:$I$89,3,0)*0.475*44/12</f>
        <v>0</v>
      </c>
      <c r="HJ112" s="24">
        <f t="shared" si="84"/>
        <v>0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360</v>
      </c>
      <c r="L113" s="13">
        <f>VLOOKUP(A113,'Données projet'!$A$35:$I$55,9,0)</f>
        <v>5.4</v>
      </c>
      <c r="M113" s="13">
        <f t="array" ref="M113">INDEX(L:L,MIN(IF(ISNUMBER(L113:L309),ROW(L113:L309),"")))</f>
        <v>5.4</v>
      </c>
      <c r="N113" s="14">
        <f>IF('Données projet'!$A$36&gt;35,N112+M113-V112,IF(A113&lt;'Données projet'!$A$36,$K$205^A113,IF(A113='Données projet'!$A$36,'Données projet'!$B$36,N112+M113-V112)))</f>
        <v>359.99999999999966</v>
      </c>
      <c r="O113" s="14">
        <f>N113*VLOOKUP('Données projet'!$B$9,Paramètres!$A$1:$I$89,3,0)*VLOOKUP('Données projet'!$B$9,Paramètres!$A$1:$I$89,5,0)</f>
        <v>325.72799999999967</v>
      </c>
      <c r="P113" s="14">
        <f t="shared" si="87"/>
        <v>76.543942036893981</v>
      </c>
      <c r="Q113" s="22">
        <f t="shared" si="107"/>
        <v>700.62363238092303</v>
      </c>
      <c r="R113" s="62">
        <f t="shared" si="55"/>
        <v>993.95696571425628</v>
      </c>
      <c r="S113" s="62">
        <f ca="1">AVERAGE(OFFSET($R$3,0,0,'Données projet'!$E$9+1,1))-AVERAGE(OFFSET($H$3,0,0,'Données projet'!$E$9+1,1))</f>
        <v>509.56241660612449</v>
      </c>
      <c r="T113" s="62">
        <f t="shared" si="88"/>
        <v>278.21741231699929</v>
      </c>
      <c r="U113" s="16">
        <f>IF(ISNA(VLOOKUP(A113,'Données projet'!$A$35:$I$55,3,0)),0,VLOOKUP(A113,'Données projet'!$A$35:$I$55,3,0))</f>
        <v>9</v>
      </c>
      <c r="V113" s="16">
        <f>IF(ISNA(VLOOKUP(A113,'Données projet'!$A$35:$I$55,4,0)),0,VLOOKUP(A113,'Données projet'!$A$35:$I$55,4,0))</f>
        <v>53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>
        <f>VLOOKUP(A113,'Données projet'!$A$61:$I$81,2,0)</f>
        <v>360</v>
      </c>
      <c r="AG113" s="13">
        <f>VLOOKUP(A113,'Données projet'!$A$61:$I$81,9,0)</f>
        <v>5.4</v>
      </c>
      <c r="AH113" s="13">
        <f t="array" ref="AH113">INDEX(AG:AG,MIN(IF(ISNUMBER(AG113:AG309),ROW(AG113:AG309),"")))</f>
        <v>5.4</v>
      </c>
      <c r="AI113" s="14">
        <f>IF('Données projet'!$A$62&gt;35,AI112+AH113-AQ112,IF(A113&lt;'Données projet'!$A$62,$AF$205^A113,IF(A113='Données projet'!$A$62,'Données projet'!$B$62,AI112+AH113-AQ112)))</f>
        <v>359.99999999999966</v>
      </c>
      <c r="AJ113" s="14">
        <f>AI113*VLOOKUP('Données projet'!$B$10,Paramètres!$A$1:$I$89,3,0)*VLOOKUP('Données projet'!$B$10,Paramètres!$A$1:$I$89,5,0)</f>
        <v>365.03999999999968</v>
      </c>
      <c r="AK113" s="14">
        <f t="shared" si="89"/>
        <v>84.651779413976342</v>
      </c>
      <c r="AL113" s="22">
        <f t="shared" si="58"/>
        <v>783.21318247934141</v>
      </c>
      <c r="AM113" s="62">
        <f t="shared" si="59"/>
        <v>1076.5465158126747</v>
      </c>
      <c r="AN113" s="62">
        <f ca="1">AVERAGE(OFFSET($AM$3,0,0,'Données projet'!$E$10+1,1))-AVERAGE(OFFSET($H$3,0,0,'Données projet'!$E$10+1,1))</f>
        <v>565.72091871734051</v>
      </c>
      <c r="AO113" s="62">
        <f t="shared" si="90"/>
        <v>306.61893266146666</v>
      </c>
      <c r="AP113" s="16">
        <f>IF(ISNA(VLOOKUP(A113,'Données projet'!$A$61:$I$81,3,0)),0,VLOOKUP(A113,'Données projet'!$A$61:$I$81,3,0))</f>
        <v>9</v>
      </c>
      <c r="AQ113" s="16">
        <f>IF(ISNA(VLOOKUP(A113,'Données projet'!$A$61:$I$81,4,0)),0,VLOOKUP(A113,'Données projet'!$A$61:$I$81,4,0))</f>
        <v>53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-5.6843418860808015E-14</v>
      </c>
      <c r="BE113" s="14">
        <f>BD113*VLOOKUP('Données projet'!$B$11,Paramètres!$A$1:$I$89,3,0)*VLOOKUP('Données projet'!$B$11,Paramètres!$A$1:$I$89,5,0)</f>
        <v>-4.1677594708744434E-14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344.26020118887629</v>
      </c>
      <c r="BJ113" s="62">
        <f t="shared" si="92"/>
        <v>376.41441893222185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>
        <f>VLOOKUP(A113,'Données projet'!$A$113:$I$133,2,0)</f>
        <v>360</v>
      </c>
      <c r="BW113" s="13">
        <f>VLOOKUP(A113,'Données projet'!$A$113:$I$133,9,0)</f>
        <v>5.4</v>
      </c>
      <c r="BX113" s="13">
        <f t="array" ref="BX113">INDEX(BW:BW,MIN(IF(ISNUMBER(BW113:BW309),ROW(BW113:BW309),"")))</f>
        <v>5.4</v>
      </c>
      <c r="BY113" s="13">
        <f>IF('Données projet'!$A$114&gt;35,BY112+BX113-CG112,IF(A113&lt;'Données projet'!$A$114,$BV$205^A113,IF(A113='Données projet'!$A$114,'Données projet'!$B$114,BY112+BX113-CG112)))</f>
        <v>359.99999999999966</v>
      </c>
      <c r="BZ113" s="14">
        <f>BY113*VLOOKUP('Données projet'!$B$12,Paramètres!$A$1:$I$89,3,0)*VLOOKUP('Données projet'!$B$12,Paramètres!$A$1:$I$89,5,0)</f>
        <v>303.26399999999973</v>
      </c>
      <c r="CA113" s="14">
        <f t="shared" si="93"/>
        <v>71.860291707330802</v>
      </c>
      <c r="CB113" s="22">
        <f t="shared" si="64"/>
        <v>653.34147472360064</v>
      </c>
      <c r="CC113" s="62">
        <f t="shared" si="65"/>
        <v>946.6748080569339</v>
      </c>
      <c r="CD113" s="62">
        <f ca="1">AVERAGE(OFFSET($CC$3,0,0,'Données projet'!$E$12+1,1))-AVERAGE(OFFSET($H$3,0,0,'Données projet'!$E$12+1,1))</f>
        <v>477.4105367901771</v>
      </c>
      <c r="CE113" s="62">
        <f t="shared" si="94"/>
        <v>261.95434270986397</v>
      </c>
      <c r="CF113" s="16">
        <f>IF(ISNA(VLOOKUP(A113,'Données projet'!$A$113:$I$133,3,0)),0,VLOOKUP(A113,'Données projet'!$A$113:$I$133,3,0))</f>
        <v>9</v>
      </c>
      <c r="CG113" s="16">
        <f>IF(ISNA(VLOOKUP(A113,'Données projet'!$A$113:$I$133,4,0)),0,VLOOKUP(A113,'Données projet'!$A$113:$I$133,4,0))</f>
        <v>53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-6.2527760746888816E-13</v>
      </c>
      <c r="CU113" s="18">
        <f>CT113*VLOOKUP('Données projet'!$B$13,Paramètres!$A$1:$I$89,3,0)*VLOOKUP('Données projet'!$B$13,Paramètres!$A$1:$I$89,5,0)</f>
        <v>-2.9262992029543964E-13</v>
      </c>
      <c r="CV113" s="14" t="e">
        <f t="shared" si="95"/>
        <v>#NUM!</v>
      </c>
      <c r="CW113" s="22" t="e">
        <f t="shared" si="67"/>
        <v>#NUM!</v>
      </c>
      <c r="CX113" s="62" t="e">
        <f t="shared" si="68"/>
        <v>#NUM!</v>
      </c>
      <c r="CY113" s="62">
        <f ca="1">AVERAGE(OFFSET($CX$3,0,0,'Données projet'!$E$13+1,1))-AVERAGE(OFFSET($H$3,0,0,'Données projet'!$E$13+1,1))</f>
        <v>246.64907095367749</v>
      </c>
      <c r="CZ113" s="62">
        <f t="shared" si="96"/>
        <v>145.34368562171613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-5.6843418860808015E-14</v>
      </c>
      <c r="DP113" s="18">
        <f>DO113*VLOOKUP('Données projet'!$B$14,Paramètres!$A$1:$I$89,3,0)*VLOOKUP('Données projet'!$B$14,Paramètres!$A$1:$I$89,5,0)</f>
        <v>-4.5224624045658861E-14</v>
      </c>
      <c r="DQ113" s="14" t="e">
        <f t="shared" si="97"/>
        <v>#NUM!</v>
      </c>
      <c r="DR113" s="22" t="e">
        <f t="shared" si="70"/>
        <v>#NUM!</v>
      </c>
      <c r="DS113" s="62" t="e">
        <f t="shared" si="71"/>
        <v>#NUM!</v>
      </c>
      <c r="DT113" s="62">
        <f ca="1">AVERAGE(OFFSET($DS$3,0,0,'Données projet'!$E$14+1,1))-AVERAGE(OFFSET($H$3,0,0,'Données projet'!$E$14+1,1))</f>
        <v>370.38521334472284</v>
      </c>
      <c r="DU113" s="62">
        <f t="shared" si="98"/>
        <v>404.61777090709171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-1.1368683772161603E-13</v>
      </c>
      <c r="EK113" s="18">
        <f>EJ113*VLOOKUP('Données projet'!$B$15,Paramètres!$A$1:$I$89,3,0)*VLOOKUP('Données projet'!$B$15,Paramètres!$A$1:$I$89,5,0)</f>
        <v>-9.7543306765146564E-14</v>
      </c>
      <c r="EL113" s="14" t="e">
        <f t="shared" si="99"/>
        <v>#NUM!</v>
      </c>
      <c r="EM113" s="22" t="e">
        <f t="shared" si="73"/>
        <v>#NUM!</v>
      </c>
      <c r="EN113" s="62" t="e">
        <f t="shared" si="74"/>
        <v>#NUM!</v>
      </c>
      <c r="EO113" s="62">
        <f ca="1">AVERAGE(OFFSET($EN$3,0,0,'Données projet'!$E$15+1,1))-AVERAGE(OFFSET($H$3,0,0,'Données projet'!$E$15+1,1))</f>
        <v>445.81166342116865</v>
      </c>
      <c r="EP113" s="62">
        <f t="shared" si="100"/>
        <v>230.82970731138215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0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>
        <f>VLOOKUP(A113,'Données projet'!$A$217:$I$237,2,0)</f>
        <v>360</v>
      </c>
      <c r="FC113" s="13">
        <f>VLOOKUP(A113,'Données projet'!$A$217:$I$237,9,0)</f>
        <v>5.4</v>
      </c>
      <c r="FD113" s="13">
        <f t="array" ref="FD113">INDEX(FC:FC,MIN(IF(ISNUMBER(FC113:FC309),ROW(FC113:FC309),"")))</f>
        <v>5.4</v>
      </c>
      <c r="FE113" s="13">
        <f>IF('Données projet'!$A$218&gt;35,FE112+FD113-FM112,IF(A113&lt;'Données projet'!$A$218,$FB$205^A113,IF(A113='Données projet'!$A$218,'Données projet'!$B$218,FE112+FD113-FM112)))</f>
        <v>359.99999999999966</v>
      </c>
      <c r="FF113" s="18">
        <f>FE113*VLOOKUP('Données projet'!$B$16,Paramètres!$A$1:$I$89,3,0)*VLOOKUP('Données projet'!$B$16,Paramètres!$A$1:$I$89,5,0)</f>
        <v>348.19199999999967</v>
      </c>
      <c r="FG113" s="14">
        <f t="shared" si="101"/>
        <v>81.190113119538651</v>
      </c>
      <c r="FH113" s="22">
        <f t="shared" si="76"/>
        <v>747.84051368319581</v>
      </c>
      <c r="FI113" s="62">
        <f t="shared" si="77"/>
        <v>1041.1738470165292</v>
      </c>
      <c r="FJ113" s="62">
        <f ca="1">AVERAGE(OFFSET($FI$3,0,0,'Données projet'!$E$16+1,1))-AVERAGE(OFFSET($H$3,0,0,'Données projet'!$E$16+1,1))</f>
        <v>541.66888676162716</v>
      </c>
      <c r="FK113" s="62">
        <f t="shared" si="102"/>
        <v>294.45557293177131</v>
      </c>
      <c r="FL113" s="16">
        <f>IF(ISNA(VLOOKUP(A113,'Données projet'!$A$217:$I$237,3,0)),0,VLOOKUP(A113,'Données projet'!$A$217:$I$237,3,0))</f>
        <v>9</v>
      </c>
      <c r="FM113" s="16">
        <f>IF(ISNA(VLOOKUP(A113,'Données projet'!$A$217:$I$237,4,0)),0,VLOOKUP(A113,'Données projet'!$A$217:$I$237,4,0))</f>
        <v>53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>
        <f>EXP(-LN(2)/35)*FQ112+(1-EXP(-LN(2)/35))/(LN(2)/35)*FM113*FN113*VLOOKUP('Données projet'!$B$16,Paramètres!$A$1:$I$89,3,0)*0.475*44/12</f>
        <v>0</v>
      </c>
      <c r="FR113" s="23">
        <f>EXP(-LN(2)/25)*FR112+(1-EXP(-LN(2)/25))/(LN(2)/25)*Calculateur!FM113*Calculateur!FO113*VLOOKUP('Données projet'!$B$16,Paramètres!$A$1:$I$89,3,0)*0.475*44/12</f>
        <v>0</v>
      </c>
      <c r="FS113" s="23">
        <f>EXP(-LN(2)/2)*FS112+(1-EXP(-LN(2)/2))/(LN(2)/2)*FM113*FP113*VLOOKUP('Données projet'!$B$16,Paramètres!$A$1:$I$89,3,0)*0.475*44/12</f>
        <v>0</v>
      </c>
      <c r="FT113" s="24">
        <f t="shared" si="78"/>
        <v>0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1.1368683772161603E-13</v>
      </c>
      <c r="GA113" s="18">
        <f>FZ113*VLOOKUP('Données projet'!$B$17,Paramètres!$A$1:$I$89,3,0)*VLOOKUP('Données projet'!$B$17,Paramètres!$A$1:$I$89,5,0)</f>
        <v>8.8675733422860506E-14</v>
      </c>
      <c r="GB113" s="14">
        <f t="shared" si="103"/>
        <v>1.3509285393066301E-12</v>
      </c>
      <c r="GC113" s="22">
        <f t="shared" si="79"/>
        <v>2.5073107750038623E-12</v>
      </c>
      <c r="GD113" s="62">
        <f t="shared" si="80"/>
        <v>293.33333333333582</v>
      </c>
      <c r="GE113" s="62">
        <f ca="1">AVERAGE(OFFSET($GD$3,0,0,'Données projet'!$E$17+1,1))-AVERAGE(OFFSET($H$3,0,0,'Données projet'!$E$17+1,1))</f>
        <v>292.57482726862594</v>
      </c>
      <c r="GF113" s="62">
        <f t="shared" si="104"/>
        <v>283.48738729114024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>
        <f>EXP(-LN(2)/35)*GL112+(1-EXP(-LN(2)/35))/(LN(2)/35)*GH113*GI113*VLOOKUP('Données projet'!$B$17,Paramètres!$A$1:$I$89,3,0)*0.475*44/12</f>
        <v>0</v>
      </c>
      <c r="GM113" s="23">
        <f>EXP(-LN(2)/25)*GM112+(1-EXP(-LN(2)/25))/(LN(2)/25)*Calculateur!GH113*Calculateur!GJ113*VLOOKUP('Données projet'!$B$17,Paramètres!$A$1:$I$89,3,0)*0.475*44/12</f>
        <v>0</v>
      </c>
      <c r="GN113" s="23">
        <f>EXP(-LN(2)/2)*GN112+(1-EXP(-LN(2)/2))/(LN(2)/2)*GH113*GK113*VLOOKUP('Données projet'!$B$17,Paramètres!$A$1:$I$89,3,0)*0.475*44/12</f>
        <v>0</v>
      </c>
      <c r="GO113" s="23">
        <f t="shared" si="81"/>
        <v>0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>
        <f>VLOOKUP(A113,'Données projet'!$A$269:$I$289,2,0)</f>
        <v>423.71794871794873</v>
      </c>
      <c r="GS113" s="13">
        <f>VLOOKUP(A113,'Données projet'!$A$269:$I$289,9,0)</f>
        <v>3.974358974358978</v>
      </c>
      <c r="GT113" s="13">
        <f t="array" ref="GT113">INDEX(GS:GS,MIN(IF(ISNUMBER(GS113:GS309),ROW(GS113:GS309),"")))</f>
        <v>3.974358974358978</v>
      </c>
      <c r="GU113" s="13">
        <f>IF('Données projet'!$A$270&gt;35,GU112+GT113-HC112,IF(A113&lt;'Données projet'!$A$270,$GR$205^A113,IF(A113='Données projet'!$A$270,'Données projet'!$B$270,GU112+GT113-HC112)))</f>
        <v>423.7179487179485</v>
      </c>
      <c r="GV113" s="18">
        <f>GU113*VLOOKUP('Données projet'!$B$18,Paramètres!$A$1:$I$89,3,0)*VLOOKUP('Données projet'!$B$18,Paramètres!$A$1:$I$89,5,0)</f>
        <v>284.22999999999985</v>
      </c>
      <c r="GW113" s="14">
        <f t="shared" si="105"/>
        <v>67.860147895915873</v>
      </c>
      <c r="GX113" s="22">
        <f t="shared" si="82"/>
        <v>613.22367425205323</v>
      </c>
      <c r="GY113" s="62">
        <f t="shared" si="83"/>
        <v>906.5570075853866</v>
      </c>
      <c r="GZ113" s="62">
        <f ca="1">AVERAGE(OFFSET($GY$3,0,0,'Données projet'!$E$18+1,1))-AVERAGE(OFFSET($H$3,0,0,'Données projet'!$E$18+1,1))</f>
        <v>410.20186800287411</v>
      </c>
      <c r="HA113" s="62">
        <f t="shared" si="106"/>
        <v>321.99347958016057</v>
      </c>
      <c r="HB113" s="16">
        <f>IF(ISNA(VLOOKUP(A113,'Données projet'!$A$269:$I$289,3,0)),0,VLOOKUP(A113,'Données projet'!$A$269:$I$289,3,0))</f>
        <v>10</v>
      </c>
      <c r="HC113" s="16">
        <f>IF(ISNA(VLOOKUP(A113,'Données projet'!$A$269:$I$289,4,0)),0,VLOOKUP(A113,'Données projet'!$A$269:$I$289,4,0))</f>
        <v>423.71794871794873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>
        <f>EXP(-LN(2)/35)*HG112+(1-EXP(-LN(2)/35))/(LN(2)/35)*HC113*HD113*VLOOKUP('Données projet'!$B$18,Paramètres!$A$1:$I$89,3,0)*0.475*44/12</f>
        <v>0</v>
      </c>
      <c r="HH113" s="23">
        <f>EXP(-LN(2)/25)*HH112+(1-EXP(-LN(2)/25))/(LN(2)/25)*Calculateur!HC113*Calculateur!HE113*VLOOKUP('Données projet'!$B$18,Paramètres!$A$1:$I$89,3,0)*0.475*44/12</f>
        <v>0</v>
      </c>
      <c r="HI113" s="23">
        <f>EXP(-LN(2)/2)*HI112+(1-EXP(-LN(2)/2))/(LN(2)/2)*HC113*HF113*VLOOKUP('Données projet'!$B$18,Paramètres!$A$1:$I$89,3,0)*0.475*44/12</f>
        <v>0</v>
      </c>
      <c r="HJ113" s="24">
        <f t="shared" si="84"/>
        <v>0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4.5</v>
      </c>
      <c r="N114" s="14">
        <f>IF('Données projet'!$A$36&gt;35,N113+M114-V113,IF(A114&lt;'Données projet'!$A$36,$K$205^A114,IF(A114='Données projet'!$A$36,'Données projet'!$B$36,N113+M114-V113)))</f>
        <v>311.49999999999966</v>
      </c>
      <c r="O114" s="14">
        <f>N114*VLOOKUP('Données projet'!$B$9,Paramètres!$A$1:$I$89,3,0)*VLOOKUP('Données projet'!$B$9,Paramètres!$A$1:$I$89,5,0)</f>
        <v>281.84519999999969</v>
      </c>
      <c r="P114" s="14">
        <f t="shared" si="87"/>
        <v>67.356803491560427</v>
      </c>
      <c r="Q114" s="22">
        <f t="shared" si="107"/>
        <v>608.19348941446708</v>
      </c>
      <c r="R114" s="62">
        <f t="shared" si="55"/>
        <v>901.52682274780045</v>
      </c>
      <c r="S114" s="62">
        <f ca="1">AVERAGE(OFFSET($R$3,0,0,'Données projet'!$E$9+1,1))-AVERAGE(OFFSET($H$3,0,0,'Données projet'!$E$9+1,1))</f>
        <v>509.56241660612449</v>
      </c>
      <c r="T114" s="62">
        <f t="shared" si="88"/>
        <v>278.21741231699929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4.5</v>
      </c>
      <c r="AI114" s="14">
        <f>IF('Données projet'!$A$62&gt;35,AI113+AH114-AQ113,IF(A114&lt;'Données projet'!$A$62,$AF$205^A114,IF(A114='Données projet'!$A$62,'Données projet'!$B$62,AI113+AH114-AQ113)))</f>
        <v>311.49999999999966</v>
      </c>
      <c r="AJ114" s="14">
        <f>AI114*VLOOKUP('Données projet'!$B$10,Paramètres!$A$1:$I$89,3,0)*VLOOKUP('Données projet'!$B$10,Paramètres!$A$1:$I$89,5,0)</f>
        <v>315.86099999999971</v>
      </c>
      <c r="AK114" s="14">
        <f t="shared" si="89"/>
        <v>74.491502782151358</v>
      </c>
      <c r="AL114" s="22">
        <f t="shared" si="58"/>
        <v>679.86394234557974</v>
      </c>
      <c r="AM114" s="62">
        <f t="shared" si="59"/>
        <v>973.197275678913</v>
      </c>
      <c r="AN114" s="62">
        <f ca="1">AVERAGE(OFFSET($AM$3,0,0,'Données projet'!$E$10+1,1))-AVERAGE(OFFSET($H$3,0,0,'Données projet'!$E$10+1,1))</f>
        <v>565.72091871734051</v>
      </c>
      <c r="AO114" s="62">
        <f t="shared" si="90"/>
        <v>306.61893266146666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-5.6843418860808015E-14</v>
      </c>
      <c r="BE114" s="14">
        <f>BD114*VLOOKUP('Données projet'!$B$11,Paramètres!$A$1:$I$89,3,0)*VLOOKUP('Données projet'!$B$11,Paramètres!$A$1:$I$89,5,0)</f>
        <v>-4.1677594708744434E-14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344.26020118887629</v>
      </c>
      <c r="BJ114" s="62">
        <f t="shared" si="92"/>
        <v>376.41441893222185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4.5</v>
      </c>
      <c r="BY114" s="13">
        <f>IF('Données projet'!$A$114&gt;35,BY113+BX114-CG113,IF(A114&lt;'Données projet'!$A$114,$BV$205^A114,IF(A114='Données projet'!$A$114,'Données projet'!$B$114,BY113+BX114-CG113)))</f>
        <v>311.49999999999966</v>
      </c>
      <c r="BZ114" s="14">
        <f>BY114*VLOOKUP('Données projet'!$B$12,Paramètres!$A$1:$I$89,3,0)*VLOOKUP('Données projet'!$B$12,Paramètres!$A$1:$I$89,5,0)</f>
        <v>262.40759999999977</v>
      </c>
      <c r="CA114" s="14">
        <f t="shared" si="93"/>
        <v>63.235305349754363</v>
      </c>
      <c r="CB114" s="22">
        <f t="shared" si="64"/>
        <v>567.16139348415504</v>
      </c>
      <c r="CC114" s="62">
        <f t="shared" si="65"/>
        <v>860.4947268174883</v>
      </c>
      <c r="CD114" s="62">
        <f ca="1">AVERAGE(OFFSET($CC$3,0,0,'Données projet'!$E$12+1,1))-AVERAGE(OFFSET($H$3,0,0,'Données projet'!$E$12+1,1))</f>
        <v>477.4105367901771</v>
      </c>
      <c r="CE114" s="62">
        <f t="shared" si="94"/>
        <v>261.95434270986397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-6.2527760746888816E-13</v>
      </c>
      <c r="CU114" s="18">
        <f>CT114*VLOOKUP('Données projet'!$B$13,Paramètres!$A$1:$I$89,3,0)*VLOOKUP('Données projet'!$B$13,Paramètres!$A$1:$I$89,5,0)</f>
        <v>-2.9262992029543964E-13</v>
      </c>
      <c r="CV114" s="14" t="e">
        <f t="shared" si="95"/>
        <v>#NUM!</v>
      </c>
      <c r="CW114" s="22" t="e">
        <f t="shared" si="67"/>
        <v>#NUM!</v>
      </c>
      <c r="CX114" s="62" t="e">
        <f t="shared" si="68"/>
        <v>#NUM!</v>
      </c>
      <c r="CY114" s="62">
        <f ca="1">AVERAGE(OFFSET($CX$3,0,0,'Données projet'!$E$13+1,1))-AVERAGE(OFFSET($H$3,0,0,'Données projet'!$E$13+1,1))</f>
        <v>246.64907095367749</v>
      </c>
      <c r="CZ114" s="62">
        <f t="shared" si="96"/>
        <v>145.34368562171613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-5.6843418860808015E-14</v>
      </c>
      <c r="DP114" s="18">
        <f>DO114*VLOOKUP('Données projet'!$B$14,Paramètres!$A$1:$I$89,3,0)*VLOOKUP('Données projet'!$B$14,Paramètres!$A$1:$I$89,5,0)</f>
        <v>-4.5224624045658861E-14</v>
      </c>
      <c r="DQ114" s="14" t="e">
        <f t="shared" si="97"/>
        <v>#NUM!</v>
      </c>
      <c r="DR114" s="22" t="e">
        <f t="shared" si="70"/>
        <v>#NUM!</v>
      </c>
      <c r="DS114" s="62" t="e">
        <f t="shared" si="71"/>
        <v>#NUM!</v>
      </c>
      <c r="DT114" s="62">
        <f ca="1">AVERAGE(OFFSET($DS$3,0,0,'Données projet'!$E$14+1,1))-AVERAGE(OFFSET($H$3,0,0,'Données projet'!$E$14+1,1))</f>
        <v>370.38521334472284</v>
      </c>
      <c r="DU114" s="62">
        <f t="shared" si="98"/>
        <v>404.61777090709171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-1.1368683772161603E-13</v>
      </c>
      <c r="EK114" s="18">
        <f>EJ114*VLOOKUP('Données projet'!$B$15,Paramètres!$A$1:$I$89,3,0)*VLOOKUP('Données projet'!$B$15,Paramètres!$A$1:$I$89,5,0)</f>
        <v>-9.7543306765146564E-14</v>
      </c>
      <c r="EL114" s="14" t="e">
        <f t="shared" si="99"/>
        <v>#NUM!</v>
      </c>
      <c r="EM114" s="22" t="e">
        <f t="shared" si="73"/>
        <v>#NUM!</v>
      </c>
      <c r="EN114" s="62" t="e">
        <f t="shared" si="74"/>
        <v>#NUM!</v>
      </c>
      <c r="EO114" s="62">
        <f ca="1">AVERAGE(OFFSET($EN$3,0,0,'Données projet'!$E$15+1,1))-AVERAGE(OFFSET($H$3,0,0,'Données projet'!$E$15+1,1))</f>
        <v>445.81166342116865</v>
      </c>
      <c r="EP114" s="62">
        <f t="shared" si="100"/>
        <v>230.82970731138215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0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4.5</v>
      </c>
      <c r="FE114" s="13">
        <f>IF('Données projet'!$A$218&gt;35,FE113+FD114-FM113,IF(A114&lt;'Données projet'!$A$218,$FB$205^A114,IF(A114='Données projet'!$A$218,'Données projet'!$B$218,FE113+FD114-FM113)))</f>
        <v>311.49999999999966</v>
      </c>
      <c r="FF114" s="18">
        <f>FE114*VLOOKUP('Données projet'!$B$16,Paramètres!$A$1:$I$89,3,0)*VLOOKUP('Données projet'!$B$16,Paramètres!$A$1:$I$89,5,0)</f>
        <v>301.28279999999967</v>
      </c>
      <c r="FG114" s="14">
        <f t="shared" si="101"/>
        <v>71.445320809508672</v>
      </c>
      <c r="FH114" s="22">
        <f t="shared" si="76"/>
        <v>649.16814374322701</v>
      </c>
      <c r="FI114" s="62">
        <f t="shared" si="77"/>
        <v>942.50147707656038</v>
      </c>
      <c r="FJ114" s="62">
        <f ca="1">AVERAGE(OFFSET($FI$3,0,0,'Données projet'!$E$16+1,1))-AVERAGE(OFFSET($H$3,0,0,'Données projet'!$E$16+1,1))</f>
        <v>541.66888676162716</v>
      </c>
      <c r="FK114" s="62">
        <f t="shared" si="102"/>
        <v>294.45557293177131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>
        <f>EXP(-LN(2)/35)*FQ113+(1-EXP(-LN(2)/35))/(LN(2)/35)*FM114*FN114*VLOOKUP('Données projet'!$B$16,Paramètres!$A$1:$I$89,3,0)*0.475*44/12</f>
        <v>0</v>
      </c>
      <c r="FR114" s="23">
        <f>EXP(-LN(2)/25)*FR113+(1-EXP(-LN(2)/25))/(LN(2)/25)*Calculateur!FM114*Calculateur!FO114*VLOOKUP('Données projet'!$B$16,Paramètres!$A$1:$I$89,3,0)*0.475*44/12</f>
        <v>0</v>
      </c>
      <c r="FS114" s="23">
        <f>EXP(-LN(2)/2)*FS113+(1-EXP(-LN(2)/2))/(LN(2)/2)*FM114*FP114*VLOOKUP('Données projet'!$B$16,Paramètres!$A$1:$I$89,3,0)*0.475*44/12</f>
        <v>0</v>
      </c>
      <c r="FT114" s="24">
        <f t="shared" si="78"/>
        <v>0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1.1368683772161603E-13</v>
      </c>
      <c r="GA114" s="18">
        <f>FZ114*VLOOKUP('Données projet'!$B$17,Paramètres!$A$1:$I$89,3,0)*VLOOKUP('Données projet'!$B$17,Paramètres!$A$1:$I$89,5,0)</f>
        <v>8.8675733422860506E-14</v>
      </c>
      <c r="GB114" s="14">
        <f t="shared" si="103"/>
        <v>1.3509285393066301E-12</v>
      </c>
      <c r="GC114" s="22">
        <f t="shared" si="79"/>
        <v>2.5073107750038623E-12</v>
      </c>
      <c r="GD114" s="62">
        <f t="shared" si="80"/>
        <v>293.33333333333582</v>
      </c>
      <c r="GE114" s="62">
        <f ca="1">AVERAGE(OFFSET($GD$3,0,0,'Données projet'!$E$17+1,1))-AVERAGE(OFFSET($H$3,0,0,'Données projet'!$E$17+1,1))</f>
        <v>292.57482726862594</v>
      </c>
      <c r="GF114" s="62">
        <f t="shared" si="104"/>
        <v>283.48738729114024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>
        <f>EXP(-LN(2)/35)*GL113+(1-EXP(-LN(2)/35))/(LN(2)/35)*GH114*GI114*VLOOKUP('Données projet'!$B$17,Paramètres!$A$1:$I$89,3,0)*0.475*44/12</f>
        <v>0</v>
      </c>
      <c r="GM114" s="23">
        <f>EXP(-LN(2)/25)*GM113+(1-EXP(-LN(2)/25))/(LN(2)/25)*Calculateur!GH114*Calculateur!GJ114*VLOOKUP('Données projet'!$B$17,Paramètres!$A$1:$I$89,3,0)*0.475*44/12</f>
        <v>0</v>
      </c>
      <c r="GN114" s="23">
        <f>EXP(-LN(2)/2)*GN113+(1-EXP(-LN(2)/2))/(LN(2)/2)*GH114*GK114*VLOOKUP('Données projet'!$B$17,Paramètres!$A$1:$I$89,3,0)*0.475*44/12</f>
        <v>0</v>
      </c>
      <c r="GO114" s="23">
        <f t="shared" si="81"/>
        <v>0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-2.2737367544323206E-13</v>
      </c>
      <c r="GV114" s="18">
        <f>GU114*VLOOKUP('Données projet'!$B$18,Paramètres!$A$1:$I$89,3,0)*VLOOKUP('Données projet'!$B$18,Paramètres!$A$1:$I$89,5,0)</f>
        <v>-1.5252226148732008E-13</v>
      </c>
      <c r="GW114" s="14" t="e">
        <f t="shared" si="105"/>
        <v>#NUM!</v>
      </c>
      <c r="GX114" s="22" t="e">
        <f t="shared" si="82"/>
        <v>#NUM!</v>
      </c>
      <c r="GY114" s="62" t="e">
        <f t="shared" si="83"/>
        <v>#NUM!</v>
      </c>
      <c r="GZ114" s="62">
        <f ca="1">AVERAGE(OFFSET($GY$3,0,0,'Données projet'!$E$18+1,1))-AVERAGE(OFFSET($H$3,0,0,'Données projet'!$E$18+1,1))</f>
        <v>410.20186800287411</v>
      </c>
      <c r="HA114" s="62">
        <f t="shared" si="106"/>
        <v>321.99347958016057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>
        <f>EXP(-LN(2)/35)*HG113+(1-EXP(-LN(2)/35))/(LN(2)/35)*HC114*HD114*VLOOKUP('Données projet'!$B$18,Paramètres!$A$1:$I$89,3,0)*0.475*44/12</f>
        <v>0</v>
      </c>
      <c r="HH114" s="23">
        <f>EXP(-LN(2)/25)*HH113+(1-EXP(-LN(2)/25))/(LN(2)/25)*Calculateur!HC114*Calculateur!HE114*VLOOKUP('Données projet'!$B$18,Paramètres!$A$1:$I$89,3,0)*0.475*44/12</f>
        <v>0</v>
      </c>
      <c r="HI114" s="23">
        <f>EXP(-LN(2)/2)*HI113+(1-EXP(-LN(2)/2))/(LN(2)/2)*HC114*HF114*VLOOKUP('Données projet'!$B$18,Paramètres!$A$1:$I$89,3,0)*0.475*44/12</f>
        <v>0</v>
      </c>
      <c r="HJ114" s="24">
        <f t="shared" si="84"/>
        <v>0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4.5</v>
      </c>
      <c r="N115" s="14">
        <f>IF('Données projet'!$A$36&gt;35,N114+M115-V114,IF(A115&lt;'Données projet'!$A$36,$K$205^A115,IF(A115='Données projet'!$A$36,'Données projet'!$B$36,N114+M115-V114)))</f>
        <v>315.99999999999966</v>
      </c>
      <c r="O115" s="14">
        <f>N115*VLOOKUP('Données projet'!$B$9,Paramètres!$A$1:$I$89,3,0)*VLOOKUP('Données projet'!$B$9,Paramètres!$A$1:$I$89,5,0)</f>
        <v>285.91679999999968</v>
      </c>
      <c r="P115" s="14">
        <f t="shared" si="87"/>
        <v>68.215872977287475</v>
      </c>
      <c r="Q115" s="22">
        <f t="shared" si="107"/>
        <v>616.7810721021084</v>
      </c>
      <c r="R115" s="62">
        <f t="shared" si="55"/>
        <v>910.11440543544177</v>
      </c>
      <c r="S115" s="62">
        <f ca="1">AVERAGE(OFFSET($R$3,0,0,'Données projet'!$E$9+1,1))-AVERAGE(OFFSET($H$3,0,0,'Données projet'!$E$9+1,1))</f>
        <v>509.56241660612449</v>
      </c>
      <c r="T115" s="62">
        <f t="shared" si="88"/>
        <v>278.21741231699929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4.5</v>
      </c>
      <c r="AI115" s="14">
        <f>IF('Données projet'!$A$62&gt;35,AI114+AH115-AQ114,IF(A115&lt;'Données projet'!$A$62,$AF$205^A115,IF(A115='Données projet'!$A$62,'Données projet'!$B$62,AI114+AH115-AQ114)))</f>
        <v>315.99999999999966</v>
      </c>
      <c r="AJ115" s="14">
        <f>AI115*VLOOKUP('Données projet'!$B$10,Paramètres!$A$1:$I$89,3,0)*VLOOKUP('Données projet'!$B$10,Paramètres!$A$1:$I$89,5,0)</f>
        <v>320.42399999999964</v>
      </c>
      <c r="AK115" s="14">
        <f t="shared" si="89"/>
        <v>75.441568308852254</v>
      </c>
      <c r="AL115" s="22">
        <f t="shared" si="58"/>
        <v>689.4658648045837</v>
      </c>
      <c r="AM115" s="62">
        <f t="shared" si="59"/>
        <v>982.79919813791707</v>
      </c>
      <c r="AN115" s="62">
        <f ca="1">AVERAGE(OFFSET($AM$3,0,0,'Données projet'!$E$10+1,1))-AVERAGE(OFFSET($H$3,0,0,'Données projet'!$E$10+1,1))</f>
        <v>565.72091871734051</v>
      </c>
      <c r="AO115" s="62">
        <f t="shared" si="90"/>
        <v>306.61893266146666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-5.6843418860808015E-14</v>
      </c>
      <c r="BE115" s="14">
        <f>BD115*VLOOKUP('Données projet'!$B$11,Paramètres!$A$1:$I$89,3,0)*VLOOKUP('Données projet'!$B$11,Paramètres!$A$1:$I$89,5,0)</f>
        <v>-4.1677594708744434E-14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344.26020118887629</v>
      </c>
      <c r="BJ115" s="62">
        <f t="shared" si="92"/>
        <v>376.41441893222185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4.5</v>
      </c>
      <c r="BY115" s="13">
        <f>IF('Données projet'!$A$114&gt;35,BY114+BX115-CG114,IF(A115&lt;'Données projet'!$A$114,$BV$205^A115,IF(A115='Données projet'!$A$114,'Données projet'!$B$114,BY114+BX115-CG114)))</f>
        <v>315.99999999999966</v>
      </c>
      <c r="BZ115" s="14">
        <f>BY115*VLOOKUP('Données projet'!$B$12,Paramètres!$A$1:$I$89,3,0)*VLOOKUP('Données projet'!$B$12,Paramètres!$A$1:$I$89,5,0)</f>
        <v>266.19839999999971</v>
      </c>
      <c r="CA115" s="14">
        <f t="shared" si="93"/>
        <v>64.041809198373159</v>
      </c>
      <c r="CB115" s="22">
        <f t="shared" si="64"/>
        <v>575.16836435383277</v>
      </c>
      <c r="CC115" s="62">
        <f t="shared" si="65"/>
        <v>868.50169768716614</v>
      </c>
      <c r="CD115" s="62">
        <f ca="1">AVERAGE(OFFSET($CC$3,0,0,'Données projet'!$E$12+1,1))-AVERAGE(OFFSET($H$3,0,0,'Données projet'!$E$12+1,1))</f>
        <v>477.4105367901771</v>
      </c>
      <c r="CE115" s="62">
        <f t="shared" si="94"/>
        <v>261.95434270986397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-6.2527760746888816E-13</v>
      </c>
      <c r="CU115" s="18">
        <f>CT115*VLOOKUP('Données projet'!$B$13,Paramètres!$A$1:$I$89,3,0)*VLOOKUP('Données projet'!$B$13,Paramètres!$A$1:$I$89,5,0)</f>
        <v>-2.9262992029543964E-13</v>
      </c>
      <c r="CV115" s="14" t="e">
        <f t="shared" si="95"/>
        <v>#NUM!</v>
      </c>
      <c r="CW115" s="22" t="e">
        <f t="shared" si="67"/>
        <v>#NUM!</v>
      </c>
      <c r="CX115" s="62" t="e">
        <f t="shared" si="68"/>
        <v>#NUM!</v>
      </c>
      <c r="CY115" s="62">
        <f ca="1">AVERAGE(OFFSET($CX$3,0,0,'Données projet'!$E$13+1,1))-AVERAGE(OFFSET($H$3,0,0,'Données projet'!$E$13+1,1))</f>
        <v>246.64907095367749</v>
      </c>
      <c r="CZ115" s="62">
        <f t="shared" si="96"/>
        <v>145.34368562171613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-5.6843418860808015E-14</v>
      </c>
      <c r="DP115" s="18">
        <f>DO115*VLOOKUP('Données projet'!$B$14,Paramètres!$A$1:$I$89,3,0)*VLOOKUP('Données projet'!$B$14,Paramètres!$A$1:$I$89,5,0)</f>
        <v>-4.5224624045658861E-14</v>
      </c>
      <c r="DQ115" s="14" t="e">
        <f t="shared" si="97"/>
        <v>#NUM!</v>
      </c>
      <c r="DR115" s="22" t="e">
        <f t="shared" si="70"/>
        <v>#NUM!</v>
      </c>
      <c r="DS115" s="62" t="e">
        <f t="shared" si="71"/>
        <v>#NUM!</v>
      </c>
      <c r="DT115" s="62">
        <f ca="1">AVERAGE(OFFSET($DS$3,0,0,'Données projet'!$E$14+1,1))-AVERAGE(OFFSET($H$3,0,0,'Données projet'!$E$14+1,1))</f>
        <v>370.38521334472284</v>
      </c>
      <c r="DU115" s="62">
        <f t="shared" si="98"/>
        <v>404.61777090709171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-1.1368683772161603E-13</v>
      </c>
      <c r="EK115" s="18">
        <f>EJ115*VLOOKUP('Données projet'!$B$15,Paramètres!$A$1:$I$89,3,0)*VLOOKUP('Données projet'!$B$15,Paramètres!$A$1:$I$89,5,0)</f>
        <v>-9.7543306765146564E-14</v>
      </c>
      <c r="EL115" s="14" t="e">
        <f t="shared" si="99"/>
        <v>#NUM!</v>
      </c>
      <c r="EM115" s="22" t="e">
        <f t="shared" si="73"/>
        <v>#NUM!</v>
      </c>
      <c r="EN115" s="62" t="e">
        <f t="shared" si="74"/>
        <v>#NUM!</v>
      </c>
      <c r="EO115" s="62">
        <f ca="1">AVERAGE(OFFSET($EN$3,0,0,'Données projet'!$E$15+1,1))-AVERAGE(OFFSET($H$3,0,0,'Données projet'!$E$15+1,1))</f>
        <v>445.81166342116865</v>
      </c>
      <c r="EP115" s="62">
        <f t="shared" si="100"/>
        <v>230.82970731138215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0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4.5</v>
      </c>
      <c r="FE115" s="13">
        <f>IF('Données projet'!$A$218&gt;35,FE114+FD115-FM114,IF(A115&lt;'Données projet'!$A$218,$FB$205^A115,IF(A115='Données projet'!$A$218,'Données projet'!$B$218,FE114+FD115-FM114)))</f>
        <v>315.99999999999966</v>
      </c>
      <c r="FF115" s="18">
        <f>FE115*VLOOKUP('Données projet'!$B$16,Paramètres!$A$1:$I$89,3,0)*VLOOKUP('Données projet'!$B$16,Paramètres!$A$1:$I$89,5,0)</f>
        <v>305.63519999999966</v>
      </c>
      <c r="FG115" s="14">
        <f t="shared" si="101"/>
        <v>72.356535294517755</v>
      </c>
      <c r="FH115" s="22">
        <f t="shared" si="76"/>
        <v>658.33560563795118</v>
      </c>
      <c r="FI115" s="62">
        <f t="shared" si="77"/>
        <v>951.66893897128443</v>
      </c>
      <c r="FJ115" s="62">
        <f ca="1">AVERAGE(OFFSET($FI$3,0,0,'Données projet'!$E$16+1,1))-AVERAGE(OFFSET($H$3,0,0,'Données projet'!$E$16+1,1))</f>
        <v>541.66888676162716</v>
      </c>
      <c r="FK115" s="62">
        <f t="shared" si="102"/>
        <v>294.45557293177131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>
        <f>EXP(-LN(2)/35)*FQ114+(1-EXP(-LN(2)/35))/(LN(2)/35)*FM115*FN115*VLOOKUP('Données projet'!$B$16,Paramètres!$A$1:$I$89,3,0)*0.475*44/12</f>
        <v>0</v>
      </c>
      <c r="FR115" s="23">
        <f>EXP(-LN(2)/25)*FR114+(1-EXP(-LN(2)/25))/(LN(2)/25)*Calculateur!FM115*Calculateur!FO115*VLOOKUP('Données projet'!$B$16,Paramètres!$A$1:$I$89,3,0)*0.475*44/12</f>
        <v>0</v>
      </c>
      <c r="FS115" s="23">
        <f>EXP(-LN(2)/2)*FS114+(1-EXP(-LN(2)/2))/(LN(2)/2)*FM115*FP115*VLOOKUP('Données projet'!$B$16,Paramètres!$A$1:$I$89,3,0)*0.475*44/12</f>
        <v>0</v>
      </c>
      <c r="FT115" s="24">
        <f t="shared" si="78"/>
        <v>0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1.1368683772161603E-13</v>
      </c>
      <c r="GA115" s="18">
        <f>FZ115*VLOOKUP('Données projet'!$B$17,Paramètres!$A$1:$I$89,3,0)*VLOOKUP('Données projet'!$B$17,Paramètres!$A$1:$I$89,5,0)</f>
        <v>8.8675733422860506E-14</v>
      </c>
      <c r="GB115" s="14">
        <f t="shared" si="103"/>
        <v>1.3509285393066301E-12</v>
      </c>
      <c r="GC115" s="22">
        <f t="shared" si="79"/>
        <v>2.5073107750038623E-12</v>
      </c>
      <c r="GD115" s="62">
        <f t="shared" si="80"/>
        <v>293.33333333333582</v>
      </c>
      <c r="GE115" s="62">
        <f ca="1">AVERAGE(OFFSET($GD$3,0,0,'Données projet'!$E$17+1,1))-AVERAGE(OFFSET($H$3,0,0,'Données projet'!$E$17+1,1))</f>
        <v>292.57482726862594</v>
      </c>
      <c r="GF115" s="62">
        <f t="shared" si="104"/>
        <v>283.48738729114024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>
        <f>EXP(-LN(2)/35)*GL114+(1-EXP(-LN(2)/35))/(LN(2)/35)*GH115*GI115*VLOOKUP('Données projet'!$B$17,Paramètres!$A$1:$I$89,3,0)*0.475*44/12</f>
        <v>0</v>
      </c>
      <c r="GM115" s="23">
        <f>EXP(-LN(2)/25)*GM114+(1-EXP(-LN(2)/25))/(LN(2)/25)*Calculateur!GH115*Calculateur!GJ115*VLOOKUP('Données projet'!$B$17,Paramètres!$A$1:$I$89,3,0)*0.475*44/12</f>
        <v>0</v>
      </c>
      <c r="GN115" s="23">
        <f>EXP(-LN(2)/2)*GN114+(1-EXP(-LN(2)/2))/(LN(2)/2)*GH115*GK115*VLOOKUP('Données projet'!$B$17,Paramètres!$A$1:$I$89,3,0)*0.475*44/12</f>
        <v>0</v>
      </c>
      <c r="GO115" s="23">
        <f t="shared" si="81"/>
        <v>0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-2.2737367544323206E-13</v>
      </c>
      <c r="GV115" s="18">
        <f>GU115*VLOOKUP('Données projet'!$B$18,Paramètres!$A$1:$I$89,3,0)*VLOOKUP('Données projet'!$B$18,Paramètres!$A$1:$I$89,5,0)</f>
        <v>-1.5252226148732008E-13</v>
      </c>
      <c r="GW115" s="14" t="e">
        <f t="shared" si="105"/>
        <v>#NUM!</v>
      </c>
      <c r="GX115" s="22" t="e">
        <f t="shared" si="82"/>
        <v>#NUM!</v>
      </c>
      <c r="GY115" s="62" t="e">
        <f t="shared" si="83"/>
        <v>#NUM!</v>
      </c>
      <c r="GZ115" s="62">
        <f ca="1">AVERAGE(OFFSET($GY$3,0,0,'Données projet'!$E$18+1,1))-AVERAGE(OFFSET($H$3,0,0,'Données projet'!$E$18+1,1))</f>
        <v>410.20186800287411</v>
      </c>
      <c r="HA115" s="62">
        <f t="shared" si="106"/>
        <v>321.99347958016057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>
        <f>EXP(-LN(2)/35)*HG114+(1-EXP(-LN(2)/35))/(LN(2)/35)*HC115*HD115*VLOOKUP('Données projet'!$B$18,Paramètres!$A$1:$I$89,3,0)*0.475*44/12</f>
        <v>0</v>
      </c>
      <c r="HH115" s="23">
        <f>EXP(-LN(2)/25)*HH114+(1-EXP(-LN(2)/25))/(LN(2)/25)*Calculateur!HC115*Calculateur!HE115*VLOOKUP('Données projet'!$B$18,Paramètres!$A$1:$I$89,3,0)*0.475*44/12</f>
        <v>0</v>
      </c>
      <c r="HI115" s="23">
        <f>EXP(-LN(2)/2)*HI114+(1-EXP(-LN(2)/2))/(LN(2)/2)*HC115*HF115*VLOOKUP('Données projet'!$B$18,Paramètres!$A$1:$I$89,3,0)*0.475*44/12</f>
        <v>0</v>
      </c>
      <c r="HJ115" s="24">
        <f t="shared" si="84"/>
        <v>0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4.5</v>
      </c>
      <c r="N116" s="14">
        <f>IF('Données projet'!$A$36&gt;35,N115+M116-V115,IF(A116&lt;'Données projet'!$A$36,$K$205^A116,IF(A116='Données projet'!$A$36,'Données projet'!$B$36,N115+M116-V115)))</f>
        <v>320.49999999999966</v>
      </c>
      <c r="O116" s="14">
        <f>N116*VLOOKUP('Données projet'!$B$9,Paramètres!$A$1:$I$89,3,0)*VLOOKUP('Données projet'!$B$9,Paramètres!$A$1:$I$89,5,0)</f>
        <v>289.98839999999967</v>
      </c>
      <c r="P116" s="14">
        <f t="shared" si="87"/>
        <v>69.073519602481454</v>
      </c>
      <c r="Q116" s="22">
        <f t="shared" si="107"/>
        <v>625.36617664098787</v>
      </c>
      <c r="R116" s="62">
        <f t="shared" si="55"/>
        <v>918.69950997432124</v>
      </c>
      <c r="S116" s="62">
        <f ca="1">AVERAGE(OFFSET($R$3,0,0,'Données projet'!$E$9+1,1))-AVERAGE(OFFSET($H$3,0,0,'Données projet'!$E$9+1,1))</f>
        <v>509.56241660612449</v>
      </c>
      <c r="T116" s="62">
        <f t="shared" si="88"/>
        <v>278.21741231699929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4.5</v>
      </c>
      <c r="AI116" s="14">
        <f>IF('Données projet'!$A$62&gt;35,AI115+AH116-AQ115,IF(A116&lt;'Données projet'!$A$62,$AF$205^A116,IF(A116='Données projet'!$A$62,'Données projet'!$B$62,AI115+AH116-AQ115)))</f>
        <v>320.49999999999966</v>
      </c>
      <c r="AJ116" s="14">
        <f>AI116*VLOOKUP('Données projet'!$B$10,Paramètres!$A$1:$I$89,3,0)*VLOOKUP('Données projet'!$B$10,Paramètres!$A$1:$I$89,5,0)</f>
        <v>324.98699999999968</v>
      </c>
      <c r="AK116" s="14">
        <f t="shared" si="89"/>
        <v>76.390060259999316</v>
      </c>
      <c r="AL116" s="22">
        <f t="shared" si="58"/>
        <v>699.06504661949828</v>
      </c>
      <c r="AM116" s="62">
        <f t="shared" si="59"/>
        <v>992.39837995283165</v>
      </c>
      <c r="AN116" s="62">
        <f ca="1">AVERAGE(OFFSET($AM$3,0,0,'Données projet'!$E$10+1,1))-AVERAGE(OFFSET($H$3,0,0,'Données projet'!$E$10+1,1))</f>
        <v>565.72091871734051</v>
      </c>
      <c r="AO116" s="62">
        <f t="shared" si="90"/>
        <v>306.61893266146666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-5.6843418860808015E-14</v>
      </c>
      <c r="BE116" s="14">
        <f>BD116*VLOOKUP('Données projet'!$B$11,Paramètres!$A$1:$I$89,3,0)*VLOOKUP('Données projet'!$B$11,Paramètres!$A$1:$I$89,5,0)</f>
        <v>-4.1677594708744434E-14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344.26020118887629</v>
      </c>
      <c r="BJ116" s="62">
        <f t="shared" si="92"/>
        <v>376.41441893222185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4.5</v>
      </c>
      <c r="BY116" s="13">
        <f>IF('Données projet'!$A$114&gt;35,BY115+BX116-CG115,IF(A116&lt;'Données projet'!$A$114,$BV$205^A116,IF(A116='Données projet'!$A$114,'Données projet'!$B$114,BY115+BX116-CG115)))</f>
        <v>320.49999999999966</v>
      </c>
      <c r="BZ116" s="14">
        <f>BY116*VLOOKUP('Données projet'!$B$12,Paramètres!$A$1:$I$89,3,0)*VLOOKUP('Données projet'!$B$12,Paramètres!$A$1:$I$89,5,0)</f>
        <v>269.98919999999976</v>
      </c>
      <c r="CA116" s="14">
        <f t="shared" si="93"/>
        <v>64.846977249929026</v>
      </c>
      <c r="CB116" s="22">
        <f t="shared" si="64"/>
        <v>583.17300871029261</v>
      </c>
      <c r="CC116" s="62">
        <f t="shared" si="65"/>
        <v>876.50634204362586</v>
      </c>
      <c r="CD116" s="62">
        <f ca="1">AVERAGE(OFFSET($CC$3,0,0,'Données projet'!$E$12+1,1))-AVERAGE(OFFSET($H$3,0,0,'Données projet'!$E$12+1,1))</f>
        <v>477.4105367901771</v>
      </c>
      <c r="CE116" s="62">
        <f t="shared" si="94"/>
        <v>261.95434270986397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-6.2527760746888816E-13</v>
      </c>
      <c r="CU116" s="18">
        <f>CT116*VLOOKUP('Données projet'!$B$13,Paramètres!$A$1:$I$89,3,0)*VLOOKUP('Données projet'!$B$13,Paramètres!$A$1:$I$89,5,0)</f>
        <v>-2.9262992029543964E-13</v>
      </c>
      <c r="CV116" s="14" t="e">
        <f t="shared" si="95"/>
        <v>#NUM!</v>
      </c>
      <c r="CW116" s="22" t="e">
        <f t="shared" si="67"/>
        <v>#NUM!</v>
      </c>
      <c r="CX116" s="62" t="e">
        <f t="shared" si="68"/>
        <v>#NUM!</v>
      </c>
      <c r="CY116" s="62">
        <f ca="1">AVERAGE(OFFSET($CX$3,0,0,'Données projet'!$E$13+1,1))-AVERAGE(OFFSET($H$3,0,0,'Données projet'!$E$13+1,1))</f>
        <v>246.64907095367749</v>
      </c>
      <c r="CZ116" s="62">
        <f t="shared" si="96"/>
        <v>145.34368562171613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-5.6843418860808015E-14</v>
      </c>
      <c r="DP116" s="18">
        <f>DO116*VLOOKUP('Données projet'!$B$14,Paramètres!$A$1:$I$89,3,0)*VLOOKUP('Données projet'!$B$14,Paramètres!$A$1:$I$89,5,0)</f>
        <v>-4.5224624045658861E-14</v>
      </c>
      <c r="DQ116" s="14" t="e">
        <f t="shared" si="97"/>
        <v>#NUM!</v>
      </c>
      <c r="DR116" s="22" t="e">
        <f t="shared" si="70"/>
        <v>#NUM!</v>
      </c>
      <c r="DS116" s="62" t="e">
        <f t="shared" si="71"/>
        <v>#NUM!</v>
      </c>
      <c r="DT116" s="62">
        <f ca="1">AVERAGE(OFFSET($DS$3,0,0,'Données projet'!$E$14+1,1))-AVERAGE(OFFSET($H$3,0,0,'Données projet'!$E$14+1,1))</f>
        <v>370.38521334472284</v>
      </c>
      <c r="DU116" s="62">
        <f t="shared" si="98"/>
        <v>404.61777090709171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-1.1368683772161603E-13</v>
      </c>
      <c r="EK116" s="18">
        <f>EJ116*VLOOKUP('Données projet'!$B$15,Paramètres!$A$1:$I$89,3,0)*VLOOKUP('Données projet'!$B$15,Paramètres!$A$1:$I$89,5,0)</f>
        <v>-9.7543306765146564E-14</v>
      </c>
      <c r="EL116" s="14" t="e">
        <f t="shared" si="99"/>
        <v>#NUM!</v>
      </c>
      <c r="EM116" s="22" t="e">
        <f t="shared" si="73"/>
        <v>#NUM!</v>
      </c>
      <c r="EN116" s="62" t="e">
        <f t="shared" si="74"/>
        <v>#NUM!</v>
      </c>
      <c r="EO116" s="62">
        <f ca="1">AVERAGE(OFFSET($EN$3,0,0,'Données projet'!$E$15+1,1))-AVERAGE(OFFSET($H$3,0,0,'Données projet'!$E$15+1,1))</f>
        <v>445.81166342116865</v>
      </c>
      <c r="EP116" s="62">
        <f t="shared" si="100"/>
        <v>230.82970731138215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0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4.5</v>
      </c>
      <c r="FE116" s="13">
        <f>IF('Données projet'!$A$218&gt;35,FE115+FD116-FM115,IF(A116&lt;'Données projet'!$A$218,$FB$205^A116,IF(A116='Données projet'!$A$218,'Données projet'!$B$218,FE115+FD116-FM115)))</f>
        <v>320.49999999999966</v>
      </c>
      <c r="FF116" s="18">
        <f>FE116*VLOOKUP('Données projet'!$B$16,Paramètres!$A$1:$I$89,3,0)*VLOOKUP('Données projet'!$B$16,Paramètres!$A$1:$I$89,5,0)</f>
        <v>309.98759999999965</v>
      </c>
      <c r="FG116" s="14">
        <f t="shared" si="101"/>
        <v>73.266240552218378</v>
      </c>
      <c r="FH116" s="22">
        <f t="shared" si="76"/>
        <v>667.50043896177965</v>
      </c>
      <c r="FI116" s="62">
        <f t="shared" si="77"/>
        <v>960.83377229511302</v>
      </c>
      <c r="FJ116" s="62">
        <f ca="1">AVERAGE(OFFSET($FI$3,0,0,'Données projet'!$E$16+1,1))-AVERAGE(OFFSET($H$3,0,0,'Données projet'!$E$16+1,1))</f>
        <v>541.66888676162716</v>
      </c>
      <c r="FK116" s="62">
        <f t="shared" si="102"/>
        <v>294.45557293177131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>
        <f>EXP(-LN(2)/35)*FQ115+(1-EXP(-LN(2)/35))/(LN(2)/35)*FM116*FN116*VLOOKUP('Données projet'!$B$16,Paramètres!$A$1:$I$89,3,0)*0.475*44/12</f>
        <v>0</v>
      </c>
      <c r="FR116" s="23">
        <f>EXP(-LN(2)/25)*FR115+(1-EXP(-LN(2)/25))/(LN(2)/25)*Calculateur!FM116*Calculateur!FO116*VLOOKUP('Données projet'!$B$16,Paramètres!$A$1:$I$89,3,0)*0.475*44/12</f>
        <v>0</v>
      </c>
      <c r="FS116" s="23">
        <f>EXP(-LN(2)/2)*FS115+(1-EXP(-LN(2)/2))/(LN(2)/2)*FM116*FP116*VLOOKUP('Données projet'!$B$16,Paramètres!$A$1:$I$89,3,0)*0.475*44/12</f>
        <v>0</v>
      </c>
      <c r="FT116" s="24">
        <f t="shared" si="78"/>
        <v>0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1.1368683772161603E-13</v>
      </c>
      <c r="GA116" s="18">
        <f>FZ116*VLOOKUP('Données projet'!$B$17,Paramètres!$A$1:$I$89,3,0)*VLOOKUP('Données projet'!$B$17,Paramètres!$A$1:$I$89,5,0)</f>
        <v>8.8675733422860506E-14</v>
      </c>
      <c r="GB116" s="14">
        <f t="shared" si="103"/>
        <v>1.3509285393066301E-12</v>
      </c>
      <c r="GC116" s="22">
        <f t="shared" si="79"/>
        <v>2.5073107750038623E-12</v>
      </c>
      <c r="GD116" s="62">
        <f t="shared" si="80"/>
        <v>293.33333333333582</v>
      </c>
      <c r="GE116" s="62">
        <f ca="1">AVERAGE(OFFSET($GD$3,0,0,'Données projet'!$E$17+1,1))-AVERAGE(OFFSET($H$3,0,0,'Données projet'!$E$17+1,1))</f>
        <v>292.57482726862594</v>
      </c>
      <c r="GF116" s="62">
        <f t="shared" si="104"/>
        <v>283.48738729114024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>
        <f>EXP(-LN(2)/35)*GL115+(1-EXP(-LN(2)/35))/(LN(2)/35)*GH116*GI116*VLOOKUP('Données projet'!$B$17,Paramètres!$A$1:$I$89,3,0)*0.475*44/12</f>
        <v>0</v>
      </c>
      <c r="GM116" s="23">
        <f>EXP(-LN(2)/25)*GM115+(1-EXP(-LN(2)/25))/(LN(2)/25)*Calculateur!GH116*Calculateur!GJ116*VLOOKUP('Données projet'!$B$17,Paramètres!$A$1:$I$89,3,0)*0.475*44/12</f>
        <v>0</v>
      </c>
      <c r="GN116" s="23">
        <f>EXP(-LN(2)/2)*GN115+(1-EXP(-LN(2)/2))/(LN(2)/2)*GH116*GK116*VLOOKUP('Données projet'!$B$17,Paramètres!$A$1:$I$89,3,0)*0.475*44/12</f>
        <v>0</v>
      </c>
      <c r="GO116" s="23">
        <f t="shared" si="81"/>
        <v>0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-2.2737367544323206E-13</v>
      </c>
      <c r="GV116" s="18">
        <f>GU116*VLOOKUP('Données projet'!$B$18,Paramètres!$A$1:$I$89,3,0)*VLOOKUP('Données projet'!$B$18,Paramètres!$A$1:$I$89,5,0)</f>
        <v>-1.5252226148732008E-13</v>
      </c>
      <c r="GW116" s="14" t="e">
        <f t="shared" si="105"/>
        <v>#NUM!</v>
      </c>
      <c r="GX116" s="22" t="e">
        <f t="shared" si="82"/>
        <v>#NUM!</v>
      </c>
      <c r="GY116" s="62" t="e">
        <f t="shared" si="83"/>
        <v>#NUM!</v>
      </c>
      <c r="GZ116" s="62">
        <f ca="1">AVERAGE(OFFSET($GY$3,0,0,'Données projet'!$E$18+1,1))-AVERAGE(OFFSET($H$3,0,0,'Données projet'!$E$18+1,1))</f>
        <v>410.20186800287411</v>
      </c>
      <c r="HA116" s="62">
        <f t="shared" si="106"/>
        <v>321.99347958016057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>
        <f>EXP(-LN(2)/35)*HG115+(1-EXP(-LN(2)/35))/(LN(2)/35)*HC116*HD116*VLOOKUP('Données projet'!$B$18,Paramètres!$A$1:$I$89,3,0)*0.475*44/12</f>
        <v>0</v>
      </c>
      <c r="HH116" s="23">
        <f>EXP(-LN(2)/25)*HH115+(1-EXP(-LN(2)/25))/(LN(2)/25)*Calculateur!HC116*Calculateur!HE116*VLOOKUP('Données projet'!$B$18,Paramètres!$A$1:$I$89,3,0)*0.475*44/12</f>
        <v>0</v>
      </c>
      <c r="HI116" s="23">
        <f>EXP(-LN(2)/2)*HI115+(1-EXP(-LN(2)/2))/(LN(2)/2)*HC116*HF116*VLOOKUP('Données projet'!$B$18,Paramètres!$A$1:$I$89,3,0)*0.475*44/12</f>
        <v>0</v>
      </c>
      <c r="HJ116" s="24">
        <f t="shared" si="84"/>
        <v>0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4.5</v>
      </c>
      <c r="N117" s="14">
        <f>IF('Données projet'!$A$36&gt;35,N116+M117-V116,IF(A117&lt;'Données projet'!$A$36,$K$205^A117,IF(A117='Données projet'!$A$36,'Données projet'!$B$36,N116+M117-V116)))</f>
        <v>324.99999999999966</v>
      </c>
      <c r="O117" s="14">
        <f>N117*VLOOKUP('Données projet'!$B$9,Paramètres!$A$1:$I$89,3,0)*VLOOKUP('Données projet'!$B$9,Paramètres!$A$1:$I$89,5,0)</f>
        <v>294.05999999999972</v>
      </c>
      <c r="P117" s="14">
        <f t="shared" si="87"/>
        <v>69.929765653573313</v>
      </c>
      <c r="Q117" s="22">
        <f t="shared" si="107"/>
        <v>633.94884184663977</v>
      </c>
      <c r="R117" s="62">
        <f t="shared" si="55"/>
        <v>927.28217517997314</v>
      </c>
      <c r="S117" s="62">
        <f ca="1">AVERAGE(OFFSET($R$3,0,0,'Données projet'!$E$9+1,1))-AVERAGE(OFFSET($H$3,0,0,'Données projet'!$E$9+1,1))</f>
        <v>509.56241660612449</v>
      </c>
      <c r="T117" s="62">
        <f t="shared" si="88"/>
        <v>278.21741231699929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4.5</v>
      </c>
      <c r="AI117" s="14">
        <f>IF('Données projet'!$A$62&gt;35,AI116+AH117-AQ116,IF(A117&lt;'Données projet'!$A$62,$AF$205^A117,IF(A117='Données projet'!$A$62,'Données projet'!$B$62,AI116+AH117-AQ116)))</f>
        <v>324.99999999999966</v>
      </c>
      <c r="AJ117" s="14">
        <f>AI117*VLOOKUP('Données projet'!$B$10,Paramètres!$A$1:$I$89,3,0)*VLOOKUP('Données projet'!$B$10,Paramètres!$A$1:$I$89,5,0)</f>
        <v>329.54999999999967</v>
      </c>
      <c r="AK117" s="14">
        <f t="shared" si="89"/>
        <v>77.337003282690503</v>
      </c>
      <c r="AL117" s="22">
        <f t="shared" si="58"/>
        <v>708.66153071735198</v>
      </c>
      <c r="AM117" s="62">
        <f t="shared" si="59"/>
        <v>1001.9948640506852</v>
      </c>
      <c r="AN117" s="62">
        <f ca="1">AVERAGE(OFFSET($AM$3,0,0,'Données projet'!$E$10+1,1))-AVERAGE(OFFSET($H$3,0,0,'Données projet'!$E$10+1,1))</f>
        <v>565.72091871734051</v>
      </c>
      <c r="AO117" s="62">
        <f t="shared" si="90"/>
        <v>306.61893266146666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-5.6843418860808015E-14</v>
      </c>
      <c r="BE117" s="14">
        <f>BD117*VLOOKUP('Données projet'!$B$11,Paramètres!$A$1:$I$89,3,0)*VLOOKUP('Données projet'!$B$11,Paramètres!$A$1:$I$89,5,0)</f>
        <v>-4.1677594708744434E-14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344.26020118887629</v>
      </c>
      <c r="BJ117" s="62">
        <f t="shared" si="92"/>
        <v>376.41441893222185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4.5</v>
      </c>
      <c r="BY117" s="13">
        <f>IF('Données projet'!$A$114&gt;35,BY116+BX117-CG116,IF(A117&lt;'Données projet'!$A$114,$BV$205^A117,IF(A117='Données projet'!$A$114,'Données projet'!$B$114,BY116+BX117-CG116)))</f>
        <v>324.99999999999966</v>
      </c>
      <c r="BZ117" s="14">
        <f>BY117*VLOOKUP('Données projet'!$B$12,Paramètres!$A$1:$I$89,3,0)*VLOOKUP('Données projet'!$B$12,Paramètres!$A$1:$I$89,5,0)</f>
        <v>273.77999999999975</v>
      </c>
      <c r="CA117" s="14">
        <f t="shared" si="93"/>
        <v>65.650830427167435</v>
      </c>
      <c r="CB117" s="22">
        <f t="shared" si="64"/>
        <v>591.17536299398284</v>
      </c>
      <c r="CC117" s="62">
        <f t="shared" si="65"/>
        <v>884.5086963273161</v>
      </c>
      <c r="CD117" s="62">
        <f ca="1">AVERAGE(OFFSET($CC$3,0,0,'Données projet'!$E$12+1,1))-AVERAGE(OFFSET($H$3,0,0,'Données projet'!$E$12+1,1))</f>
        <v>477.4105367901771</v>
      </c>
      <c r="CE117" s="62">
        <f t="shared" si="94"/>
        <v>261.95434270986397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-6.2527760746888816E-13</v>
      </c>
      <c r="CU117" s="18">
        <f>CT117*VLOOKUP('Données projet'!$B$13,Paramètres!$A$1:$I$89,3,0)*VLOOKUP('Données projet'!$B$13,Paramètres!$A$1:$I$89,5,0)</f>
        <v>-2.9262992029543964E-13</v>
      </c>
      <c r="CV117" s="14" t="e">
        <f t="shared" si="95"/>
        <v>#NUM!</v>
      </c>
      <c r="CW117" s="22" t="e">
        <f t="shared" si="67"/>
        <v>#NUM!</v>
      </c>
      <c r="CX117" s="62" t="e">
        <f t="shared" si="68"/>
        <v>#NUM!</v>
      </c>
      <c r="CY117" s="62">
        <f ca="1">AVERAGE(OFFSET($CX$3,0,0,'Données projet'!$E$13+1,1))-AVERAGE(OFFSET($H$3,0,0,'Données projet'!$E$13+1,1))</f>
        <v>246.64907095367749</v>
      </c>
      <c r="CZ117" s="62">
        <f t="shared" si="96"/>
        <v>145.34368562171613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-5.6843418860808015E-14</v>
      </c>
      <c r="DP117" s="18">
        <f>DO117*VLOOKUP('Données projet'!$B$14,Paramètres!$A$1:$I$89,3,0)*VLOOKUP('Données projet'!$B$14,Paramètres!$A$1:$I$89,5,0)</f>
        <v>-4.5224624045658861E-14</v>
      </c>
      <c r="DQ117" s="14" t="e">
        <f t="shared" si="97"/>
        <v>#NUM!</v>
      </c>
      <c r="DR117" s="22" t="e">
        <f t="shared" si="70"/>
        <v>#NUM!</v>
      </c>
      <c r="DS117" s="62" t="e">
        <f t="shared" si="71"/>
        <v>#NUM!</v>
      </c>
      <c r="DT117" s="62">
        <f ca="1">AVERAGE(OFFSET($DS$3,0,0,'Données projet'!$E$14+1,1))-AVERAGE(OFFSET($H$3,0,0,'Données projet'!$E$14+1,1))</f>
        <v>370.38521334472284</v>
      </c>
      <c r="DU117" s="62">
        <f t="shared" si="98"/>
        <v>404.61777090709171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-1.1368683772161603E-13</v>
      </c>
      <c r="EK117" s="18">
        <f>EJ117*VLOOKUP('Données projet'!$B$15,Paramètres!$A$1:$I$89,3,0)*VLOOKUP('Données projet'!$B$15,Paramètres!$A$1:$I$89,5,0)</f>
        <v>-9.7543306765146564E-14</v>
      </c>
      <c r="EL117" s="14" t="e">
        <f t="shared" si="99"/>
        <v>#NUM!</v>
      </c>
      <c r="EM117" s="22" t="e">
        <f t="shared" si="73"/>
        <v>#NUM!</v>
      </c>
      <c r="EN117" s="62" t="e">
        <f t="shared" si="74"/>
        <v>#NUM!</v>
      </c>
      <c r="EO117" s="62">
        <f ca="1">AVERAGE(OFFSET($EN$3,0,0,'Données projet'!$E$15+1,1))-AVERAGE(OFFSET($H$3,0,0,'Données projet'!$E$15+1,1))</f>
        <v>445.81166342116865</v>
      </c>
      <c r="EP117" s="62">
        <f t="shared" si="100"/>
        <v>230.82970731138215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0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4.5</v>
      </c>
      <c r="FE117" s="13">
        <f>IF('Données projet'!$A$218&gt;35,FE116+FD117-FM116,IF(A117&lt;'Données projet'!$A$218,$FB$205^A117,IF(A117='Données projet'!$A$218,'Données projet'!$B$218,FE116+FD117-FM116)))</f>
        <v>324.99999999999966</v>
      </c>
      <c r="FF117" s="18">
        <f>FE117*VLOOKUP('Données projet'!$B$16,Paramètres!$A$1:$I$89,3,0)*VLOOKUP('Données projet'!$B$16,Paramètres!$A$1:$I$89,5,0)</f>
        <v>314.33999999999969</v>
      </c>
      <c r="FG117" s="14">
        <f t="shared" si="101"/>
        <v>74.174460221814144</v>
      </c>
      <c r="FH117" s="22">
        <f t="shared" si="76"/>
        <v>676.66268488632568</v>
      </c>
      <c r="FI117" s="62">
        <f t="shared" si="77"/>
        <v>969.99601821965894</v>
      </c>
      <c r="FJ117" s="62">
        <f ca="1">AVERAGE(OFFSET($FI$3,0,0,'Données projet'!$E$16+1,1))-AVERAGE(OFFSET($H$3,0,0,'Données projet'!$E$16+1,1))</f>
        <v>541.66888676162716</v>
      </c>
      <c r="FK117" s="62">
        <f t="shared" si="102"/>
        <v>294.45557293177131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>
        <f>EXP(-LN(2)/35)*FQ116+(1-EXP(-LN(2)/35))/(LN(2)/35)*FM117*FN117*VLOOKUP('Données projet'!$B$16,Paramètres!$A$1:$I$89,3,0)*0.475*44/12</f>
        <v>0</v>
      </c>
      <c r="FR117" s="23">
        <f>EXP(-LN(2)/25)*FR116+(1-EXP(-LN(2)/25))/(LN(2)/25)*Calculateur!FM117*Calculateur!FO117*VLOOKUP('Données projet'!$B$16,Paramètres!$A$1:$I$89,3,0)*0.475*44/12</f>
        <v>0</v>
      </c>
      <c r="FS117" s="23">
        <f>EXP(-LN(2)/2)*FS116+(1-EXP(-LN(2)/2))/(LN(2)/2)*FM117*FP117*VLOOKUP('Données projet'!$B$16,Paramètres!$A$1:$I$89,3,0)*0.475*44/12</f>
        <v>0</v>
      </c>
      <c r="FT117" s="24">
        <f t="shared" si="78"/>
        <v>0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1.1368683772161603E-13</v>
      </c>
      <c r="GA117" s="18">
        <f>FZ117*VLOOKUP('Données projet'!$B$17,Paramètres!$A$1:$I$89,3,0)*VLOOKUP('Données projet'!$B$17,Paramètres!$A$1:$I$89,5,0)</f>
        <v>8.8675733422860506E-14</v>
      </c>
      <c r="GB117" s="14">
        <f t="shared" si="103"/>
        <v>1.3509285393066301E-12</v>
      </c>
      <c r="GC117" s="22">
        <f t="shared" si="79"/>
        <v>2.5073107750038623E-12</v>
      </c>
      <c r="GD117" s="62">
        <f t="shared" si="80"/>
        <v>293.33333333333582</v>
      </c>
      <c r="GE117" s="62">
        <f ca="1">AVERAGE(OFFSET($GD$3,0,0,'Données projet'!$E$17+1,1))-AVERAGE(OFFSET($H$3,0,0,'Données projet'!$E$17+1,1))</f>
        <v>292.57482726862594</v>
      </c>
      <c r="GF117" s="62">
        <f t="shared" si="104"/>
        <v>283.48738729114024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>
        <f>EXP(-LN(2)/35)*GL116+(1-EXP(-LN(2)/35))/(LN(2)/35)*GH117*GI117*VLOOKUP('Données projet'!$B$17,Paramètres!$A$1:$I$89,3,0)*0.475*44/12</f>
        <v>0</v>
      </c>
      <c r="GM117" s="23">
        <f>EXP(-LN(2)/25)*GM116+(1-EXP(-LN(2)/25))/(LN(2)/25)*Calculateur!GH117*Calculateur!GJ117*VLOOKUP('Données projet'!$B$17,Paramètres!$A$1:$I$89,3,0)*0.475*44/12</f>
        <v>0</v>
      </c>
      <c r="GN117" s="23">
        <f>EXP(-LN(2)/2)*GN116+(1-EXP(-LN(2)/2))/(LN(2)/2)*GH117*GK117*VLOOKUP('Données projet'!$B$17,Paramètres!$A$1:$I$89,3,0)*0.475*44/12</f>
        <v>0</v>
      </c>
      <c r="GO117" s="23">
        <f t="shared" si="81"/>
        <v>0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-2.2737367544323206E-13</v>
      </c>
      <c r="GV117" s="18">
        <f>GU117*VLOOKUP('Données projet'!$B$18,Paramètres!$A$1:$I$89,3,0)*VLOOKUP('Données projet'!$B$18,Paramètres!$A$1:$I$89,5,0)</f>
        <v>-1.5252226148732008E-13</v>
      </c>
      <c r="GW117" s="14" t="e">
        <f t="shared" si="105"/>
        <v>#NUM!</v>
      </c>
      <c r="GX117" s="22" t="e">
        <f t="shared" si="82"/>
        <v>#NUM!</v>
      </c>
      <c r="GY117" s="62" t="e">
        <f t="shared" si="83"/>
        <v>#NUM!</v>
      </c>
      <c r="GZ117" s="62">
        <f ca="1">AVERAGE(OFFSET($GY$3,0,0,'Données projet'!$E$18+1,1))-AVERAGE(OFFSET($H$3,0,0,'Données projet'!$E$18+1,1))</f>
        <v>410.20186800287411</v>
      </c>
      <c r="HA117" s="62">
        <f t="shared" si="106"/>
        <v>321.99347958016057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>
        <f>EXP(-LN(2)/35)*HG116+(1-EXP(-LN(2)/35))/(LN(2)/35)*HC117*HD117*VLOOKUP('Données projet'!$B$18,Paramètres!$A$1:$I$89,3,0)*0.475*44/12</f>
        <v>0</v>
      </c>
      <c r="HH117" s="23">
        <f>EXP(-LN(2)/25)*HH116+(1-EXP(-LN(2)/25))/(LN(2)/25)*Calculateur!HC117*Calculateur!HE117*VLOOKUP('Données projet'!$B$18,Paramètres!$A$1:$I$89,3,0)*0.475*44/12</f>
        <v>0</v>
      </c>
      <c r="HI117" s="23">
        <f>EXP(-LN(2)/2)*HI116+(1-EXP(-LN(2)/2))/(LN(2)/2)*HC117*HF117*VLOOKUP('Données projet'!$B$18,Paramètres!$A$1:$I$89,3,0)*0.475*44/12</f>
        <v>0</v>
      </c>
      <c r="HJ117" s="24">
        <f t="shared" si="84"/>
        <v>0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4.5</v>
      </c>
      <c r="N118" s="14">
        <f>IF('Données projet'!$A$36&gt;35,N117+M118-V117,IF(A118&lt;'Données projet'!$A$36,$K$205^A118,IF(A118='Données projet'!$A$36,'Données projet'!$B$36,N117+M118-V117)))</f>
        <v>329.49999999999966</v>
      </c>
      <c r="O118" s="14">
        <f>N118*VLOOKUP('Données projet'!$B$9,Paramètres!$A$1:$I$89,3,0)*VLOOKUP('Données projet'!$B$9,Paramètres!$A$1:$I$89,5,0)</f>
        <v>298.13159999999965</v>
      </c>
      <c r="P118" s="14">
        <f t="shared" si="87"/>
        <v>70.784632764375971</v>
      </c>
      <c r="Q118" s="22">
        <f t="shared" si="107"/>
        <v>642.52910539795425</v>
      </c>
      <c r="R118" s="62">
        <f t="shared" si="55"/>
        <v>935.86243873128751</v>
      </c>
      <c r="S118" s="62">
        <f ca="1">AVERAGE(OFFSET($R$3,0,0,'Données projet'!$E$9+1,1))-AVERAGE(OFFSET($H$3,0,0,'Données projet'!$E$9+1,1))</f>
        <v>509.56241660612449</v>
      </c>
      <c r="T118" s="62">
        <f t="shared" si="88"/>
        <v>278.21741231699929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4.5</v>
      </c>
      <c r="AI118" s="14">
        <f>IF('Données projet'!$A$62&gt;35,AI117+AH118-AQ117,IF(A118&lt;'Données projet'!$A$62,$AF$205^A118,IF(A118='Données projet'!$A$62,'Données projet'!$B$62,AI117+AH118-AQ117)))</f>
        <v>329.49999999999966</v>
      </c>
      <c r="AJ118" s="14">
        <f>AI118*VLOOKUP('Données projet'!$B$10,Paramètres!$A$1:$I$89,3,0)*VLOOKUP('Données projet'!$B$10,Paramètres!$A$1:$I$89,5,0)</f>
        <v>334.11299999999966</v>
      </c>
      <c r="AK118" s="14">
        <f t="shared" si="89"/>
        <v>78.282421302277868</v>
      </c>
      <c r="AL118" s="22">
        <f t="shared" si="58"/>
        <v>718.25535876813331</v>
      </c>
      <c r="AM118" s="62">
        <f t="shared" si="59"/>
        <v>1011.5886921014667</v>
      </c>
      <c r="AN118" s="62">
        <f ca="1">AVERAGE(OFFSET($AM$3,0,0,'Données projet'!$E$10+1,1))-AVERAGE(OFFSET($H$3,0,0,'Données projet'!$E$10+1,1))</f>
        <v>565.72091871734051</v>
      </c>
      <c r="AO118" s="62">
        <f t="shared" si="90"/>
        <v>306.61893266146666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-5.6843418860808015E-14</v>
      </c>
      <c r="BE118" s="14">
        <f>BD118*VLOOKUP('Données projet'!$B$11,Paramètres!$A$1:$I$89,3,0)*VLOOKUP('Données projet'!$B$11,Paramètres!$A$1:$I$89,5,0)</f>
        <v>-4.1677594708744434E-14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344.26020118887629</v>
      </c>
      <c r="BJ118" s="62">
        <f t="shared" si="92"/>
        <v>376.41441893222185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4.5</v>
      </c>
      <c r="BY118" s="13">
        <f>IF('Données projet'!$A$114&gt;35,BY117+BX118-CG117,IF(A118&lt;'Données projet'!$A$114,$BV$205^A118,IF(A118='Données projet'!$A$114,'Données projet'!$B$114,BY117+BX118-CG117)))</f>
        <v>329.49999999999966</v>
      </c>
      <c r="BZ118" s="14">
        <f>BY118*VLOOKUP('Données projet'!$B$12,Paramètres!$A$1:$I$89,3,0)*VLOOKUP('Données projet'!$B$12,Paramètres!$A$1:$I$89,5,0)</f>
        <v>277.57079999999974</v>
      </c>
      <c r="CA118" s="14">
        <f t="shared" si="93"/>
        <v>66.453389040149148</v>
      </c>
      <c r="CB118" s="22">
        <f t="shared" si="64"/>
        <v>599.17546257825927</v>
      </c>
      <c r="CC118" s="62">
        <f t="shared" si="65"/>
        <v>892.50879591159264</v>
      </c>
      <c r="CD118" s="62">
        <f ca="1">AVERAGE(OFFSET($CC$3,0,0,'Données projet'!$E$12+1,1))-AVERAGE(OFFSET($H$3,0,0,'Données projet'!$E$12+1,1))</f>
        <v>477.4105367901771</v>
      </c>
      <c r="CE118" s="62">
        <f t="shared" si="94"/>
        <v>261.95434270986397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-6.2527760746888816E-13</v>
      </c>
      <c r="CU118" s="18">
        <f>CT118*VLOOKUP('Données projet'!$B$13,Paramètres!$A$1:$I$89,3,0)*VLOOKUP('Données projet'!$B$13,Paramètres!$A$1:$I$89,5,0)</f>
        <v>-2.9262992029543964E-13</v>
      </c>
      <c r="CV118" s="14" t="e">
        <f t="shared" si="95"/>
        <v>#NUM!</v>
      </c>
      <c r="CW118" s="22" t="e">
        <f t="shared" si="67"/>
        <v>#NUM!</v>
      </c>
      <c r="CX118" s="62" t="e">
        <f t="shared" si="68"/>
        <v>#NUM!</v>
      </c>
      <c r="CY118" s="62">
        <f ca="1">AVERAGE(OFFSET($CX$3,0,0,'Données projet'!$E$13+1,1))-AVERAGE(OFFSET($H$3,0,0,'Données projet'!$E$13+1,1))</f>
        <v>246.64907095367749</v>
      </c>
      <c r="CZ118" s="62">
        <f t="shared" si="96"/>
        <v>145.34368562171613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-5.6843418860808015E-14</v>
      </c>
      <c r="DP118" s="18">
        <f>DO118*VLOOKUP('Données projet'!$B$14,Paramètres!$A$1:$I$89,3,0)*VLOOKUP('Données projet'!$B$14,Paramètres!$A$1:$I$89,5,0)</f>
        <v>-4.5224624045658861E-14</v>
      </c>
      <c r="DQ118" s="14" t="e">
        <f t="shared" si="97"/>
        <v>#NUM!</v>
      </c>
      <c r="DR118" s="22" t="e">
        <f t="shared" si="70"/>
        <v>#NUM!</v>
      </c>
      <c r="DS118" s="62" t="e">
        <f t="shared" si="71"/>
        <v>#NUM!</v>
      </c>
      <c r="DT118" s="62">
        <f ca="1">AVERAGE(OFFSET($DS$3,0,0,'Données projet'!$E$14+1,1))-AVERAGE(OFFSET($H$3,0,0,'Données projet'!$E$14+1,1))</f>
        <v>370.38521334472284</v>
      </c>
      <c r="DU118" s="62">
        <f t="shared" si="98"/>
        <v>404.61777090709171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-1.1368683772161603E-13</v>
      </c>
      <c r="EK118" s="18">
        <f>EJ118*VLOOKUP('Données projet'!$B$15,Paramètres!$A$1:$I$89,3,0)*VLOOKUP('Données projet'!$B$15,Paramètres!$A$1:$I$89,5,0)</f>
        <v>-9.7543306765146564E-14</v>
      </c>
      <c r="EL118" s="14" t="e">
        <f t="shared" si="99"/>
        <v>#NUM!</v>
      </c>
      <c r="EM118" s="22" t="e">
        <f t="shared" si="73"/>
        <v>#NUM!</v>
      </c>
      <c r="EN118" s="62" t="e">
        <f t="shared" si="74"/>
        <v>#NUM!</v>
      </c>
      <c r="EO118" s="62">
        <f ca="1">AVERAGE(OFFSET($EN$3,0,0,'Données projet'!$E$15+1,1))-AVERAGE(OFFSET($H$3,0,0,'Données projet'!$E$15+1,1))</f>
        <v>445.81166342116865</v>
      </c>
      <c r="EP118" s="62">
        <f t="shared" si="100"/>
        <v>230.82970731138215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0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4.5</v>
      </c>
      <c r="FE118" s="13">
        <f>IF('Données projet'!$A$218&gt;35,FE117+FD118-FM117,IF(A118&lt;'Données projet'!$A$218,$FB$205^A118,IF(A118='Données projet'!$A$218,'Données projet'!$B$218,FE117+FD118-FM117)))</f>
        <v>329.49999999999966</v>
      </c>
      <c r="FF118" s="18">
        <f>FE118*VLOOKUP('Données projet'!$B$16,Paramètres!$A$1:$I$89,3,0)*VLOOKUP('Données projet'!$B$16,Paramètres!$A$1:$I$89,5,0)</f>
        <v>318.69239999999968</v>
      </c>
      <c r="FG118" s="14">
        <f t="shared" si="101"/>
        <v>75.081217250277518</v>
      </c>
      <c r="FH118" s="22">
        <f t="shared" si="76"/>
        <v>685.8223833775661</v>
      </c>
      <c r="FI118" s="62">
        <f t="shared" si="77"/>
        <v>979.15571671089947</v>
      </c>
      <c r="FJ118" s="62">
        <f ca="1">AVERAGE(OFFSET($FI$3,0,0,'Données projet'!$E$16+1,1))-AVERAGE(OFFSET($H$3,0,0,'Données projet'!$E$16+1,1))</f>
        <v>541.66888676162716</v>
      </c>
      <c r="FK118" s="62">
        <f t="shared" si="102"/>
        <v>294.45557293177131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>
        <f>EXP(-LN(2)/35)*FQ117+(1-EXP(-LN(2)/35))/(LN(2)/35)*FM118*FN118*VLOOKUP('Données projet'!$B$16,Paramètres!$A$1:$I$89,3,0)*0.475*44/12</f>
        <v>0</v>
      </c>
      <c r="FR118" s="23">
        <f>EXP(-LN(2)/25)*FR117+(1-EXP(-LN(2)/25))/(LN(2)/25)*Calculateur!FM118*Calculateur!FO118*VLOOKUP('Données projet'!$B$16,Paramètres!$A$1:$I$89,3,0)*0.475*44/12</f>
        <v>0</v>
      </c>
      <c r="FS118" s="23">
        <f>EXP(-LN(2)/2)*FS117+(1-EXP(-LN(2)/2))/(LN(2)/2)*FM118*FP118*VLOOKUP('Données projet'!$B$16,Paramètres!$A$1:$I$89,3,0)*0.475*44/12</f>
        <v>0</v>
      </c>
      <c r="FT118" s="24">
        <f t="shared" si="78"/>
        <v>0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1.1368683772161603E-13</v>
      </c>
      <c r="GA118" s="18">
        <f>FZ118*VLOOKUP('Données projet'!$B$17,Paramètres!$A$1:$I$89,3,0)*VLOOKUP('Données projet'!$B$17,Paramètres!$A$1:$I$89,5,0)</f>
        <v>8.8675733422860506E-14</v>
      </c>
      <c r="GB118" s="14">
        <f t="shared" si="103"/>
        <v>1.3509285393066301E-12</v>
      </c>
      <c r="GC118" s="22">
        <f t="shared" si="79"/>
        <v>2.5073107750038623E-12</v>
      </c>
      <c r="GD118" s="62">
        <f t="shared" si="80"/>
        <v>293.33333333333582</v>
      </c>
      <c r="GE118" s="62">
        <f ca="1">AVERAGE(OFFSET($GD$3,0,0,'Données projet'!$E$17+1,1))-AVERAGE(OFFSET($H$3,0,0,'Données projet'!$E$17+1,1))</f>
        <v>292.57482726862594</v>
      </c>
      <c r="GF118" s="62">
        <f t="shared" si="104"/>
        <v>283.48738729114024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>
        <f>EXP(-LN(2)/35)*GL117+(1-EXP(-LN(2)/35))/(LN(2)/35)*GH118*GI118*VLOOKUP('Données projet'!$B$17,Paramètres!$A$1:$I$89,3,0)*0.475*44/12</f>
        <v>0</v>
      </c>
      <c r="GM118" s="23">
        <f>EXP(-LN(2)/25)*GM117+(1-EXP(-LN(2)/25))/(LN(2)/25)*Calculateur!GH118*Calculateur!GJ118*VLOOKUP('Données projet'!$B$17,Paramètres!$A$1:$I$89,3,0)*0.475*44/12</f>
        <v>0</v>
      </c>
      <c r="GN118" s="23">
        <f>EXP(-LN(2)/2)*GN117+(1-EXP(-LN(2)/2))/(LN(2)/2)*GH118*GK118*VLOOKUP('Données projet'!$B$17,Paramètres!$A$1:$I$89,3,0)*0.475*44/12</f>
        <v>0</v>
      </c>
      <c r="GO118" s="23">
        <f t="shared" si="81"/>
        <v>0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-2.2737367544323206E-13</v>
      </c>
      <c r="GV118" s="18">
        <f>GU118*VLOOKUP('Données projet'!$B$18,Paramètres!$A$1:$I$89,3,0)*VLOOKUP('Données projet'!$B$18,Paramètres!$A$1:$I$89,5,0)</f>
        <v>-1.5252226148732008E-13</v>
      </c>
      <c r="GW118" s="14" t="e">
        <f t="shared" si="105"/>
        <v>#NUM!</v>
      </c>
      <c r="GX118" s="22" t="e">
        <f t="shared" si="82"/>
        <v>#NUM!</v>
      </c>
      <c r="GY118" s="62" t="e">
        <f t="shared" si="83"/>
        <v>#NUM!</v>
      </c>
      <c r="GZ118" s="62">
        <f ca="1">AVERAGE(OFFSET($GY$3,0,0,'Données projet'!$E$18+1,1))-AVERAGE(OFFSET($H$3,0,0,'Données projet'!$E$18+1,1))</f>
        <v>410.20186800287411</v>
      </c>
      <c r="HA118" s="62">
        <f t="shared" si="106"/>
        <v>321.99347958016057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>
        <f>EXP(-LN(2)/35)*HG117+(1-EXP(-LN(2)/35))/(LN(2)/35)*HC118*HD118*VLOOKUP('Données projet'!$B$18,Paramètres!$A$1:$I$89,3,0)*0.475*44/12</f>
        <v>0</v>
      </c>
      <c r="HH118" s="23">
        <f>EXP(-LN(2)/25)*HH117+(1-EXP(-LN(2)/25))/(LN(2)/25)*Calculateur!HC118*Calculateur!HE118*VLOOKUP('Données projet'!$B$18,Paramètres!$A$1:$I$89,3,0)*0.475*44/12</f>
        <v>0</v>
      </c>
      <c r="HI118" s="23">
        <f>EXP(-LN(2)/2)*HI117+(1-EXP(-LN(2)/2))/(LN(2)/2)*HC118*HF118*VLOOKUP('Données projet'!$B$18,Paramètres!$A$1:$I$89,3,0)*0.475*44/12</f>
        <v>0</v>
      </c>
      <c r="HJ118" s="24">
        <f t="shared" si="84"/>
        <v>0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4.5</v>
      </c>
      <c r="N119" s="14">
        <f>IF('Données projet'!$A$36&gt;35,N118+M119-V118,IF(A119&lt;'Données projet'!$A$36,$K$205^A119,IF(A119='Données projet'!$A$36,'Données projet'!$B$36,N118+M119-V118)))</f>
        <v>333.99999999999966</v>
      </c>
      <c r="O119" s="14">
        <f>N119*VLOOKUP('Données projet'!$B$9,Paramètres!$A$1:$I$89,3,0)*VLOOKUP('Données projet'!$B$9,Paramètres!$A$1:$I$89,5,0)</f>
        <v>302.2031999999997</v>
      </c>
      <c r="P119" s="14">
        <f t="shared" si="87"/>
        <v>71.638141943842228</v>
      </c>
      <c r="Q119" s="22">
        <f t="shared" si="107"/>
        <v>651.1070038855247</v>
      </c>
      <c r="R119" s="62">
        <f t="shared" si="55"/>
        <v>944.44033721885808</v>
      </c>
      <c r="S119" s="62">
        <f ca="1">AVERAGE(OFFSET($R$3,0,0,'Données projet'!$E$9+1,1))-AVERAGE(OFFSET($H$3,0,0,'Données projet'!$E$9+1,1))</f>
        <v>509.56241660612449</v>
      </c>
      <c r="T119" s="62">
        <f t="shared" si="88"/>
        <v>278.21741231699929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4.5</v>
      </c>
      <c r="AI119" s="14">
        <f>IF('Données projet'!$A$62&gt;35,AI118+AH119-AQ118,IF(A119&lt;'Données projet'!$A$62,$AF$205^A119,IF(A119='Données projet'!$A$62,'Données projet'!$B$62,AI118+AH119-AQ118)))</f>
        <v>333.99999999999966</v>
      </c>
      <c r="AJ119" s="14">
        <f>AI119*VLOOKUP('Données projet'!$B$10,Paramètres!$A$1:$I$89,3,0)*VLOOKUP('Données projet'!$B$10,Paramètres!$A$1:$I$89,5,0)</f>
        <v>338.6759999999997</v>
      </c>
      <c r="AK119" s="14">
        <f t="shared" si="89"/>
        <v>79.226337553065648</v>
      </c>
      <c r="AL119" s="22">
        <f t="shared" si="58"/>
        <v>727.84657123825548</v>
      </c>
      <c r="AM119" s="62">
        <f t="shared" si="59"/>
        <v>1021.1799045715888</v>
      </c>
      <c r="AN119" s="62">
        <f ca="1">AVERAGE(OFFSET($AM$3,0,0,'Données projet'!$E$10+1,1))-AVERAGE(OFFSET($H$3,0,0,'Données projet'!$E$10+1,1))</f>
        <v>565.72091871734051</v>
      </c>
      <c r="AO119" s="62">
        <f t="shared" si="90"/>
        <v>306.61893266146666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-5.6843418860808015E-14</v>
      </c>
      <c r="BE119" s="14">
        <f>BD119*VLOOKUP('Données projet'!$B$11,Paramètres!$A$1:$I$89,3,0)*VLOOKUP('Données projet'!$B$11,Paramètres!$A$1:$I$89,5,0)</f>
        <v>-4.1677594708744434E-14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344.26020118887629</v>
      </c>
      <c r="BJ119" s="62">
        <f t="shared" si="92"/>
        <v>376.41441893222185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4.5</v>
      </c>
      <c r="BY119" s="13">
        <f>IF('Données projet'!$A$114&gt;35,BY118+BX119-CG118,IF(A119&lt;'Données projet'!$A$114,$BV$205^A119,IF(A119='Données projet'!$A$114,'Données projet'!$B$114,BY118+BX119-CG118)))</f>
        <v>333.99999999999966</v>
      </c>
      <c r="BZ119" s="14">
        <f>BY119*VLOOKUP('Données projet'!$B$12,Paramètres!$A$1:$I$89,3,0)*VLOOKUP('Données projet'!$B$12,Paramètres!$A$1:$I$89,5,0)</f>
        <v>281.36159999999973</v>
      </c>
      <c r="CA119" s="14">
        <f t="shared" si="93"/>
        <v>67.254672812309238</v>
      </c>
      <c r="CB119" s="22">
        <f t="shared" si="64"/>
        <v>607.17334181477145</v>
      </c>
      <c r="CC119" s="62">
        <f t="shared" si="65"/>
        <v>900.5066751481047</v>
      </c>
      <c r="CD119" s="62">
        <f ca="1">AVERAGE(OFFSET($CC$3,0,0,'Données projet'!$E$12+1,1))-AVERAGE(OFFSET($H$3,0,0,'Données projet'!$E$12+1,1))</f>
        <v>477.4105367901771</v>
      </c>
      <c r="CE119" s="62">
        <f t="shared" si="94"/>
        <v>261.95434270986397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-6.2527760746888816E-13</v>
      </c>
      <c r="CU119" s="18">
        <f>CT119*VLOOKUP('Données projet'!$B$13,Paramètres!$A$1:$I$89,3,0)*VLOOKUP('Données projet'!$B$13,Paramètres!$A$1:$I$89,5,0)</f>
        <v>-2.9262992029543964E-13</v>
      </c>
      <c r="CV119" s="14" t="e">
        <f t="shared" si="95"/>
        <v>#NUM!</v>
      </c>
      <c r="CW119" s="22" t="e">
        <f t="shared" si="67"/>
        <v>#NUM!</v>
      </c>
      <c r="CX119" s="62" t="e">
        <f t="shared" si="68"/>
        <v>#NUM!</v>
      </c>
      <c r="CY119" s="62">
        <f ca="1">AVERAGE(OFFSET($CX$3,0,0,'Données projet'!$E$13+1,1))-AVERAGE(OFFSET($H$3,0,0,'Données projet'!$E$13+1,1))</f>
        <v>246.64907095367749</v>
      </c>
      <c r="CZ119" s="62">
        <f t="shared" si="96"/>
        <v>145.34368562171613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-5.6843418860808015E-14</v>
      </c>
      <c r="DP119" s="18">
        <f>DO119*VLOOKUP('Données projet'!$B$14,Paramètres!$A$1:$I$89,3,0)*VLOOKUP('Données projet'!$B$14,Paramètres!$A$1:$I$89,5,0)</f>
        <v>-4.5224624045658861E-14</v>
      </c>
      <c r="DQ119" s="14" t="e">
        <f t="shared" si="97"/>
        <v>#NUM!</v>
      </c>
      <c r="DR119" s="22" t="e">
        <f t="shared" si="70"/>
        <v>#NUM!</v>
      </c>
      <c r="DS119" s="62" t="e">
        <f t="shared" si="71"/>
        <v>#NUM!</v>
      </c>
      <c r="DT119" s="62">
        <f ca="1">AVERAGE(OFFSET($DS$3,0,0,'Données projet'!$E$14+1,1))-AVERAGE(OFFSET($H$3,0,0,'Données projet'!$E$14+1,1))</f>
        <v>370.38521334472284</v>
      </c>
      <c r="DU119" s="62">
        <f t="shared" si="98"/>
        <v>404.61777090709171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-1.1368683772161603E-13</v>
      </c>
      <c r="EK119" s="18">
        <f>EJ119*VLOOKUP('Données projet'!$B$15,Paramètres!$A$1:$I$89,3,0)*VLOOKUP('Données projet'!$B$15,Paramètres!$A$1:$I$89,5,0)</f>
        <v>-9.7543306765146564E-14</v>
      </c>
      <c r="EL119" s="14" t="e">
        <f t="shared" si="99"/>
        <v>#NUM!</v>
      </c>
      <c r="EM119" s="22" t="e">
        <f t="shared" si="73"/>
        <v>#NUM!</v>
      </c>
      <c r="EN119" s="62" t="e">
        <f t="shared" si="74"/>
        <v>#NUM!</v>
      </c>
      <c r="EO119" s="62">
        <f ca="1">AVERAGE(OFFSET($EN$3,0,0,'Données projet'!$E$15+1,1))-AVERAGE(OFFSET($H$3,0,0,'Données projet'!$E$15+1,1))</f>
        <v>445.81166342116865</v>
      </c>
      <c r="EP119" s="62">
        <f t="shared" si="100"/>
        <v>230.82970731138215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0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4.5</v>
      </c>
      <c r="FE119" s="13">
        <f>IF('Données projet'!$A$218&gt;35,FE118+FD119-FM118,IF(A119&lt;'Données projet'!$A$218,$FB$205^A119,IF(A119='Données projet'!$A$218,'Données projet'!$B$218,FE118+FD119-FM118)))</f>
        <v>333.99999999999966</v>
      </c>
      <c r="FF119" s="18">
        <f>FE119*VLOOKUP('Données projet'!$B$16,Paramètres!$A$1:$I$89,3,0)*VLOOKUP('Données projet'!$B$16,Paramètres!$A$1:$I$89,5,0)</f>
        <v>323.04479999999967</v>
      </c>
      <c r="FG119" s="14">
        <f t="shared" si="101"/>
        <v>75.986533921791761</v>
      </c>
      <c r="FH119" s="22">
        <f t="shared" si="76"/>
        <v>694.97957324712013</v>
      </c>
      <c r="FI119" s="62">
        <f t="shared" si="77"/>
        <v>988.3129065804535</v>
      </c>
      <c r="FJ119" s="62">
        <f ca="1">AVERAGE(OFFSET($FI$3,0,0,'Données projet'!$E$16+1,1))-AVERAGE(OFFSET($H$3,0,0,'Données projet'!$E$16+1,1))</f>
        <v>541.66888676162716</v>
      </c>
      <c r="FK119" s="62">
        <f t="shared" si="102"/>
        <v>294.45557293177131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>
        <f>EXP(-LN(2)/35)*FQ118+(1-EXP(-LN(2)/35))/(LN(2)/35)*FM119*FN119*VLOOKUP('Données projet'!$B$16,Paramètres!$A$1:$I$89,3,0)*0.475*44/12</f>
        <v>0</v>
      </c>
      <c r="FR119" s="23">
        <f>EXP(-LN(2)/25)*FR118+(1-EXP(-LN(2)/25))/(LN(2)/25)*Calculateur!FM119*Calculateur!FO119*VLOOKUP('Données projet'!$B$16,Paramètres!$A$1:$I$89,3,0)*0.475*44/12</f>
        <v>0</v>
      </c>
      <c r="FS119" s="23">
        <f>EXP(-LN(2)/2)*FS118+(1-EXP(-LN(2)/2))/(LN(2)/2)*FM119*FP119*VLOOKUP('Données projet'!$B$16,Paramètres!$A$1:$I$89,3,0)*0.475*44/12</f>
        <v>0</v>
      </c>
      <c r="FT119" s="24">
        <f t="shared" si="78"/>
        <v>0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1.1368683772161603E-13</v>
      </c>
      <c r="GA119" s="18">
        <f>FZ119*VLOOKUP('Données projet'!$B$17,Paramètres!$A$1:$I$89,3,0)*VLOOKUP('Données projet'!$B$17,Paramètres!$A$1:$I$89,5,0)</f>
        <v>8.8675733422860506E-14</v>
      </c>
      <c r="GB119" s="14">
        <f t="shared" si="103"/>
        <v>1.3509285393066301E-12</v>
      </c>
      <c r="GC119" s="22">
        <f t="shared" si="79"/>
        <v>2.5073107750038623E-12</v>
      </c>
      <c r="GD119" s="62">
        <f t="shared" si="80"/>
        <v>293.33333333333582</v>
      </c>
      <c r="GE119" s="62">
        <f ca="1">AVERAGE(OFFSET($GD$3,0,0,'Données projet'!$E$17+1,1))-AVERAGE(OFFSET($H$3,0,0,'Données projet'!$E$17+1,1))</f>
        <v>292.57482726862594</v>
      </c>
      <c r="GF119" s="62">
        <f t="shared" si="104"/>
        <v>283.48738729114024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>
        <f>EXP(-LN(2)/35)*GL118+(1-EXP(-LN(2)/35))/(LN(2)/35)*GH119*GI119*VLOOKUP('Données projet'!$B$17,Paramètres!$A$1:$I$89,3,0)*0.475*44/12</f>
        <v>0</v>
      </c>
      <c r="GM119" s="23">
        <f>EXP(-LN(2)/25)*GM118+(1-EXP(-LN(2)/25))/(LN(2)/25)*Calculateur!GH119*Calculateur!GJ119*VLOOKUP('Données projet'!$B$17,Paramètres!$A$1:$I$89,3,0)*0.475*44/12</f>
        <v>0</v>
      </c>
      <c r="GN119" s="23">
        <f>EXP(-LN(2)/2)*GN118+(1-EXP(-LN(2)/2))/(LN(2)/2)*GH119*GK119*VLOOKUP('Données projet'!$B$17,Paramètres!$A$1:$I$89,3,0)*0.475*44/12</f>
        <v>0</v>
      </c>
      <c r="GO119" s="23">
        <f t="shared" si="81"/>
        <v>0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-2.2737367544323206E-13</v>
      </c>
      <c r="GV119" s="18">
        <f>GU119*VLOOKUP('Données projet'!$B$18,Paramètres!$A$1:$I$89,3,0)*VLOOKUP('Données projet'!$B$18,Paramètres!$A$1:$I$89,5,0)</f>
        <v>-1.5252226148732008E-13</v>
      </c>
      <c r="GW119" s="14" t="e">
        <f t="shared" si="105"/>
        <v>#NUM!</v>
      </c>
      <c r="GX119" s="22" t="e">
        <f t="shared" si="82"/>
        <v>#NUM!</v>
      </c>
      <c r="GY119" s="62" t="e">
        <f t="shared" si="83"/>
        <v>#NUM!</v>
      </c>
      <c r="GZ119" s="62">
        <f ca="1">AVERAGE(OFFSET($GY$3,0,0,'Données projet'!$E$18+1,1))-AVERAGE(OFFSET($H$3,0,0,'Données projet'!$E$18+1,1))</f>
        <v>410.20186800287411</v>
      </c>
      <c r="HA119" s="62">
        <f t="shared" si="106"/>
        <v>321.99347958016057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>
        <f>EXP(-LN(2)/35)*HG118+(1-EXP(-LN(2)/35))/(LN(2)/35)*HC119*HD119*VLOOKUP('Données projet'!$B$18,Paramètres!$A$1:$I$89,3,0)*0.475*44/12</f>
        <v>0</v>
      </c>
      <c r="HH119" s="23">
        <f>EXP(-LN(2)/25)*HH118+(1-EXP(-LN(2)/25))/(LN(2)/25)*Calculateur!HC119*Calculateur!HE119*VLOOKUP('Données projet'!$B$18,Paramètres!$A$1:$I$89,3,0)*0.475*44/12</f>
        <v>0</v>
      </c>
      <c r="HI119" s="23">
        <f>EXP(-LN(2)/2)*HI118+(1-EXP(-LN(2)/2))/(LN(2)/2)*HC119*HF119*VLOOKUP('Données projet'!$B$18,Paramètres!$A$1:$I$89,3,0)*0.475*44/12</f>
        <v>0</v>
      </c>
      <c r="HJ119" s="24">
        <f t="shared" si="84"/>
        <v>0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4.5</v>
      </c>
      <c r="N120" s="14">
        <f>IF('Données projet'!$A$36&gt;35,N119+M120-V119,IF(A120&lt;'Données projet'!$A$36,$K$205^A120,IF(A120='Données projet'!$A$36,'Données projet'!$B$36,N119+M120-V119)))</f>
        <v>338.49999999999966</v>
      </c>
      <c r="O120" s="14">
        <f>N120*VLOOKUP('Données projet'!$B$9,Paramètres!$A$1:$I$89,3,0)*VLOOKUP('Données projet'!$B$9,Paramètres!$A$1:$I$89,5,0)</f>
        <v>306.27479999999969</v>
      </c>
      <c r="P120" s="14">
        <f t="shared" si="87"/>
        <v>72.490313602282981</v>
      </c>
      <c r="Q120" s="22">
        <f t="shared" si="107"/>
        <v>659.68257285730897</v>
      </c>
      <c r="R120" s="62">
        <f t="shared" si="55"/>
        <v>953.01590619064223</v>
      </c>
      <c r="S120" s="62">
        <f ca="1">AVERAGE(OFFSET($R$3,0,0,'Données projet'!$E$9+1,1))-AVERAGE(OFFSET($H$3,0,0,'Données projet'!$E$9+1,1))</f>
        <v>509.56241660612449</v>
      </c>
      <c r="T120" s="62">
        <f t="shared" si="88"/>
        <v>278.21741231699929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4.5</v>
      </c>
      <c r="AI120" s="14">
        <f>IF('Données projet'!$A$62&gt;35,AI119+AH120-AQ119,IF(A120&lt;'Données projet'!$A$62,$AF$205^A120,IF(A120='Données projet'!$A$62,'Données projet'!$B$62,AI119+AH120-AQ119)))</f>
        <v>338.49999999999966</v>
      </c>
      <c r="AJ120" s="14">
        <f>AI120*VLOOKUP('Données projet'!$B$10,Paramètres!$A$1:$I$89,3,0)*VLOOKUP('Données projet'!$B$10,Paramètres!$A$1:$I$89,5,0)</f>
        <v>343.23899999999969</v>
      </c>
      <c r="AK120" s="14">
        <f t="shared" si="89"/>
        <v>80.168774607305735</v>
      </c>
      <c r="AL120" s="22">
        <f t="shared" si="58"/>
        <v>737.43520744105683</v>
      </c>
      <c r="AM120" s="62">
        <f t="shared" si="59"/>
        <v>1030.7685407743902</v>
      </c>
      <c r="AN120" s="62">
        <f ca="1">AVERAGE(OFFSET($AM$3,0,0,'Données projet'!$E$10+1,1))-AVERAGE(OFFSET($H$3,0,0,'Données projet'!$E$10+1,1))</f>
        <v>565.72091871734051</v>
      </c>
      <c r="AO120" s="62">
        <f t="shared" si="90"/>
        <v>306.61893266146666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-5.6843418860808015E-14</v>
      </c>
      <c r="BE120" s="14">
        <f>BD120*VLOOKUP('Données projet'!$B$11,Paramètres!$A$1:$I$89,3,0)*VLOOKUP('Données projet'!$B$11,Paramètres!$A$1:$I$89,5,0)</f>
        <v>-4.1677594708744434E-14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344.26020118887629</v>
      </c>
      <c r="BJ120" s="62">
        <f t="shared" si="92"/>
        <v>376.41441893222185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4.5</v>
      </c>
      <c r="BY120" s="13">
        <f>IF('Données projet'!$A$114&gt;35,BY119+BX120-CG119,IF(A120&lt;'Données projet'!$A$114,$BV$205^A120,IF(A120='Données projet'!$A$114,'Données projet'!$B$114,BY119+BX120-CG119)))</f>
        <v>338.49999999999966</v>
      </c>
      <c r="BZ120" s="14">
        <f>BY120*VLOOKUP('Données projet'!$B$12,Paramètres!$A$1:$I$89,3,0)*VLOOKUP('Données projet'!$B$12,Paramètres!$A$1:$I$89,5,0)</f>
        <v>285.15239999999972</v>
      </c>
      <c r="CA120" s="14">
        <f t="shared" si="93"/>
        <v>68.054700905071442</v>
      </c>
      <c r="CB120" s="22">
        <f t="shared" si="64"/>
        <v>615.1690340763322</v>
      </c>
      <c r="CC120" s="62">
        <f t="shared" si="65"/>
        <v>908.50236740966557</v>
      </c>
      <c r="CD120" s="62">
        <f ca="1">AVERAGE(OFFSET($CC$3,0,0,'Données projet'!$E$12+1,1))-AVERAGE(OFFSET($H$3,0,0,'Données projet'!$E$12+1,1))</f>
        <v>477.4105367901771</v>
      </c>
      <c r="CE120" s="62">
        <f t="shared" si="94"/>
        <v>261.95434270986397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-6.2527760746888816E-13</v>
      </c>
      <c r="CU120" s="18">
        <f>CT120*VLOOKUP('Données projet'!$B$13,Paramètres!$A$1:$I$89,3,0)*VLOOKUP('Données projet'!$B$13,Paramètres!$A$1:$I$89,5,0)</f>
        <v>-2.9262992029543964E-13</v>
      </c>
      <c r="CV120" s="14" t="e">
        <f t="shared" si="95"/>
        <v>#NUM!</v>
      </c>
      <c r="CW120" s="22" t="e">
        <f t="shared" si="67"/>
        <v>#NUM!</v>
      </c>
      <c r="CX120" s="62" t="e">
        <f t="shared" si="68"/>
        <v>#NUM!</v>
      </c>
      <c r="CY120" s="62">
        <f ca="1">AVERAGE(OFFSET($CX$3,0,0,'Données projet'!$E$13+1,1))-AVERAGE(OFFSET($H$3,0,0,'Données projet'!$E$13+1,1))</f>
        <v>246.64907095367749</v>
      </c>
      <c r="CZ120" s="62">
        <f t="shared" si="96"/>
        <v>145.34368562171613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-5.6843418860808015E-14</v>
      </c>
      <c r="DP120" s="18">
        <f>DO120*VLOOKUP('Données projet'!$B$14,Paramètres!$A$1:$I$89,3,0)*VLOOKUP('Données projet'!$B$14,Paramètres!$A$1:$I$89,5,0)</f>
        <v>-4.5224624045658861E-14</v>
      </c>
      <c r="DQ120" s="14" t="e">
        <f t="shared" si="97"/>
        <v>#NUM!</v>
      </c>
      <c r="DR120" s="22" t="e">
        <f t="shared" si="70"/>
        <v>#NUM!</v>
      </c>
      <c r="DS120" s="62" t="e">
        <f t="shared" si="71"/>
        <v>#NUM!</v>
      </c>
      <c r="DT120" s="62">
        <f ca="1">AVERAGE(OFFSET($DS$3,0,0,'Données projet'!$E$14+1,1))-AVERAGE(OFFSET($H$3,0,0,'Données projet'!$E$14+1,1))</f>
        <v>370.38521334472284</v>
      </c>
      <c r="DU120" s="62">
        <f t="shared" si="98"/>
        <v>404.61777090709171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-1.1368683772161603E-13</v>
      </c>
      <c r="EK120" s="18">
        <f>EJ120*VLOOKUP('Données projet'!$B$15,Paramètres!$A$1:$I$89,3,0)*VLOOKUP('Données projet'!$B$15,Paramètres!$A$1:$I$89,5,0)</f>
        <v>-9.7543306765146564E-14</v>
      </c>
      <c r="EL120" s="14" t="e">
        <f t="shared" si="99"/>
        <v>#NUM!</v>
      </c>
      <c r="EM120" s="22" t="e">
        <f t="shared" si="73"/>
        <v>#NUM!</v>
      </c>
      <c r="EN120" s="62" t="e">
        <f t="shared" si="74"/>
        <v>#NUM!</v>
      </c>
      <c r="EO120" s="62">
        <f ca="1">AVERAGE(OFFSET($EN$3,0,0,'Données projet'!$E$15+1,1))-AVERAGE(OFFSET($H$3,0,0,'Données projet'!$E$15+1,1))</f>
        <v>445.81166342116865</v>
      </c>
      <c r="EP120" s="62">
        <f t="shared" si="100"/>
        <v>230.82970731138215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0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4.5</v>
      </c>
      <c r="FE120" s="13">
        <f>IF('Données projet'!$A$218&gt;35,FE119+FD120-FM119,IF(A120&lt;'Données projet'!$A$218,$FB$205^A120,IF(A120='Données projet'!$A$218,'Données projet'!$B$218,FE119+FD120-FM119)))</f>
        <v>338.49999999999966</v>
      </c>
      <c r="FF120" s="18">
        <f>FE120*VLOOKUP('Données projet'!$B$16,Paramètres!$A$1:$I$89,3,0)*VLOOKUP('Données projet'!$B$16,Paramètres!$A$1:$I$89,5,0)</f>
        <v>327.39719999999966</v>
      </c>
      <c r="FG120" s="14">
        <f t="shared" si="101"/>
        <v>76.890431885561796</v>
      </c>
      <c r="FH120" s="22">
        <f t="shared" si="76"/>
        <v>704.1342922006861</v>
      </c>
      <c r="FI120" s="62">
        <f t="shared" si="77"/>
        <v>997.46762553401936</v>
      </c>
      <c r="FJ120" s="62">
        <f ca="1">AVERAGE(OFFSET($FI$3,0,0,'Données projet'!$E$16+1,1))-AVERAGE(OFFSET($H$3,0,0,'Données projet'!$E$16+1,1))</f>
        <v>541.66888676162716</v>
      </c>
      <c r="FK120" s="62">
        <f t="shared" si="102"/>
        <v>294.45557293177131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>
        <f>EXP(-LN(2)/35)*FQ119+(1-EXP(-LN(2)/35))/(LN(2)/35)*FM120*FN120*VLOOKUP('Données projet'!$B$16,Paramètres!$A$1:$I$89,3,0)*0.475*44/12</f>
        <v>0</v>
      </c>
      <c r="FR120" s="23">
        <f>EXP(-LN(2)/25)*FR119+(1-EXP(-LN(2)/25))/(LN(2)/25)*Calculateur!FM120*Calculateur!FO120*VLOOKUP('Données projet'!$B$16,Paramètres!$A$1:$I$89,3,0)*0.475*44/12</f>
        <v>0</v>
      </c>
      <c r="FS120" s="23">
        <f>EXP(-LN(2)/2)*FS119+(1-EXP(-LN(2)/2))/(LN(2)/2)*FM120*FP120*VLOOKUP('Données projet'!$B$16,Paramètres!$A$1:$I$89,3,0)*0.475*44/12</f>
        <v>0</v>
      </c>
      <c r="FT120" s="24">
        <f t="shared" si="78"/>
        <v>0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1.1368683772161603E-13</v>
      </c>
      <c r="GA120" s="18">
        <f>FZ120*VLOOKUP('Données projet'!$B$17,Paramètres!$A$1:$I$89,3,0)*VLOOKUP('Données projet'!$B$17,Paramètres!$A$1:$I$89,5,0)</f>
        <v>8.8675733422860506E-14</v>
      </c>
      <c r="GB120" s="14">
        <f t="shared" si="103"/>
        <v>1.3509285393066301E-12</v>
      </c>
      <c r="GC120" s="22">
        <f t="shared" si="79"/>
        <v>2.5073107750038623E-12</v>
      </c>
      <c r="GD120" s="62">
        <f t="shared" si="80"/>
        <v>293.33333333333582</v>
      </c>
      <c r="GE120" s="62">
        <f ca="1">AVERAGE(OFFSET($GD$3,0,0,'Données projet'!$E$17+1,1))-AVERAGE(OFFSET($H$3,0,0,'Données projet'!$E$17+1,1))</f>
        <v>292.57482726862594</v>
      </c>
      <c r="GF120" s="62">
        <f t="shared" si="104"/>
        <v>283.48738729114024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>
        <f>EXP(-LN(2)/35)*GL119+(1-EXP(-LN(2)/35))/(LN(2)/35)*GH120*GI120*VLOOKUP('Données projet'!$B$17,Paramètres!$A$1:$I$89,3,0)*0.475*44/12</f>
        <v>0</v>
      </c>
      <c r="GM120" s="23">
        <f>EXP(-LN(2)/25)*GM119+(1-EXP(-LN(2)/25))/(LN(2)/25)*Calculateur!GH120*Calculateur!GJ120*VLOOKUP('Données projet'!$B$17,Paramètres!$A$1:$I$89,3,0)*0.475*44/12</f>
        <v>0</v>
      </c>
      <c r="GN120" s="23">
        <f>EXP(-LN(2)/2)*GN119+(1-EXP(-LN(2)/2))/(LN(2)/2)*GH120*GK120*VLOOKUP('Données projet'!$B$17,Paramètres!$A$1:$I$89,3,0)*0.475*44/12</f>
        <v>0</v>
      </c>
      <c r="GO120" s="23">
        <f t="shared" si="81"/>
        <v>0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-2.2737367544323206E-13</v>
      </c>
      <c r="GV120" s="18">
        <f>GU120*VLOOKUP('Données projet'!$B$18,Paramètres!$A$1:$I$89,3,0)*VLOOKUP('Données projet'!$B$18,Paramètres!$A$1:$I$89,5,0)</f>
        <v>-1.5252226148732008E-13</v>
      </c>
      <c r="GW120" s="14" t="e">
        <f t="shared" si="105"/>
        <v>#NUM!</v>
      </c>
      <c r="GX120" s="22" t="e">
        <f t="shared" si="82"/>
        <v>#NUM!</v>
      </c>
      <c r="GY120" s="62" t="e">
        <f t="shared" si="83"/>
        <v>#NUM!</v>
      </c>
      <c r="GZ120" s="62">
        <f ca="1">AVERAGE(OFFSET($GY$3,0,0,'Données projet'!$E$18+1,1))-AVERAGE(OFFSET($H$3,0,0,'Données projet'!$E$18+1,1))</f>
        <v>410.20186800287411</v>
      </c>
      <c r="HA120" s="62">
        <f t="shared" si="106"/>
        <v>321.99347958016057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>
        <f>EXP(-LN(2)/35)*HG119+(1-EXP(-LN(2)/35))/(LN(2)/35)*HC120*HD120*VLOOKUP('Données projet'!$B$18,Paramètres!$A$1:$I$89,3,0)*0.475*44/12</f>
        <v>0</v>
      </c>
      <c r="HH120" s="23">
        <f>EXP(-LN(2)/25)*HH119+(1-EXP(-LN(2)/25))/(LN(2)/25)*Calculateur!HC120*Calculateur!HE120*VLOOKUP('Données projet'!$B$18,Paramètres!$A$1:$I$89,3,0)*0.475*44/12</f>
        <v>0</v>
      </c>
      <c r="HI120" s="23">
        <f>EXP(-LN(2)/2)*HI119+(1-EXP(-LN(2)/2))/(LN(2)/2)*HC120*HF120*VLOOKUP('Données projet'!$B$18,Paramètres!$A$1:$I$89,3,0)*0.475*44/12</f>
        <v>0</v>
      </c>
      <c r="HJ120" s="24">
        <f t="shared" si="84"/>
        <v>0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4.5</v>
      </c>
      <c r="N121" s="14">
        <f>IF('Données projet'!$A$36&gt;35,N120+M121-V120,IF(A121&lt;'Données projet'!$A$36,$K$205^A121,IF(A121='Données projet'!$A$36,'Données projet'!$B$36,N120+M121-V120)))</f>
        <v>342.99999999999966</v>
      </c>
      <c r="O121" s="14">
        <f>N121*VLOOKUP('Données projet'!$B$9,Paramètres!$A$1:$I$89,3,0)*VLOOKUP('Données projet'!$B$9,Paramètres!$A$1:$I$89,5,0)</f>
        <v>310.34639999999968</v>
      </c>
      <c r="P121" s="14">
        <f t="shared" si="87"/>
        <v>73.341167576152998</v>
      </c>
      <c r="Q121" s="22">
        <f t="shared" si="107"/>
        <v>668.25584686179923</v>
      </c>
      <c r="R121" s="62">
        <f t="shared" si="55"/>
        <v>961.58918019513249</v>
      </c>
      <c r="S121" s="62">
        <f ca="1">AVERAGE(OFFSET($R$3,0,0,'Données projet'!$E$9+1,1))-AVERAGE(OFFSET($H$3,0,0,'Données projet'!$E$9+1,1))</f>
        <v>509.56241660612449</v>
      </c>
      <c r="T121" s="62">
        <f t="shared" si="88"/>
        <v>278.21741231699929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4.5</v>
      </c>
      <c r="AI121" s="14">
        <f>IF('Données projet'!$A$62&gt;35,AI120+AH121-AQ120,IF(A121&lt;'Données projet'!$A$62,$AF$205^A121,IF(A121='Données projet'!$A$62,'Données projet'!$B$62,AI120+AH121-AQ120)))</f>
        <v>342.99999999999966</v>
      </c>
      <c r="AJ121" s="14">
        <f>AI121*VLOOKUP('Données projet'!$B$10,Paramètres!$A$1:$I$89,3,0)*VLOOKUP('Données projet'!$B$10,Paramètres!$A$1:$I$89,5,0)</f>
        <v>347.80199999999968</v>
      </c>
      <c r="AK121" s="14">
        <f t="shared" si="89"/>
        <v>81.109754402608502</v>
      </c>
      <c r="AL121" s="22">
        <f t="shared" si="58"/>
        <v>747.02130558454246</v>
      </c>
      <c r="AM121" s="62">
        <f t="shared" si="59"/>
        <v>1040.3546389178757</v>
      </c>
      <c r="AN121" s="62">
        <f ca="1">AVERAGE(OFFSET($AM$3,0,0,'Données projet'!$E$10+1,1))-AVERAGE(OFFSET($H$3,0,0,'Données projet'!$E$10+1,1))</f>
        <v>565.72091871734051</v>
      </c>
      <c r="AO121" s="62">
        <f t="shared" si="90"/>
        <v>306.61893266146666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-5.6843418860808015E-14</v>
      </c>
      <c r="BE121" s="14">
        <f>BD121*VLOOKUP('Données projet'!$B$11,Paramètres!$A$1:$I$89,3,0)*VLOOKUP('Données projet'!$B$11,Paramètres!$A$1:$I$89,5,0)</f>
        <v>-4.1677594708744434E-14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344.26020118887629</v>
      </c>
      <c r="BJ121" s="62">
        <f t="shared" si="92"/>
        <v>376.41441893222185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4.5</v>
      </c>
      <c r="BY121" s="13">
        <f>IF('Données projet'!$A$114&gt;35,BY120+BX121-CG120,IF(A121&lt;'Données projet'!$A$114,$BV$205^A121,IF(A121='Données projet'!$A$114,'Données projet'!$B$114,BY120+BX121-CG120)))</f>
        <v>342.99999999999966</v>
      </c>
      <c r="BZ121" s="14">
        <f>BY121*VLOOKUP('Données projet'!$B$12,Paramètres!$A$1:$I$89,3,0)*VLOOKUP('Données projet'!$B$12,Paramètres!$A$1:$I$89,5,0)</f>
        <v>288.94319999999976</v>
      </c>
      <c r="CA121" s="14">
        <f t="shared" si="93"/>
        <v>68.853491941116658</v>
      </c>
      <c r="CB121" s="22">
        <f t="shared" si="64"/>
        <v>623.16257179744446</v>
      </c>
      <c r="CC121" s="62">
        <f t="shared" si="65"/>
        <v>916.49590513077783</v>
      </c>
      <c r="CD121" s="62">
        <f ca="1">AVERAGE(OFFSET($CC$3,0,0,'Données projet'!$E$12+1,1))-AVERAGE(OFFSET($H$3,0,0,'Données projet'!$E$12+1,1))</f>
        <v>477.4105367901771</v>
      </c>
      <c r="CE121" s="62">
        <f t="shared" si="94"/>
        <v>261.95434270986397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-6.2527760746888816E-13</v>
      </c>
      <c r="CU121" s="18">
        <f>CT121*VLOOKUP('Données projet'!$B$13,Paramètres!$A$1:$I$89,3,0)*VLOOKUP('Données projet'!$B$13,Paramètres!$A$1:$I$89,5,0)</f>
        <v>-2.9262992029543964E-13</v>
      </c>
      <c r="CV121" s="14" t="e">
        <f t="shared" si="95"/>
        <v>#NUM!</v>
      </c>
      <c r="CW121" s="22" t="e">
        <f t="shared" si="67"/>
        <v>#NUM!</v>
      </c>
      <c r="CX121" s="62" t="e">
        <f t="shared" si="68"/>
        <v>#NUM!</v>
      </c>
      <c r="CY121" s="62">
        <f ca="1">AVERAGE(OFFSET($CX$3,0,0,'Données projet'!$E$13+1,1))-AVERAGE(OFFSET($H$3,0,0,'Données projet'!$E$13+1,1))</f>
        <v>246.64907095367749</v>
      </c>
      <c r="CZ121" s="62">
        <f t="shared" si="96"/>
        <v>145.34368562171613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-5.6843418860808015E-14</v>
      </c>
      <c r="DP121" s="18">
        <f>DO121*VLOOKUP('Données projet'!$B$14,Paramètres!$A$1:$I$89,3,0)*VLOOKUP('Données projet'!$B$14,Paramètres!$A$1:$I$89,5,0)</f>
        <v>-4.5224624045658861E-14</v>
      </c>
      <c r="DQ121" s="14" t="e">
        <f t="shared" si="97"/>
        <v>#NUM!</v>
      </c>
      <c r="DR121" s="22" t="e">
        <f t="shared" si="70"/>
        <v>#NUM!</v>
      </c>
      <c r="DS121" s="62" t="e">
        <f t="shared" si="71"/>
        <v>#NUM!</v>
      </c>
      <c r="DT121" s="62">
        <f ca="1">AVERAGE(OFFSET($DS$3,0,0,'Données projet'!$E$14+1,1))-AVERAGE(OFFSET($H$3,0,0,'Données projet'!$E$14+1,1))</f>
        <v>370.38521334472284</v>
      </c>
      <c r="DU121" s="62">
        <f t="shared" si="98"/>
        <v>404.61777090709171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-1.1368683772161603E-13</v>
      </c>
      <c r="EK121" s="18">
        <f>EJ121*VLOOKUP('Données projet'!$B$15,Paramètres!$A$1:$I$89,3,0)*VLOOKUP('Données projet'!$B$15,Paramètres!$A$1:$I$89,5,0)</f>
        <v>-9.7543306765146564E-14</v>
      </c>
      <c r="EL121" s="14" t="e">
        <f t="shared" si="99"/>
        <v>#NUM!</v>
      </c>
      <c r="EM121" s="22" t="e">
        <f t="shared" si="73"/>
        <v>#NUM!</v>
      </c>
      <c r="EN121" s="62" t="e">
        <f t="shared" si="74"/>
        <v>#NUM!</v>
      </c>
      <c r="EO121" s="62">
        <f ca="1">AVERAGE(OFFSET($EN$3,0,0,'Données projet'!$E$15+1,1))-AVERAGE(OFFSET($H$3,0,0,'Données projet'!$E$15+1,1))</f>
        <v>445.81166342116865</v>
      </c>
      <c r="EP121" s="62">
        <f t="shared" si="100"/>
        <v>230.82970731138215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0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4.5</v>
      </c>
      <c r="FE121" s="13">
        <f>IF('Données projet'!$A$218&gt;35,FE120+FD121-FM120,IF(A121&lt;'Données projet'!$A$218,$FB$205^A121,IF(A121='Données projet'!$A$218,'Données projet'!$B$218,FE120+FD121-FM120)))</f>
        <v>342.99999999999966</v>
      </c>
      <c r="FF121" s="18">
        <f>FE121*VLOOKUP('Données projet'!$B$16,Paramètres!$A$1:$I$89,3,0)*VLOOKUP('Données projet'!$B$16,Paramètres!$A$1:$I$89,5,0)</f>
        <v>331.7495999999997</v>
      </c>
      <c r="FG121" s="14">
        <f t="shared" si="101"/>
        <v>77.792932182102746</v>
      </c>
      <c r="FH121" s="22">
        <f t="shared" si="76"/>
        <v>713.28657688382839</v>
      </c>
      <c r="FI121" s="62">
        <f t="shared" si="77"/>
        <v>1006.6199102171618</v>
      </c>
      <c r="FJ121" s="62">
        <f ca="1">AVERAGE(OFFSET($FI$3,0,0,'Données projet'!$E$16+1,1))-AVERAGE(OFFSET($H$3,0,0,'Données projet'!$E$16+1,1))</f>
        <v>541.66888676162716</v>
      </c>
      <c r="FK121" s="62">
        <f t="shared" si="102"/>
        <v>294.45557293177131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>
        <f>EXP(-LN(2)/35)*FQ120+(1-EXP(-LN(2)/35))/(LN(2)/35)*FM121*FN121*VLOOKUP('Données projet'!$B$16,Paramètres!$A$1:$I$89,3,0)*0.475*44/12</f>
        <v>0</v>
      </c>
      <c r="FR121" s="23">
        <f>EXP(-LN(2)/25)*FR120+(1-EXP(-LN(2)/25))/(LN(2)/25)*Calculateur!FM121*Calculateur!FO121*VLOOKUP('Données projet'!$B$16,Paramètres!$A$1:$I$89,3,0)*0.475*44/12</f>
        <v>0</v>
      </c>
      <c r="FS121" s="23">
        <f>EXP(-LN(2)/2)*FS120+(1-EXP(-LN(2)/2))/(LN(2)/2)*FM121*FP121*VLOOKUP('Données projet'!$B$16,Paramètres!$A$1:$I$89,3,0)*0.475*44/12</f>
        <v>0</v>
      </c>
      <c r="FT121" s="24">
        <f t="shared" si="78"/>
        <v>0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1.1368683772161603E-13</v>
      </c>
      <c r="GA121" s="18">
        <f>FZ121*VLOOKUP('Données projet'!$B$17,Paramètres!$A$1:$I$89,3,0)*VLOOKUP('Données projet'!$B$17,Paramètres!$A$1:$I$89,5,0)</f>
        <v>8.8675733422860506E-14</v>
      </c>
      <c r="GB121" s="14">
        <f t="shared" si="103"/>
        <v>1.3509285393066301E-12</v>
      </c>
      <c r="GC121" s="22">
        <f t="shared" si="79"/>
        <v>2.5073107750038623E-12</v>
      </c>
      <c r="GD121" s="62">
        <f t="shared" si="80"/>
        <v>293.33333333333582</v>
      </c>
      <c r="GE121" s="62">
        <f ca="1">AVERAGE(OFFSET($GD$3,0,0,'Données projet'!$E$17+1,1))-AVERAGE(OFFSET($H$3,0,0,'Données projet'!$E$17+1,1))</f>
        <v>292.57482726862594</v>
      </c>
      <c r="GF121" s="62">
        <f t="shared" si="104"/>
        <v>283.48738729114024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>
        <f>EXP(-LN(2)/35)*GL120+(1-EXP(-LN(2)/35))/(LN(2)/35)*GH121*GI121*VLOOKUP('Données projet'!$B$17,Paramètres!$A$1:$I$89,3,0)*0.475*44/12</f>
        <v>0</v>
      </c>
      <c r="GM121" s="23">
        <f>EXP(-LN(2)/25)*GM120+(1-EXP(-LN(2)/25))/(LN(2)/25)*Calculateur!GH121*Calculateur!GJ121*VLOOKUP('Données projet'!$B$17,Paramètres!$A$1:$I$89,3,0)*0.475*44/12</f>
        <v>0</v>
      </c>
      <c r="GN121" s="23">
        <f>EXP(-LN(2)/2)*GN120+(1-EXP(-LN(2)/2))/(LN(2)/2)*GH121*GK121*VLOOKUP('Données projet'!$B$17,Paramètres!$A$1:$I$89,3,0)*0.475*44/12</f>
        <v>0</v>
      </c>
      <c r="GO121" s="23">
        <f t="shared" si="81"/>
        <v>0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-2.2737367544323206E-13</v>
      </c>
      <c r="GV121" s="18">
        <f>GU121*VLOOKUP('Données projet'!$B$18,Paramètres!$A$1:$I$89,3,0)*VLOOKUP('Données projet'!$B$18,Paramètres!$A$1:$I$89,5,0)</f>
        <v>-1.5252226148732008E-13</v>
      </c>
      <c r="GW121" s="14" t="e">
        <f t="shared" si="105"/>
        <v>#NUM!</v>
      </c>
      <c r="GX121" s="22" t="e">
        <f t="shared" si="82"/>
        <v>#NUM!</v>
      </c>
      <c r="GY121" s="62" t="e">
        <f t="shared" si="83"/>
        <v>#NUM!</v>
      </c>
      <c r="GZ121" s="62">
        <f ca="1">AVERAGE(OFFSET($GY$3,0,0,'Données projet'!$E$18+1,1))-AVERAGE(OFFSET($H$3,0,0,'Données projet'!$E$18+1,1))</f>
        <v>410.20186800287411</v>
      </c>
      <c r="HA121" s="62">
        <f t="shared" si="106"/>
        <v>321.99347958016057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>
        <f>EXP(-LN(2)/35)*HG120+(1-EXP(-LN(2)/35))/(LN(2)/35)*HC121*HD121*VLOOKUP('Données projet'!$B$18,Paramètres!$A$1:$I$89,3,0)*0.475*44/12</f>
        <v>0</v>
      </c>
      <c r="HH121" s="23">
        <f>EXP(-LN(2)/25)*HH120+(1-EXP(-LN(2)/25))/(LN(2)/25)*Calculateur!HC121*Calculateur!HE121*VLOOKUP('Données projet'!$B$18,Paramètres!$A$1:$I$89,3,0)*0.475*44/12</f>
        <v>0</v>
      </c>
      <c r="HI121" s="23">
        <f>EXP(-LN(2)/2)*HI120+(1-EXP(-LN(2)/2))/(LN(2)/2)*HC121*HF121*VLOOKUP('Données projet'!$B$18,Paramètres!$A$1:$I$89,3,0)*0.475*44/12</f>
        <v>0</v>
      </c>
      <c r="HJ121" s="24">
        <f t="shared" si="84"/>
        <v>0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4.5</v>
      </c>
      <c r="N122" s="14">
        <f>IF('Données projet'!$A$36&gt;35,N121+M122-V121,IF(A122&lt;'Données projet'!$A$36,$K$205^A122,IF(A122='Données projet'!$A$36,'Données projet'!$B$36,N121+M122-V121)))</f>
        <v>347.49999999999966</v>
      </c>
      <c r="O122" s="14">
        <f>N122*VLOOKUP('Données projet'!$B$9,Paramètres!$A$1:$I$89,3,0)*VLOOKUP('Données projet'!$B$9,Paramètres!$A$1:$I$89,5,0)</f>
        <v>314.41799999999967</v>
      </c>
      <c r="P122" s="14">
        <f t="shared" si="87"/>
        <v>74.190723151497266</v>
      </c>
      <c r="Q122" s="22">
        <f t="shared" si="107"/>
        <v>676.82685948885705</v>
      </c>
      <c r="R122" s="62">
        <f t="shared" si="55"/>
        <v>970.16019282219031</v>
      </c>
      <c r="S122" s="62">
        <f ca="1">AVERAGE(OFFSET($R$3,0,0,'Données projet'!$E$9+1,1))-AVERAGE(OFFSET($H$3,0,0,'Données projet'!$E$9+1,1))</f>
        <v>509.56241660612449</v>
      </c>
      <c r="T122" s="62">
        <f t="shared" si="88"/>
        <v>278.21741231699929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4.5</v>
      </c>
      <c r="AI122" s="14">
        <f>IF('Données projet'!$A$62&gt;35,AI121+AH122-AQ121,IF(A122&lt;'Données projet'!$A$62,$AF$205^A122,IF(A122='Données projet'!$A$62,'Données projet'!$B$62,AI121+AH122-AQ121)))</f>
        <v>347.49999999999966</v>
      </c>
      <c r="AJ122" s="14">
        <f>AI122*VLOOKUP('Données projet'!$B$10,Paramètres!$A$1:$I$89,3,0)*VLOOKUP('Données projet'!$B$10,Paramètres!$A$1:$I$89,5,0)</f>
        <v>352.36499999999967</v>
      </c>
      <c r="AK122" s="14">
        <f t="shared" si="89"/>
        <v>82.049298267873496</v>
      </c>
      <c r="AL122" s="22">
        <f t="shared" si="58"/>
        <v>756.60490281654575</v>
      </c>
      <c r="AM122" s="62">
        <f t="shared" si="59"/>
        <v>1049.938236149879</v>
      </c>
      <c r="AN122" s="62">
        <f ca="1">AVERAGE(OFFSET($AM$3,0,0,'Données projet'!$E$10+1,1))-AVERAGE(OFFSET($H$3,0,0,'Données projet'!$E$10+1,1))</f>
        <v>565.72091871734051</v>
      </c>
      <c r="AO122" s="62">
        <f t="shared" si="90"/>
        <v>306.61893266146666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-5.6843418860808015E-14</v>
      </c>
      <c r="BE122" s="14">
        <f>BD122*VLOOKUP('Données projet'!$B$11,Paramètres!$A$1:$I$89,3,0)*VLOOKUP('Données projet'!$B$11,Paramètres!$A$1:$I$89,5,0)</f>
        <v>-4.1677594708744434E-14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344.26020118887629</v>
      </c>
      <c r="BJ122" s="62">
        <f t="shared" si="92"/>
        <v>376.41441893222185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4.5</v>
      </c>
      <c r="BY122" s="13">
        <f>IF('Données projet'!$A$114&gt;35,BY121+BX122-CG121,IF(A122&lt;'Données projet'!$A$114,$BV$205^A122,IF(A122='Données projet'!$A$114,'Données projet'!$B$114,BY121+BX122-CG121)))</f>
        <v>347.49999999999966</v>
      </c>
      <c r="BZ122" s="14">
        <f>BY122*VLOOKUP('Données projet'!$B$12,Paramètres!$A$1:$I$89,3,0)*VLOOKUP('Données projet'!$B$12,Paramètres!$A$1:$I$89,5,0)</f>
        <v>292.73399999999975</v>
      </c>
      <c r="CA122" s="14">
        <f t="shared" si="93"/>
        <v>69.651064026395574</v>
      </c>
      <c r="CB122" s="22">
        <f t="shared" si="64"/>
        <v>631.15398651263843</v>
      </c>
      <c r="CC122" s="62">
        <f t="shared" si="65"/>
        <v>924.4873198459718</v>
      </c>
      <c r="CD122" s="62">
        <f ca="1">AVERAGE(OFFSET($CC$3,0,0,'Données projet'!$E$12+1,1))-AVERAGE(OFFSET($H$3,0,0,'Données projet'!$E$12+1,1))</f>
        <v>477.4105367901771</v>
      </c>
      <c r="CE122" s="62">
        <f t="shared" si="94"/>
        <v>261.95434270986397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-6.2527760746888816E-13</v>
      </c>
      <c r="CU122" s="18">
        <f>CT122*VLOOKUP('Données projet'!$B$13,Paramètres!$A$1:$I$89,3,0)*VLOOKUP('Données projet'!$B$13,Paramètres!$A$1:$I$89,5,0)</f>
        <v>-2.9262992029543964E-13</v>
      </c>
      <c r="CV122" s="14" t="e">
        <f t="shared" si="95"/>
        <v>#NUM!</v>
      </c>
      <c r="CW122" s="22" t="e">
        <f t="shared" si="67"/>
        <v>#NUM!</v>
      </c>
      <c r="CX122" s="62" t="e">
        <f t="shared" si="68"/>
        <v>#NUM!</v>
      </c>
      <c r="CY122" s="62">
        <f ca="1">AVERAGE(OFFSET($CX$3,0,0,'Données projet'!$E$13+1,1))-AVERAGE(OFFSET($H$3,0,0,'Données projet'!$E$13+1,1))</f>
        <v>246.64907095367749</v>
      </c>
      <c r="CZ122" s="62">
        <f t="shared" si="96"/>
        <v>145.34368562171613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-5.6843418860808015E-14</v>
      </c>
      <c r="DP122" s="18">
        <f>DO122*VLOOKUP('Données projet'!$B$14,Paramètres!$A$1:$I$89,3,0)*VLOOKUP('Données projet'!$B$14,Paramètres!$A$1:$I$89,5,0)</f>
        <v>-4.5224624045658861E-14</v>
      </c>
      <c r="DQ122" s="14" t="e">
        <f t="shared" si="97"/>
        <v>#NUM!</v>
      </c>
      <c r="DR122" s="22" t="e">
        <f t="shared" si="70"/>
        <v>#NUM!</v>
      </c>
      <c r="DS122" s="62" t="e">
        <f t="shared" si="71"/>
        <v>#NUM!</v>
      </c>
      <c r="DT122" s="62">
        <f ca="1">AVERAGE(OFFSET($DS$3,0,0,'Données projet'!$E$14+1,1))-AVERAGE(OFFSET($H$3,0,0,'Données projet'!$E$14+1,1))</f>
        <v>370.38521334472284</v>
      </c>
      <c r="DU122" s="62">
        <f t="shared" si="98"/>
        <v>404.61777090709171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-1.1368683772161603E-13</v>
      </c>
      <c r="EK122" s="18">
        <f>EJ122*VLOOKUP('Données projet'!$B$15,Paramètres!$A$1:$I$89,3,0)*VLOOKUP('Données projet'!$B$15,Paramètres!$A$1:$I$89,5,0)</f>
        <v>-9.7543306765146564E-14</v>
      </c>
      <c r="EL122" s="14" t="e">
        <f t="shared" si="99"/>
        <v>#NUM!</v>
      </c>
      <c r="EM122" s="22" t="e">
        <f t="shared" si="73"/>
        <v>#NUM!</v>
      </c>
      <c r="EN122" s="62" t="e">
        <f t="shared" si="74"/>
        <v>#NUM!</v>
      </c>
      <c r="EO122" s="62">
        <f ca="1">AVERAGE(OFFSET($EN$3,0,0,'Données projet'!$E$15+1,1))-AVERAGE(OFFSET($H$3,0,0,'Données projet'!$E$15+1,1))</f>
        <v>445.81166342116865</v>
      </c>
      <c r="EP122" s="62">
        <f t="shared" si="100"/>
        <v>230.82970731138215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0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4.5</v>
      </c>
      <c r="FE122" s="13">
        <f>IF('Données projet'!$A$218&gt;35,FE121+FD122-FM121,IF(A122&lt;'Données projet'!$A$218,$FB$205^A122,IF(A122='Données projet'!$A$218,'Données projet'!$B$218,FE121+FD122-FM121)))</f>
        <v>347.49999999999966</v>
      </c>
      <c r="FF122" s="18">
        <f>FE122*VLOOKUP('Données projet'!$B$16,Paramètres!$A$1:$I$89,3,0)*VLOOKUP('Données projet'!$B$16,Paramètres!$A$1:$I$89,5,0)</f>
        <v>336.10199999999969</v>
      </c>
      <c r="FG122" s="14">
        <f t="shared" si="101"/>
        <v>78.694055268111242</v>
      </c>
      <c r="FH122" s="22">
        <f t="shared" si="76"/>
        <v>722.4364629252932</v>
      </c>
      <c r="FI122" s="62">
        <f t="shared" si="77"/>
        <v>1015.7697962586265</v>
      </c>
      <c r="FJ122" s="62">
        <f ca="1">AVERAGE(OFFSET($FI$3,0,0,'Données projet'!$E$16+1,1))-AVERAGE(OFFSET($H$3,0,0,'Données projet'!$E$16+1,1))</f>
        <v>541.66888676162716</v>
      </c>
      <c r="FK122" s="62">
        <f t="shared" si="102"/>
        <v>294.45557293177131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>
        <f>EXP(-LN(2)/35)*FQ121+(1-EXP(-LN(2)/35))/(LN(2)/35)*FM122*FN122*VLOOKUP('Données projet'!$B$16,Paramètres!$A$1:$I$89,3,0)*0.475*44/12</f>
        <v>0</v>
      </c>
      <c r="FR122" s="23">
        <f>EXP(-LN(2)/25)*FR121+(1-EXP(-LN(2)/25))/(LN(2)/25)*Calculateur!FM122*Calculateur!FO122*VLOOKUP('Données projet'!$B$16,Paramètres!$A$1:$I$89,3,0)*0.475*44/12</f>
        <v>0</v>
      </c>
      <c r="FS122" s="23">
        <f>EXP(-LN(2)/2)*FS121+(1-EXP(-LN(2)/2))/(LN(2)/2)*FM122*FP122*VLOOKUP('Données projet'!$B$16,Paramètres!$A$1:$I$89,3,0)*0.475*44/12</f>
        <v>0</v>
      </c>
      <c r="FT122" s="24">
        <f t="shared" si="78"/>
        <v>0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1.1368683772161603E-13</v>
      </c>
      <c r="GA122" s="18">
        <f>FZ122*VLOOKUP('Données projet'!$B$17,Paramètres!$A$1:$I$89,3,0)*VLOOKUP('Données projet'!$B$17,Paramètres!$A$1:$I$89,5,0)</f>
        <v>8.8675733422860506E-14</v>
      </c>
      <c r="GB122" s="14">
        <f t="shared" si="103"/>
        <v>1.3509285393066301E-12</v>
      </c>
      <c r="GC122" s="22">
        <f t="shared" si="79"/>
        <v>2.5073107750038623E-12</v>
      </c>
      <c r="GD122" s="62">
        <f t="shared" si="80"/>
        <v>293.33333333333582</v>
      </c>
      <c r="GE122" s="62">
        <f ca="1">AVERAGE(OFFSET($GD$3,0,0,'Données projet'!$E$17+1,1))-AVERAGE(OFFSET($H$3,0,0,'Données projet'!$E$17+1,1))</f>
        <v>292.57482726862594</v>
      </c>
      <c r="GF122" s="62">
        <f t="shared" si="104"/>
        <v>283.48738729114024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>
        <f>EXP(-LN(2)/35)*GL121+(1-EXP(-LN(2)/35))/(LN(2)/35)*GH122*GI122*VLOOKUP('Données projet'!$B$17,Paramètres!$A$1:$I$89,3,0)*0.475*44/12</f>
        <v>0</v>
      </c>
      <c r="GM122" s="23">
        <f>EXP(-LN(2)/25)*GM121+(1-EXP(-LN(2)/25))/(LN(2)/25)*Calculateur!GH122*Calculateur!GJ122*VLOOKUP('Données projet'!$B$17,Paramètres!$A$1:$I$89,3,0)*0.475*44/12</f>
        <v>0</v>
      </c>
      <c r="GN122" s="23">
        <f>EXP(-LN(2)/2)*GN121+(1-EXP(-LN(2)/2))/(LN(2)/2)*GH122*GK122*VLOOKUP('Données projet'!$B$17,Paramètres!$A$1:$I$89,3,0)*0.475*44/12</f>
        <v>0</v>
      </c>
      <c r="GO122" s="23">
        <f t="shared" si="81"/>
        <v>0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-2.2737367544323206E-13</v>
      </c>
      <c r="GV122" s="18">
        <f>GU122*VLOOKUP('Données projet'!$B$18,Paramètres!$A$1:$I$89,3,0)*VLOOKUP('Données projet'!$B$18,Paramètres!$A$1:$I$89,5,0)</f>
        <v>-1.5252226148732008E-13</v>
      </c>
      <c r="GW122" s="14" t="e">
        <f t="shared" si="105"/>
        <v>#NUM!</v>
      </c>
      <c r="GX122" s="22" t="e">
        <f t="shared" si="82"/>
        <v>#NUM!</v>
      </c>
      <c r="GY122" s="62" t="e">
        <f t="shared" si="83"/>
        <v>#NUM!</v>
      </c>
      <c r="GZ122" s="62">
        <f ca="1">AVERAGE(OFFSET($GY$3,0,0,'Données projet'!$E$18+1,1))-AVERAGE(OFFSET($H$3,0,0,'Données projet'!$E$18+1,1))</f>
        <v>410.20186800287411</v>
      </c>
      <c r="HA122" s="62">
        <f t="shared" si="106"/>
        <v>321.99347958016057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>
        <f>EXP(-LN(2)/35)*HG121+(1-EXP(-LN(2)/35))/(LN(2)/35)*HC122*HD122*VLOOKUP('Données projet'!$B$18,Paramètres!$A$1:$I$89,3,0)*0.475*44/12</f>
        <v>0</v>
      </c>
      <c r="HH122" s="23">
        <f>EXP(-LN(2)/25)*HH121+(1-EXP(-LN(2)/25))/(LN(2)/25)*Calculateur!HC122*Calculateur!HE122*VLOOKUP('Données projet'!$B$18,Paramètres!$A$1:$I$89,3,0)*0.475*44/12</f>
        <v>0</v>
      </c>
      <c r="HI122" s="23">
        <f>EXP(-LN(2)/2)*HI121+(1-EXP(-LN(2)/2))/(LN(2)/2)*HC122*HF122*VLOOKUP('Données projet'!$B$18,Paramètres!$A$1:$I$89,3,0)*0.475*44/12</f>
        <v>0</v>
      </c>
      <c r="HJ122" s="24">
        <f t="shared" si="84"/>
        <v>0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352</v>
      </c>
      <c r="L123" s="13">
        <f>VLOOKUP(A123,'Données projet'!$A$35:$I$55,9,0)</f>
        <v>4.5</v>
      </c>
      <c r="M123" s="13">
        <f t="array" ref="M123">INDEX(L:L,MIN(IF(ISNUMBER(L123:L319),ROW(L123:L319),"")))</f>
        <v>4.5</v>
      </c>
      <c r="N123" s="14">
        <f>IF('Données projet'!$A$36&gt;35,N122+M123-V122,IF(A123&lt;'Données projet'!$A$36,$K$205^A123,IF(A123='Données projet'!$A$36,'Données projet'!$B$36,N122+M123-V122)))</f>
        <v>351.99999999999966</v>
      </c>
      <c r="O123" s="14">
        <f>N123*VLOOKUP('Données projet'!$B$9,Paramètres!$A$1:$I$89,3,0)*VLOOKUP('Données projet'!$B$9,Paramètres!$A$1:$I$89,5,0)</f>
        <v>318.48959999999971</v>
      </c>
      <c r="P123" s="14">
        <f t="shared" si="87"/>
        <v>75.038999086150227</v>
      </c>
      <c r="Q123" s="22">
        <f t="shared" si="107"/>
        <v>685.39564340837785</v>
      </c>
      <c r="R123" s="62">
        <f t="shared" si="55"/>
        <v>978.72897674171122</v>
      </c>
      <c r="S123" s="62">
        <f ca="1">AVERAGE(OFFSET($R$3,0,0,'Données projet'!$E$9+1,1))-AVERAGE(OFFSET($H$3,0,0,'Données projet'!$E$9+1,1))</f>
        <v>509.56241660612449</v>
      </c>
      <c r="T123" s="62">
        <f t="shared" si="88"/>
        <v>278.21741231699929</v>
      </c>
      <c r="U123" s="16">
        <f>IF(ISNA(VLOOKUP(A123,'Données projet'!$A$35:$I$55,3,0)),0,VLOOKUP(A123,'Données projet'!$A$35:$I$55,3,0))</f>
        <v>10</v>
      </c>
      <c r="V123" s="16">
        <f>IF(ISNA(VLOOKUP(A123,'Données projet'!$A$35:$I$55,4,0)),0,VLOOKUP(A123,'Données projet'!$A$35:$I$55,4,0))</f>
        <v>47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>
        <f>VLOOKUP(A123,'Données projet'!$A$61:$I$81,2,0)</f>
        <v>352</v>
      </c>
      <c r="AG123" s="13">
        <f>VLOOKUP(A123,'Données projet'!$A$61:$I$81,9,0)</f>
        <v>4.5</v>
      </c>
      <c r="AH123" s="13">
        <f t="array" ref="AH123">INDEX(AG:AG,MIN(IF(ISNUMBER(AG123:AG319),ROW(AG123:AG319),"")))</f>
        <v>4.5</v>
      </c>
      <c r="AI123" s="14">
        <f>IF('Données projet'!$A$62&gt;35,AI122+AH123-AQ122,IF(A123&lt;'Données projet'!$A$62,$AF$205^A123,IF(A123='Données projet'!$A$62,'Données projet'!$B$62,AI122+AH123-AQ122)))</f>
        <v>351.99999999999966</v>
      </c>
      <c r="AJ123" s="14">
        <f>AI123*VLOOKUP('Données projet'!$B$10,Paramètres!$A$1:$I$89,3,0)*VLOOKUP('Données projet'!$B$10,Paramètres!$A$1:$I$89,5,0)</f>
        <v>356.92799999999966</v>
      </c>
      <c r="AK123" s="14">
        <f t="shared" si="89"/>
        <v>82.987426947838912</v>
      </c>
      <c r="AL123" s="22">
        <f t="shared" si="58"/>
        <v>766.18603526748541</v>
      </c>
      <c r="AM123" s="62">
        <f t="shared" si="59"/>
        <v>1059.5193686008188</v>
      </c>
      <c r="AN123" s="62">
        <f ca="1">AVERAGE(OFFSET($AM$3,0,0,'Données projet'!$E$10+1,1))-AVERAGE(OFFSET($H$3,0,0,'Données projet'!$E$10+1,1))</f>
        <v>565.72091871734051</v>
      </c>
      <c r="AO123" s="62">
        <f t="shared" si="90"/>
        <v>306.61893266146666</v>
      </c>
      <c r="AP123" s="16">
        <f>IF(ISNA(VLOOKUP(A123,'Données projet'!$A$61:$I$81,3,0)),0,VLOOKUP(A123,'Données projet'!$A$61:$I$81,3,0))</f>
        <v>10</v>
      </c>
      <c r="AQ123" s="16">
        <f>IF(ISNA(VLOOKUP(A123,'Données projet'!$A$61:$I$81,4,0)),0,VLOOKUP(A123,'Données projet'!$A$61:$I$81,4,0))</f>
        <v>47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-5.6843418860808015E-14</v>
      </c>
      <c r="BE123" s="14">
        <f>BD123*VLOOKUP('Données projet'!$B$11,Paramètres!$A$1:$I$89,3,0)*VLOOKUP('Données projet'!$B$11,Paramètres!$A$1:$I$89,5,0)</f>
        <v>-4.1677594708744434E-14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344.26020118887629</v>
      </c>
      <c r="BJ123" s="62">
        <f t="shared" si="92"/>
        <v>376.41441893222185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>
        <f>VLOOKUP(A123,'Données projet'!$A$113:$I$133,2,0)</f>
        <v>352</v>
      </c>
      <c r="BW123" s="13">
        <f>VLOOKUP(A123,'Données projet'!$A$113:$I$133,9,0)</f>
        <v>4.5</v>
      </c>
      <c r="BX123" s="13">
        <f t="array" ref="BX123">INDEX(BW:BW,MIN(IF(ISNUMBER(BW123:BW319),ROW(BW123:BW319),"")))</f>
        <v>4.5</v>
      </c>
      <c r="BY123" s="13">
        <f>IF('Données projet'!$A$114&gt;35,BY122+BX123-CG122,IF(A123&lt;'Données projet'!$A$114,$BV$205^A123,IF(A123='Données projet'!$A$114,'Données projet'!$B$114,BY122+BX123-CG122)))</f>
        <v>351.99999999999966</v>
      </c>
      <c r="BZ123" s="14">
        <f>BY123*VLOOKUP('Données projet'!$B$12,Paramètres!$A$1:$I$89,3,0)*VLOOKUP('Données projet'!$B$12,Paramètres!$A$1:$I$89,5,0)</f>
        <v>296.52479999999974</v>
      </c>
      <c r="CA123" s="14">
        <f t="shared" si="93"/>
        <v>70.447434770968471</v>
      </c>
      <c r="CB123" s="22">
        <f t="shared" si="64"/>
        <v>639.1433088927696</v>
      </c>
      <c r="CC123" s="62">
        <f t="shared" si="65"/>
        <v>932.47664222610297</v>
      </c>
      <c r="CD123" s="62">
        <f ca="1">AVERAGE(OFFSET($CC$3,0,0,'Données projet'!$E$12+1,1))-AVERAGE(OFFSET($H$3,0,0,'Données projet'!$E$12+1,1))</f>
        <v>477.4105367901771</v>
      </c>
      <c r="CE123" s="62">
        <f t="shared" si="94"/>
        <v>261.95434270986397</v>
      </c>
      <c r="CF123" s="16">
        <f>IF(ISNA(VLOOKUP(A123,'Données projet'!$A$113:$I$133,3,0)),0,VLOOKUP(A123,'Données projet'!$A$113:$I$133,3,0))</f>
        <v>10</v>
      </c>
      <c r="CG123" s="16">
        <f>IF(ISNA(VLOOKUP(A123,'Données projet'!$A$113:$I$133,4,0)),0,VLOOKUP(A123,'Données projet'!$A$113:$I$133,4,0))</f>
        <v>47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-6.2527760746888816E-13</v>
      </c>
      <c r="CU123" s="18">
        <f>CT123*VLOOKUP('Données projet'!$B$13,Paramètres!$A$1:$I$89,3,0)*VLOOKUP('Données projet'!$B$13,Paramètres!$A$1:$I$89,5,0)</f>
        <v>-2.9262992029543964E-13</v>
      </c>
      <c r="CV123" s="14" t="e">
        <f t="shared" si="95"/>
        <v>#NUM!</v>
      </c>
      <c r="CW123" s="22" t="e">
        <f t="shared" si="67"/>
        <v>#NUM!</v>
      </c>
      <c r="CX123" s="62" t="e">
        <f t="shared" si="68"/>
        <v>#NUM!</v>
      </c>
      <c r="CY123" s="62">
        <f ca="1">AVERAGE(OFFSET($CX$3,0,0,'Données projet'!$E$13+1,1))-AVERAGE(OFFSET($H$3,0,0,'Données projet'!$E$13+1,1))</f>
        <v>246.64907095367749</v>
      </c>
      <c r="CZ123" s="62">
        <f t="shared" si="96"/>
        <v>145.34368562171613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-5.6843418860808015E-14</v>
      </c>
      <c r="DP123" s="18">
        <f>DO123*VLOOKUP('Données projet'!$B$14,Paramètres!$A$1:$I$89,3,0)*VLOOKUP('Données projet'!$B$14,Paramètres!$A$1:$I$89,5,0)</f>
        <v>-4.5224624045658861E-14</v>
      </c>
      <c r="DQ123" s="14" t="e">
        <f t="shared" si="97"/>
        <v>#NUM!</v>
      </c>
      <c r="DR123" s="22" t="e">
        <f t="shared" si="70"/>
        <v>#NUM!</v>
      </c>
      <c r="DS123" s="62" t="e">
        <f t="shared" si="71"/>
        <v>#NUM!</v>
      </c>
      <c r="DT123" s="62">
        <f ca="1">AVERAGE(OFFSET($DS$3,0,0,'Données projet'!$E$14+1,1))-AVERAGE(OFFSET($H$3,0,0,'Données projet'!$E$14+1,1))</f>
        <v>370.38521334472284</v>
      </c>
      <c r="DU123" s="62">
        <f t="shared" si="98"/>
        <v>404.61777090709171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-1.1368683772161603E-13</v>
      </c>
      <c r="EK123" s="18">
        <f>EJ123*VLOOKUP('Données projet'!$B$15,Paramètres!$A$1:$I$89,3,0)*VLOOKUP('Données projet'!$B$15,Paramètres!$A$1:$I$89,5,0)</f>
        <v>-9.7543306765146564E-14</v>
      </c>
      <c r="EL123" s="14" t="e">
        <f t="shared" si="99"/>
        <v>#NUM!</v>
      </c>
      <c r="EM123" s="22" t="e">
        <f t="shared" si="73"/>
        <v>#NUM!</v>
      </c>
      <c r="EN123" s="62" t="e">
        <f t="shared" si="74"/>
        <v>#NUM!</v>
      </c>
      <c r="EO123" s="62">
        <f ca="1">AVERAGE(OFFSET($EN$3,0,0,'Données projet'!$E$15+1,1))-AVERAGE(OFFSET($H$3,0,0,'Données projet'!$E$15+1,1))</f>
        <v>445.81166342116865</v>
      </c>
      <c r="EP123" s="62">
        <f t="shared" si="100"/>
        <v>230.82970731138215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0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>
        <f>VLOOKUP(A123,'Données projet'!$A$217:$I$237,2,0)</f>
        <v>352</v>
      </c>
      <c r="FC123" s="13">
        <f>VLOOKUP(A123,'Données projet'!$A$217:$I$237,9,0)</f>
        <v>4.5</v>
      </c>
      <c r="FD123" s="13">
        <f t="array" ref="FD123">INDEX(FC:FC,MIN(IF(ISNUMBER(FC123:FC319),ROW(FC123:FC319),"")))</f>
        <v>4.5</v>
      </c>
      <c r="FE123" s="13">
        <f>IF('Données projet'!$A$218&gt;35,FE122+FD123-FM122,IF(A123&lt;'Données projet'!$A$218,$FB$205^A123,IF(A123='Données projet'!$A$218,'Données projet'!$B$218,FE122+FD123-FM122)))</f>
        <v>351.99999999999966</v>
      </c>
      <c r="FF123" s="18">
        <f>FE123*VLOOKUP('Données projet'!$B$16,Paramètres!$A$1:$I$89,3,0)*VLOOKUP('Données projet'!$B$16,Paramètres!$A$1:$I$89,5,0)</f>
        <v>340.45439999999968</v>
      </c>
      <c r="FG123" s="14">
        <f t="shared" si="101"/>
        <v>79.593821040010596</v>
      </c>
      <c r="FH123" s="22">
        <f t="shared" si="76"/>
        <v>731.58398497801784</v>
      </c>
      <c r="FI123" s="62">
        <f t="shared" si="77"/>
        <v>1024.9173183113512</v>
      </c>
      <c r="FJ123" s="62">
        <f ca="1">AVERAGE(OFFSET($FI$3,0,0,'Données projet'!$E$16+1,1))-AVERAGE(OFFSET($H$3,0,0,'Données projet'!$E$16+1,1))</f>
        <v>541.66888676162716</v>
      </c>
      <c r="FK123" s="62">
        <f t="shared" si="102"/>
        <v>294.45557293177131</v>
      </c>
      <c r="FL123" s="16">
        <f>IF(ISNA(VLOOKUP(A123,'Données projet'!$A$217:$I$237,3,0)),0,VLOOKUP(A123,'Données projet'!$A$217:$I$237,3,0))</f>
        <v>10</v>
      </c>
      <c r="FM123" s="16">
        <f>IF(ISNA(VLOOKUP(A123,'Données projet'!$A$217:$I$237,4,0)),0,VLOOKUP(A123,'Données projet'!$A$217:$I$237,4,0))</f>
        <v>47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>
        <f>EXP(-LN(2)/35)*FQ122+(1-EXP(-LN(2)/35))/(LN(2)/35)*FM123*FN123*VLOOKUP('Données projet'!$B$16,Paramètres!$A$1:$I$89,3,0)*0.475*44/12</f>
        <v>0</v>
      </c>
      <c r="FR123" s="23">
        <f>EXP(-LN(2)/25)*FR122+(1-EXP(-LN(2)/25))/(LN(2)/25)*Calculateur!FM123*Calculateur!FO123*VLOOKUP('Données projet'!$B$16,Paramètres!$A$1:$I$89,3,0)*0.475*44/12</f>
        <v>0</v>
      </c>
      <c r="FS123" s="23">
        <f>EXP(-LN(2)/2)*FS122+(1-EXP(-LN(2)/2))/(LN(2)/2)*FM123*FP123*VLOOKUP('Données projet'!$B$16,Paramètres!$A$1:$I$89,3,0)*0.475*44/12</f>
        <v>0</v>
      </c>
      <c r="FT123" s="24">
        <f t="shared" si="78"/>
        <v>0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1.1368683772161603E-13</v>
      </c>
      <c r="GA123" s="18">
        <f>FZ123*VLOOKUP('Données projet'!$B$17,Paramètres!$A$1:$I$89,3,0)*VLOOKUP('Données projet'!$B$17,Paramètres!$A$1:$I$89,5,0)</f>
        <v>8.8675733422860506E-14</v>
      </c>
      <c r="GB123" s="14">
        <f t="shared" si="103"/>
        <v>1.3509285393066301E-12</v>
      </c>
      <c r="GC123" s="22">
        <f t="shared" si="79"/>
        <v>2.5073107750038623E-12</v>
      </c>
      <c r="GD123" s="62">
        <f t="shared" si="80"/>
        <v>293.33333333333582</v>
      </c>
      <c r="GE123" s="62">
        <f ca="1">AVERAGE(OFFSET($GD$3,0,0,'Données projet'!$E$17+1,1))-AVERAGE(OFFSET($H$3,0,0,'Données projet'!$E$17+1,1))</f>
        <v>292.57482726862594</v>
      </c>
      <c r="GF123" s="62">
        <f t="shared" si="104"/>
        <v>283.48738729114024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>
        <f>EXP(-LN(2)/35)*GL122+(1-EXP(-LN(2)/35))/(LN(2)/35)*GH123*GI123*VLOOKUP('Données projet'!$B$17,Paramètres!$A$1:$I$89,3,0)*0.475*44/12</f>
        <v>0</v>
      </c>
      <c r="GM123" s="23">
        <f>EXP(-LN(2)/25)*GM122+(1-EXP(-LN(2)/25))/(LN(2)/25)*Calculateur!GH123*Calculateur!GJ123*VLOOKUP('Données projet'!$B$17,Paramètres!$A$1:$I$89,3,0)*0.475*44/12</f>
        <v>0</v>
      </c>
      <c r="GN123" s="23">
        <f>EXP(-LN(2)/2)*GN122+(1-EXP(-LN(2)/2))/(LN(2)/2)*GH123*GK123*VLOOKUP('Données projet'!$B$17,Paramètres!$A$1:$I$89,3,0)*0.475*44/12</f>
        <v>0</v>
      </c>
      <c r="GO123" s="23">
        <f t="shared" si="81"/>
        <v>0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-2.2737367544323206E-13</v>
      </c>
      <c r="GV123" s="18">
        <f>GU123*VLOOKUP('Données projet'!$B$18,Paramètres!$A$1:$I$89,3,0)*VLOOKUP('Données projet'!$B$18,Paramètres!$A$1:$I$89,5,0)</f>
        <v>-1.5252226148732008E-13</v>
      </c>
      <c r="GW123" s="14" t="e">
        <f t="shared" si="105"/>
        <v>#NUM!</v>
      </c>
      <c r="GX123" s="22" t="e">
        <f t="shared" si="82"/>
        <v>#NUM!</v>
      </c>
      <c r="GY123" s="62" t="e">
        <f t="shared" si="83"/>
        <v>#NUM!</v>
      </c>
      <c r="GZ123" s="62">
        <f ca="1">AVERAGE(OFFSET($GY$3,0,0,'Données projet'!$E$18+1,1))-AVERAGE(OFFSET($H$3,0,0,'Données projet'!$E$18+1,1))</f>
        <v>410.20186800287411</v>
      </c>
      <c r="HA123" s="62">
        <f t="shared" si="106"/>
        <v>321.99347958016057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>
        <f>EXP(-LN(2)/35)*HG122+(1-EXP(-LN(2)/35))/(LN(2)/35)*HC123*HD123*VLOOKUP('Données projet'!$B$18,Paramètres!$A$1:$I$89,3,0)*0.475*44/12</f>
        <v>0</v>
      </c>
      <c r="HH123" s="23">
        <f>EXP(-LN(2)/25)*HH122+(1-EXP(-LN(2)/25))/(LN(2)/25)*Calculateur!HC123*Calculateur!HE123*VLOOKUP('Données projet'!$B$18,Paramètres!$A$1:$I$89,3,0)*0.475*44/12</f>
        <v>0</v>
      </c>
      <c r="HI123" s="23">
        <f>EXP(-LN(2)/2)*HI122+(1-EXP(-LN(2)/2))/(LN(2)/2)*HC123*HF123*VLOOKUP('Données projet'!$B$18,Paramètres!$A$1:$I$89,3,0)*0.475*44/12</f>
        <v>0</v>
      </c>
      <c r="HJ123" s="24">
        <f t="shared" si="84"/>
        <v>0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4.2</v>
      </c>
      <c r="N124" s="14">
        <f>IF('Données projet'!$A$36&gt;35,N123+M124-V123,IF(A124&lt;'Données projet'!$A$36,$K$205^A124,IF(A124='Données projet'!$A$36,'Données projet'!$B$36,N123+M124-V123)))</f>
        <v>309.19999999999965</v>
      </c>
      <c r="O124" s="14">
        <f>N124*VLOOKUP('Données projet'!$B$9,Paramètres!$A$1:$I$89,3,0)*VLOOKUP('Données projet'!$B$9,Paramètres!$A$1:$I$89,5,0)</f>
        <v>279.76415999999966</v>
      </c>
      <c r="P124" s="14">
        <f t="shared" si="87"/>
        <v>66.917166665547271</v>
      </c>
      <c r="Q124" s="22">
        <f t="shared" si="107"/>
        <v>603.8033106091608</v>
      </c>
      <c r="R124" s="62">
        <f t="shared" si="55"/>
        <v>897.13664394249417</v>
      </c>
      <c r="S124" s="62">
        <f ca="1">AVERAGE(OFFSET($R$3,0,0,'Données projet'!$E$9+1,1))-AVERAGE(OFFSET($H$3,0,0,'Données projet'!$E$9+1,1))</f>
        <v>509.56241660612449</v>
      </c>
      <c r="T124" s="62">
        <f t="shared" si="88"/>
        <v>278.21741231699929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4.2</v>
      </c>
      <c r="AI124" s="14">
        <f>IF('Données projet'!$A$62&gt;35,AI123+AH124-AQ123,IF(A124&lt;'Données projet'!$A$62,$AF$205^A124,IF(A124='Données projet'!$A$62,'Données projet'!$B$62,AI123+AH124-AQ123)))</f>
        <v>309.19999999999965</v>
      </c>
      <c r="AJ124" s="14">
        <f>AI124*VLOOKUP('Données projet'!$B$10,Paramètres!$A$1:$I$89,3,0)*VLOOKUP('Données projet'!$B$10,Paramètres!$A$1:$I$89,5,0)</f>
        <v>313.52879999999971</v>
      </c>
      <c r="AK124" s="14">
        <f t="shared" si="89"/>
        <v>74.005297883010172</v>
      </c>
      <c r="AL124" s="22">
        <f t="shared" si="58"/>
        <v>674.95522047957547</v>
      </c>
      <c r="AM124" s="62">
        <f t="shared" si="59"/>
        <v>968.28855381290873</v>
      </c>
      <c r="AN124" s="62">
        <f ca="1">AVERAGE(OFFSET($AM$3,0,0,'Données projet'!$E$10+1,1))-AVERAGE(OFFSET($H$3,0,0,'Données projet'!$E$10+1,1))</f>
        <v>565.72091871734051</v>
      </c>
      <c r="AO124" s="62">
        <f t="shared" si="90"/>
        <v>306.61893266146666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-5.6843418860808015E-14</v>
      </c>
      <c r="BE124" s="14">
        <f>BD124*VLOOKUP('Données projet'!$B$11,Paramètres!$A$1:$I$89,3,0)*VLOOKUP('Données projet'!$B$11,Paramètres!$A$1:$I$89,5,0)</f>
        <v>-4.1677594708744434E-14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344.26020118887629</v>
      </c>
      <c r="BJ124" s="62">
        <f t="shared" si="92"/>
        <v>376.41441893222185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4.2</v>
      </c>
      <c r="BY124" s="13">
        <f>IF('Données projet'!$A$114&gt;35,BY123+BX124-CG123,IF(A124&lt;'Données projet'!$A$114,$BV$205^A124,IF(A124='Données projet'!$A$114,'Données projet'!$B$114,BY123+BX124-CG123)))</f>
        <v>309.19999999999965</v>
      </c>
      <c r="BZ124" s="14">
        <f>BY124*VLOOKUP('Données projet'!$B$12,Paramètres!$A$1:$I$89,3,0)*VLOOKUP('Données projet'!$B$12,Paramètres!$A$1:$I$89,5,0)</f>
        <v>260.47007999999971</v>
      </c>
      <c r="CA124" s="14">
        <f t="shared" si="93"/>
        <v>62.822569479065045</v>
      </c>
      <c r="CB124" s="22">
        <f t="shared" si="64"/>
        <v>563.06803117603783</v>
      </c>
      <c r="CC124" s="62">
        <f t="shared" si="65"/>
        <v>856.40136450937121</v>
      </c>
      <c r="CD124" s="62">
        <f ca="1">AVERAGE(OFFSET($CC$3,0,0,'Données projet'!$E$12+1,1))-AVERAGE(OFFSET($H$3,0,0,'Données projet'!$E$12+1,1))</f>
        <v>477.4105367901771</v>
      </c>
      <c r="CE124" s="62">
        <f t="shared" si="94"/>
        <v>261.95434270986397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-6.2527760746888816E-13</v>
      </c>
      <c r="CU124" s="18">
        <f>CT124*VLOOKUP('Données projet'!$B$13,Paramètres!$A$1:$I$89,3,0)*VLOOKUP('Données projet'!$B$13,Paramètres!$A$1:$I$89,5,0)</f>
        <v>-2.9262992029543964E-13</v>
      </c>
      <c r="CV124" s="14" t="e">
        <f t="shared" si="95"/>
        <v>#NUM!</v>
      </c>
      <c r="CW124" s="22" t="e">
        <f t="shared" si="67"/>
        <v>#NUM!</v>
      </c>
      <c r="CX124" s="62" t="e">
        <f t="shared" si="68"/>
        <v>#NUM!</v>
      </c>
      <c r="CY124" s="62">
        <f ca="1">AVERAGE(OFFSET($CX$3,0,0,'Données projet'!$E$13+1,1))-AVERAGE(OFFSET($H$3,0,0,'Données projet'!$E$13+1,1))</f>
        <v>246.64907095367749</v>
      </c>
      <c r="CZ124" s="62">
        <f t="shared" si="96"/>
        <v>145.34368562171613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-5.6843418860808015E-14</v>
      </c>
      <c r="DP124" s="18">
        <f>DO124*VLOOKUP('Données projet'!$B$14,Paramètres!$A$1:$I$89,3,0)*VLOOKUP('Données projet'!$B$14,Paramètres!$A$1:$I$89,5,0)</f>
        <v>-4.5224624045658861E-14</v>
      </c>
      <c r="DQ124" s="14" t="e">
        <f t="shared" si="97"/>
        <v>#NUM!</v>
      </c>
      <c r="DR124" s="22" t="e">
        <f t="shared" si="70"/>
        <v>#NUM!</v>
      </c>
      <c r="DS124" s="62" t="e">
        <f t="shared" si="71"/>
        <v>#NUM!</v>
      </c>
      <c r="DT124" s="62">
        <f ca="1">AVERAGE(OFFSET($DS$3,0,0,'Données projet'!$E$14+1,1))-AVERAGE(OFFSET($H$3,0,0,'Données projet'!$E$14+1,1))</f>
        <v>370.38521334472284</v>
      </c>
      <c r="DU124" s="62">
        <f t="shared" si="98"/>
        <v>404.61777090709171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-1.1368683772161603E-13</v>
      </c>
      <c r="EK124" s="18">
        <f>EJ124*VLOOKUP('Données projet'!$B$15,Paramètres!$A$1:$I$89,3,0)*VLOOKUP('Données projet'!$B$15,Paramètres!$A$1:$I$89,5,0)</f>
        <v>-9.7543306765146564E-14</v>
      </c>
      <c r="EL124" s="14" t="e">
        <f t="shared" si="99"/>
        <v>#NUM!</v>
      </c>
      <c r="EM124" s="22" t="e">
        <f t="shared" si="73"/>
        <v>#NUM!</v>
      </c>
      <c r="EN124" s="62" t="e">
        <f t="shared" si="74"/>
        <v>#NUM!</v>
      </c>
      <c r="EO124" s="62">
        <f ca="1">AVERAGE(OFFSET($EN$3,0,0,'Données projet'!$E$15+1,1))-AVERAGE(OFFSET($H$3,0,0,'Données projet'!$E$15+1,1))</f>
        <v>445.81166342116865</v>
      </c>
      <c r="EP124" s="62">
        <f t="shared" si="100"/>
        <v>230.82970731138215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0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4.2</v>
      </c>
      <c r="FE124" s="13">
        <f>IF('Données projet'!$A$218&gt;35,FE123+FD124-FM123,IF(A124&lt;'Données projet'!$A$218,$FB$205^A124,IF(A124='Données projet'!$A$218,'Données projet'!$B$218,FE123+FD124-FM123)))</f>
        <v>309.19999999999965</v>
      </c>
      <c r="FF124" s="18">
        <f>FE124*VLOOKUP('Données projet'!$B$16,Paramètres!$A$1:$I$89,3,0)*VLOOKUP('Données projet'!$B$16,Paramètres!$A$1:$I$89,5,0)</f>
        <v>299.05823999999967</v>
      </c>
      <c r="FG124" s="14">
        <f t="shared" si="101"/>
        <v>70.978998293504489</v>
      </c>
      <c r="FH124" s="22">
        <f t="shared" si="76"/>
        <v>644.48152336118642</v>
      </c>
      <c r="FI124" s="62">
        <f t="shared" si="77"/>
        <v>937.81485669451968</v>
      </c>
      <c r="FJ124" s="62">
        <f ca="1">AVERAGE(OFFSET($FI$3,0,0,'Données projet'!$E$16+1,1))-AVERAGE(OFFSET($H$3,0,0,'Données projet'!$E$16+1,1))</f>
        <v>541.66888676162716</v>
      </c>
      <c r="FK124" s="62">
        <f t="shared" si="102"/>
        <v>294.45557293177131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>
        <f>EXP(-LN(2)/35)*FQ123+(1-EXP(-LN(2)/35))/(LN(2)/35)*FM124*FN124*VLOOKUP('Données projet'!$B$16,Paramètres!$A$1:$I$89,3,0)*0.475*44/12</f>
        <v>0</v>
      </c>
      <c r="FR124" s="23">
        <f>EXP(-LN(2)/25)*FR123+(1-EXP(-LN(2)/25))/(LN(2)/25)*Calculateur!FM124*Calculateur!FO124*VLOOKUP('Données projet'!$B$16,Paramètres!$A$1:$I$89,3,0)*0.475*44/12</f>
        <v>0</v>
      </c>
      <c r="FS124" s="23">
        <f>EXP(-LN(2)/2)*FS123+(1-EXP(-LN(2)/2))/(LN(2)/2)*FM124*FP124*VLOOKUP('Données projet'!$B$16,Paramètres!$A$1:$I$89,3,0)*0.475*44/12</f>
        <v>0</v>
      </c>
      <c r="FT124" s="24">
        <f t="shared" si="78"/>
        <v>0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1.1368683772161603E-13</v>
      </c>
      <c r="GA124" s="18">
        <f>FZ124*VLOOKUP('Données projet'!$B$17,Paramètres!$A$1:$I$89,3,0)*VLOOKUP('Données projet'!$B$17,Paramètres!$A$1:$I$89,5,0)</f>
        <v>8.8675733422860506E-14</v>
      </c>
      <c r="GB124" s="14">
        <f t="shared" si="103"/>
        <v>1.3509285393066301E-12</v>
      </c>
      <c r="GC124" s="22">
        <f t="shared" si="79"/>
        <v>2.5073107750038623E-12</v>
      </c>
      <c r="GD124" s="62">
        <f t="shared" si="80"/>
        <v>293.33333333333582</v>
      </c>
      <c r="GE124" s="62">
        <f ca="1">AVERAGE(OFFSET($GD$3,0,0,'Données projet'!$E$17+1,1))-AVERAGE(OFFSET($H$3,0,0,'Données projet'!$E$17+1,1))</f>
        <v>292.57482726862594</v>
      </c>
      <c r="GF124" s="62">
        <f t="shared" si="104"/>
        <v>283.48738729114024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>
        <f>EXP(-LN(2)/35)*GL123+(1-EXP(-LN(2)/35))/(LN(2)/35)*GH124*GI124*VLOOKUP('Données projet'!$B$17,Paramètres!$A$1:$I$89,3,0)*0.475*44/12</f>
        <v>0</v>
      </c>
      <c r="GM124" s="23">
        <f>EXP(-LN(2)/25)*GM123+(1-EXP(-LN(2)/25))/(LN(2)/25)*Calculateur!GH124*Calculateur!GJ124*VLOOKUP('Données projet'!$B$17,Paramètres!$A$1:$I$89,3,0)*0.475*44/12</f>
        <v>0</v>
      </c>
      <c r="GN124" s="23">
        <f>EXP(-LN(2)/2)*GN123+(1-EXP(-LN(2)/2))/(LN(2)/2)*GH124*GK124*VLOOKUP('Données projet'!$B$17,Paramètres!$A$1:$I$89,3,0)*0.475*44/12</f>
        <v>0</v>
      </c>
      <c r="GO124" s="23">
        <f t="shared" si="81"/>
        <v>0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-2.2737367544323206E-13</v>
      </c>
      <c r="GV124" s="18">
        <f>GU124*VLOOKUP('Données projet'!$B$18,Paramètres!$A$1:$I$89,3,0)*VLOOKUP('Données projet'!$B$18,Paramètres!$A$1:$I$89,5,0)</f>
        <v>-1.5252226148732008E-13</v>
      </c>
      <c r="GW124" s="14" t="e">
        <f t="shared" si="105"/>
        <v>#NUM!</v>
      </c>
      <c r="GX124" s="22" t="e">
        <f t="shared" si="82"/>
        <v>#NUM!</v>
      </c>
      <c r="GY124" s="62" t="e">
        <f t="shared" si="83"/>
        <v>#NUM!</v>
      </c>
      <c r="GZ124" s="62">
        <f ca="1">AVERAGE(OFFSET($GY$3,0,0,'Données projet'!$E$18+1,1))-AVERAGE(OFFSET($H$3,0,0,'Données projet'!$E$18+1,1))</f>
        <v>410.20186800287411</v>
      </c>
      <c r="HA124" s="62">
        <f t="shared" si="106"/>
        <v>321.99347958016057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>
        <f>EXP(-LN(2)/35)*HG123+(1-EXP(-LN(2)/35))/(LN(2)/35)*HC124*HD124*VLOOKUP('Données projet'!$B$18,Paramètres!$A$1:$I$89,3,0)*0.475*44/12</f>
        <v>0</v>
      </c>
      <c r="HH124" s="23">
        <f>EXP(-LN(2)/25)*HH123+(1-EXP(-LN(2)/25))/(LN(2)/25)*Calculateur!HC124*Calculateur!HE124*VLOOKUP('Données projet'!$B$18,Paramètres!$A$1:$I$89,3,0)*0.475*44/12</f>
        <v>0</v>
      </c>
      <c r="HI124" s="23">
        <f>EXP(-LN(2)/2)*HI123+(1-EXP(-LN(2)/2))/(LN(2)/2)*HC124*HF124*VLOOKUP('Données projet'!$B$18,Paramètres!$A$1:$I$89,3,0)*0.475*44/12</f>
        <v>0</v>
      </c>
      <c r="HJ124" s="24">
        <f t="shared" si="84"/>
        <v>0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4.2</v>
      </c>
      <c r="N125" s="14">
        <f>IF('Données projet'!$A$36&gt;35,N124+M125-V124,IF(A125&lt;'Données projet'!$A$36,$K$205^A125,IF(A125='Données projet'!$A$36,'Données projet'!$B$36,N124+M125-V124)))</f>
        <v>313.39999999999964</v>
      </c>
      <c r="O125" s="14">
        <f>N125*VLOOKUP('Données projet'!$B$9,Paramètres!$A$1:$I$89,3,0)*VLOOKUP('Données projet'!$B$9,Paramètres!$A$1:$I$89,5,0)</f>
        <v>283.56431999999967</v>
      </c>
      <c r="P125" s="14">
        <f t="shared" si="87"/>
        <v>67.71969673023186</v>
      </c>
      <c r="Q125" s="22">
        <f t="shared" si="107"/>
        <v>611.81966247181992</v>
      </c>
      <c r="R125" s="62">
        <f t="shared" si="55"/>
        <v>905.1529958051533</v>
      </c>
      <c r="S125" s="62">
        <f ca="1">AVERAGE(OFFSET($R$3,0,0,'Données projet'!$E$9+1,1))-AVERAGE(OFFSET($H$3,0,0,'Données projet'!$E$9+1,1))</f>
        <v>509.56241660612449</v>
      </c>
      <c r="T125" s="62">
        <f t="shared" si="88"/>
        <v>278.21741231699929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4.2</v>
      </c>
      <c r="AI125" s="14">
        <f>IF('Données projet'!$A$62&gt;35,AI124+AH125-AQ124,IF(A125&lt;'Données projet'!$A$62,$AF$205^A125,IF(A125='Données projet'!$A$62,'Données projet'!$B$62,AI124+AH125-AQ124)))</f>
        <v>313.39999999999964</v>
      </c>
      <c r="AJ125" s="14">
        <f>AI125*VLOOKUP('Données projet'!$B$10,Paramètres!$A$1:$I$89,3,0)*VLOOKUP('Données projet'!$B$10,Paramètres!$A$1:$I$89,5,0)</f>
        <v>317.78759999999966</v>
      </c>
      <c r="AK125" s="14">
        <f t="shared" si="89"/>
        <v>74.892835109352845</v>
      </c>
      <c r="AL125" s="22">
        <f t="shared" si="58"/>
        <v>683.9184244821223</v>
      </c>
      <c r="AM125" s="62">
        <f t="shared" si="59"/>
        <v>977.25175781545568</v>
      </c>
      <c r="AN125" s="62">
        <f ca="1">AVERAGE(OFFSET($AM$3,0,0,'Données projet'!$E$10+1,1))-AVERAGE(OFFSET($H$3,0,0,'Données projet'!$E$10+1,1))</f>
        <v>565.72091871734051</v>
      </c>
      <c r="AO125" s="62">
        <f t="shared" si="90"/>
        <v>306.61893266146666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-5.6843418860808015E-14</v>
      </c>
      <c r="BE125" s="14">
        <f>BD125*VLOOKUP('Données projet'!$B$11,Paramètres!$A$1:$I$89,3,0)*VLOOKUP('Données projet'!$B$11,Paramètres!$A$1:$I$89,5,0)</f>
        <v>-4.1677594708744434E-14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344.26020118887629</v>
      </c>
      <c r="BJ125" s="62">
        <f t="shared" si="92"/>
        <v>376.41441893222185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4.2</v>
      </c>
      <c r="BY125" s="13">
        <f>IF('Données projet'!$A$114&gt;35,BY124+BX125-CG124,IF(A125&lt;'Données projet'!$A$114,$BV$205^A125,IF(A125='Données projet'!$A$114,'Données projet'!$B$114,BY124+BX125-CG124)))</f>
        <v>313.39999999999964</v>
      </c>
      <c r="BZ125" s="14">
        <f>BY125*VLOOKUP('Données projet'!$B$12,Paramètres!$A$1:$I$89,3,0)*VLOOKUP('Données projet'!$B$12,Paramètres!$A$1:$I$89,5,0)</f>
        <v>264.00815999999975</v>
      </c>
      <c r="CA125" s="14">
        <f t="shared" si="93"/>
        <v>63.575993499536068</v>
      </c>
      <c r="CB125" s="22">
        <f t="shared" si="64"/>
        <v>570.54240067835826</v>
      </c>
      <c r="CC125" s="62">
        <f t="shared" si="65"/>
        <v>863.87573401169152</v>
      </c>
      <c r="CD125" s="62">
        <f ca="1">AVERAGE(OFFSET($CC$3,0,0,'Données projet'!$E$12+1,1))-AVERAGE(OFFSET($H$3,0,0,'Données projet'!$E$12+1,1))</f>
        <v>477.4105367901771</v>
      </c>
      <c r="CE125" s="62">
        <f t="shared" si="94"/>
        <v>261.95434270986397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-6.2527760746888816E-13</v>
      </c>
      <c r="CU125" s="18">
        <f>CT125*VLOOKUP('Données projet'!$B$13,Paramètres!$A$1:$I$89,3,0)*VLOOKUP('Données projet'!$B$13,Paramètres!$A$1:$I$89,5,0)</f>
        <v>-2.9262992029543964E-13</v>
      </c>
      <c r="CV125" s="14" t="e">
        <f t="shared" si="95"/>
        <v>#NUM!</v>
      </c>
      <c r="CW125" s="22" t="e">
        <f t="shared" si="67"/>
        <v>#NUM!</v>
      </c>
      <c r="CX125" s="62" t="e">
        <f t="shared" si="68"/>
        <v>#NUM!</v>
      </c>
      <c r="CY125" s="62">
        <f ca="1">AVERAGE(OFFSET($CX$3,0,0,'Données projet'!$E$13+1,1))-AVERAGE(OFFSET($H$3,0,0,'Données projet'!$E$13+1,1))</f>
        <v>246.64907095367749</v>
      </c>
      <c r="CZ125" s="62">
        <f t="shared" si="96"/>
        <v>145.34368562171613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-5.6843418860808015E-14</v>
      </c>
      <c r="DP125" s="18">
        <f>DO125*VLOOKUP('Données projet'!$B$14,Paramètres!$A$1:$I$89,3,0)*VLOOKUP('Données projet'!$B$14,Paramètres!$A$1:$I$89,5,0)</f>
        <v>-4.5224624045658861E-14</v>
      </c>
      <c r="DQ125" s="14" t="e">
        <f t="shared" si="97"/>
        <v>#NUM!</v>
      </c>
      <c r="DR125" s="22" t="e">
        <f t="shared" si="70"/>
        <v>#NUM!</v>
      </c>
      <c r="DS125" s="62" t="e">
        <f t="shared" si="71"/>
        <v>#NUM!</v>
      </c>
      <c r="DT125" s="62">
        <f ca="1">AVERAGE(OFFSET($DS$3,0,0,'Données projet'!$E$14+1,1))-AVERAGE(OFFSET($H$3,0,0,'Données projet'!$E$14+1,1))</f>
        <v>370.38521334472284</v>
      </c>
      <c r="DU125" s="62">
        <f t="shared" si="98"/>
        <v>404.61777090709171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-1.1368683772161603E-13</v>
      </c>
      <c r="EK125" s="18">
        <f>EJ125*VLOOKUP('Données projet'!$B$15,Paramètres!$A$1:$I$89,3,0)*VLOOKUP('Données projet'!$B$15,Paramètres!$A$1:$I$89,5,0)</f>
        <v>-9.7543306765146564E-14</v>
      </c>
      <c r="EL125" s="14" t="e">
        <f t="shared" si="99"/>
        <v>#NUM!</v>
      </c>
      <c r="EM125" s="22" t="e">
        <f t="shared" si="73"/>
        <v>#NUM!</v>
      </c>
      <c r="EN125" s="62" t="e">
        <f t="shared" si="74"/>
        <v>#NUM!</v>
      </c>
      <c r="EO125" s="62">
        <f ca="1">AVERAGE(OFFSET($EN$3,0,0,'Données projet'!$E$15+1,1))-AVERAGE(OFFSET($H$3,0,0,'Données projet'!$E$15+1,1))</f>
        <v>445.81166342116865</v>
      </c>
      <c r="EP125" s="62">
        <f t="shared" si="100"/>
        <v>230.82970731138215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0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4.2</v>
      </c>
      <c r="FE125" s="13">
        <f>IF('Données projet'!$A$218&gt;35,FE124+FD125-FM124,IF(A125&lt;'Données projet'!$A$218,$FB$205^A125,IF(A125='Données projet'!$A$218,'Données projet'!$B$218,FE124+FD125-FM124)))</f>
        <v>313.39999999999964</v>
      </c>
      <c r="FF125" s="18">
        <f>FE125*VLOOKUP('Données projet'!$B$16,Paramètres!$A$1:$I$89,3,0)*VLOOKUP('Données projet'!$B$16,Paramètres!$A$1:$I$89,5,0)</f>
        <v>303.12047999999965</v>
      </c>
      <c r="FG125" s="14">
        <f t="shared" si="101"/>
        <v>71.830241448738988</v>
      </c>
      <c r="FH125" s="22">
        <f t="shared" si="76"/>
        <v>653.03917318988636</v>
      </c>
      <c r="FI125" s="62">
        <f t="shared" si="77"/>
        <v>946.37250652321973</v>
      </c>
      <c r="FJ125" s="62">
        <f ca="1">AVERAGE(OFFSET($FI$3,0,0,'Données projet'!$E$16+1,1))-AVERAGE(OFFSET($H$3,0,0,'Données projet'!$E$16+1,1))</f>
        <v>541.66888676162716</v>
      </c>
      <c r="FK125" s="62">
        <f t="shared" si="102"/>
        <v>294.45557293177131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>
        <f>EXP(-LN(2)/35)*FQ124+(1-EXP(-LN(2)/35))/(LN(2)/35)*FM125*FN125*VLOOKUP('Données projet'!$B$16,Paramètres!$A$1:$I$89,3,0)*0.475*44/12</f>
        <v>0</v>
      </c>
      <c r="FR125" s="23">
        <f>EXP(-LN(2)/25)*FR124+(1-EXP(-LN(2)/25))/(LN(2)/25)*Calculateur!FM125*Calculateur!FO125*VLOOKUP('Données projet'!$B$16,Paramètres!$A$1:$I$89,3,0)*0.475*44/12</f>
        <v>0</v>
      </c>
      <c r="FS125" s="23">
        <f>EXP(-LN(2)/2)*FS124+(1-EXP(-LN(2)/2))/(LN(2)/2)*FM125*FP125*VLOOKUP('Données projet'!$B$16,Paramètres!$A$1:$I$89,3,0)*0.475*44/12</f>
        <v>0</v>
      </c>
      <c r="FT125" s="24">
        <f t="shared" si="78"/>
        <v>0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1.1368683772161603E-13</v>
      </c>
      <c r="GA125" s="18">
        <f>FZ125*VLOOKUP('Données projet'!$B$17,Paramètres!$A$1:$I$89,3,0)*VLOOKUP('Données projet'!$B$17,Paramètres!$A$1:$I$89,5,0)</f>
        <v>8.8675733422860506E-14</v>
      </c>
      <c r="GB125" s="14">
        <f t="shared" si="103"/>
        <v>1.3509285393066301E-12</v>
      </c>
      <c r="GC125" s="22">
        <f t="shared" si="79"/>
        <v>2.5073107750038623E-12</v>
      </c>
      <c r="GD125" s="62">
        <f t="shared" si="80"/>
        <v>293.33333333333582</v>
      </c>
      <c r="GE125" s="62">
        <f ca="1">AVERAGE(OFFSET($GD$3,0,0,'Données projet'!$E$17+1,1))-AVERAGE(OFFSET($H$3,0,0,'Données projet'!$E$17+1,1))</f>
        <v>292.57482726862594</v>
      </c>
      <c r="GF125" s="62">
        <f t="shared" si="104"/>
        <v>283.48738729114024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>
        <f>EXP(-LN(2)/35)*GL124+(1-EXP(-LN(2)/35))/(LN(2)/35)*GH125*GI125*VLOOKUP('Données projet'!$B$17,Paramètres!$A$1:$I$89,3,0)*0.475*44/12</f>
        <v>0</v>
      </c>
      <c r="GM125" s="23">
        <f>EXP(-LN(2)/25)*GM124+(1-EXP(-LN(2)/25))/(LN(2)/25)*Calculateur!GH125*Calculateur!GJ125*VLOOKUP('Données projet'!$B$17,Paramètres!$A$1:$I$89,3,0)*0.475*44/12</f>
        <v>0</v>
      </c>
      <c r="GN125" s="23">
        <f>EXP(-LN(2)/2)*GN124+(1-EXP(-LN(2)/2))/(LN(2)/2)*GH125*GK125*VLOOKUP('Données projet'!$B$17,Paramètres!$A$1:$I$89,3,0)*0.475*44/12</f>
        <v>0</v>
      </c>
      <c r="GO125" s="23">
        <f t="shared" si="81"/>
        <v>0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-2.2737367544323206E-13</v>
      </c>
      <c r="GV125" s="18">
        <f>GU125*VLOOKUP('Données projet'!$B$18,Paramètres!$A$1:$I$89,3,0)*VLOOKUP('Données projet'!$B$18,Paramètres!$A$1:$I$89,5,0)</f>
        <v>-1.5252226148732008E-13</v>
      </c>
      <c r="GW125" s="14" t="e">
        <f t="shared" si="105"/>
        <v>#NUM!</v>
      </c>
      <c r="GX125" s="22" t="e">
        <f t="shared" si="82"/>
        <v>#NUM!</v>
      </c>
      <c r="GY125" s="62" t="e">
        <f t="shared" si="83"/>
        <v>#NUM!</v>
      </c>
      <c r="GZ125" s="62">
        <f ca="1">AVERAGE(OFFSET($GY$3,0,0,'Données projet'!$E$18+1,1))-AVERAGE(OFFSET($H$3,0,0,'Données projet'!$E$18+1,1))</f>
        <v>410.20186800287411</v>
      </c>
      <c r="HA125" s="62">
        <f t="shared" si="106"/>
        <v>321.99347958016057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>
        <f>EXP(-LN(2)/35)*HG124+(1-EXP(-LN(2)/35))/(LN(2)/35)*HC125*HD125*VLOOKUP('Données projet'!$B$18,Paramètres!$A$1:$I$89,3,0)*0.475*44/12</f>
        <v>0</v>
      </c>
      <c r="HH125" s="23">
        <f>EXP(-LN(2)/25)*HH124+(1-EXP(-LN(2)/25))/(LN(2)/25)*Calculateur!HC125*Calculateur!HE125*VLOOKUP('Données projet'!$B$18,Paramètres!$A$1:$I$89,3,0)*0.475*44/12</f>
        <v>0</v>
      </c>
      <c r="HI125" s="23">
        <f>EXP(-LN(2)/2)*HI124+(1-EXP(-LN(2)/2))/(LN(2)/2)*HC125*HF125*VLOOKUP('Données projet'!$B$18,Paramètres!$A$1:$I$89,3,0)*0.475*44/12</f>
        <v>0</v>
      </c>
      <c r="HJ125" s="24">
        <f t="shared" si="84"/>
        <v>0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4.2</v>
      </c>
      <c r="N126" s="14">
        <f>IF('Données projet'!$A$36&gt;35,N125+M126-V125,IF(A126&lt;'Données projet'!$A$36,$K$205^A126,IF(A126='Données projet'!$A$36,'Données projet'!$B$36,N125+M126-V125)))</f>
        <v>317.59999999999962</v>
      </c>
      <c r="O126" s="14">
        <f>N126*VLOOKUP('Données projet'!$B$9,Paramètres!$A$1:$I$89,3,0)*VLOOKUP('Données projet'!$B$9,Paramètres!$A$1:$I$89,5,0)</f>
        <v>287.36447999999967</v>
      </c>
      <c r="P126" s="14">
        <f t="shared" si="87"/>
        <v>68.52097584579333</v>
      </c>
      <c r="Q126" s="22">
        <f t="shared" si="107"/>
        <v>619.83383559808942</v>
      </c>
      <c r="R126" s="62">
        <f t="shared" si="55"/>
        <v>913.16716893142279</v>
      </c>
      <c r="S126" s="62">
        <f ca="1">AVERAGE(OFFSET($R$3,0,0,'Données projet'!$E$9+1,1))-AVERAGE(OFFSET($H$3,0,0,'Données projet'!$E$9+1,1))</f>
        <v>509.56241660612449</v>
      </c>
      <c r="T126" s="62">
        <f t="shared" si="88"/>
        <v>278.21741231699929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4.2</v>
      </c>
      <c r="AI126" s="14">
        <f>IF('Données projet'!$A$62&gt;35,AI125+AH126-AQ125,IF(A126&lt;'Données projet'!$A$62,$AF$205^A126,IF(A126='Données projet'!$A$62,'Données projet'!$B$62,AI125+AH126-AQ125)))</f>
        <v>317.59999999999962</v>
      </c>
      <c r="AJ126" s="14">
        <f>AI126*VLOOKUP('Données projet'!$B$10,Paramètres!$A$1:$I$89,3,0)*VLOOKUP('Données projet'!$B$10,Paramètres!$A$1:$I$89,5,0)</f>
        <v>322.04639999999966</v>
      </c>
      <c r="AK126" s="14">
        <f t="shared" si="89"/>
        <v>75.77898888108885</v>
      </c>
      <c r="AL126" s="22">
        <f t="shared" si="58"/>
        <v>692.87921896789578</v>
      </c>
      <c r="AM126" s="62">
        <f t="shared" si="59"/>
        <v>986.21255230122915</v>
      </c>
      <c r="AN126" s="62">
        <f ca="1">AVERAGE(OFFSET($AM$3,0,0,'Données projet'!$E$10+1,1))-AVERAGE(OFFSET($H$3,0,0,'Données projet'!$E$10+1,1))</f>
        <v>565.72091871734051</v>
      </c>
      <c r="AO126" s="62">
        <f t="shared" si="90"/>
        <v>306.61893266146666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-5.6843418860808015E-14</v>
      </c>
      <c r="BE126" s="14">
        <f>BD126*VLOOKUP('Données projet'!$B$11,Paramètres!$A$1:$I$89,3,0)*VLOOKUP('Données projet'!$B$11,Paramètres!$A$1:$I$89,5,0)</f>
        <v>-4.1677594708744434E-14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344.26020118887629</v>
      </c>
      <c r="BJ126" s="62">
        <f t="shared" si="92"/>
        <v>376.41441893222185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4.2</v>
      </c>
      <c r="BY126" s="13">
        <f>IF('Données projet'!$A$114&gt;35,BY125+BX126-CG125,IF(A126&lt;'Données projet'!$A$114,$BV$205^A126,IF(A126='Données projet'!$A$114,'Données projet'!$B$114,BY125+BX126-CG125)))</f>
        <v>317.59999999999962</v>
      </c>
      <c r="BZ126" s="14">
        <f>BY126*VLOOKUP('Données projet'!$B$12,Paramètres!$A$1:$I$89,3,0)*VLOOKUP('Données projet'!$B$12,Paramètres!$A$1:$I$89,5,0)</f>
        <v>267.54623999999973</v>
      </c>
      <c r="CA126" s="14">
        <f t="shared" si="93"/>
        <v>64.32824311525988</v>
      </c>
      <c r="CB126" s="22">
        <f t="shared" si="64"/>
        <v>578.01472475907724</v>
      </c>
      <c r="CC126" s="62">
        <f t="shared" si="65"/>
        <v>871.34805809241061</v>
      </c>
      <c r="CD126" s="62">
        <f ca="1">AVERAGE(OFFSET($CC$3,0,0,'Données projet'!$E$12+1,1))-AVERAGE(OFFSET($H$3,0,0,'Données projet'!$E$12+1,1))</f>
        <v>477.4105367901771</v>
      </c>
      <c r="CE126" s="62">
        <f t="shared" si="94"/>
        <v>261.95434270986397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-6.2527760746888816E-13</v>
      </c>
      <c r="CU126" s="18">
        <f>CT126*VLOOKUP('Données projet'!$B$13,Paramètres!$A$1:$I$89,3,0)*VLOOKUP('Données projet'!$B$13,Paramètres!$A$1:$I$89,5,0)</f>
        <v>-2.9262992029543964E-13</v>
      </c>
      <c r="CV126" s="14" t="e">
        <f t="shared" si="95"/>
        <v>#NUM!</v>
      </c>
      <c r="CW126" s="22" t="e">
        <f t="shared" si="67"/>
        <v>#NUM!</v>
      </c>
      <c r="CX126" s="62" t="e">
        <f t="shared" si="68"/>
        <v>#NUM!</v>
      </c>
      <c r="CY126" s="62">
        <f ca="1">AVERAGE(OFFSET($CX$3,0,0,'Données projet'!$E$13+1,1))-AVERAGE(OFFSET($H$3,0,0,'Données projet'!$E$13+1,1))</f>
        <v>246.64907095367749</v>
      </c>
      <c r="CZ126" s="62">
        <f t="shared" si="96"/>
        <v>145.34368562171613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-5.6843418860808015E-14</v>
      </c>
      <c r="DP126" s="18">
        <f>DO126*VLOOKUP('Données projet'!$B$14,Paramètres!$A$1:$I$89,3,0)*VLOOKUP('Données projet'!$B$14,Paramètres!$A$1:$I$89,5,0)</f>
        <v>-4.5224624045658861E-14</v>
      </c>
      <c r="DQ126" s="14" t="e">
        <f t="shared" si="97"/>
        <v>#NUM!</v>
      </c>
      <c r="DR126" s="22" t="e">
        <f t="shared" si="70"/>
        <v>#NUM!</v>
      </c>
      <c r="DS126" s="62" t="e">
        <f t="shared" si="71"/>
        <v>#NUM!</v>
      </c>
      <c r="DT126" s="62">
        <f ca="1">AVERAGE(OFFSET($DS$3,0,0,'Données projet'!$E$14+1,1))-AVERAGE(OFFSET($H$3,0,0,'Données projet'!$E$14+1,1))</f>
        <v>370.38521334472284</v>
      </c>
      <c r="DU126" s="62">
        <f t="shared" si="98"/>
        <v>404.61777090709171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-1.1368683772161603E-13</v>
      </c>
      <c r="EK126" s="18">
        <f>EJ126*VLOOKUP('Données projet'!$B$15,Paramètres!$A$1:$I$89,3,0)*VLOOKUP('Données projet'!$B$15,Paramètres!$A$1:$I$89,5,0)</f>
        <v>-9.7543306765146564E-14</v>
      </c>
      <c r="EL126" s="14" t="e">
        <f t="shared" si="99"/>
        <v>#NUM!</v>
      </c>
      <c r="EM126" s="22" t="e">
        <f t="shared" si="73"/>
        <v>#NUM!</v>
      </c>
      <c r="EN126" s="62" t="e">
        <f t="shared" si="74"/>
        <v>#NUM!</v>
      </c>
      <c r="EO126" s="62">
        <f ca="1">AVERAGE(OFFSET($EN$3,0,0,'Données projet'!$E$15+1,1))-AVERAGE(OFFSET($H$3,0,0,'Données projet'!$E$15+1,1))</f>
        <v>445.81166342116865</v>
      </c>
      <c r="EP126" s="62">
        <f t="shared" si="100"/>
        <v>230.82970731138215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0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4.2</v>
      </c>
      <c r="FE126" s="13">
        <f>IF('Données projet'!$A$218&gt;35,FE125+FD126-FM125,IF(A126&lt;'Données projet'!$A$218,$FB$205^A126,IF(A126='Données projet'!$A$218,'Données projet'!$B$218,FE125+FD126-FM125)))</f>
        <v>317.59999999999962</v>
      </c>
      <c r="FF126" s="18">
        <f>FE126*VLOOKUP('Données projet'!$B$16,Paramètres!$A$1:$I$89,3,0)*VLOOKUP('Données projet'!$B$16,Paramètres!$A$1:$I$89,5,0)</f>
        <v>307.18271999999968</v>
      </c>
      <c r="FG126" s="14">
        <f t="shared" si="101"/>
        <v>72.680157722993556</v>
      </c>
      <c r="FH126" s="22">
        <f t="shared" si="76"/>
        <v>661.59451203421315</v>
      </c>
      <c r="FI126" s="62">
        <f t="shared" si="77"/>
        <v>954.92784536754652</v>
      </c>
      <c r="FJ126" s="62">
        <f ca="1">AVERAGE(OFFSET($FI$3,0,0,'Données projet'!$E$16+1,1))-AVERAGE(OFFSET($H$3,0,0,'Données projet'!$E$16+1,1))</f>
        <v>541.66888676162716</v>
      </c>
      <c r="FK126" s="62">
        <f t="shared" si="102"/>
        <v>294.45557293177131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>
        <f>EXP(-LN(2)/35)*FQ125+(1-EXP(-LN(2)/35))/(LN(2)/35)*FM126*FN126*VLOOKUP('Données projet'!$B$16,Paramètres!$A$1:$I$89,3,0)*0.475*44/12</f>
        <v>0</v>
      </c>
      <c r="FR126" s="23">
        <f>EXP(-LN(2)/25)*FR125+(1-EXP(-LN(2)/25))/(LN(2)/25)*Calculateur!FM126*Calculateur!FO126*VLOOKUP('Données projet'!$B$16,Paramètres!$A$1:$I$89,3,0)*0.475*44/12</f>
        <v>0</v>
      </c>
      <c r="FS126" s="23">
        <f>EXP(-LN(2)/2)*FS125+(1-EXP(-LN(2)/2))/(LN(2)/2)*FM126*FP126*VLOOKUP('Données projet'!$B$16,Paramètres!$A$1:$I$89,3,0)*0.475*44/12</f>
        <v>0</v>
      </c>
      <c r="FT126" s="24">
        <f t="shared" si="78"/>
        <v>0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1.1368683772161603E-13</v>
      </c>
      <c r="GA126" s="18">
        <f>FZ126*VLOOKUP('Données projet'!$B$17,Paramètres!$A$1:$I$89,3,0)*VLOOKUP('Données projet'!$B$17,Paramètres!$A$1:$I$89,5,0)</f>
        <v>8.8675733422860506E-14</v>
      </c>
      <c r="GB126" s="14">
        <f t="shared" si="103"/>
        <v>1.3509285393066301E-12</v>
      </c>
      <c r="GC126" s="22">
        <f t="shared" si="79"/>
        <v>2.5073107750038623E-12</v>
      </c>
      <c r="GD126" s="62">
        <f t="shared" si="80"/>
        <v>293.33333333333582</v>
      </c>
      <c r="GE126" s="62">
        <f ca="1">AVERAGE(OFFSET($GD$3,0,0,'Données projet'!$E$17+1,1))-AVERAGE(OFFSET($H$3,0,0,'Données projet'!$E$17+1,1))</f>
        <v>292.57482726862594</v>
      </c>
      <c r="GF126" s="62">
        <f t="shared" si="104"/>
        <v>283.48738729114024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>
        <f>EXP(-LN(2)/35)*GL125+(1-EXP(-LN(2)/35))/(LN(2)/35)*GH126*GI126*VLOOKUP('Données projet'!$B$17,Paramètres!$A$1:$I$89,3,0)*0.475*44/12</f>
        <v>0</v>
      </c>
      <c r="GM126" s="23">
        <f>EXP(-LN(2)/25)*GM125+(1-EXP(-LN(2)/25))/(LN(2)/25)*Calculateur!GH126*Calculateur!GJ126*VLOOKUP('Données projet'!$B$17,Paramètres!$A$1:$I$89,3,0)*0.475*44/12</f>
        <v>0</v>
      </c>
      <c r="GN126" s="23">
        <f>EXP(-LN(2)/2)*GN125+(1-EXP(-LN(2)/2))/(LN(2)/2)*GH126*GK126*VLOOKUP('Données projet'!$B$17,Paramètres!$A$1:$I$89,3,0)*0.475*44/12</f>
        <v>0</v>
      </c>
      <c r="GO126" s="23">
        <f t="shared" si="81"/>
        <v>0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-2.2737367544323206E-13</v>
      </c>
      <c r="GV126" s="18">
        <f>GU126*VLOOKUP('Données projet'!$B$18,Paramètres!$A$1:$I$89,3,0)*VLOOKUP('Données projet'!$B$18,Paramètres!$A$1:$I$89,5,0)</f>
        <v>-1.5252226148732008E-13</v>
      </c>
      <c r="GW126" s="14" t="e">
        <f t="shared" si="105"/>
        <v>#NUM!</v>
      </c>
      <c r="GX126" s="22" t="e">
        <f t="shared" si="82"/>
        <v>#NUM!</v>
      </c>
      <c r="GY126" s="62" t="e">
        <f t="shared" si="83"/>
        <v>#NUM!</v>
      </c>
      <c r="GZ126" s="62">
        <f ca="1">AVERAGE(OFFSET($GY$3,0,0,'Données projet'!$E$18+1,1))-AVERAGE(OFFSET($H$3,0,0,'Données projet'!$E$18+1,1))</f>
        <v>410.20186800287411</v>
      </c>
      <c r="HA126" s="62">
        <f t="shared" si="106"/>
        <v>321.99347958016057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>
        <f>EXP(-LN(2)/35)*HG125+(1-EXP(-LN(2)/35))/(LN(2)/35)*HC126*HD126*VLOOKUP('Données projet'!$B$18,Paramètres!$A$1:$I$89,3,0)*0.475*44/12</f>
        <v>0</v>
      </c>
      <c r="HH126" s="23">
        <f>EXP(-LN(2)/25)*HH125+(1-EXP(-LN(2)/25))/(LN(2)/25)*Calculateur!HC126*Calculateur!HE126*VLOOKUP('Données projet'!$B$18,Paramètres!$A$1:$I$89,3,0)*0.475*44/12</f>
        <v>0</v>
      </c>
      <c r="HI126" s="23">
        <f>EXP(-LN(2)/2)*HI125+(1-EXP(-LN(2)/2))/(LN(2)/2)*HC126*HF126*VLOOKUP('Données projet'!$B$18,Paramètres!$A$1:$I$89,3,0)*0.475*44/12</f>
        <v>0</v>
      </c>
      <c r="HJ126" s="24">
        <f t="shared" si="84"/>
        <v>0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4.2</v>
      </c>
      <c r="N127" s="14">
        <f>IF('Données projet'!$A$36&gt;35,N126+M127-V126,IF(A127&lt;'Données projet'!$A$36,$K$205^A127,IF(A127='Données projet'!$A$36,'Données projet'!$B$36,N126+M127-V126)))</f>
        <v>321.79999999999961</v>
      </c>
      <c r="O127" s="14">
        <f>N127*VLOOKUP('Données projet'!$B$9,Paramètres!$A$1:$I$89,3,0)*VLOOKUP('Données projet'!$B$9,Paramètres!$A$1:$I$89,5,0)</f>
        <v>291.16463999999962</v>
      </c>
      <c r="P127" s="14">
        <f t="shared" si="87"/>
        <v>69.321022467464573</v>
      </c>
      <c r="Q127" s="22">
        <f t="shared" si="107"/>
        <v>627.84586213083344</v>
      </c>
      <c r="R127" s="62">
        <f t="shared" si="55"/>
        <v>921.1791954641667</v>
      </c>
      <c r="S127" s="62">
        <f ca="1">AVERAGE(OFFSET($R$3,0,0,'Données projet'!$E$9+1,1))-AVERAGE(OFFSET($H$3,0,0,'Données projet'!$E$9+1,1))</f>
        <v>509.56241660612449</v>
      </c>
      <c r="T127" s="62">
        <f t="shared" si="88"/>
        <v>278.21741231699929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4.2</v>
      </c>
      <c r="AI127" s="14">
        <f>IF('Données projet'!$A$62&gt;35,AI126+AH127-AQ126,IF(A127&lt;'Données projet'!$A$62,$AF$205^A127,IF(A127='Données projet'!$A$62,'Données projet'!$B$62,AI126+AH127-AQ126)))</f>
        <v>321.79999999999961</v>
      </c>
      <c r="AJ127" s="14">
        <f>AI127*VLOOKUP('Données projet'!$B$10,Paramètres!$A$1:$I$89,3,0)*VLOOKUP('Données projet'!$B$10,Paramètres!$A$1:$I$89,5,0)</f>
        <v>326.30519999999962</v>
      </c>
      <c r="AK127" s="14">
        <f t="shared" si="89"/>
        <v>76.663779608302278</v>
      </c>
      <c r="AL127" s="22">
        <f t="shared" si="58"/>
        <v>701.83763948445903</v>
      </c>
      <c r="AM127" s="62">
        <f t="shared" si="59"/>
        <v>995.17097281779229</v>
      </c>
      <c r="AN127" s="62">
        <f ca="1">AVERAGE(OFFSET($AM$3,0,0,'Données projet'!$E$10+1,1))-AVERAGE(OFFSET($H$3,0,0,'Données projet'!$E$10+1,1))</f>
        <v>565.72091871734051</v>
      </c>
      <c r="AO127" s="62">
        <f t="shared" si="90"/>
        <v>306.61893266146666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-5.6843418860808015E-14</v>
      </c>
      <c r="BE127" s="14">
        <f>BD127*VLOOKUP('Données projet'!$B$11,Paramètres!$A$1:$I$89,3,0)*VLOOKUP('Données projet'!$B$11,Paramètres!$A$1:$I$89,5,0)</f>
        <v>-4.1677594708744434E-14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344.26020118887629</v>
      </c>
      <c r="BJ127" s="62">
        <f t="shared" si="92"/>
        <v>376.41441893222185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4.2</v>
      </c>
      <c r="BY127" s="13">
        <f>IF('Données projet'!$A$114&gt;35,BY126+BX127-CG126,IF(A127&lt;'Données projet'!$A$114,$BV$205^A127,IF(A127='Données projet'!$A$114,'Données projet'!$B$114,BY126+BX127-CG126)))</f>
        <v>321.79999999999961</v>
      </c>
      <c r="BZ127" s="14">
        <f>BY127*VLOOKUP('Données projet'!$B$12,Paramètres!$A$1:$I$89,3,0)*VLOOKUP('Données projet'!$B$12,Paramètres!$A$1:$I$89,5,0)</f>
        <v>271.08431999999971</v>
      </c>
      <c r="CA127" s="14">
        <f t="shared" si="93"/>
        <v>65.079335652211341</v>
      </c>
      <c r="CB127" s="22">
        <f t="shared" si="64"/>
        <v>585.48503359426752</v>
      </c>
      <c r="CC127" s="62">
        <f t="shared" si="65"/>
        <v>878.81836692760089</v>
      </c>
      <c r="CD127" s="62">
        <f ca="1">AVERAGE(OFFSET($CC$3,0,0,'Données projet'!$E$12+1,1))-AVERAGE(OFFSET($H$3,0,0,'Données projet'!$E$12+1,1))</f>
        <v>477.4105367901771</v>
      </c>
      <c r="CE127" s="62">
        <f t="shared" si="94"/>
        <v>261.95434270986397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-6.2527760746888816E-13</v>
      </c>
      <c r="CU127" s="18">
        <f>CT127*VLOOKUP('Données projet'!$B$13,Paramètres!$A$1:$I$89,3,0)*VLOOKUP('Données projet'!$B$13,Paramètres!$A$1:$I$89,5,0)</f>
        <v>-2.9262992029543964E-13</v>
      </c>
      <c r="CV127" s="14" t="e">
        <f t="shared" si="95"/>
        <v>#NUM!</v>
      </c>
      <c r="CW127" s="22" t="e">
        <f t="shared" si="67"/>
        <v>#NUM!</v>
      </c>
      <c r="CX127" s="62" t="e">
        <f t="shared" si="68"/>
        <v>#NUM!</v>
      </c>
      <c r="CY127" s="62">
        <f ca="1">AVERAGE(OFFSET($CX$3,0,0,'Données projet'!$E$13+1,1))-AVERAGE(OFFSET($H$3,0,0,'Données projet'!$E$13+1,1))</f>
        <v>246.64907095367749</v>
      </c>
      <c r="CZ127" s="62">
        <f t="shared" si="96"/>
        <v>145.34368562171613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-5.6843418860808015E-14</v>
      </c>
      <c r="DP127" s="18">
        <f>DO127*VLOOKUP('Données projet'!$B$14,Paramètres!$A$1:$I$89,3,0)*VLOOKUP('Données projet'!$B$14,Paramètres!$A$1:$I$89,5,0)</f>
        <v>-4.5224624045658861E-14</v>
      </c>
      <c r="DQ127" s="14" t="e">
        <f t="shared" si="97"/>
        <v>#NUM!</v>
      </c>
      <c r="DR127" s="22" t="e">
        <f t="shared" si="70"/>
        <v>#NUM!</v>
      </c>
      <c r="DS127" s="62" t="e">
        <f t="shared" si="71"/>
        <v>#NUM!</v>
      </c>
      <c r="DT127" s="62">
        <f ca="1">AVERAGE(OFFSET($DS$3,0,0,'Données projet'!$E$14+1,1))-AVERAGE(OFFSET($H$3,0,0,'Données projet'!$E$14+1,1))</f>
        <v>370.38521334472284</v>
      </c>
      <c r="DU127" s="62">
        <f t="shared" si="98"/>
        <v>404.61777090709171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-1.1368683772161603E-13</v>
      </c>
      <c r="EK127" s="18">
        <f>EJ127*VLOOKUP('Données projet'!$B$15,Paramètres!$A$1:$I$89,3,0)*VLOOKUP('Données projet'!$B$15,Paramètres!$A$1:$I$89,5,0)</f>
        <v>-9.7543306765146564E-14</v>
      </c>
      <c r="EL127" s="14" t="e">
        <f t="shared" si="99"/>
        <v>#NUM!</v>
      </c>
      <c r="EM127" s="22" t="e">
        <f t="shared" si="73"/>
        <v>#NUM!</v>
      </c>
      <c r="EN127" s="62" t="e">
        <f t="shared" si="74"/>
        <v>#NUM!</v>
      </c>
      <c r="EO127" s="62">
        <f ca="1">AVERAGE(OFFSET($EN$3,0,0,'Données projet'!$E$15+1,1))-AVERAGE(OFFSET($H$3,0,0,'Données projet'!$E$15+1,1))</f>
        <v>445.81166342116865</v>
      </c>
      <c r="EP127" s="62">
        <f t="shared" si="100"/>
        <v>230.82970731138215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0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4.2</v>
      </c>
      <c r="FE127" s="13">
        <f>IF('Données projet'!$A$218&gt;35,FE126+FD127-FM126,IF(A127&lt;'Données projet'!$A$218,$FB$205^A127,IF(A127='Données projet'!$A$218,'Données projet'!$B$218,FE126+FD127-FM126)))</f>
        <v>321.79999999999961</v>
      </c>
      <c r="FF127" s="18">
        <f>FE127*VLOOKUP('Données projet'!$B$16,Paramètres!$A$1:$I$89,3,0)*VLOOKUP('Données projet'!$B$16,Paramètres!$A$1:$I$89,5,0)</f>
        <v>311.24495999999965</v>
      </c>
      <c r="FG127" s="14">
        <f t="shared" si="101"/>
        <v>73.528766691722723</v>
      </c>
      <c r="FH127" s="22">
        <f t="shared" si="76"/>
        <v>670.14757398808308</v>
      </c>
      <c r="FI127" s="62">
        <f t="shared" si="77"/>
        <v>963.48090732141645</v>
      </c>
      <c r="FJ127" s="62">
        <f ca="1">AVERAGE(OFFSET($FI$3,0,0,'Données projet'!$E$16+1,1))-AVERAGE(OFFSET($H$3,0,0,'Données projet'!$E$16+1,1))</f>
        <v>541.66888676162716</v>
      </c>
      <c r="FK127" s="62">
        <f t="shared" si="102"/>
        <v>294.45557293177131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>
        <f>EXP(-LN(2)/35)*FQ126+(1-EXP(-LN(2)/35))/(LN(2)/35)*FM127*FN127*VLOOKUP('Données projet'!$B$16,Paramètres!$A$1:$I$89,3,0)*0.475*44/12</f>
        <v>0</v>
      </c>
      <c r="FR127" s="23">
        <f>EXP(-LN(2)/25)*FR126+(1-EXP(-LN(2)/25))/(LN(2)/25)*Calculateur!FM127*Calculateur!FO127*VLOOKUP('Données projet'!$B$16,Paramètres!$A$1:$I$89,3,0)*0.475*44/12</f>
        <v>0</v>
      </c>
      <c r="FS127" s="23">
        <f>EXP(-LN(2)/2)*FS126+(1-EXP(-LN(2)/2))/(LN(2)/2)*FM127*FP127*VLOOKUP('Données projet'!$B$16,Paramètres!$A$1:$I$89,3,0)*0.475*44/12</f>
        <v>0</v>
      </c>
      <c r="FT127" s="24">
        <f t="shared" si="78"/>
        <v>0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1.1368683772161603E-13</v>
      </c>
      <c r="GA127" s="18">
        <f>FZ127*VLOOKUP('Données projet'!$B$17,Paramètres!$A$1:$I$89,3,0)*VLOOKUP('Données projet'!$B$17,Paramètres!$A$1:$I$89,5,0)</f>
        <v>8.8675733422860506E-14</v>
      </c>
      <c r="GB127" s="14">
        <f t="shared" si="103"/>
        <v>1.3509285393066301E-12</v>
      </c>
      <c r="GC127" s="22">
        <f t="shared" si="79"/>
        <v>2.5073107750038623E-12</v>
      </c>
      <c r="GD127" s="62">
        <f t="shared" si="80"/>
        <v>293.33333333333582</v>
      </c>
      <c r="GE127" s="62">
        <f ca="1">AVERAGE(OFFSET($GD$3,0,0,'Données projet'!$E$17+1,1))-AVERAGE(OFFSET($H$3,0,0,'Données projet'!$E$17+1,1))</f>
        <v>292.57482726862594</v>
      </c>
      <c r="GF127" s="62">
        <f t="shared" si="104"/>
        <v>283.48738729114024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>
        <f>EXP(-LN(2)/35)*GL126+(1-EXP(-LN(2)/35))/(LN(2)/35)*GH127*GI127*VLOOKUP('Données projet'!$B$17,Paramètres!$A$1:$I$89,3,0)*0.475*44/12</f>
        <v>0</v>
      </c>
      <c r="GM127" s="23">
        <f>EXP(-LN(2)/25)*GM126+(1-EXP(-LN(2)/25))/(LN(2)/25)*Calculateur!GH127*Calculateur!GJ127*VLOOKUP('Données projet'!$B$17,Paramètres!$A$1:$I$89,3,0)*0.475*44/12</f>
        <v>0</v>
      </c>
      <c r="GN127" s="23">
        <f>EXP(-LN(2)/2)*GN126+(1-EXP(-LN(2)/2))/(LN(2)/2)*GH127*GK127*VLOOKUP('Données projet'!$B$17,Paramètres!$A$1:$I$89,3,0)*0.475*44/12</f>
        <v>0</v>
      </c>
      <c r="GO127" s="23">
        <f t="shared" si="81"/>
        <v>0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-2.2737367544323206E-13</v>
      </c>
      <c r="GV127" s="18">
        <f>GU127*VLOOKUP('Données projet'!$B$18,Paramètres!$A$1:$I$89,3,0)*VLOOKUP('Données projet'!$B$18,Paramètres!$A$1:$I$89,5,0)</f>
        <v>-1.5252226148732008E-13</v>
      </c>
      <c r="GW127" s="14" t="e">
        <f t="shared" si="105"/>
        <v>#NUM!</v>
      </c>
      <c r="GX127" s="22" t="e">
        <f t="shared" si="82"/>
        <v>#NUM!</v>
      </c>
      <c r="GY127" s="62" t="e">
        <f t="shared" si="83"/>
        <v>#NUM!</v>
      </c>
      <c r="GZ127" s="62">
        <f ca="1">AVERAGE(OFFSET($GY$3,0,0,'Données projet'!$E$18+1,1))-AVERAGE(OFFSET($H$3,0,0,'Données projet'!$E$18+1,1))</f>
        <v>410.20186800287411</v>
      </c>
      <c r="HA127" s="62">
        <f t="shared" si="106"/>
        <v>321.99347958016057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>
        <f>EXP(-LN(2)/35)*HG126+(1-EXP(-LN(2)/35))/(LN(2)/35)*HC127*HD127*VLOOKUP('Données projet'!$B$18,Paramètres!$A$1:$I$89,3,0)*0.475*44/12</f>
        <v>0</v>
      </c>
      <c r="HH127" s="23">
        <f>EXP(-LN(2)/25)*HH126+(1-EXP(-LN(2)/25))/(LN(2)/25)*Calculateur!HC127*Calculateur!HE127*VLOOKUP('Données projet'!$B$18,Paramètres!$A$1:$I$89,3,0)*0.475*44/12</f>
        <v>0</v>
      </c>
      <c r="HI127" s="23">
        <f>EXP(-LN(2)/2)*HI126+(1-EXP(-LN(2)/2))/(LN(2)/2)*HC127*HF127*VLOOKUP('Données projet'!$B$18,Paramètres!$A$1:$I$89,3,0)*0.475*44/12</f>
        <v>0</v>
      </c>
      <c r="HJ127" s="24">
        <f t="shared" si="84"/>
        <v>0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4.2</v>
      </c>
      <c r="N128" s="14">
        <f>IF('Données projet'!$A$36&gt;35,N127+M128-V127,IF(A128&lt;'Données projet'!$A$36,$K$205^A128,IF(A128='Données projet'!$A$36,'Données projet'!$B$36,N127+M128-V127)))</f>
        <v>325.9999999999996</v>
      </c>
      <c r="O128" s="14">
        <f>N128*VLOOKUP('Données projet'!$B$9,Paramètres!$A$1:$I$89,3,0)*VLOOKUP('Données projet'!$B$9,Paramètres!$A$1:$I$89,5,0)</f>
        <v>294.96479999999963</v>
      </c>
      <c r="P128" s="14">
        <f t="shared" si="87"/>
        <v>70.119854541045001</v>
      </c>
      <c r="Q128" s="22">
        <f t="shared" si="107"/>
        <v>635.85577332565276</v>
      </c>
      <c r="R128" s="62">
        <f t="shared" si="55"/>
        <v>929.18910665898602</v>
      </c>
      <c r="S128" s="62">
        <f ca="1">AVERAGE(OFFSET($R$3,0,0,'Données projet'!$E$9+1,1))-AVERAGE(OFFSET($H$3,0,0,'Données projet'!$E$9+1,1))</f>
        <v>509.56241660612449</v>
      </c>
      <c r="T128" s="62">
        <f t="shared" si="88"/>
        <v>278.21741231699929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4.2</v>
      </c>
      <c r="AI128" s="14">
        <f>IF('Données projet'!$A$62&gt;35,AI127+AH128-AQ127,IF(A128&lt;'Données projet'!$A$62,$AF$205^A128,IF(A128='Données projet'!$A$62,'Données projet'!$B$62,AI127+AH128-AQ127)))</f>
        <v>325.9999999999996</v>
      </c>
      <c r="AJ128" s="14">
        <f>AI128*VLOOKUP('Données projet'!$B$10,Paramètres!$A$1:$I$89,3,0)*VLOOKUP('Données projet'!$B$10,Paramètres!$A$1:$I$89,5,0)</f>
        <v>330.56399999999962</v>
      </c>
      <c r="AK128" s="14">
        <f t="shared" si="89"/>
        <v>77.547227137682782</v>
      </c>
      <c r="AL128" s="22">
        <f t="shared" si="58"/>
        <v>710.79372059813011</v>
      </c>
      <c r="AM128" s="62">
        <f t="shared" si="59"/>
        <v>1004.1270539314635</v>
      </c>
      <c r="AN128" s="62">
        <f ca="1">AVERAGE(OFFSET($AM$3,0,0,'Données projet'!$E$10+1,1))-AVERAGE(OFFSET($H$3,0,0,'Données projet'!$E$10+1,1))</f>
        <v>565.72091871734051</v>
      </c>
      <c r="AO128" s="62">
        <f t="shared" si="90"/>
        <v>306.61893266146666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-5.6843418860808015E-14</v>
      </c>
      <c r="BE128" s="14">
        <f>BD128*VLOOKUP('Données projet'!$B$11,Paramètres!$A$1:$I$89,3,0)*VLOOKUP('Données projet'!$B$11,Paramètres!$A$1:$I$89,5,0)</f>
        <v>-4.1677594708744434E-14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344.26020118887629</v>
      </c>
      <c r="BJ128" s="62">
        <f t="shared" si="92"/>
        <v>376.41441893222185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4.2</v>
      </c>
      <c r="BY128" s="13">
        <f>IF('Données projet'!$A$114&gt;35,BY127+BX128-CG127,IF(A128&lt;'Données projet'!$A$114,$BV$205^A128,IF(A128='Données projet'!$A$114,'Données projet'!$B$114,BY127+BX128-CG127)))</f>
        <v>325.9999999999996</v>
      </c>
      <c r="BZ128" s="14">
        <f>BY128*VLOOKUP('Données projet'!$B$12,Paramètres!$A$1:$I$89,3,0)*VLOOKUP('Données projet'!$B$12,Paramètres!$A$1:$I$89,5,0)</f>
        <v>274.62239999999969</v>
      </c>
      <c r="CA128" s="14">
        <f t="shared" si="93"/>
        <v>65.829287958103706</v>
      </c>
      <c r="CB128" s="22">
        <f t="shared" si="64"/>
        <v>592.95335652703</v>
      </c>
      <c r="CC128" s="62">
        <f t="shared" si="65"/>
        <v>886.28668986036337</v>
      </c>
      <c r="CD128" s="62">
        <f ca="1">AVERAGE(OFFSET($CC$3,0,0,'Données projet'!$E$12+1,1))-AVERAGE(OFFSET($H$3,0,0,'Données projet'!$E$12+1,1))</f>
        <v>477.4105367901771</v>
      </c>
      <c r="CE128" s="62">
        <f t="shared" si="94"/>
        <v>261.95434270986397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-6.2527760746888816E-13</v>
      </c>
      <c r="CU128" s="18">
        <f>CT128*VLOOKUP('Données projet'!$B$13,Paramètres!$A$1:$I$89,3,0)*VLOOKUP('Données projet'!$B$13,Paramètres!$A$1:$I$89,5,0)</f>
        <v>-2.9262992029543964E-13</v>
      </c>
      <c r="CV128" s="14" t="e">
        <f t="shared" si="95"/>
        <v>#NUM!</v>
      </c>
      <c r="CW128" s="22" t="e">
        <f t="shared" si="67"/>
        <v>#NUM!</v>
      </c>
      <c r="CX128" s="62" t="e">
        <f t="shared" si="68"/>
        <v>#NUM!</v>
      </c>
      <c r="CY128" s="62">
        <f ca="1">AVERAGE(OFFSET($CX$3,0,0,'Données projet'!$E$13+1,1))-AVERAGE(OFFSET($H$3,0,0,'Données projet'!$E$13+1,1))</f>
        <v>246.64907095367749</v>
      </c>
      <c r="CZ128" s="62">
        <f t="shared" si="96"/>
        <v>145.34368562171613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-5.6843418860808015E-14</v>
      </c>
      <c r="DP128" s="18">
        <f>DO128*VLOOKUP('Données projet'!$B$14,Paramètres!$A$1:$I$89,3,0)*VLOOKUP('Données projet'!$B$14,Paramètres!$A$1:$I$89,5,0)</f>
        <v>-4.5224624045658861E-14</v>
      </c>
      <c r="DQ128" s="14" t="e">
        <f t="shared" si="97"/>
        <v>#NUM!</v>
      </c>
      <c r="DR128" s="22" t="e">
        <f t="shared" si="70"/>
        <v>#NUM!</v>
      </c>
      <c r="DS128" s="62" t="e">
        <f t="shared" si="71"/>
        <v>#NUM!</v>
      </c>
      <c r="DT128" s="62">
        <f ca="1">AVERAGE(OFFSET($DS$3,0,0,'Données projet'!$E$14+1,1))-AVERAGE(OFFSET($H$3,0,0,'Données projet'!$E$14+1,1))</f>
        <v>370.38521334472284</v>
      </c>
      <c r="DU128" s="62">
        <f t="shared" si="98"/>
        <v>404.61777090709171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-1.1368683772161603E-13</v>
      </c>
      <c r="EK128" s="18">
        <f>EJ128*VLOOKUP('Données projet'!$B$15,Paramètres!$A$1:$I$89,3,0)*VLOOKUP('Données projet'!$B$15,Paramètres!$A$1:$I$89,5,0)</f>
        <v>-9.7543306765146564E-14</v>
      </c>
      <c r="EL128" s="14" t="e">
        <f t="shared" si="99"/>
        <v>#NUM!</v>
      </c>
      <c r="EM128" s="22" t="e">
        <f t="shared" si="73"/>
        <v>#NUM!</v>
      </c>
      <c r="EN128" s="62" t="e">
        <f t="shared" si="74"/>
        <v>#NUM!</v>
      </c>
      <c r="EO128" s="62">
        <f ca="1">AVERAGE(OFFSET($EN$3,0,0,'Données projet'!$E$15+1,1))-AVERAGE(OFFSET($H$3,0,0,'Données projet'!$E$15+1,1))</f>
        <v>445.81166342116865</v>
      </c>
      <c r="EP128" s="62">
        <f t="shared" si="100"/>
        <v>230.82970731138215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0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4.2</v>
      </c>
      <c r="FE128" s="13">
        <f>IF('Données projet'!$A$218&gt;35,FE127+FD128-FM127,IF(A128&lt;'Données projet'!$A$218,$FB$205^A128,IF(A128='Données projet'!$A$218,'Données projet'!$B$218,FE127+FD128-FM127)))</f>
        <v>325.9999999999996</v>
      </c>
      <c r="FF128" s="18">
        <f>FE128*VLOOKUP('Données projet'!$B$16,Paramètres!$A$1:$I$89,3,0)*VLOOKUP('Données projet'!$B$16,Paramètres!$A$1:$I$89,5,0)</f>
        <v>315.30719999999963</v>
      </c>
      <c r="FG128" s="14">
        <f t="shared" si="101"/>
        <v>74.376087390024921</v>
      </c>
      <c r="FH128" s="22">
        <f t="shared" si="76"/>
        <v>678.69839220429276</v>
      </c>
      <c r="FI128" s="62">
        <f t="shared" si="77"/>
        <v>972.03172553762602</v>
      </c>
      <c r="FJ128" s="62">
        <f ca="1">AVERAGE(OFFSET($FI$3,0,0,'Données projet'!$E$16+1,1))-AVERAGE(OFFSET($H$3,0,0,'Données projet'!$E$16+1,1))</f>
        <v>541.66888676162716</v>
      </c>
      <c r="FK128" s="62">
        <f t="shared" si="102"/>
        <v>294.45557293177131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>
        <f>EXP(-LN(2)/35)*FQ127+(1-EXP(-LN(2)/35))/(LN(2)/35)*FM128*FN128*VLOOKUP('Données projet'!$B$16,Paramètres!$A$1:$I$89,3,0)*0.475*44/12</f>
        <v>0</v>
      </c>
      <c r="FR128" s="23">
        <f>EXP(-LN(2)/25)*FR127+(1-EXP(-LN(2)/25))/(LN(2)/25)*Calculateur!FM128*Calculateur!FO128*VLOOKUP('Données projet'!$B$16,Paramètres!$A$1:$I$89,3,0)*0.475*44/12</f>
        <v>0</v>
      </c>
      <c r="FS128" s="23">
        <f>EXP(-LN(2)/2)*FS127+(1-EXP(-LN(2)/2))/(LN(2)/2)*FM128*FP128*VLOOKUP('Données projet'!$B$16,Paramètres!$A$1:$I$89,3,0)*0.475*44/12</f>
        <v>0</v>
      </c>
      <c r="FT128" s="24">
        <f t="shared" si="78"/>
        <v>0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1.1368683772161603E-13</v>
      </c>
      <c r="GA128" s="18">
        <f>FZ128*VLOOKUP('Données projet'!$B$17,Paramètres!$A$1:$I$89,3,0)*VLOOKUP('Données projet'!$B$17,Paramètres!$A$1:$I$89,5,0)</f>
        <v>8.8675733422860506E-14</v>
      </c>
      <c r="GB128" s="14">
        <f t="shared" si="103"/>
        <v>1.3509285393066301E-12</v>
      </c>
      <c r="GC128" s="22">
        <f t="shared" si="79"/>
        <v>2.5073107750038623E-12</v>
      </c>
      <c r="GD128" s="62">
        <f t="shared" si="80"/>
        <v>293.33333333333582</v>
      </c>
      <c r="GE128" s="62">
        <f ca="1">AVERAGE(OFFSET($GD$3,0,0,'Données projet'!$E$17+1,1))-AVERAGE(OFFSET($H$3,0,0,'Données projet'!$E$17+1,1))</f>
        <v>292.57482726862594</v>
      </c>
      <c r="GF128" s="62">
        <f t="shared" si="104"/>
        <v>283.48738729114024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>
        <f>EXP(-LN(2)/35)*GL127+(1-EXP(-LN(2)/35))/(LN(2)/35)*GH128*GI128*VLOOKUP('Données projet'!$B$17,Paramètres!$A$1:$I$89,3,0)*0.475*44/12</f>
        <v>0</v>
      </c>
      <c r="GM128" s="23">
        <f>EXP(-LN(2)/25)*GM127+(1-EXP(-LN(2)/25))/(LN(2)/25)*Calculateur!GH128*Calculateur!GJ128*VLOOKUP('Données projet'!$B$17,Paramètres!$A$1:$I$89,3,0)*0.475*44/12</f>
        <v>0</v>
      </c>
      <c r="GN128" s="23">
        <f>EXP(-LN(2)/2)*GN127+(1-EXP(-LN(2)/2))/(LN(2)/2)*GH128*GK128*VLOOKUP('Données projet'!$B$17,Paramètres!$A$1:$I$89,3,0)*0.475*44/12</f>
        <v>0</v>
      </c>
      <c r="GO128" s="23">
        <f t="shared" si="81"/>
        <v>0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-2.2737367544323206E-13</v>
      </c>
      <c r="GV128" s="18">
        <f>GU128*VLOOKUP('Données projet'!$B$18,Paramètres!$A$1:$I$89,3,0)*VLOOKUP('Données projet'!$B$18,Paramètres!$A$1:$I$89,5,0)</f>
        <v>-1.5252226148732008E-13</v>
      </c>
      <c r="GW128" s="14" t="e">
        <f t="shared" si="105"/>
        <v>#NUM!</v>
      </c>
      <c r="GX128" s="22" t="e">
        <f t="shared" si="82"/>
        <v>#NUM!</v>
      </c>
      <c r="GY128" s="62" t="e">
        <f t="shared" si="83"/>
        <v>#NUM!</v>
      </c>
      <c r="GZ128" s="62">
        <f ca="1">AVERAGE(OFFSET($GY$3,0,0,'Données projet'!$E$18+1,1))-AVERAGE(OFFSET($H$3,0,0,'Données projet'!$E$18+1,1))</f>
        <v>410.20186800287411</v>
      </c>
      <c r="HA128" s="62">
        <f t="shared" si="106"/>
        <v>321.99347958016057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>
        <f>EXP(-LN(2)/35)*HG127+(1-EXP(-LN(2)/35))/(LN(2)/35)*HC128*HD128*VLOOKUP('Données projet'!$B$18,Paramètres!$A$1:$I$89,3,0)*0.475*44/12</f>
        <v>0</v>
      </c>
      <c r="HH128" s="23">
        <f>EXP(-LN(2)/25)*HH127+(1-EXP(-LN(2)/25))/(LN(2)/25)*Calculateur!HC128*Calculateur!HE128*VLOOKUP('Données projet'!$B$18,Paramètres!$A$1:$I$89,3,0)*0.475*44/12</f>
        <v>0</v>
      </c>
      <c r="HI128" s="23">
        <f>EXP(-LN(2)/2)*HI127+(1-EXP(-LN(2)/2))/(LN(2)/2)*HC128*HF128*VLOOKUP('Données projet'!$B$18,Paramètres!$A$1:$I$89,3,0)*0.475*44/12</f>
        <v>0</v>
      </c>
      <c r="HJ128" s="24">
        <f t="shared" si="84"/>
        <v>0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4.2</v>
      </c>
      <c r="N129" s="14">
        <f>IF('Données projet'!$A$36&gt;35,N128+M129-V128,IF(A129&lt;'Données projet'!$A$36,$K$205^A129,IF(A129='Données projet'!$A$36,'Données projet'!$B$36,N128+M129-V128)))</f>
        <v>330.19999999999959</v>
      </c>
      <c r="O129" s="14">
        <f>N129*VLOOKUP('Données projet'!$B$9,Paramètres!$A$1:$I$89,3,0)*VLOOKUP('Données projet'!$B$9,Paramètres!$A$1:$I$89,5,0)</f>
        <v>298.76495999999958</v>
      </c>
      <c r="P129" s="14">
        <f t="shared" si="87"/>
        <v>70.917489523341189</v>
      </c>
      <c r="Q129" s="22">
        <f t="shared" si="107"/>
        <v>643.86359958648518</v>
      </c>
      <c r="R129" s="62">
        <f t="shared" si="55"/>
        <v>937.19693291981844</v>
      </c>
      <c r="S129" s="62">
        <f ca="1">AVERAGE(OFFSET($R$3,0,0,'Données projet'!$E$9+1,1))-AVERAGE(OFFSET($H$3,0,0,'Données projet'!$E$9+1,1))</f>
        <v>509.56241660612449</v>
      </c>
      <c r="T129" s="62">
        <f t="shared" si="88"/>
        <v>278.21741231699929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4.2</v>
      </c>
      <c r="AI129" s="14">
        <f>IF('Données projet'!$A$62&gt;35,AI128+AH129-AQ128,IF(A129&lt;'Données projet'!$A$62,$AF$205^A129,IF(A129='Données projet'!$A$62,'Données projet'!$B$62,AI128+AH129-AQ128)))</f>
        <v>330.19999999999959</v>
      </c>
      <c r="AJ129" s="14">
        <f>AI129*VLOOKUP('Données projet'!$B$10,Paramètres!$A$1:$I$89,3,0)*VLOOKUP('Données projet'!$B$10,Paramètres!$A$1:$I$89,5,0)</f>
        <v>334.82279999999963</v>
      </c>
      <c r="AK129" s="14">
        <f t="shared" si="89"/>
        <v>78.429350775131056</v>
      </c>
      <c r="AL129" s="22">
        <f t="shared" si="58"/>
        <v>719.74749593335264</v>
      </c>
      <c r="AM129" s="62">
        <f t="shared" si="59"/>
        <v>1013.0808292666859</v>
      </c>
      <c r="AN129" s="62">
        <f ca="1">AVERAGE(OFFSET($AM$3,0,0,'Données projet'!$E$10+1,1))-AVERAGE(OFFSET($H$3,0,0,'Données projet'!$E$10+1,1))</f>
        <v>565.72091871734051</v>
      </c>
      <c r="AO129" s="62">
        <f t="shared" si="90"/>
        <v>306.61893266146666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-5.6843418860808015E-14</v>
      </c>
      <c r="BE129" s="14">
        <f>BD129*VLOOKUP('Données projet'!$B$11,Paramètres!$A$1:$I$89,3,0)*VLOOKUP('Données projet'!$B$11,Paramètres!$A$1:$I$89,5,0)</f>
        <v>-4.1677594708744434E-14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344.26020118887629</v>
      </c>
      <c r="BJ129" s="62">
        <f t="shared" si="92"/>
        <v>376.41441893222185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4.2</v>
      </c>
      <c r="BY129" s="13">
        <f>IF('Données projet'!$A$114&gt;35,BY128+BX129-CG128,IF(A129&lt;'Données projet'!$A$114,$BV$205^A129,IF(A129='Données projet'!$A$114,'Données projet'!$B$114,BY128+BX129-CG128)))</f>
        <v>330.19999999999959</v>
      </c>
      <c r="BZ129" s="14">
        <f>BY129*VLOOKUP('Données projet'!$B$12,Paramètres!$A$1:$I$89,3,0)*VLOOKUP('Données projet'!$B$12,Paramètres!$A$1:$I$89,5,0)</f>
        <v>278.16047999999967</v>
      </c>
      <c r="CA129" s="14">
        <f t="shared" si="93"/>
        <v>66.578116421578372</v>
      </c>
      <c r="CB129" s="22">
        <f t="shared" si="64"/>
        <v>600.41972210091501</v>
      </c>
      <c r="CC129" s="62">
        <f t="shared" si="65"/>
        <v>893.75305543424838</v>
      </c>
      <c r="CD129" s="62">
        <f ca="1">AVERAGE(OFFSET($CC$3,0,0,'Données projet'!$E$12+1,1))-AVERAGE(OFFSET($H$3,0,0,'Données projet'!$E$12+1,1))</f>
        <v>477.4105367901771</v>
      </c>
      <c r="CE129" s="62">
        <f t="shared" si="94"/>
        <v>261.95434270986397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-6.2527760746888816E-13</v>
      </c>
      <c r="CU129" s="18">
        <f>CT129*VLOOKUP('Données projet'!$B$13,Paramètres!$A$1:$I$89,3,0)*VLOOKUP('Données projet'!$B$13,Paramètres!$A$1:$I$89,5,0)</f>
        <v>-2.9262992029543964E-13</v>
      </c>
      <c r="CV129" s="14" t="e">
        <f t="shared" si="95"/>
        <v>#NUM!</v>
      </c>
      <c r="CW129" s="22" t="e">
        <f t="shared" si="67"/>
        <v>#NUM!</v>
      </c>
      <c r="CX129" s="62" t="e">
        <f t="shared" si="68"/>
        <v>#NUM!</v>
      </c>
      <c r="CY129" s="62">
        <f ca="1">AVERAGE(OFFSET($CX$3,0,0,'Données projet'!$E$13+1,1))-AVERAGE(OFFSET($H$3,0,0,'Données projet'!$E$13+1,1))</f>
        <v>246.64907095367749</v>
      </c>
      <c r="CZ129" s="62">
        <f t="shared" si="96"/>
        <v>145.34368562171613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-5.6843418860808015E-14</v>
      </c>
      <c r="DP129" s="18">
        <f>DO129*VLOOKUP('Données projet'!$B$14,Paramètres!$A$1:$I$89,3,0)*VLOOKUP('Données projet'!$B$14,Paramètres!$A$1:$I$89,5,0)</f>
        <v>-4.5224624045658861E-14</v>
      </c>
      <c r="DQ129" s="14" t="e">
        <f t="shared" si="97"/>
        <v>#NUM!</v>
      </c>
      <c r="DR129" s="22" t="e">
        <f t="shared" si="70"/>
        <v>#NUM!</v>
      </c>
      <c r="DS129" s="62" t="e">
        <f t="shared" si="71"/>
        <v>#NUM!</v>
      </c>
      <c r="DT129" s="62">
        <f ca="1">AVERAGE(OFFSET($DS$3,0,0,'Données projet'!$E$14+1,1))-AVERAGE(OFFSET($H$3,0,0,'Données projet'!$E$14+1,1))</f>
        <v>370.38521334472284</v>
      </c>
      <c r="DU129" s="62">
        <f t="shared" si="98"/>
        <v>404.61777090709171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-1.1368683772161603E-13</v>
      </c>
      <c r="EK129" s="18">
        <f>EJ129*VLOOKUP('Données projet'!$B$15,Paramètres!$A$1:$I$89,3,0)*VLOOKUP('Données projet'!$B$15,Paramètres!$A$1:$I$89,5,0)</f>
        <v>-9.7543306765146564E-14</v>
      </c>
      <c r="EL129" s="14" t="e">
        <f t="shared" si="99"/>
        <v>#NUM!</v>
      </c>
      <c r="EM129" s="22" t="e">
        <f t="shared" si="73"/>
        <v>#NUM!</v>
      </c>
      <c r="EN129" s="62" t="e">
        <f t="shared" si="74"/>
        <v>#NUM!</v>
      </c>
      <c r="EO129" s="62">
        <f ca="1">AVERAGE(OFFSET($EN$3,0,0,'Données projet'!$E$15+1,1))-AVERAGE(OFFSET($H$3,0,0,'Données projet'!$E$15+1,1))</f>
        <v>445.81166342116865</v>
      </c>
      <c r="EP129" s="62">
        <f t="shared" si="100"/>
        <v>230.82970731138215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0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4.2</v>
      </c>
      <c r="FE129" s="13">
        <f>IF('Données projet'!$A$218&gt;35,FE128+FD129-FM128,IF(A129&lt;'Données projet'!$A$218,$FB$205^A129,IF(A129='Données projet'!$A$218,'Données projet'!$B$218,FE128+FD129-FM128)))</f>
        <v>330.19999999999959</v>
      </c>
      <c r="FF129" s="18">
        <f>FE129*VLOOKUP('Données projet'!$B$16,Paramètres!$A$1:$I$89,3,0)*VLOOKUP('Données projet'!$B$16,Paramètres!$A$1:$I$89,5,0)</f>
        <v>319.3694399999996</v>
      </c>
      <c r="FG129" s="14">
        <f t="shared" si="101"/>
        <v>75.222138334324612</v>
      </c>
      <c r="FH129" s="22">
        <f t="shared" si="76"/>
        <v>687.24699893228126</v>
      </c>
      <c r="FI129" s="62">
        <f t="shared" si="77"/>
        <v>980.58033226561452</v>
      </c>
      <c r="FJ129" s="62">
        <f ca="1">AVERAGE(OFFSET($FI$3,0,0,'Données projet'!$E$16+1,1))-AVERAGE(OFFSET($H$3,0,0,'Données projet'!$E$16+1,1))</f>
        <v>541.66888676162716</v>
      </c>
      <c r="FK129" s="62">
        <f t="shared" si="102"/>
        <v>294.45557293177131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>
        <f>EXP(-LN(2)/35)*FQ128+(1-EXP(-LN(2)/35))/(LN(2)/35)*FM129*FN129*VLOOKUP('Données projet'!$B$16,Paramètres!$A$1:$I$89,3,0)*0.475*44/12</f>
        <v>0</v>
      </c>
      <c r="FR129" s="23">
        <f>EXP(-LN(2)/25)*FR128+(1-EXP(-LN(2)/25))/(LN(2)/25)*Calculateur!FM129*Calculateur!FO129*VLOOKUP('Données projet'!$B$16,Paramètres!$A$1:$I$89,3,0)*0.475*44/12</f>
        <v>0</v>
      </c>
      <c r="FS129" s="23">
        <f>EXP(-LN(2)/2)*FS128+(1-EXP(-LN(2)/2))/(LN(2)/2)*FM129*FP129*VLOOKUP('Données projet'!$B$16,Paramètres!$A$1:$I$89,3,0)*0.475*44/12</f>
        <v>0</v>
      </c>
      <c r="FT129" s="24">
        <f t="shared" si="78"/>
        <v>0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1.1368683772161603E-13</v>
      </c>
      <c r="GA129" s="18">
        <f>FZ129*VLOOKUP('Données projet'!$B$17,Paramètres!$A$1:$I$89,3,0)*VLOOKUP('Données projet'!$B$17,Paramètres!$A$1:$I$89,5,0)</f>
        <v>8.8675733422860506E-14</v>
      </c>
      <c r="GB129" s="14">
        <f t="shared" si="103"/>
        <v>1.3509285393066301E-12</v>
      </c>
      <c r="GC129" s="22">
        <f t="shared" si="79"/>
        <v>2.5073107750038623E-12</v>
      </c>
      <c r="GD129" s="62">
        <f t="shared" si="80"/>
        <v>293.33333333333582</v>
      </c>
      <c r="GE129" s="62">
        <f ca="1">AVERAGE(OFFSET($GD$3,0,0,'Données projet'!$E$17+1,1))-AVERAGE(OFFSET($H$3,0,0,'Données projet'!$E$17+1,1))</f>
        <v>292.57482726862594</v>
      </c>
      <c r="GF129" s="62">
        <f t="shared" si="104"/>
        <v>283.48738729114024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>
        <f>EXP(-LN(2)/35)*GL128+(1-EXP(-LN(2)/35))/(LN(2)/35)*GH129*GI129*VLOOKUP('Données projet'!$B$17,Paramètres!$A$1:$I$89,3,0)*0.475*44/12</f>
        <v>0</v>
      </c>
      <c r="GM129" s="23">
        <f>EXP(-LN(2)/25)*GM128+(1-EXP(-LN(2)/25))/(LN(2)/25)*Calculateur!GH129*Calculateur!GJ129*VLOOKUP('Données projet'!$B$17,Paramètres!$A$1:$I$89,3,0)*0.475*44/12</f>
        <v>0</v>
      </c>
      <c r="GN129" s="23">
        <f>EXP(-LN(2)/2)*GN128+(1-EXP(-LN(2)/2))/(LN(2)/2)*GH129*GK129*VLOOKUP('Données projet'!$B$17,Paramètres!$A$1:$I$89,3,0)*0.475*44/12</f>
        <v>0</v>
      </c>
      <c r="GO129" s="23">
        <f t="shared" si="81"/>
        <v>0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-2.2737367544323206E-13</v>
      </c>
      <c r="GV129" s="18">
        <f>GU129*VLOOKUP('Données projet'!$B$18,Paramètres!$A$1:$I$89,3,0)*VLOOKUP('Données projet'!$B$18,Paramètres!$A$1:$I$89,5,0)</f>
        <v>-1.5252226148732008E-13</v>
      </c>
      <c r="GW129" s="14" t="e">
        <f t="shared" si="105"/>
        <v>#NUM!</v>
      </c>
      <c r="GX129" s="22" t="e">
        <f t="shared" si="82"/>
        <v>#NUM!</v>
      </c>
      <c r="GY129" s="62" t="e">
        <f t="shared" si="83"/>
        <v>#NUM!</v>
      </c>
      <c r="GZ129" s="62">
        <f ca="1">AVERAGE(OFFSET($GY$3,0,0,'Données projet'!$E$18+1,1))-AVERAGE(OFFSET($H$3,0,0,'Données projet'!$E$18+1,1))</f>
        <v>410.20186800287411</v>
      </c>
      <c r="HA129" s="62">
        <f t="shared" si="106"/>
        <v>321.99347958016057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>
        <f>EXP(-LN(2)/35)*HG128+(1-EXP(-LN(2)/35))/(LN(2)/35)*HC129*HD129*VLOOKUP('Données projet'!$B$18,Paramètres!$A$1:$I$89,3,0)*0.475*44/12</f>
        <v>0</v>
      </c>
      <c r="HH129" s="23">
        <f>EXP(-LN(2)/25)*HH128+(1-EXP(-LN(2)/25))/(LN(2)/25)*Calculateur!HC129*Calculateur!HE129*VLOOKUP('Données projet'!$B$18,Paramètres!$A$1:$I$89,3,0)*0.475*44/12</f>
        <v>0</v>
      </c>
      <c r="HI129" s="23">
        <f>EXP(-LN(2)/2)*HI128+(1-EXP(-LN(2)/2))/(LN(2)/2)*HC129*HF129*VLOOKUP('Données projet'!$B$18,Paramètres!$A$1:$I$89,3,0)*0.475*44/12</f>
        <v>0</v>
      </c>
      <c r="HJ129" s="24">
        <f t="shared" si="84"/>
        <v>0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4.2</v>
      </c>
      <c r="N130" s="14">
        <f>IF('Données projet'!$A$36&gt;35,N129+M130-V129,IF(A130&lt;'Données projet'!$A$36,$K$205^A130,IF(A130='Données projet'!$A$36,'Données projet'!$B$36,N129+M130-V129)))</f>
        <v>334.39999999999958</v>
      </c>
      <c r="O130" s="14">
        <f>N130*VLOOKUP('Données projet'!$B$9,Paramètres!$A$1:$I$89,3,0)*VLOOKUP('Données projet'!$B$9,Paramètres!$A$1:$I$89,5,0)</f>
        <v>302.56511999999958</v>
      </c>
      <c r="P130" s="14">
        <f t="shared" si="87"/>
        <v>71.713944401538271</v>
      </c>
      <c r="Q130" s="22">
        <f t="shared" si="107"/>
        <v>651.86937049934511</v>
      </c>
      <c r="R130" s="62">
        <f t="shared" si="55"/>
        <v>945.20270383267848</v>
      </c>
      <c r="S130" s="62">
        <f ca="1">AVERAGE(OFFSET($R$3,0,0,'Données projet'!$E$9+1,1))-AVERAGE(OFFSET($H$3,0,0,'Données projet'!$E$9+1,1))</f>
        <v>509.56241660612449</v>
      </c>
      <c r="T130" s="62">
        <f t="shared" si="88"/>
        <v>278.21741231699929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4.2</v>
      </c>
      <c r="AI130" s="14">
        <f>IF('Données projet'!$A$62&gt;35,AI129+AH130-AQ129,IF(A130&lt;'Données projet'!$A$62,$AF$205^A130,IF(A130='Données projet'!$A$62,'Données projet'!$B$62,AI129+AH130-AQ129)))</f>
        <v>334.39999999999958</v>
      </c>
      <c r="AJ130" s="14">
        <f>AI130*VLOOKUP('Données projet'!$B$10,Paramètres!$A$1:$I$89,3,0)*VLOOKUP('Données projet'!$B$10,Paramètres!$A$1:$I$89,5,0)</f>
        <v>339.08159999999958</v>
      </c>
      <c r="AK130" s="14">
        <f t="shared" si="89"/>
        <v>79.310169307181852</v>
      </c>
      <c r="AL130" s="22">
        <f t="shared" si="58"/>
        <v>728.69899821000763</v>
      </c>
      <c r="AM130" s="62">
        <f t="shared" si="59"/>
        <v>1022.0323315433409</v>
      </c>
      <c r="AN130" s="62">
        <f ca="1">AVERAGE(OFFSET($AM$3,0,0,'Données projet'!$E$10+1,1))-AVERAGE(OFFSET($H$3,0,0,'Données projet'!$E$10+1,1))</f>
        <v>565.72091871734051</v>
      </c>
      <c r="AO130" s="62">
        <f t="shared" si="90"/>
        <v>306.61893266146666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-5.6843418860808015E-14</v>
      </c>
      <c r="BE130" s="14">
        <f>BD130*VLOOKUP('Données projet'!$B$11,Paramètres!$A$1:$I$89,3,0)*VLOOKUP('Données projet'!$B$11,Paramètres!$A$1:$I$89,5,0)</f>
        <v>-4.1677594708744434E-14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344.26020118887629</v>
      </c>
      <c r="BJ130" s="62">
        <f t="shared" si="92"/>
        <v>376.41441893222185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4.2</v>
      </c>
      <c r="BY130" s="13">
        <f>IF('Données projet'!$A$114&gt;35,BY129+BX130-CG129,IF(A130&lt;'Données projet'!$A$114,$BV$205^A130,IF(A130='Données projet'!$A$114,'Données projet'!$B$114,BY129+BX130-CG129)))</f>
        <v>334.39999999999958</v>
      </c>
      <c r="BZ130" s="14">
        <f>BY130*VLOOKUP('Données projet'!$B$12,Paramètres!$A$1:$I$89,3,0)*VLOOKUP('Données projet'!$B$12,Paramètres!$A$1:$I$89,5,0)</f>
        <v>281.6985599999997</v>
      </c>
      <c r="CA130" s="14">
        <f t="shared" si="93"/>
        <v>67.325836990390755</v>
      </c>
      <c r="CB130" s="22">
        <f t="shared" si="64"/>
        <v>607.88415809159676</v>
      </c>
      <c r="CC130" s="62">
        <f t="shared" si="65"/>
        <v>901.21749142493013</v>
      </c>
      <c r="CD130" s="62">
        <f ca="1">AVERAGE(OFFSET($CC$3,0,0,'Données projet'!$E$12+1,1))-AVERAGE(OFFSET($H$3,0,0,'Données projet'!$E$12+1,1))</f>
        <v>477.4105367901771</v>
      </c>
      <c r="CE130" s="62">
        <f t="shared" si="94"/>
        <v>261.95434270986397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-6.2527760746888816E-13</v>
      </c>
      <c r="CU130" s="18">
        <f>CT130*VLOOKUP('Données projet'!$B$13,Paramètres!$A$1:$I$89,3,0)*VLOOKUP('Données projet'!$B$13,Paramètres!$A$1:$I$89,5,0)</f>
        <v>-2.9262992029543964E-13</v>
      </c>
      <c r="CV130" s="14" t="e">
        <f t="shared" si="95"/>
        <v>#NUM!</v>
      </c>
      <c r="CW130" s="22" t="e">
        <f t="shared" si="67"/>
        <v>#NUM!</v>
      </c>
      <c r="CX130" s="62" t="e">
        <f t="shared" si="68"/>
        <v>#NUM!</v>
      </c>
      <c r="CY130" s="62">
        <f ca="1">AVERAGE(OFFSET($CX$3,0,0,'Données projet'!$E$13+1,1))-AVERAGE(OFFSET($H$3,0,0,'Données projet'!$E$13+1,1))</f>
        <v>246.64907095367749</v>
      </c>
      <c r="CZ130" s="62">
        <f t="shared" si="96"/>
        <v>145.34368562171613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-5.6843418860808015E-14</v>
      </c>
      <c r="DP130" s="18">
        <f>DO130*VLOOKUP('Données projet'!$B$14,Paramètres!$A$1:$I$89,3,0)*VLOOKUP('Données projet'!$B$14,Paramètres!$A$1:$I$89,5,0)</f>
        <v>-4.5224624045658861E-14</v>
      </c>
      <c r="DQ130" s="14" t="e">
        <f t="shared" si="97"/>
        <v>#NUM!</v>
      </c>
      <c r="DR130" s="22" t="e">
        <f t="shared" si="70"/>
        <v>#NUM!</v>
      </c>
      <c r="DS130" s="62" t="e">
        <f t="shared" si="71"/>
        <v>#NUM!</v>
      </c>
      <c r="DT130" s="62">
        <f ca="1">AVERAGE(OFFSET($DS$3,0,0,'Données projet'!$E$14+1,1))-AVERAGE(OFFSET($H$3,0,0,'Données projet'!$E$14+1,1))</f>
        <v>370.38521334472284</v>
      </c>
      <c r="DU130" s="62">
        <f t="shared" si="98"/>
        <v>404.61777090709171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-1.1368683772161603E-13</v>
      </c>
      <c r="EK130" s="18">
        <f>EJ130*VLOOKUP('Données projet'!$B$15,Paramètres!$A$1:$I$89,3,0)*VLOOKUP('Données projet'!$B$15,Paramètres!$A$1:$I$89,5,0)</f>
        <v>-9.7543306765146564E-14</v>
      </c>
      <c r="EL130" s="14" t="e">
        <f t="shared" si="99"/>
        <v>#NUM!</v>
      </c>
      <c r="EM130" s="22" t="e">
        <f t="shared" si="73"/>
        <v>#NUM!</v>
      </c>
      <c r="EN130" s="62" t="e">
        <f t="shared" si="74"/>
        <v>#NUM!</v>
      </c>
      <c r="EO130" s="62">
        <f ca="1">AVERAGE(OFFSET($EN$3,0,0,'Données projet'!$E$15+1,1))-AVERAGE(OFFSET($H$3,0,0,'Données projet'!$E$15+1,1))</f>
        <v>445.81166342116865</v>
      </c>
      <c r="EP130" s="62">
        <f t="shared" si="100"/>
        <v>230.82970731138215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0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4.2</v>
      </c>
      <c r="FE130" s="13">
        <f>IF('Données projet'!$A$218&gt;35,FE129+FD130-FM129,IF(A130&lt;'Données projet'!$A$218,$FB$205^A130,IF(A130='Données projet'!$A$218,'Données projet'!$B$218,FE129+FD130-FM129)))</f>
        <v>334.39999999999958</v>
      </c>
      <c r="FF130" s="18">
        <f>FE130*VLOOKUP('Données projet'!$B$16,Paramètres!$A$1:$I$89,3,0)*VLOOKUP('Données projet'!$B$16,Paramètres!$A$1:$I$89,5,0)</f>
        <v>323.43167999999963</v>
      </c>
      <c r="FG130" s="14">
        <f t="shared" si="101"/>
        <v>76.066937542918481</v>
      </c>
      <c r="FH130" s="22">
        <f t="shared" si="76"/>
        <v>695.79342555391565</v>
      </c>
      <c r="FI130" s="62">
        <f t="shared" si="77"/>
        <v>989.12675888724903</v>
      </c>
      <c r="FJ130" s="62">
        <f ca="1">AVERAGE(OFFSET($FI$3,0,0,'Données projet'!$E$16+1,1))-AVERAGE(OFFSET($H$3,0,0,'Données projet'!$E$16+1,1))</f>
        <v>541.66888676162716</v>
      </c>
      <c r="FK130" s="62">
        <f t="shared" si="102"/>
        <v>294.45557293177131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>
        <f>EXP(-LN(2)/35)*FQ129+(1-EXP(-LN(2)/35))/(LN(2)/35)*FM130*FN130*VLOOKUP('Données projet'!$B$16,Paramètres!$A$1:$I$89,3,0)*0.475*44/12</f>
        <v>0</v>
      </c>
      <c r="FR130" s="23">
        <f>EXP(-LN(2)/25)*FR129+(1-EXP(-LN(2)/25))/(LN(2)/25)*Calculateur!FM130*Calculateur!FO130*VLOOKUP('Données projet'!$B$16,Paramètres!$A$1:$I$89,3,0)*0.475*44/12</f>
        <v>0</v>
      </c>
      <c r="FS130" s="23">
        <f>EXP(-LN(2)/2)*FS129+(1-EXP(-LN(2)/2))/(LN(2)/2)*FM130*FP130*VLOOKUP('Données projet'!$B$16,Paramètres!$A$1:$I$89,3,0)*0.475*44/12</f>
        <v>0</v>
      </c>
      <c r="FT130" s="24">
        <f t="shared" si="78"/>
        <v>0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1.1368683772161603E-13</v>
      </c>
      <c r="GA130" s="18">
        <f>FZ130*VLOOKUP('Données projet'!$B$17,Paramètres!$A$1:$I$89,3,0)*VLOOKUP('Données projet'!$B$17,Paramètres!$A$1:$I$89,5,0)</f>
        <v>8.8675733422860506E-14</v>
      </c>
      <c r="GB130" s="14">
        <f t="shared" si="103"/>
        <v>1.3509285393066301E-12</v>
      </c>
      <c r="GC130" s="22">
        <f t="shared" si="79"/>
        <v>2.5073107750038623E-12</v>
      </c>
      <c r="GD130" s="62">
        <f t="shared" si="80"/>
        <v>293.33333333333582</v>
      </c>
      <c r="GE130" s="62">
        <f ca="1">AVERAGE(OFFSET($GD$3,0,0,'Données projet'!$E$17+1,1))-AVERAGE(OFFSET($H$3,0,0,'Données projet'!$E$17+1,1))</f>
        <v>292.57482726862594</v>
      </c>
      <c r="GF130" s="62">
        <f t="shared" si="104"/>
        <v>283.48738729114024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>
        <f>EXP(-LN(2)/35)*GL129+(1-EXP(-LN(2)/35))/(LN(2)/35)*GH130*GI130*VLOOKUP('Données projet'!$B$17,Paramètres!$A$1:$I$89,3,0)*0.475*44/12</f>
        <v>0</v>
      </c>
      <c r="GM130" s="23">
        <f>EXP(-LN(2)/25)*GM129+(1-EXP(-LN(2)/25))/(LN(2)/25)*Calculateur!GH130*Calculateur!GJ130*VLOOKUP('Données projet'!$B$17,Paramètres!$A$1:$I$89,3,0)*0.475*44/12</f>
        <v>0</v>
      </c>
      <c r="GN130" s="23">
        <f>EXP(-LN(2)/2)*GN129+(1-EXP(-LN(2)/2))/(LN(2)/2)*GH130*GK130*VLOOKUP('Données projet'!$B$17,Paramètres!$A$1:$I$89,3,0)*0.475*44/12</f>
        <v>0</v>
      </c>
      <c r="GO130" s="23">
        <f t="shared" si="81"/>
        <v>0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-2.2737367544323206E-13</v>
      </c>
      <c r="GV130" s="18">
        <f>GU130*VLOOKUP('Données projet'!$B$18,Paramètres!$A$1:$I$89,3,0)*VLOOKUP('Données projet'!$B$18,Paramètres!$A$1:$I$89,5,0)</f>
        <v>-1.5252226148732008E-13</v>
      </c>
      <c r="GW130" s="14" t="e">
        <f t="shared" si="105"/>
        <v>#NUM!</v>
      </c>
      <c r="GX130" s="22" t="e">
        <f t="shared" si="82"/>
        <v>#NUM!</v>
      </c>
      <c r="GY130" s="62" t="e">
        <f t="shared" si="83"/>
        <v>#NUM!</v>
      </c>
      <c r="GZ130" s="62">
        <f ca="1">AVERAGE(OFFSET($GY$3,0,0,'Données projet'!$E$18+1,1))-AVERAGE(OFFSET($H$3,0,0,'Données projet'!$E$18+1,1))</f>
        <v>410.20186800287411</v>
      </c>
      <c r="HA130" s="62">
        <f t="shared" si="106"/>
        <v>321.99347958016057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>
        <f>EXP(-LN(2)/35)*HG129+(1-EXP(-LN(2)/35))/(LN(2)/35)*HC130*HD130*VLOOKUP('Données projet'!$B$18,Paramètres!$A$1:$I$89,3,0)*0.475*44/12</f>
        <v>0</v>
      </c>
      <c r="HH130" s="23">
        <f>EXP(-LN(2)/25)*HH129+(1-EXP(-LN(2)/25))/(LN(2)/25)*Calculateur!HC130*Calculateur!HE130*VLOOKUP('Données projet'!$B$18,Paramètres!$A$1:$I$89,3,0)*0.475*44/12</f>
        <v>0</v>
      </c>
      <c r="HI130" s="23">
        <f>EXP(-LN(2)/2)*HI129+(1-EXP(-LN(2)/2))/(LN(2)/2)*HC130*HF130*VLOOKUP('Données projet'!$B$18,Paramètres!$A$1:$I$89,3,0)*0.475*44/12</f>
        <v>0</v>
      </c>
      <c r="HJ130" s="24">
        <f t="shared" si="84"/>
        <v>0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4.2</v>
      </c>
      <c r="N131" s="14">
        <f>IF('Données projet'!$A$36&gt;35,N130+M131-V130,IF(A131&lt;'Données projet'!$A$36,$K$205^A131,IF(A131='Données projet'!$A$36,'Données projet'!$B$36,N130+M131-V130)))</f>
        <v>338.59999999999957</v>
      </c>
      <c r="O131" s="14">
        <f>N131*VLOOKUP('Données projet'!$B$9,Paramètres!$A$1:$I$89,3,0)*VLOOKUP('Données projet'!$B$9,Paramètres!$A$1:$I$89,5,0)</f>
        <v>306.36527999999964</v>
      </c>
      <c r="P131" s="14">
        <f t="shared" si="87"/>
        <v>72.509235711569417</v>
      </c>
      <c r="Q131" s="22">
        <f t="shared" ref="Q131:Q153" si="108">(O131+P131)*0.475*44/12</f>
        <v>659.87311486431611</v>
      </c>
      <c r="R131" s="62">
        <f t="shared" ref="R131:R194" si="109">Q131+(I131+J131)*44/12</f>
        <v>953.20644819764948</v>
      </c>
      <c r="S131" s="62">
        <f ca="1">AVERAGE(OFFSET($R$3,0,0,'Données projet'!$E$9+1,1))-AVERAGE(OFFSET($H$3,0,0,'Données projet'!$E$9+1,1))</f>
        <v>509.56241660612449</v>
      </c>
      <c r="T131" s="62">
        <f t="shared" si="88"/>
        <v>278.21741231699929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4.2</v>
      </c>
      <c r="AI131" s="14">
        <f>IF('Données projet'!$A$62&gt;35,AI130+AH131-AQ130,IF(A131&lt;'Données projet'!$A$62,$AF$205^A131,IF(A131='Données projet'!$A$62,'Données projet'!$B$62,AI130+AH131-AQ130)))</f>
        <v>338.59999999999957</v>
      </c>
      <c r="AJ131" s="14">
        <f>AI131*VLOOKUP('Données projet'!$B$10,Paramètres!$A$1:$I$89,3,0)*VLOOKUP('Données projet'!$B$10,Paramètres!$A$1:$I$89,5,0)</f>
        <v>343.34039999999959</v>
      </c>
      <c r="AK131" s="14">
        <f t="shared" si="89"/>
        <v>80.189701021320118</v>
      </c>
      <c r="AL131" s="22">
        <f t="shared" si="58"/>
        <v>737.64825927879849</v>
      </c>
      <c r="AM131" s="62">
        <f t="shared" si="59"/>
        <v>1030.9815926121319</v>
      </c>
      <c r="AN131" s="62">
        <f ca="1">AVERAGE(OFFSET($AM$3,0,0,'Données projet'!$E$10+1,1))-AVERAGE(OFFSET($H$3,0,0,'Données projet'!$E$10+1,1))</f>
        <v>565.72091871734051</v>
      </c>
      <c r="AO131" s="62">
        <f t="shared" si="90"/>
        <v>306.61893266146666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-5.6843418860808015E-14</v>
      </c>
      <c r="BE131" s="14">
        <f>BD131*VLOOKUP('Données projet'!$B$11,Paramètres!$A$1:$I$89,3,0)*VLOOKUP('Données projet'!$B$11,Paramètres!$A$1:$I$89,5,0)</f>
        <v>-4.1677594708744434E-14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344.26020118887629</v>
      </c>
      <c r="BJ131" s="62">
        <f t="shared" si="92"/>
        <v>376.41441893222185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4.2</v>
      </c>
      <c r="BY131" s="13">
        <f>IF('Données projet'!$A$114&gt;35,BY130+BX131-CG130,IF(A131&lt;'Données projet'!$A$114,$BV$205^A131,IF(A131='Données projet'!$A$114,'Données projet'!$B$114,BY130+BX131-CG130)))</f>
        <v>338.59999999999957</v>
      </c>
      <c r="BZ131" s="14">
        <f>BY131*VLOOKUP('Données projet'!$B$12,Paramètres!$A$1:$I$89,3,0)*VLOOKUP('Données projet'!$B$12,Paramètres!$A$1:$I$89,5,0)</f>
        <v>285.23663999999962</v>
      </c>
      <c r="CA131" s="14">
        <f t="shared" si="93"/>
        <v>68.072465188656167</v>
      </c>
      <c r="CB131" s="22">
        <f t="shared" si="64"/>
        <v>615.34669153690879</v>
      </c>
      <c r="CC131" s="62">
        <f t="shared" si="65"/>
        <v>908.68002487024205</v>
      </c>
      <c r="CD131" s="62">
        <f ca="1">AVERAGE(OFFSET($CC$3,0,0,'Données projet'!$E$12+1,1))-AVERAGE(OFFSET($H$3,0,0,'Données projet'!$E$12+1,1))</f>
        <v>477.4105367901771</v>
      </c>
      <c r="CE131" s="62">
        <f t="shared" si="94"/>
        <v>261.95434270986397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-6.2527760746888816E-13</v>
      </c>
      <c r="CU131" s="18">
        <f>CT131*VLOOKUP('Données projet'!$B$13,Paramètres!$A$1:$I$89,3,0)*VLOOKUP('Données projet'!$B$13,Paramètres!$A$1:$I$89,5,0)</f>
        <v>-2.9262992029543964E-13</v>
      </c>
      <c r="CV131" s="14" t="e">
        <f t="shared" si="95"/>
        <v>#NUM!</v>
      </c>
      <c r="CW131" s="22" t="e">
        <f t="shared" si="67"/>
        <v>#NUM!</v>
      </c>
      <c r="CX131" s="62" t="e">
        <f t="shared" si="68"/>
        <v>#NUM!</v>
      </c>
      <c r="CY131" s="62">
        <f ca="1">AVERAGE(OFFSET($CX$3,0,0,'Données projet'!$E$13+1,1))-AVERAGE(OFFSET($H$3,0,0,'Données projet'!$E$13+1,1))</f>
        <v>246.64907095367749</v>
      </c>
      <c r="CZ131" s="62">
        <f t="shared" si="96"/>
        <v>145.34368562171613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-5.6843418860808015E-14</v>
      </c>
      <c r="DP131" s="18">
        <f>DO131*VLOOKUP('Données projet'!$B$14,Paramètres!$A$1:$I$89,3,0)*VLOOKUP('Données projet'!$B$14,Paramètres!$A$1:$I$89,5,0)</f>
        <v>-4.5224624045658861E-14</v>
      </c>
      <c r="DQ131" s="14" t="e">
        <f t="shared" si="97"/>
        <v>#NUM!</v>
      </c>
      <c r="DR131" s="22" t="e">
        <f t="shared" si="70"/>
        <v>#NUM!</v>
      </c>
      <c r="DS131" s="62" t="e">
        <f t="shared" si="71"/>
        <v>#NUM!</v>
      </c>
      <c r="DT131" s="62">
        <f ca="1">AVERAGE(OFFSET($DS$3,0,0,'Données projet'!$E$14+1,1))-AVERAGE(OFFSET($H$3,0,0,'Données projet'!$E$14+1,1))</f>
        <v>370.38521334472284</v>
      </c>
      <c r="DU131" s="62">
        <f t="shared" si="98"/>
        <v>404.61777090709171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-1.1368683772161603E-13</v>
      </c>
      <c r="EK131" s="18">
        <f>EJ131*VLOOKUP('Données projet'!$B$15,Paramètres!$A$1:$I$89,3,0)*VLOOKUP('Données projet'!$B$15,Paramètres!$A$1:$I$89,5,0)</f>
        <v>-9.7543306765146564E-14</v>
      </c>
      <c r="EL131" s="14" t="e">
        <f t="shared" si="99"/>
        <v>#NUM!</v>
      </c>
      <c r="EM131" s="22" t="e">
        <f t="shared" si="73"/>
        <v>#NUM!</v>
      </c>
      <c r="EN131" s="62" t="e">
        <f t="shared" si="74"/>
        <v>#NUM!</v>
      </c>
      <c r="EO131" s="62">
        <f ca="1">AVERAGE(OFFSET($EN$3,0,0,'Données projet'!$E$15+1,1))-AVERAGE(OFFSET($H$3,0,0,'Données projet'!$E$15+1,1))</f>
        <v>445.81166342116865</v>
      </c>
      <c r="EP131" s="62">
        <f t="shared" si="100"/>
        <v>230.82970731138215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0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4.2</v>
      </c>
      <c r="FE131" s="13">
        <f>IF('Données projet'!$A$218&gt;35,FE130+FD131-FM130,IF(A131&lt;'Données projet'!$A$218,$FB$205^A131,IF(A131='Données projet'!$A$218,'Données projet'!$B$218,FE130+FD131-FM130)))</f>
        <v>338.59999999999957</v>
      </c>
      <c r="FF131" s="18">
        <f>FE131*VLOOKUP('Données projet'!$B$16,Paramètres!$A$1:$I$89,3,0)*VLOOKUP('Données projet'!$B$16,Paramètres!$A$1:$I$89,5,0)</f>
        <v>327.4939199999996</v>
      </c>
      <c r="FG131" s="14">
        <f t="shared" si="101"/>
        <v>76.910502555461107</v>
      </c>
      <c r="FH131" s="22">
        <f t="shared" si="76"/>
        <v>704.33770261742723</v>
      </c>
      <c r="FI131" s="62">
        <f t="shared" si="77"/>
        <v>997.6710359507606</v>
      </c>
      <c r="FJ131" s="62">
        <f ca="1">AVERAGE(OFFSET($FI$3,0,0,'Données projet'!$E$16+1,1))-AVERAGE(OFFSET($H$3,0,0,'Données projet'!$E$16+1,1))</f>
        <v>541.66888676162716</v>
      </c>
      <c r="FK131" s="62">
        <f t="shared" si="102"/>
        <v>294.45557293177131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>
        <f>EXP(-LN(2)/35)*FQ130+(1-EXP(-LN(2)/35))/(LN(2)/35)*FM131*FN131*VLOOKUP('Données projet'!$B$16,Paramètres!$A$1:$I$89,3,0)*0.475*44/12</f>
        <v>0</v>
      </c>
      <c r="FR131" s="23">
        <f>EXP(-LN(2)/25)*FR130+(1-EXP(-LN(2)/25))/(LN(2)/25)*Calculateur!FM131*Calculateur!FO131*VLOOKUP('Données projet'!$B$16,Paramètres!$A$1:$I$89,3,0)*0.475*44/12</f>
        <v>0</v>
      </c>
      <c r="FS131" s="23">
        <f>EXP(-LN(2)/2)*FS130+(1-EXP(-LN(2)/2))/(LN(2)/2)*FM131*FP131*VLOOKUP('Données projet'!$B$16,Paramètres!$A$1:$I$89,3,0)*0.475*44/12</f>
        <v>0</v>
      </c>
      <c r="FT131" s="24">
        <f t="shared" si="78"/>
        <v>0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1.1368683772161603E-13</v>
      </c>
      <c r="GA131" s="18">
        <f>FZ131*VLOOKUP('Données projet'!$B$17,Paramètres!$A$1:$I$89,3,0)*VLOOKUP('Données projet'!$B$17,Paramètres!$A$1:$I$89,5,0)</f>
        <v>8.8675733422860506E-14</v>
      </c>
      <c r="GB131" s="14">
        <f t="shared" si="103"/>
        <v>1.3509285393066301E-12</v>
      </c>
      <c r="GC131" s="22">
        <f t="shared" si="79"/>
        <v>2.5073107750038623E-12</v>
      </c>
      <c r="GD131" s="62">
        <f t="shared" si="80"/>
        <v>293.33333333333582</v>
      </c>
      <c r="GE131" s="62">
        <f ca="1">AVERAGE(OFFSET($GD$3,0,0,'Données projet'!$E$17+1,1))-AVERAGE(OFFSET($H$3,0,0,'Données projet'!$E$17+1,1))</f>
        <v>292.57482726862594</v>
      </c>
      <c r="GF131" s="62">
        <f t="shared" si="104"/>
        <v>283.48738729114024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>
        <f>EXP(-LN(2)/35)*GL130+(1-EXP(-LN(2)/35))/(LN(2)/35)*GH131*GI131*VLOOKUP('Données projet'!$B$17,Paramètres!$A$1:$I$89,3,0)*0.475*44/12</f>
        <v>0</v>
      </c>
      <c r="GM131" s="23">
        <f>EXP(-LN(2)/25)*GM130+(1-EXP(-LN(2)/25))/(LN(2)/25)*Calculateur!GH131*Calculateur!GJ131*VLOOKUP('Données projet'!$B$17,Paramètres!$A$1:$I$89,3,0)*0.475*44/12</f>
        <v>0</v>
      </c>
      <c r="GN131" s="23">
        <f>EXP(-LN(2)/2)*GN130+(1-EXP(-LN(2)/2))/(LN(2)/2)*GH131*GK131*VLOOKUP('Données projet'!$B$17,Paramètres!$A$1:$I$89,3,0)*0.475*44/12</f>
        <v>0</v>
      </c>
      <c r="GO131" s="23">
        <f t="shared" si="81"/>
        <v>0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-2.2737367544323206E-13</v>
      </c>
      <c r="GV131" s="18">
        <f>GU131*VLOOKUP('Données projet'!$B$18,Paramètres!$A$1:$I$89,3,0)*VLOOKUP('Données projet'!$B$18,Paramètres!$A$1:$I$89,5,0)</f>
        <v>-1.5252226148732008E-13</v>
      </c>
      <c r="GW131" s="14" t="e">
        <f t="shared" si="105"/>
        <v>#NUM!</v>
      </c>
      <c r="GX131" s="22" t="e">
        <f t="shared" si="82"/>
        <v>#NUM!</v>
      </c>
      <c r="GY131" s="62" t="e">
        <f t="shared" si="83"/>
        <v>#NUM!</v>
      </c>
      <c r="GZ131" s="62">
        <f ca="1">AVERAGE(OFFSET($GY$3,0,0,'Données projet'!$E$18+1,1))-AVERAGE(OFFSET($H$3,0,0,'Données projet'!$E$18+1,1))</f>
        <v>410.20186800287411</v>
      </c>
      <c r="HA131" s="62">
        <f t="shared" si="106"/>
        <v>321.99347958016057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>
        <f>EXP(-LN(2)/35)*HG130+(1-EXP(-LN(2)/35))/(LN(2)/35)*HC131*HD131*VLOOKUP('Données projet'!$B$18,Paramètres!$A$1:$I$89,3,0)*0.475*44/12</f>
        <v>0</v>
      </c>
      <c r="HH131" s="23">
        <f>EXP(-LN(2)/25)*HH130+(1-EXP(-LN(2)/25))/(LN(2)/25)*Calculateur!HC131*Calculateur!HE131*VLOOKUP('Données projet'!$B$18,Paramètres!$A$1:$I$89,3,0)*0.475*44/12</f>
        <v>0</v>
      </c>
      <c r="HI131" s="23">
        <f>EXP(-LN(2)/2)*HI130+(1-EXP(-LN(2)/2))/(LN(2)/2)*HC131*HF131*VLOOKUP('Données projet'!$B$18,Paramètres!$A$1:$I$89,3,0)*0.475*44/12</f>
        <v>0</v>
      </c>
      <c r="HJ131" s="24">
        <f t="shared" si="84"/>
        <v>0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4.2</v>
      </c>
      <c r="N132" s="14">
        <f>IF('Données projet'!$A$36&gt;35,N131+M132-V131,IF(A132&lt;'Données projet'!$A$36,$K$205^A132,IF(A132='Données projet'!$A$36,'Données projet'!$B$36,N131+M132-V131)))</f>
        <v>342.79999999999956</v>
      </c>
      <c r="O132" s="14">
        <f>N132*VLOOKUP('Données projet'!$B$9,Paramètres!$A$1:$I$89,3,0)*VLOOKUP('Données projet'!$B$9,Paramètres!$A$1:$I$89,5,0)</f>
        <v>310.16543999999959</v>
      </c>
      <c r="P132" s="14">
        <f t="shared" si="87"/>
        <v>73.303379555549043</v>
      </c>
      <c r="Q132" s="22">
        <f t="shared" si="108"/>
        <v>667.87486072591389</v>
      </c>
      <c r="R132" s="62">
        <f t="shared" si="109"/>
        <v>961.20819405924726</v>
      </c>
      <c r="S132" s="62">
        <f ca="1">AVERAGE(OFFSET($R$3,0,0,'Données projet'!$E$9+1,1))-AVERAGE(OFFSET($H$3,0,0,'Données projet'!$E$9+1,1))</f>
        <v>509.56241660612449</v>
      </c>
      <c r="T132" s="62">
        <f t="shared" si="88"/>
        <v>278.21741231699929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4.2</v>
      </c>
      <c r="AI132" s="14">
        <f>IF('Données projet'!$A$62&gt;35,AI131+AH132-AQ131,IF(A132&lt;'Données projet'!$A$62,$AF$205^A132,IF(A132='Données projet'!$A$62,'Données projet'!$B$62,AI131+AH132-AQ131)))</f>
        <v>342.79999999999956</v>
      </c>
      <c r="AJ132" s="14">
        <f>AI132*VLOOKUP('Données projet'!$B$10,Paramètres!$A$1:$I$89,3,0)*VLOOKUP('Données projet'!$B$10,Paramètres!$A$1:$I$89,5,0)</f>
        <v>347.59919999999954</v>
      </c>
      <c r="AK132" s="14">
        <f t="shared" si="89"/>
        <v>81.067963725259872</v>
      </c>
      <c r="AL132" s="22">
        <f t="shared" ref="AL132:AL153" si="112">(AJ132+AK132)*0.475*44/12</f>
        <v>746.59531015482673</v>
      </c>
      <c r="AM132" s="62">
        <f t="shared" ref="AM132:AM195" si="113">AL132+(AD132+AE132)*44/12</f>
        <v>1039.9286434881601</v>
      </c>
      <c r="AN132" s="62">
        <f ca="1">AVERAGE(OFFSET($AM$3,0,0,'Données projet'!$E$10+1,1))-AVERAGE(OFFSET($H$3,0,0,'Données projet'!$E$10+1,1))</f>
        <v>565.72091871734051</v>
      </c>
      <c r="AO132" s="62">
        <f t="shared" si="90"/>
        <v>306.61893266146666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-5.6843418860808015E-14</v>
      </c>
      <c r="BE132" s="14">
        <f>BD132*VLOOKUP('Données projet'!$B$11,Paramètres!$A$1:$I$89,3,0)*VLOOKUP('Données projet'!$B$11,Paramètres!$A$1:$I$89,5,0)</f>
        <v>-4.1677594708744434E-14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344.26020118887629</v>
      </c>
      <c r="BJ132" s="62">
        <f t="shared" si="92"/>
        <v>376.41441893222185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4.2</v>
      </c>
      <c r="BY132" s="13">
        <f>IF('Données projet'!$A$114&gt;35,BY131+BX132-CG131,IF(A132&lt;'Données projet'!$A$114,$BV$205^A132,IF(A132='Données projet'!$A$114,'Données projet'!$B$114,BY131+BX132-CG131)))</f>
        <v>342.79999999999956</v>
      </c>
      <c r="BZ132" s="14">
        <f>BY132*VLOOKUP('Données projet'!$B$12,Paramètres!$A$1:$I$89,3,0)*VLOOKUP('Données projet'!$B$12,Paramètres!$A$1:$I$89,5,0)</f>
        <v>288.77471999999966</v>
      </c>
      <c r="CA132" s="14">
        <f t="shared" si="93"/>
        <v>68.818016133216233</v>
      </c>
      <c r="CB132" s="22">
        <f t="shared" ref="CB132:CB153" si="118">(BZ132+CA132)*0.475*44/12</f>
        <v>622.80734876535098</v>
      </c>
      <c r="CC132" s="62">
        <f t="shared" ref="CC132:CC195" si="119">CB132+(BT132+BU132)*44/12</f>
        <v>916.14068209868424</v>
      </c>
      <c r="CD132" s="62">
        <f ca="1">AVERAGE(OFFSET($CC$3,0,0,'Données projet'!$E$12+1,1))-AVERAGE(OFFSET($H$3,0,0,'Données projet'!$E$12+1,1))</f>
        <v>477.4105367901771</v>
      </c>
      <c r="CE132" s="62">
        <f t="shared" si="94"/>
        <v>261.95434270986397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-6.2527760746888816E-13</v>
      </c>
      <c r="CU132" s="18">
        <f>CT132*VLOOKUP('Données projet'!$B$13,Paramètres!$A$1:$I$89,3,0)*VLOOKUP('Données projet'!$B$13,Paramètres!$A$1:$I$89,5,0)</f>
        <v>-2.9262992029543964E-13</v>
      </c>
      <c r="CV132" s="14" t="e">
        <f t="shared" si="95"/>
        <v>#NUM!</v>
      </c>
      <c r="CW132" s="22" t="e">
        <f t="shared" ref="CW132:CW153" si="121">(CU132+CV132)*0.475*44/12</f>
        <v>#NUM!</v>
      </c>
      <c r="CX132" s="62" t="e">
        <f t="shared" ref="CX132:CX195" si="122">CW132+(CO132+CP132)*44/12</f>
        <v>#NUM!</v>
      </c>
      <c r="CY132" s="62">
        <f ca="1">AVERAGE(OFFSET($CX$3,0,0,'Données projet'!$E$13+1,1))-AVERAGE(OFFSET($H$3,0,0,'Données projet'!$E$13+1,1))</f>
        <v>246.64907095367749</v>
      </c>
      <c r="CZ132" s="62">
        <f t="shared" si="96"/>
        <v>145.34368562171613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-5.6843418860808015E-14</v>
      </c>
      <c r="DP132" s="18">
        <f>DO132*VLOOKUP('Données projet'!$B$14,Paramètres!$A$1:$I$89,3,0)*VLOOKUP('Données projet'!$B$14,Paramètres!$A$1:$I$89,5,0)</f>
        <v>-4.5224624045658861E-14</v>
      </c>
      <c r="DQ132" s="14" t="e">
        <f t="shared" si="97"/>
        <v>#NUM!</v>
      </c>
      <c r="DR132" s="22" t="e">
        <f t="shared" ref="DR132:DR153" si="124">(DP132+DQ132)*0.475*44/12</f>
        <v>#NUM!</v>
      </c>
      <c r="DS132" s="62" t="e">
        <f t="shared" ref="DS132:DS195" si="125">DR132+(DJ132+DK132)*44/12</f>
        <v>#NUM!</v>
      </c>
      <c r="DT132" s="62">
        <f ca="1">AVERAGE(OFFSET($DS$3,0,0,'Données projet'!$E$14+1,1))-AVERAGE(OFFSET($H$3,0,0,'Données projet'!$E$14+1,1))</f>
        <v>370.38521334472284</v>
      </c>
      <c r="DU132" s="62">
        <f t="shared" si="98"/>
        <v>404.61777090709171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-1.1368683772161603E-13</v>
      </c>
      <c r="EK132" s="18">
        <f>EJ132*VLOOKUP('Données projet'!$B$15,Paramètres!$A$1:$I$89,3,0)*VLOOKUP('Données projet'!$B$15,Paramètres!$A$1:$I$89,5,0)</f>
        <v>-9.7543306765146564E-14</v>
      </c>
      <c r="EL132" s="14" t="e">
        <f t="shared" si="99"/>
        <v>#NUM!</v>
      </c>
      <c r="EM132" s="22" t="e">
        <f t="shared" ref="EM132:EM153" si="127">(EK132+EL132)*0.475*44/12</f>
        <v>#NUM!</v>
      </c>
      <c r="EN132" s="62" t="e">
        <f t="shared" ref="EN132:EN195" si="128">EM132+(EE132+EF132)*44/12</f>
        <v>#NUM!</v>
      </c>
      <c r="EO132" s="62">
        <f ca="1">AVERAGE(OFFSET($EN$3,0,0,'Données projet'!$E$15+1,1))-AVERAGE(OFFSET($H$3,0,0,'Données projet'!$E$15+1,1))</f>
        <v>445.81166342116865</v>
      </c>
      <c r="EP132" s="62">
        <f t="shared" si="100"/>
        <v>230.82970731138215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0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4.2</v>
      </c>
      <c r="FE132" s="13">
        <f>IF('Données projet'!$A$218&gt;35,FE131+FD132-FM131,IF(A132&lt;'Données projet'!$A$218,$FB$205^A132,IF(A132='Données projet'!$A$218,'Données projet'!$B$218,FE131+FD132-FM131)))</f>
        <v>342.79999999999956</v>
      </c>
      <c r="FF132" s="18">
        <f>FE132*VLOOKUP('Données projet'!$B$16,Paramètres!$A$1:$I$89,3,0)*VLOOKUP('Données projet'!$B$16,Paramètres!$A$1:$I$89,5,0)</f>
        <v>331.55615999999958</v>
      </c>
      <c r="FG132" s="14">
        <f t="shared" si="101"/>
        <v>77.752850451455473</v>
      </c>
      <c r="FH132" s="22">
        <f t="shared" ref="FH132:FH153" si="130">(FF132+FG132)*0.475*44/12</f>
        <v>712.87985986961746</v>
      </c>
      <c r="FI132" s="62">
        <f t="shared" ref="FI132:FI195" si="131">FH132+(EZ132+FA132)*44/12</f>
        <v>1006.2131932029508</v>
      </c>
      <c r="FJ132" s="62">
        <f ca="1">AVERAGE(OFFSET($FI$3,0,0,'Données projet'!$E$16+1,1))-AVERAGE(OFFSET($H$3,0,0,'Données projet'!$E$16+1,1))</f>
        <v>541.66888676162716</v>
      </c>
      <c r="FK132" s="62">
        <f t="shared" si="102"/>
        <v>294.45557293177131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>
        <f>EXP(-LN(2)/35)*FQ131+(1-EXP(-LN(2)/35))/(LN(2)/35)*FM132*FN132*VLOOKUP('Données projet'!$B$16,Paramètres!$A$1:$I$89,3,0)*0.475*44/12</f>
        <v>0</v>
      </c>
      <c r="FR132" s="23">
        <f>EXP(-LN(2)/25)*FR131+(1-EXP(-LN(2)/25))/(LN(2)/25)*Calculateur!FM132*Calculateur!FO132*VLOOKUP('Données projet'!$B$16,Paramètres!$A$1:$I$89,3,0)*0.475*44/12</f>
        <v>0</v>
      </c>
      <c r="FS132" s="23">
        <f>EXP(-LN(2)/2)*FS131+(1-EXP(-LN(2)/2))/(LN(2)/2)*FM132*FP132*VLOOKUP('Données projet'!$B$16,Paramètres!$A$1:$I$89,3,0)*0.475*44/12</f>
        <v>0</v>
      </c>
      <c r="FT132" s="24">
        <f t="shared" ref="FT132:FT153" si="132">SUM(FQ132:FS132)</f>
        <v>0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1.1368683772161603E-13</v>
      </c>
      <c r="GA132" s="18">
        <f>FZ132*VLOOKUP('Données projet'!$B$17,Paramètres!$A$1:$I$89,3,0)*VLOOKUP('Données projet'!$B$17,Paramètres!$A$1:$I$89,5,0)</f>
        <v>8.8675733422860506E-14</v>
      </c>
      <c r="GB132" s="14">
        <f t="shared" si="103"/>
        <v>1.3509285393066301E-12</v>
      </c>
      <c r="GC132" s="22">
        <f t="shared" ref="GC132:GC153" si="133">(GA132+GB132)*0.475*44/12</f>
        <v>2.5073107750038623E-12</v>
      </c>
      <c r="GD132" s="62">
        <f t="shared" ref="GD132:GD195" si="134">GC132+(FU132+FV132)*44/12</f>
        <v>293.33333333333582</v>
      </c>
      <c r="GE132" s="62">
        <f ca="1">AVERAGE(OFFSET($GD$3,0,0,'Données projet'!$E$17+1,1))-AVERAGE(OFFSET($H$3,0,0,'Données projet'!$E$17+1,1))</f>
        <v>292.57482726862594</v>
      </c>
      <c r="GF132" s="62">
        <f t="shared" si="104"/>
        <v>283.48738729114024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>
        <f>EXP(-LN(2)/35)*GL131+(1-EXP(-LN(2)/35))/(LN(2)/35)*GH132*GI132*VLOOKUP('Données projet'!$B$17,Paramètres!$A$1:$I$89,3,0)*0.475*44/12</f>
        <v>0</v>
      </c>
      <c r="GM132" s="23">
        <f>EXP(-LN(2)/25)*GM131+(1-EXP(-LN(2)/25))/(LN(2)/25)*Calculateur!GH132*Calculateur!GJ132*VLOOKUP('Données projet'!$B$17,Paramètres!$A$1:$I$89,3,0)*0.475*44/12</f>
        <v>0</v>
      </c>
      <c r="GN132" s="23">
        <f>EXP(-LN(2)/2)*GN131+(1-EXP(-LN(2)/2))/(LN(2)/2)*GH132*GK132*VLOOKUP('Données projet'!$B$17,Paramètres!$A$1:$I$89,3,0)*0.475*44/12</f>
        <v>0</v>
      </c>
      <c r="GO132" s="23">
        <f t="shared" ref="GO132:GO153" si="135">SUM(GL132:GN132)</f>
        <v>0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-2.2737367544323206E-13</v>
      </c>
      <c r="GV132" s="18">
        <f>GU132*VLOOKUP('Données projet'!$B$18,Paramètres!$A$1:$I$89,3,0)*VLOOKUP('Données projet'!$B$18,Paramètres!$A$1:$I$89,5,0)</f>
        <v>-1.5252226148732008E-13</v>
      </c>
      <c r="GW132" s="14" t="e">
        <f t="shared" si="105"/>
        <v>#NUM!</v>
      </c>
      <c r="GX132" s="22" t="e">
        <f t="shared" ref="GX132:GX153" si="136">(GV132+GW132)*0.475*44/12</f>
        <v>#NUM!</v>
      </c>
      <c r="GY132" s="62" t="e">
        <f t="shared" ref="GY132:GY195" si="137">GX132+(GP132+GQ132)*44/12</f>
        <v>#NUM!</v>
      </c>
      <c r="GZ132" s="62">
        <f ca="1">AVERAGE(OFFSET($GY$3,0,0,'Données projet'!$E$18+1,1))-AVERAGE(OFFSET($H$3,0,0,'Données projet'!$E$18+1,1))</f>
        <v>410.20186800287411</v>
      </c>
      <c r="HA132" s="62">
        <f t="shared" si="106"/>
        <v>321.99347958016057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>
        <f>EXP(-LN(2)/35)*HG131+(1-EXP(-LN(2)/35))/(LN(2)/35)*HC132*HD132*VLOOKUP('Données projet'!$B$18,Paramètres!$A$1:$I$89,3,0)*0.475*44/12</f>
        <v>0</v>
      </c>
      <c r="HH132" s="23">
        <f>EXP(-LN(2)/25)*HH131+(1-EXP(-LN(2)/25))/(LN(2)/25)*Calculateur!HC132*Calculateur!HE132*VLOOKUP('Données projet'!$B$18,Paramètres!$A$1:$I$89,3,0)*0.475*44/12</f>
        <v>0</v>
      </c>
      <c r="HI132" s="23">
        <f>EXP(-LN(2)/2)*HI131+(1-EXP(-LN(2)/2))/(LN(2)/2)*HC132*HF132*VLOOKUP('Données projet'!$B$18,Paramètres!$A$1:$I$89,3,0)*0.475*44/12</f>
        <v>0</v>
      </c>
      <c r="HJ132" s="24">
        <f t="shared" ref="HJ132:HJ153" si="138">SUM(HG132:HI132)</f>
        <v>0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>
        <f>VLOOKUP(A133,'Données projet'!$A$35:$I$55,2,0)</f>
        <v>347</v>
      </c>
      <c r="L133" s="13">
        <f>VLOOKUP(A133,'Données projet'!$A$35:$I$55,9,0)</f>
        <v>4.2</v>
      </c>
      <c r="M133" s="13">
        <f t="array" ref="M133">INDEX(L:L,MIN(IF(ISNUMBER(L133:L329),ROW(L133:L329),"")))</f>
        <v>4.2</v>
      </c>
      <c r="N133" s="14">
        <f>IF('Données projet'!$A$36&gt;35,N132+M133-V132,IF(A133&lt;'Données projet'!$A$36,$K$205^A133,IF(A133='Données projet'!$A$36,'Données projet'!$B$36,N132+M133-V132)))</f>
        <v>346.99999999999955</v>
      </c>
      <c r="O133" s="14">
        <f>N133*VLOOKUP('Données projet'!$B$9,Paramètres!$A$1:$I$89,3,0)*VLOOKUP('Données projet'!$B$9,Paramètres!$A$1:$I$89,5,0)</f>
        <v>313.9655999999996</v>
      </c>
      <c r="P133" s="14">
        <f t="shared" ref="P133:P196" si="141">EXP(-1.0587+0.8836*LN(O133)+0.284)</f>
        <v>74.096391618326706</v>
      </c>
      <c r="Q133" s="22">
        <f t="shared" si="108"/>
        <v>675.87463540191834</v>
      </c>
      <c r="R133" s="62">
        <f t="shared" si="109"/>
        <v>969.2079687352516</v>
      </c>
      <c r="S133" s="62">
        <f ca="1">AVERAGE(OFFSET($R$3,0,0,'Données projet'!$E$9+1,1))-AVERAGE(OFFSET($H$3,0,0,'Données projet'!$E$9+1,1))</f>
        <v>509.56241660612449</v>
      </c>
      <c r="T133" s="62">
        <f t="shared" ref="T133:T196" si="142">$T$3</f>
        <v>278.21741231699929</v>
      </c>
      <c r="U133" s="16">
        <f>IF(ISNA(VLOOKUP(A133,'Données projet'!$A$35:$I$55,3,0)),0,VLOOKUP(A133,'Données projet'!$A$35:$I$55,3,0))</f>
        <v>11</v>
      </c>
      <c r="V133" s="16">
        <f>IF(ISNA(VLOOKUP(A133,'Données projet'!$A$35:$I$55,4,0)),0,VLOOKUP(A133,'Données projet'!$A$35:$I$55,4,0))</f>
        <v>44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>
        <f>VLOOKUP(A133,'Données projet'!$A$61:$I$81,2,0)</f>
        <v>347</v>
      </c>
      <c r="AG133" s="13">
        <f>VLOOKUP(A133,'Données projet'!$A$61:$I$81,9,0)</f>
        <v>4.2</v>
      </c>
      <c r="AH133" s="13">
        <f t="array" ref="AH133">INDEX(AG:AG,MIN(IF(ISNUMBER(AG133:AG329),ROW(AG133:AG329),"")))</f>
        <v>4.2</v>
      </c>
      <c r="AI133" s="14">
        <f>IF('Données projet'!$A$62&gt;35,AI132+AH133-AQ132,IF(A133&lt;'Données projet'!$A$62,$AF$205^A133,IF(A133='Données projet'!$A$62,'Données projet'!$B$62,AI132+AH133-AQ132)))</f>
        <v>346.99999999999955</v>
      </c>
      <c r="AJ133" s="14">
        <f>AI133*VLOOKUP('Données projet'!$B$10,Paramètres!$A$1:$I$89,3,0)*VLOOKUP('Données projet'!$B$10,Paramètres!$A$1:$I$89,5,0)</f>
        <v>351.85799999999955</v>
      </c>
      <c r="AK133" s="14">
        <f t="shared" ref="AK133:AK153" si="143">EXP(-1.0587+0.8836*LN(AJ133)+0.284)</f>
        <v>81.944974765252041</v>
      </c>
      <c r="AL133" s="22">
        <f t="shared" si="112"/>
        <v>755.54018104947966</v>
      </c>
      <c r="AM133" s="62">
        <f t="shared" si="113"/>
        <v>1048.873514382813</v>
      </c>
      <c r="AN133" s="62">
        <f ca="1">AVERAGE(OFFSET($AM$3,0,0,'Données projet'!$E$10+1,1))-AVERAGE(OFFSET($H$3,0,0,'Données projet'!$E$10+1,1))</f>
        <v>565.72091871734051</v>
      </c>
      <c r="AO133" s="62">
        <f t="shared" ref="AO133:AO196" si="144">$AO$3</f>
        <v>306.61893266146666</v>
      </c>
      <c r="AP133" s="16">
        <f>IF(ISNA(VLOOKUP(A133,'Données projet'!$A$61:$I$81,3,0)),0,VLOOKUP(A133,'Données projet'!$A$61:$I$81,3,0))</f>
        <v>11</v>
      </c>
      <c r="AQ133" s="16">
        <f>IF(ISNA(VLOOKUP(A133,'Données projet'!$A$61:$I$81,4,0)),0,VLOOKUP(A133,'Données projet'!$A$61:$I$81,4,0))</f>
        <v>44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-5.6843418860808015E-14</v>
      </c>
      <c r="BE133" s="14">
        <f>BD133*VLOOKUP('Données projet'!$B$11,Paramètres!$A$1:$I$89,3,0)*VLOOKUP('Données projet'!$B$11,Paramètres!$A$1:$I$89,5,0)</f>
        <v>-4.1677594708744434E-14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344.26020118887629</v>
      </c>
      <c r="BJ133" s="62">
        <f t="shared" ref="BJ133:BJ196" si="146">$BJ$3</f>
        <v>376.41441893222185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>
        <f>VLOOKUP(A133,'Données projet'!$A$113:$I$133,2,0)</f>
        <v>347</v>
      </c>
      <c r="BW133" s="13">
        <f>VLOOKUP(A133,'Données projet'!$A$113:$I$133,9,0)</f>
        <v>4.2</v>
      </c>
      <c r="BX133" s="13">
        <f t="array" ref="BX133">INDEX(BW:BW,MIN(IF(ISNUMBER(BW133:BW329),ROW(BW133:BW329),"")))</f>
        <v>4.2</v>
      </c>
      <c r="BY133" s="13">
        <f>IF('Données projet'!$A$114&gt;35,BY132+BX133-CG132,IF(A133&lt;'Données projet'!$A$114,$BV$205^A133,IF(A133='Données projet'!$A$114,'Données projet'!$B$114,BY132+BX133-CG132)))</f>
        <v>346.99999999999955</v>
      </c>
      <c r="BZ133" s="14">
        <f>BY133*VLOOKUP('Données projet'!$B$12,Paramètres!$A$1:$I$89,3,0)*VLOOKUP('Données projet'!$B$12,Paramètres!$A$1:$I$89,5,0)</f>
        <v>292.31279999999964</v>
      </c>
      <c r="CA133" s="14">
        <f t="shared" ref="CA133:CA153" si="147">EXP(-1.0587+0.8836*LN(BZ133)+0.284)</f>
        <v>69.56250454917955</v>
      </c>
      <c r="CB133" s="22">
        <f t="shared" si="118"/>
        <v>630.26615542315369</v>
      </c>
      <c r="CC133" s="62">
        <f t="shared" si="119"/>
        <v>923.59948875648706</v>
      </c>
      <c r="CD133" s="62">
        <f ca="1">AVERAGE(OFFSET($CC$3,0,0,'Données projet'!$E$12+1,1))-AVERAGE(OFFSET($H$3,0,0,'Données projet'!$E$12+1,1))</f>
        <v>477.4105367901771</v>
      </c>
      <c r="CE133" s="62">
        <f t="shared" ref="CE133:CE196" si="148">$CE$3</f>
        <v>261.95434270986397</v>
      </c>
      <c r="CF133" s="16">
        <f>IF(ISNA(VLOOKUP(A133,'Données projet'!$A$113:$I$133,3,0)),0,VLOOKUP(A133,'Données projet'!$A$113:$I$133,3,0))</f>
        <v>11</v>
      </c>
      <c r="CG133" s="16">
        <f>IF(ISNA(VLOOKUP(A133,'Données projet'!$A$113:$I$133,4,0)),0,VLOOKUP(A133,'Données projet'!$A$113:$I$133,4,0))</f>
        <v>44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-6.2527760746888816E-13</v>
      </c>
      <c r="CU133" s="18">
        <f>CT133*VLOOKUP('Données projet'!$B$13,Paramètres!$A$1:$I$89,3,0)*VLOOKUP('Données projet'!$B$13,Paramètres!$A$1:$I$89,5,0)</f>
        <v>-2.9262992029543964E-13</v>
      </c>
      <c r="CV133" s="14" t="e">
        <f t="shared" ref="CV133:CV153" si="149">EXP(-1.0587+0.8836*LN(CU133)+0.284)</f>
        <v>#NUM!</v>
      </c>
      <c r="CW133" s="22" t="e">
        <f t="shared" si="121"/>
        <v>#NUM!</v>
      </c>
      <c r="CX133" s="62" t="e">
        <f t="shared" si="122"/>
        <v>#NUM!</v>
      </c>
      <c r="CY133" s="62">
        <f ca="1">AVERAGE(OFFSET($CX$3,0,0,'Données projet'!$E$13+1,1))-AVERAGE(OFFSET($H$3,0,0,'Données projet'!$E$13+1,1))</f>
        <v>246.64907095367749</v>
      </c>
      <c r="CZ133" s="62">
        <f t="shared" ref="CZ133:CZ196" si="150">$CZ$3</f>
        <v>145.34368562171613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-5.6843418860808015E-14</v>
      </c>
      <c r="DP133" s="18">
        <f>DO133*VLOOKUP('Données projet'!$B$14,Paramètres!$A$1:$I$89,3,0)*VLOOKUP('Données projet'!$B$14,Paramètres!$A$1:$I$89,5,0)</f>
        <v>-4.5224624045658861E-14</v>
      </c>
      <c r="DQ133" s="14" t="e">
        <f t="shared" ref="DQ133:DQ153" si="151">EXP(-1.0587+0.8836*LN(DP133)+0.284)</f>
        <v>#NUM!</v>
      </c>
      <c r="DR133" s="22" t="e">
        <f t="shared" si="124"/>
        <v>#NUM!</v>
      </c>
      <c r="DS133" s="62" t="e">
        <f t="shared" si="125"/>
        <v>#NUM!</v>
      </c>
      <c r="DT133" s="62">
        <f ca="1">AVERAGE(OFFSET($DS$3,0,0,'Données projet'!$E$14+1,1))-AVERAGE(OFFSET($H$3,0,0,'Données projet'!$E$14+1,1))</f>
        <v>370.38521334472284</v>
      </c>
      <c r="DU133" s="62">
        <f t="shared" ref="DU133:DU196" si="152">$DU$3</f>
        <v>404.61777090709171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-1.1368683772161603E-13</v>
      </c>
      <c r="EK133" s="18">
        <f>EJ133*VLOOKUP('Données projet'!$B$15,Paramètres!$A$1:$I$89,3,0)*VLOOKUP('Données projet'!$B$15,Paramètres!$A$1:$I$89,5,0)</f>
        <v>-9.7543306765146564E-14</v>
      </c>
      <c r="EL133" s="14" t="e">
        <f t="shared" ref="EL133:EL153" si="153">EXP(-1.0587+0.8836*LN(EK133)+0.284)</f>
        <v>#NUM!</v>
      </c>
      <c r="EM133" s="22" t="e">
        <f t="shared" si="127"/>
        <v>#NUM!</v>
      </c>
      <c r="EN133" s="62" t="e">
        <f t="shared" si="128"/>
        <v>#NUM!</v>
      </c>
      <c r="EO133" s="62">
        <f ca="1">AVERAGE(OFFSET($EN$3,0,0,'Données projet'!$E$15+1,1))-AVERAGE(OFFSET($H$3,0,0,'Données projet'!$E$15+1,1))</f>
        <v>445.81166342116865</v>
      </c>
      <c r="EP133" s="62">
        <f t="shared" ref="EP133:EP196" si="154">$EP$3</f>
        <v>230.82970731138215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0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>
        <f>VLOOKUP(A133,'Données projet'!$A$217:$I$237,2,0)</f>
        <v>347</v>
      </c>
      <c r="FC133" s="13">
        <f>VLOOKUP(A133,'Données projet'!$A$217:$I$237,9,0)</f>
        <v>4.2</v>
      </c>
      <c r="FD133" s="13">
        <f t="array" ref="FD133">INDEX(FC:FC,MIN(IF(ISNUMBER(FC133:FC329),ROW(FC133:FC329),"")))</f>
        <v>4.2</v>
      </c>
      <c r="FE133" s="13">
        <f>IF('Données projet'!$A$218&gt;35,FE132+FD133-FM132,IF(A133&lt;'Données projet'!$A$218,$FB$205^A133,IF(A133='Données projet'!$A$218,'Données projet'!$B$218,FE132+FD133-FM132)))</f>
        <v>346.99999999999955</v>
      </c>
      <c r="FF133" s="18">
        <f>FE133*VLOOKUP('Données projet'!$B$16,Paramètres!$A$1:$I$89,3,0)*VLOOKUP('Données projet'!$B$16,Paramètres!$A$1:$I$89,5,0)</f>
        <v>335.61839999999961</v>
      </c>
      <c r="FG133" s="14">
        <f t="shared" ref="FG133:FG153" si="155">EXP(-1.0587+0.8836*LN(FF133)+0.284)</f>
        <v>78.593997867812064</v>
      </c>
      <c r="FH133" s="22">
        <f t="shared" si="130"/>
        <v>721.41992628643857</v>
      </c>
      <c r="FI133" s="62">
        <f t="shared" si="131"/>
        <v>1014.7532596197718</v>
      </c>
      <c r="FJ133" s="62">
        <f ca="1">AVERAGE(OFFSET($FI$3,0,0,'Données projet'!$E$16+1,1))-AVERAGE(OFFSET($H$3,0,0,'Données projet'!$E$16+1,1))</f>
        <v>541.66888676162716</v>
      </c>
      <c r="FK133" s="62">
        <f t="shared" ref="FK133:FK196" si="156">$FK$3</f>
        <v>294.45557293177131</v>
      </c>
      <c r="FL133" s="16">
        <f>IF(ISNA(VLOOKUP(A133,'Données projet'!$A$217:$I$237,3,0)),0,VLOOKUP(A133,'Données projet'!$A$217:$I$237,3,0))</f>
        <v>11</v>
      </c>
      <c r="FM133" s="16">
        <f>IF(ISNA(VLOOKUP(A133,'Données projet'!$A$217:$I$237,4,0)),0,VLOOKUP(A133,'Données projet'!$A$217:$I$237,4,0))</f>
        <v>44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>
        <f>EXP(-LN(2)/35)*FQ132+(1-EXP(-LN(2)/35))/(LN(2)/35)*FM133*FN133*VLOOKUP('Données projet'!$B$16,Paramètres!$A$1:$I$89,3,0)*0.475*44/12</f>
        <v>0</v>
      </c>
      <c r="FR133" s="23">
        <f>EXP(-LN(2)/25)*FR132+(1-EXP(-LN(2)/25))/(LN(2)/25)*Calculateur!FM133*Calculateur!FO133*VLOOKUP('Données projet'!$B$16,Paramètres!$A$1:$I$89,3,0)*0.475*44/12</f>
        <v>0</v>
      </c>
      <c r="FS133" s="23">
        <f>EXP(-LN(2)/2)*FS132+(1-EXP(-LN(2)/2))/(LN(2)/2)*FM133*FP133*VLOOKUP('Données projet'!$B$16,Paramètres!$A$1:$I$89,3,0)*0.475*44/12</f>
        <v>0</v>
      </c>
      <c r="FT133" s="24">
        <f t="shared" si="132"/>
        <v>0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1.1368683772161603E-13</v>
      </c>
      <c r="GA133" s="18">
        <f>FZ133*VLOOKUP('Données projet'!$B$17,Paramètres!$A$1:$I$89,3,0)*VLOOKUP('Données projet'!$B$17,Paramètres!$A$1:$I$89,5,0)</f>
        <v>8.8675733422860506E-14</v>
      </c>
      <c r="GB133" s="14">
        <f t="shared" ref="GB133:GB153" si="157">EXP(-1.0587+0.8836*LN(GA133)+0.284)</f>
        <v>1.3509285393066301E-12</v>
      </c>
      <c r="GC133" s="22">
        <f t="shared" si="133"/>
        <v>2.5073107750038623E-12</v>
      </c>
      <c r="GD133" s="62">
        <f t="shared" si="134"/>
        <v>293.33333333333582</v>
      </c>
      <c r="GE133" s="62">
        <f ca="1">AVERAGE(OFFSET($GD$3,0,0,'Données projet'!$E$17+1,1))-AVERAGE(OFFSET($H$3,0,0,'Données projet'!$E$17+1,1))</f>
        <v>292.57482726862594</v>
      </c>
      <c r="GF133" s="62">
        <f t="shared" ref="GF133:GF196" si="158">$GF$3</f>
        <v>283.48738729114024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>
        <f>EXP(-LN(2)/35)*GL132+(1-EXP(-LN(2)/35))/(LN(2)/35)*GH133*GI133*VLOOKUP('Données projet'!$B$17,Paramètres!$A$1:$I$89,3,0)*0.475*44/12</f>
        <v>0</v>
      </c>
      <c r="GM133" s="23">
        <f>EXP(-LN(2)/25)*GM132+(1-EXP(-LN(2)/25))/(LN(2)/25)*Calculateur!GH133*Calculateur!GJ133*VLOOKUP('Données projet'!$B$17,Paramètres!$A$1:$I$89,3,0)*0.475*44/12</f>
        <v>0</v>
      </c>
      <c r="GN133" s="23">
        <f>EXP(-LN(2)/2)*GN132+(1-EXP(-LN(2)/2))/(LN(2)/2)*GH133*GK133*VLOOKUP('Données projet'!$B$17,Paramètres!$A$1:$I$89,3,0)*0.475*44/12</f>
        <v>0</v>
      </c>
      <c r="GO133" s="23">
        <f t="shared" si="135"/>
        <v>0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-2.2737367544323206E-13</v>
      </c>
      <c r="GV133" s="18">
        <f>GU133*VLOOKUP('Données projet'!$B$18,Paramètres!$A$1:$I$89,3,0)*VLOOKUP('Données projet'!$B$18,Paramètres!$A$1:$I$89,5,0)</f>
        <v>-1.5252226148732008E-13</v>
      </c>
      <c r="GW133" s="14" t="e">
        <f t="shared" ref="GW133:GW153" si="159">EXP(-1.0587+0.8836*LN(GV133)+0.284)</f>
        <v>#NUM!</v>
      </c>
      <c r="GX133" s="22" t="e">
        <f t="shared" si="136"/>
        <v>#NUM!</v>
      </c>
      <c r="GY133" s="62" t="e">
        <f t="shared" si="137"/>
        <v>#NUM!</v>
      </c>
      <c r="GZ133" s="62">
        <f ca="1">AVERAGE(OFFSET($GY$3,0,0,'Données projet'!$E$18+1,1))-AVERAGE(OFFSET($H$3,0,0,'Données projet'!$E$18+1,1))</f>
        <v>410.20186800287411</v>
      </c>
      <c r="HA133" s="62">
        <f t="shared" ref="HA133:HA196" si="160">$HA$3</f>
        <v>321.99347958016057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>
        <f>EXP(-LN(2)/35)*HG132+(1-EXP(-LN(2)/35))/(LN(2)/35)*HC133*HD133*VLOOKUP('Données projet'!$B$18,Paramètres!$A$1:$I$89,3,0)*0.475*44/12</f>
        <v>0</v>
      </c>
      <c r="HH133" s="23">
        <f>EXP(-LN(2)/25)*HH132+(1-EXP(-LN(2)/25))/(LN(2)/25)*Calculateur!HC133*Calculateur!HE133*VLOOKUP('Données projet'!$B$18,Paramètres!$A$1:$I$89,3,0)*0.475*44/12</f>
        <v>0</v>
      </c>
      <c r="HI133" s="23">
        <f>EXP(-LN(2)/2)*HI132+(1-EXP(-LN(2)/2))/(LN(2)/2)*HC133*HF133*VLOOKUP('Données projet'!$B$18,Paramètres!$A$1:$I$89,3,0)*0.475*44/12</f>
        <v>0</v>
      </c>
      <c r="HJ133" s="24">
        <f t="shared" si="138"/>
        <v>0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4</v>
      </c>
      <c r="N134" s="14">
        <f>IF('Données projet'!$A$36&gt;35,N133+M134-V133,IF(A134&lt;'Données projet'!$A$36,$K$205^A134,IF(A134='Données projet'!$A$36,'Données projet'!$B$36,N133+M134-V133)))</f>
        <v>306.99999999999955</v>
      </c>
      <c r="O134" s="14">
        <f>N134*VLOOKUP('Données projet'!$B$9,Paramètres!$A$1:$I$89,3,0)*VLOOKUP('Données projet'!$B$9,Paramètres!$A$1:$I$89,5,0)</f>
        <v>277.77359999999959</v>
      </c>
      <c r="P134" s="14">
        <f t="shared" si="141"/>
        <v>66.496288176842299</v>
      </c>
      <c r="Q134" s="22">
        <f t="shared" si="108"/>
        <v>599.60338857466627</v>
      </c>
      <c r="R134" s="62">
        <f t="shared" si="109"/>
        <v>892.93672190799953</v>
      </c>
      <c r="S134" s="62">
        <f ca="1">AVERAGE(OFFSET($R$3,0,0,'Données projet'!$E$9+1,1))-AVERAGE(OFFSET($H$3,0,0,'Données projet'!$E$9+1,1))</f>
        <v>509.56241660612449</v>
      </c>
      <c r="T134" s="62">
        <f t="shared" si="142"/>
        <v>278.21741231699929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4</v>
      </c>
      <c r="AI134" s="14">
        <f>IF('Données projet'!$A$62&gt;35,AI133+AH134-AQ133,IF(A134&lt;'Données projet'!$A$62,$AF$205^A134,IF(A134='Données projet'!$A$62,'Données projet'!$B$62,AI133+AH134-AQ133)))</f>
        <v>306.99999999999955</v>
      </c>
      <c r="AJ134" s="14">
        <f>AI134*VLOOKUP('Données projet'!$B$10,Paramètres!$A$1:$I$89,3,0)*VLOOKUP('Données projet'!$B$10,Paramètres!$A$1:$I$89,5,0)</f>
        <v>311.29799999999955</v>
      </c>
      <c r="AK134" s="14">
        <f t="shared" si="143"/>
        <v>73.53983827852862</v>
      </c>
      <c r="AL134" s="22">
        <f t="shared" si="112"/>
        <v>670.25923500176987</v>
      </c>
      <c r="AM134" s="62">
        <f t="shared" si="113"/>
        <v>963.59256833510312</v>
      </c>
      <c r="AN134" s="62">
        <f ca="1">AVERAGE(OFFSET($AM$3,0,0,'Données projet'!$E$10+1,1))-AVERAGE(OFFSET($H$3,0,0,'Données projet'!$E$10+1,1))</f>
        <v>565.72091871734051</v>
      </c>
      <c r="AO134" s="62">
        <f t="shared" si="144"/>
        <v>306.61893266146666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-5.6843418860808015E-14</v>
      </c>
      <c r="BE134" s="14">
        <f>BD134*VLOOKUP('Données projet'!$B$11,Paramètres!$A$1:$I$89,3,0)*VLOOKUP('Données projet'!$B$11,Paramètres!$A$1:$I$89,5,0)</f>
        <v>-4.1677594708744434E-14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344.26020118887629</v>
      </c>
      <c r="BJ134" s="62">
        <f t="shared" si="146"/>
        <v>376.41441893222185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4</v>
      </c>
      <c r="BY134" s="13">
        <f>IF('Données projet'!$A$114&gt;35,BY133+BX134-CG133,IF(A134&lt;'Données projet'!$A$114,$BV$205^A134,IF(A134='Données projet'!$A$114,'Données projet'!$B$114,BY133+BX134-CG133)))</f>
        <v>306.99999999999955</v>
      </c>
      <c r="BZ134" s="14">
        <f>BY134*VLOOKUP('Données projet'!$B$12,Paramètres!$A$1:$I$89,3,0)*VLOOKUP('Données projet'!$B$12,Paramètres!$A$1:$I$89,5,0)</f>
        <v>258.61679999999967</v>
      </c>
      <c r="CA134" s="14">
        <f t="shared" si="147"/>
        <v>62.427444141032382</v>
      </c>
      <c r="CB134" s="22">
        <f t="shared" si="118"/>
        <v>559.15205854563067</v>
      </c>
      <c r="CC134" s="62">
        <f t="shared" si="119"/>
        <v>852.48539187896404</v>
      </c>
      <c r="CD134" s="62">
        <f ca="1">AVERAGE(OFFSET($CC$3,0,0,'Données projet'!$E$12+1,1))-AVERAGE(OFFSET($H$3,0,0,'Données projet'!$E$12+1,1))</f>
        <v>477.4105367901771</v>
      </c>
      <c r="CE134" s="62">
        <f t="shared" si="148"/>
        <v>261.95434270986397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-6.2527760746888816E-13</v>
      </c>
      <c r="CU134" s="18">
        <f>CT134*VLOOKUP('Données projet'!$B$13,Paramètres!$A$1:$I$89,3,0)*VLOOKUP('Données projet'!$B$13,Paramètres!$A$1:$I$89,5,0)</f>
        <v>-2.9262992029543964E-13</v>
      </c>
      <c r="CV134" s="14" t="e">
        <f t="shared" si="149"/>
        <v>#NUM!</v>
      </c>
      <c r="CW134" s="22" t="e">
        <f t="shared" si="121"/>
        <v>#NUM!</v>
      </c>
      <c r="CX134" s="62" t="e">
        <f t="shared" si="122"/>
        <v>#NUM!</v>
      </c>
      <c r="CY134" s="62">
        <f ca="1">AVERAGE(OFFSET($CX$3,0,0,'Données projet'!$E$13+1,1))-AVERAGE(OFFSET($H$3,0,0,'Données projet'!$E$13+1,1))</f>
        <v>246.64907095367749</v>
      </c>
      <c r="CZ134" s="62">
        <f t="shared" si="150"/>
        <v>145.34368562171613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-5.6843418860808015E-14</v>
      </c>
      <c r="DP134" s="18">
        <f>DO134*VLOOKUP('Données projet'!$B$14,Paramètres!$A$1:$I$89,3,0)*VLOOKUP('Données projet'!$B$14,Paramètres!$A$1:$I$89,5,0)</f>
        <v>-4.5224624045658861E-14</v>
      </c>
      <c r="DQ134" s="14" t="e">
        <f t="shared" si="151"/>
        <v>#NUM!</v>
      </c>
      <c r="DR134" s="22" t="e">
        <f t="shared" si="124"/>
        <v>#NUM!</v>
      </c>
      <c r="DS134" s="62" t="e">
        <f t="shared" si="125"/>
        <v>#NUM!</v>
      </c>
      <c r="DT134" s="62">
        <f ca="1">AVERAGE(OFFSET($DS$3,0,0,'Données projet'!$E$14+1,1))-AVERAGE(OFFSET($H$3,0,0,'Données projet'!$E$14+1,1))</f>
        <v>370.38521334472284</v>
      </c>
      <c r="DU134" s="62">
        <f t="shared" si="152"/>
        <v>404.61777090709171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-1.1368683772161603E-13</v>
      </c>
      <c r="EK134" s="18">
        <f>EJ134*VLOOKUP('Données projet'!$B$15,Paramètres!$A$1:$I$89,3,0)*VLOOKUP('Données projet'!$B$15,Paramètres!$A$1:$I$89,5,0)</f>
        <v>-9.7543306765146564E-14</v>
      </c>
      <c r="EL134" s="14" t="e">
        <f t="shared" si="153"/>
        <v>#NUM!</v>
      </c>
      <c r="EM134" s="22" t="e">
        <f t="shared" si="127"/>
        <v>#NUM!</v>
      </c>
      <c r="EN134" s="62" t="e">
        <f t="shared" si="128"/>
        <v>#NUM!</v>
      </c>
      <c r="EO134" s="62">
        <f ca="1">AVERAGE(OFFSET($EN$3,0,0,'Données projet'!$E$15+1,1))-AVERAGE(OFFSET($H$3,0,0,'Données projet'!$E$15+1,1))</f>
        <v>445.81166342116865</v>
      </c>
      <c r="EP134" s="62">
        <f t="shared" si="154"/>
        <v>230.82970731138215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0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4</v>
      </c>
      <c r="FE134" s="13">
        <f>IF('Données projet'!$A$218&gt;35,FE133+FD134-FM133,IF(A134&lt;'Données projet'!$A$218,$FB$205^A134,IF(A134='Données projet'!$A$218,'Données projet'!$B$218,FE133+FD134-FM133)))</f>
        <v>306.99999999999955</v>
      </c>
      <c r="FF134" s="18">
        <f>FE134*VLOOKUP('Données projet'!$B$16,Paramètres!$A$1:$I$89,3,0)*VLOOKUP('Données projet'!$B$16,Paramètres!$A$1:$I$89,5,0)</f>
        <v>296.93039999999957</v>
      </c>
      <c r="FG134" s="14">
        <f t="shared" si="155"/>
        <v>70.532572734561199</v>
      </c>
      <c r="FH134" s="22">
        <f t="shared" si="130"/>
        <v>639.99801084602666</v>
      </c>
      <c r="FI134" s="62">
        <f t="shared" si="131"/>
        <v>933.33134417936003</v>
      </c>
      <c r="FJ134" s="62">
        <f ca="1">AVERAGE(OFFSET($FI$3,0,0,'Données projet'!$E$16+1,1))-AVERAGE(OFFSET($H$3,0,0,'Données projet'!$E$16+1,1))</f>
        <v>541.66888676162716</v>
      </c>
      <c r="FK134" s="62">
        <f t="shared" si="156"/>
        <v>294.45557293177131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>
        <f>EXP(-LN(2)/35)*FQ133+(1-EXP(-LN(2)/35))/(LN(2)/35)*FM134*FN134*VLOOKUP('Données projet'!$B$16,Paramètres!$A$1:$I$89,3,0)*0.475*44/12</f>
        <v>0</v>
      </c>
      <c r="FR134" s="23">
        <f>EXP(-LN(2)/25)*FR133+(1-EXP(-LN(2)/25))/(LN(2)/25)*Calculateur!FM134*Calculateur!FO134*VLOOKUP('Données projet'!$B$16,Paramètres!$A$1:$I$89,3,0)*0.475*44/12</f>
        <v>0</v>
      </c>
      <c r="FS134" s="23">
        <f>EXP(-LN(2)/2)*FS133+(1-EXP(-LN(2)/2))/(LN(2)/2)*FM134*FP134*VLOOKUP('Données projet'!$B$16,Paramètres!$A$1:$I$89,3,0)*0.475*44/12</f>
        <v>0</v>
      </c>
      <c r="FT134" s="24">
        <f t="shared" si="132"/>
        <v>0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1.1368683772161603E-13</v>
      </c>
      <c r="GA134" s="18">
        <f>FZ134*VLOOKUP('Données projet'!$B$17,Paramètres!$A$1:$I$89,3,0)*VLOOKUP('Données projet'!$B$17,Paramètres!$A$1:$I$89,5,0)</f>
        <v>8.8675733422860506E-14</v>
      </c>
      <c r="GB134" s="14">
        <f t="shared" si="157"/>
        <v>1.3509285393066301E-12</v>
      </c>
      <c r="GC134" s="22">
        <f t="shared" si="133"/>
        <v>2.5073107750038623E-12</v>
      </c>
      <c r="GD134" s="62">
        <f t="shared" si="134"/>
        <v>293.33333333333582</v>
      </c>
      <c r="GE134" s="62">
        <f ca="1">AVERAGE(OFFSET($GD$3,0,0,'Données projet'!$E$17+1,1))-AVERAGE(OFFSET($H$3,0,0,'Données projet'!$E$17+1,1))</f>
        <v>292.57482726862594</v>
      </c>
      <c r="GF134" s="62">
        <f t="shared" si="158"/>
        <v>283.48738729114024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>
        <f>EXP(-LN(2)/35)*GL133+(1-EXP(-LN(2)/35))/(LN(2)/35)*GH134*GI134*VLOOKUP('Données projet'!$B$17,Paramètres!$A$1:$I$89,3,0)*0.475*44/12</f>
        <v>0</v>
      </c>
      <c r="GM134" s="23">
        <f>EXP(-LN(2)/25)*GM133+(1-EXP(-LN(2)/25))/(LN(2)/25)*Calculateur!GH134*Calculateur!GJ134*VLOOKUP('Données projet'!$B$17,Paramètres!$A$1:$I$89,3,0)*0.475*44/12</f>
        <v>0</v>
      </c>
      <c r="GN134" s="23">
        <f>EXP(-LN(2)/2)*GN133+(1-EXP(-LN(2)/2))/(LN(2)/2)*GH134*GK134*VLOOKUP('Données projet'!$B$17,Paramètres!$A$1:$I$89,3,0)*0.475*44/12</f>
        <v>0</v>
      </c>
      <c r="GO134" s="23">
        <f t="shared" si="135"/>
        <v>0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-2.2737367544323206E-13</v>
      </c>
      <c r="GV134" s="18">
        <f>GU134*VLOOKUP('Données projet'!$B$18,Paramètres!$A$1:$I$89,3,0)*VLOOKUP('Données projet'!$B$18,Paramètres!$A$1:$I$89,5,0)</f>
        <v>-1.5252226148732008E-13</v>
      </c>
      <c r="GW134" s="14" t="e">
        <f t="shared" si="159"/>
        <v>#NUM!</v>
      </c>
      <c r="GX134" s="22" t="e">
        <f t="shared" si="136"/>
        <v>#NUM!</v>
      </c>
      <c r="GY134" s="62" t="e">
        <f t="shared" si="137"/>
        <v>#NUM!</v>
      </c>
      <c r="GZ134" s="62">
        <f ca="1">AVERAGE(OFFSET($GY$3,0,0,'Données projet'!$E$18+1,1))-AVERAGE(OFFSET($H$3,0,0,'Données projet'!$E$18+1,1))</f>
        <v>410.20186800287411</v>
      </c>
      <c r="HA134" s="62">
        <f t="shared" si="160"/>
        <v>321.99347958016057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>
        <f>EXP(-LN(2)/35)*HG133+(1-EXP(-LN(2)/35))/(LN(2)/35)*HC134*HD134*VLOOKUP('Données projet'!$B$18,Paramètres!$A$1:$I$89,3,0)*0.475*44/12</f>
        <v>0</v>
      </c>
      <c r="HH134" s="23">
        <f>EXP(-LN(2)/25)*HH133+(1-EXP(-LN(2)/25))/(LN(2)/25)*Calculateur!HC134*Calculateur!HE134*VLOOKUP('Données projet'!$B$18,Paramètres!$A$1:$I$89,3,0)*0.475*44/12</f>
        <v>0</v>
      </c>
      <c r="HI134" s="23">
        <f>EXP(-LN(2)/2)*HI133+(1-EXP(-LN(2)/2))/(LN(2)/2)*HC134*HF134*VLOOKUP('Données projet'!$B$18,Paramètres!$A$1:$I$89,3,0)*0.475*44/12</f>
        <v>0</v>
      </c>
      <c r="HJ134" s="24">
        <f t="shared" si="138"/>
        <v>0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4</v>
      </c>
      <c r="N135" s="14">
        <f>IF('Données projet'!$A$36&gt;35,N134+M135-V134,IF(A135&lt;'Données projet'!$A$36,$K$205^A135,IF(A135='Données projet'!$A$36,'Données projet'!$B$36,N134+M135-V134)))</f>
        <v>310.99999999999955</v>
      </c>
      <c r="O135" s="14">
        <f>N135*VLOOKUP('Données projet'!$B$9,Paramètres!$A$1:$I$89,3,0)*VLOOKUP('Données projet'!$B$9,Paramètres!$A$1:$I$89,5,0)</f>
        <v>281.39279999999957</v>
      </c>
      <c r="P135" s="14">
        <f t="shared" si="141"/>
        <v>67.261262504634587</v>
      </c>
      <c r="Q135" s="22">
        <f t="shared" si="108"/>
        <v>607.23915886223779</v>
      </c>
      <c r="R135" s="62">
        <f t="shared" si="109"/>
        <v>900.57249219557116</v>
      </c>
      <c r="S135" s="62">
        <f ca="1">AVERAGE(OFFSET($R$3,0,0,'Données projet'!$E$9+1,1))-AVERAGE(OFFSET($H$3,0,0,'Données projet'!$E$9+1,1))</f>
        <v>509.56241660612449</v>
      </c>
      <c r="T135" s="62">
        <f t="shared" si="142"/>
        <v>278.21741231699929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4</v>
      </c>
      <c r="AI135" s="14">
        <f>IF('Données projet'!$A$62&gt;35,AI134+AH135-AQ134,IF(A135&lt;'Données projet'!$A$62,$AF$205^A135,IF(A135='Données projet'!$A$62,'Données projet'!$B$62,AI134+AH135-AQ134)))</f>
        <v>310.99999999999955</v>
      </c>
      <c r="AJ135" s="14">
        <f>AI135*VLOOKUP('Données projet'!$B$10,Paramètres!$A$1:$I$89,3,0)*VLOOKUP('Données projet'!$B$10,Paramètres!$A$1:$I$89,5,0)</f>
        <v>315.35399999999959</v>
      </c>
      <c r="AK135" s="14">
        <f t="shared" si="143"/>
        <v>74.38584171564473</v>
      </c>
      <c r="AL135" s="22">
        <f t="shared" si="112"/>
        <v>678.79689098808058</v>
      </c>
      <c r="AM135" s="62">
        <f t="shared" si="113"/>
        <v>972.13022432141383</v>
      </c>
      <c r="AN135" s="62">
        <f ca="1">AVERAGE(OFFSET($AM$3,0,0,'Données projet'!$E$10+1,1))-AVERAGE(OFFSET($H$3,0,0,'Données projet'!$E$10+1,1))</f>
        <v>565.72091871734051</v>
      </c>
      <c r="AO135" s="62">
        <f t="shared" si="144"/>
        <v>306.61893266146666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-5.6843418860808015E-14</v>
      </c>
      <c r="BE135" s="14">
        <f>BD135*VLOOKUP('Données projet'!$B$11,Paramètres!$A$1:$I$89,3,0)*VLOOKUP('Données projet'!$B$11,Paramètres!$A$1:$I$89,5,0)</f>
        <v>-4.1677594708744434E-14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344.26020118887629</v>
      </c>
      <c r="BJ135" s="62">
        <f t="shared" si="146"/>
        <v>376.41441893222185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4</v>
      </c>
      <c r="BY135" s="13">
        <f>IF('Données projet'!$A$114&gt;35,BY134+BX135-CG134,IF(A135&lt;'Données projet'!$A$114,$BV$205^A135,IF(A135='Données projet'!$A$114,'Données projet'!$B$114,BY134+BX135-CG134)))</f>
        <v>310.99999999999955</v>
      </c>
      <c r="BZ135" s="14">
        <f>BY135*VLOOKUP('Données projet'!$B$12,Paramètres!$A$1:$I$89,3,0)*VLOOKUP('Données projet'!$B$12,Paramètres!$A$1:$I$89,5,0)</f>
        <v>261.98639999999966</v>
      </c>
      <c r="CA135" s="14">
        <f t="shared" si="147"/>
        <v>63.145610424097313</v>
      </c>
      <c r="CB135" s="22">
        <f t="shared" si="118"/>
        <v>566.27158482196887</v>
      </c>
      <c r="CC135" s="62">
        <f t="shared" si="119"/>
        <v>859.60491815530213</v>
      </c>
      <c r="CD135" s="62">
        <f ca="1">AVERAGE(OFFSET($CC$3,0,0,'Données projet'!$E$12+1,1))-AVERAGE(OFFSET($H$3,0,0,'Données projet'!$E$12+1,1))</f>
        <v>477.4105367901771</v>
      </c>
      <c r="CE135" s="62">
        <f t="shared" si="148"/>
        <v>261.95434270986397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-6.2527760746888816E-13</v>
      </c>
      <c r="CU135" s="18">
        <f>CT135*VLOOKUP('Données projet'!$B$13,Paramètres!$A$1:$I$89,3,0)*VLOOKUP('Données projet'!$B$13,Paramètres!$A$1:$I$89,5,0)</f>
        <v>-2.9262992029543964E-13</v>
      </c>
      <c r="CV135" s="14" t="e">
        <f t="shared" si="149"/>
        <v>#NUM!</v>
      </c>
      <c r="CW135" s="22" t="e">
        <f t="shared" si="121"/>
        <v>#NUM!</v>
      </c>
      <c r="CX135" s="62" t="e">
        <f t="shared" si="122"/>
        <v>#NUM!</v>
      </c>
      <c r="CY135" s="62">
        <f ca="1">AVERAGE(OFFSET($CX$3,0,0,'Données projet'!$E$13+1,1))-AVERAGE(OFFSET($H$3,0,0,'Données projet'!$E$13+1,1))</f>
        <v>246.64907095367749</v>
      </c>
      <c r="CZ135" s="62">
        <f t="shared" si="150"/>
        <v>145.34368562171613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-5.6843418860808015E-14</v>
      </c>
      <c r="DP135" s="18">
        <f>DO135*VLOOKUP('Données projet'!$B$14,Paramètres!$A$1:$I$89,3,0)*VLOOKUP('Données projet'!$B$14,Paramètres!$A$1:$I$89,5,0)</f>
        <v>-4.5224624045658861E-14</v>
      </c>
      <c r="DQ135" s="14" t="e">
        <f t="shared" si="151"/>
        <v>#NUM!</v>
      </c>
      <c r="DR135" s="22" t="e">
        <f t="shared" si="124"/>
        <v>#NUM!</v>
      </c>
      <c r="DS135" s="62" t="e">
        <f t="shared" si="125"/>
        <v>#NUM!</v>
      </c>
      <c r="DT135" s="62">
        <f ca="1">AVERAGE(OFFSET($DS$3,0,0,'Données projet'!$E$14+1,1))-AVERAGE(OFFSET($H$3,0,0,'Données projet'!$E$14+1,1))</f>
        <v>370.38521334472284</v>
      </c>
      <c r="DU135" s="62">
        <f t="shared" si="152"/>
        <v>404.61777090709171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-1.1368683772161603E-13</v>
      </c>
      <c r="EK135" s="18">
        <f>EJ135*VLOOKUP('Données projet'!$B$15,Paramètres!$A$1:$I$89,3,0)*VLOOKUP('Données projet'!$B$15,Paramètres!$A$1:$I$89,5,0)</f>
        <v>-9.7543306765146564E-14</v>
      </c>
      <c r="EL135" s="14" t="e">
        <f t="shared" si="153"/>
        <v>#NUM!</v>
      </c>
      <c r="EM135" s="22" t="e">
        <f t="shared" si="127"/>
        <v>#NUM!</v>
      </c>
      <c r="EN135" s="62" t="e">
        <f t="shared" si="128"/>
        <v>#NUM!</v>
      </c>
      <c r="EO135" s="62">
        <f ca="1">AVERAGE(OFFSET($EN$3,0,0,'Données projet'!$E$15+1,1))-AVERAGE(OFFSET($H$3,0,0,'Données projet'!$E$15+1,1))</f>
        <v>445.81166342116865</v>
      </c>
      <c r="EP135" s="62">
        <f t="shared" si="154"/>
        <v>230.82970731138215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0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4</v>
      </c>
      <c r="FE135" s="13">
        <f>IF('Données projet'!$A$218&gt;35,FE134+FD135-FM134,IF(A135&lt;'Données projet'!$A$218,$FB$205^A135,IF(A135='Données projet'!$A$218,'Données projet'!$B$218,FE134+FD135-FM134)))</f>
        <v>310.99999999999955</v>
      </c>
      <c r="FF135" s="18">
        <f>FE135*VLOOKUP('Données projet'!$B$16,Paramètres!$A$1:$I$89,3,0)*VLOOKUP('Données projet'!$B$16,Paramètres!$A$1:$I$89,5,0)</f>
        <v>300.79919999999953</v>
      </c>
      <c r="FG135" s="14">
        <f t="shared" si="155"/>
        <v>71.343980542341257</v>
      </c>
      <c r="FH135" s="22">
        <f t="shared" si="130"/>
        <v>648.14937277791023</v>
      </c>
      <c r="FI135" s="62">
        <f t="shared" si="131"/>
        <v>941.48270611124349</v>
      </c>
      <c r="FJ135" s="62">
        <f ca="1">AVERAGE(OFFSET($FI$3,0,0,'Données projet'!$E$16+1,1))-AVERAGE(OFFSET($H$3,0,0,'Données projet'!$E$16+1,1))</f>
        <v>541.66888676162716</v>
      </c>
      <c r="FK135" s="62">
        <f t="shared" si="156"/>
        <v>294.45557293177131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>
        <f>EXP(-LN(2)/35)*FQ134+(1-EXP(-LN(2)/35))/(LN(2)/35)*FM135*FN135*VLOOKUP('Données projet'!$B$16,Paramètres!$A$1:$I$89,3,0)*0.475*44/12</f>
        <v>0</v>
      </c>
      <c r="FR135" s="23">
        <f>EXP(-LN(2)/25)*FR134+(1-EXP(-LN(2)/25))/(LN(2)/25)*Calculateur!FM135*Calculateur!FO135*VLOOKUP('Données projet'!$B$16,Paramètres!$A$1:$I$89,3,0)*0.475*44/12</f>
        <v>0</v>
      </c>
      <c r="FS135" s="23">
        <f>EXP(-LN(2)/2)*FS134+(1-EXP(-LN(2)/2))/(LN(2)/2)*FM135*FP135*VLOOKUP('Données projet'!$B$16,Paramètres!$A$1:$I$89,3,0)*0.475*44/12</f>
        <v>0</v>
      </c>
      <c r="FT135" s="24">
        <f t="shared" si="132"/>
        <v>0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1.1368683772161603E-13</v>
      </c>
      <c r="GA135" s="18">
        <f>FZ135*VLOOKUP('Données projet'!$B$17,Paramètres!$A$1:$I$89,3,0)*VLOOKUP('Données projet'!$B$17,Paramètres!$A$1:$I$89,5,0)</f>
        <v>8.8675733422860506E-14</v>
      </c>
      <c r="GB135" s="14">
        <f t="shared" si="157"/>
        <v>1.3509285393066301E-12</v>
      </c>
      <c r="GC135" s="22">
        <f t="shared" si="133"/>
        <v>2.5073107750038623E-12</v>
      </c>
      <c r="GD135" s="62">
        <f t="shared" si="134"/>
        <v>293.33333333333582</v>
      </c>
      <c r="GE135" s="62">
        <f ca="1">AVERAGE(OFFSET($GD$3,0,0,'Données projet'!$E$17+1,1))-AVERAGE(OFFSET($H$3,0,0,'Données projet'!$E$17+1,1))</f>
        <v>292.57482726862594</v>
      </c>
      <c r="GF135" s="62">
        <f t="shared" si="158"/>
        <v>283.48738729114024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>
        <f>EXP(-LN(2)/35)*GL134+(1-EXP(-LN(2)/35))/(LN(2)/35)*GH135*GI135*VLOOKUP('Données projet'!$B$17,Paramètres!$A$1:$I$89,3,0)*0.475*44/12</f>
        <v>0</v>
      </c>
      <c r="GM135" s="23">
        <f>EXP(-LN(2)/25)*GM134+(1-EXP(-LN(2)/25))/(LN(2)/25)*Calculateur!GH135*Calculateur!GJ135*VLOOKUP('Données projet'!$B$17,Paramètres!$A$1:$I$89,3,0)*0.475*44/12</f>
        <v>0</v>
      </c>
      <c r="GN135" s="23">
        <f>EXP(-LN(2)/2)*GN134+(1-EXP(-LN(2)/2))/(LN(2)/2)*GH135*GK135*VLOOKUP('Données projet'!$B$17,Paramètres!$A$1:$I$89,3,0)*0.475*44/12</f>
        <v>0</v>
      </c>
      <c r="GO135" s="23">
        <f t="shared" si="135"/>
        <v>0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-2.2737367544323206E-13</v>
      </c>
      <c r="GV135" s="18">
        <f>GU135*VLOOKUP('Données projet'!$B$18,Paramètres!$A$1:$I$89,3,0)*VLOOKUP('Données projet'!$B$18,Paramètres!$A$1:$I$89,5,0)</f>
        <v>-1.5252226148732008E-13</v>
      </c>
      <c r="GW135" s="14" t="e">
        <f t="shared" si="159"/>
        <v>#NUM!</v>
      </c>
      <c r="GX135" s="22" t="e">
        <f t="shared" si="136"/>
        <v>#NUM!</v>
      </c>
      <c r="GY135" s="62" t="e">
        <f t="shared" si="137"/>
        <v>#NUM!</v>
      </c>
      <c r="GZ135" s="62">
        <f ca="1">AVERAGE(OFFSET($GY$3,0,0,'Données projet'!$E$18+1,1))-AVERAGE(OFFSET($H$3,0,0,'Données projet'!$E$18+1,1))</f>
        <v>410.20186800287411</v>
      </c>
      <c r="HA135" s="62">
        <f t="shared" si="160"/>
        <v>321.99347958016057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>
        <f>EXP(-LN(2)/35)*HG134+(1-EXP(-LN(2)/35))/(LN(2)/35)*HC135*HD135*VLOOKUP('Données projet'!$B$18,Paramètres!$A$1:$I$89,3,0)*0.475*44/12</f>
        <v>0</v>
      </c>
      <c r="HH135" s="23">
        <f>EXP(-LN(2)/25)*HH134+(1-EXP(-LN(2)/25))/(LN(2)/25)*Calculateur!HC135*Calculateur!HE135*VLOOKUP('Données projet'!$B$18,Paramètres!$A$1:$I$89,3,0)*0.475*44/12</f>
        <v>0</v>
      </c>
      <c r="HI135" s="23">
        <f>EXP(-LN(2)/2)*HI134+(1-EXP(-LN(2)/2))/(LN(2)/2)*HC135*HF135*VLOOKUP('Données projet'!$B$18,Paramètres!$A$1:$I$89,3,0)*0.475*44/12</f>
        <v>0</v>
      </c>
      <c r="HJ135" s="24">
        <f t="shared" si="138"/>
        <v>0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4</v>
      </c>
      <c r="N136" s="14">
        <f>IF('Données projet'!$A$36&gt;35,N135+M136-V135,IF(A136&lt;'Données projet'!$A$36,$K$205^A136,IF(A136='Données projet'!$A$36,'Données projet'!$B$36,N135+M136-V135)))</f>
        <v>314.99999999999955</v>
      </c>
      <c r="O136" s="14">
        <f>N136*VLOOKUP('Données projet'!$B$9,Paramètres!$A$1:$I$89,3,0)*VLOOKUP('Données projet'!$B$9,Paramètres!$A$1:$I$89,5,0)</f>
        <v>285.0119999999996</v>
      </c>
      <c r="P136" s="14">
        <f t="shared" si="141"/>
        <v>68.025092408173052</v>
      </c>
      <c r="Q136" s="22">
        <f t="shared" si="108"/>
        <v>614.87293594423409</v>
      </c>
      <c r="R136" s="62">
        <f t="shared" si="109"/>
        <v>908.20626927756734</v>
      </c>
      <c r="S136" s="62">
        <f ca="1">AVERAGE(OFFSET($R$3,0,0,'Données projet'!$E$9+1,1))-AVERAGE(OFFSET($H$3,0,0,'Données projet'!$E$9+1,1))</f>
        <v>509.56241660612449</v>
      </c>
      <c r="T136" s="62">
        <f t="shared" si="142"/>
        <v>278.21741231699929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4</v>
      </c>
      <c r="AI136" s="14">
        <f>IF('Données projet'!$A$62&gt;35,AI135+AH136-AQ135,IF(A136&lt;'Données projet'!$A$62,$AF$205^A136,IF(A136='Données projet'!$A$62,'Données projet'!$B$62,AI135+AH136-AQ135)))</f>
        <v>314.99999999999955</v>
      </c>
      <c r="AJ136" s="14">
        <f>AI136*VLOOKUP('Données projet'!$B$10,Paramètres!$A$1:$I$89,3,0)*VLOOKUP('Données projet'!$B$10,Paramètres!$A$1:$I$89,5,0)</f>
        <v>319.40999999999957</v>
      </c>
      <c r="AK136" s="14">
        <f t="shared" si="143"/>
        <v>75.230579506559266</v>
      </c>
      <c r="AL136" s="22">
        <f t="shared" si="112"/>
        <v>687.3323426405899</v>
      </c>
      <c r="AM136" s="62">
        <f t="shared" si="113"/>
        <v>980.66567597392327</v>
      </c>
      <c r="AN136" s="62">
        <f ca="1">AVERAGE(OFFSET($AM$3,0,0,'Données projet'!$E$10+1,1))-AVERAGE(OFFSET($H$3,0,0,'Données projet'!$E$10+1,1))</f>
        <v>565.72091871734051</v>
      </c>
      <c r="AO136" s="62">
        <f t="shared" si="144"/>
        <v>306.61893266146666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-5.6843418860808015E-14</v>
      </c>
      <c r="BE136" s="14">
        <f>BD136*VLOOKUP('Données projet'!$B$11,Paramètres!$A$1:$I$89,3,0)*VLOOKUP('Données projet'!$B$11,Paramètres!$A$1:$I$89,5,0)</f>
        <v>-4.1677594708744434E-14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344.26020118887629</v>
      </c>
      <c r="BJ136" s="62">
        <f t="shared" si="146"/>
        <v>376.41441893222185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4</v>
      </c>
      <c r="BY136" s="13">
        <f>IF('Données projet'!$A$114&gt;35,BY135+BX136-CG135,IF(A136&lt;'Données projet'!$A$114,$BV$205^A136,IF(A136='Données projet'!$A$114,'Données projet'!$B$114,BY135+BX136-CG135)))</f>
        <v>314.99999999999955</v>
      </c>
      <c r="BZ136" s="14">
        <f>BY136*VLOOKUP('Données projet'!$B$12,Paramètres!$A$1:$I$89,3,0)*VLOOKUP('Données projet'!$B$12,Paramètres!$A$1:$I$89,5,0)</f>
        <v>265.35599999999965</v>
      </c>
      <c r="CA136" s="14">
        <f t="shared" si="147"/>
        <v>63.862702309129773</v>
      </c>
      <c r="CB136" s="22">
        <f t="shared" si="118"/>
        <v>573.38923985506699</v>
      </c>
      <c r="CC136" s="62">
        <f t="shared" si="119"/>
        <v>866.72257318840025</v>
      </c>
      <c r="CD136" s="62">
        <f ca="1">AVERAGE(OFFSET($CC$3,0,0,'Données projet'!$E$12+1,1))-AVERAGE(OFFSET($H$3,0,0,'Données projet'!$E$12+1,1))</f>
        <v>477.4105367901771</v>
      </c>
      <c r="CE136" s="62">
        <f t="shared" si="148"/>
        <v>261.95434270986397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-6.2527760746888816E-13</v>
      </c>
      <c r="CU136" s="18">
        <f>CT136*VLOOKUP('Données projet'!$B$13,Paramètres!$A$1:$I$89,3,0)*VLOOKUP('Données projet'!$B$13,Paramètres!$A$1:$I$89,5,0)</f>
        <v>-2.9262992029543964E-13</v>
      </c>
      <c r="CV136" s="14" t="e">
        <f t="shared" si="149"/>
        <v>#NUM!</v>
      </c>
      <c r="CW136" s="22" t="e">
        <f t="shared" si="121"/>
        <v>#NUM!</v>
      </c>
      <c r="CX136" s="62" t="e">
        <f t="shared" si="122"/>
        <v>#NUM!</v>
      </c>
      <c r="CY136" s="62">
        <f ca="1">AVERAGE(OFFSET($CX$3,0,0,'Données projet'!$E$13+1,1))-AVERAGE(OFFSET($H$3,0,0,'Données projet'!$E$13+1,1))</f>
        <v>246.64907095367749</v>
      </c>
      <c r="CZ136" s="62">
        <f t="shared" si="150"/>
        <v>145.34368562171613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-5.6843418860808015E-14</v>
      </c>
      <c r="DP136" s="18">
        <f>DO136*VLOOKUP('Données projet'!$B$14,Paramètres!$A$1:$I$89,3,0)*VLOOKUP('Données projet'!$B$14,Paramètres!$A$1:$I$89,5,0)</f>
        <v>-4.5224624045658861E-14</v>
      </c>
      <c r="DQ136" s="14" t="e">
        <f t="shared" si="151"/>
        <v>#NUM!</v>
      </c>
      <c r="DR136" s="22" t="e">
        <f t="shared" si="124"/>
        <v>#NUM!</v>
      </c>
      <c r="DS136" s="62" t="e">
        <f t="shared" si="125"/>
        <v>#NUM!</v>
      </c>
      <c r="DT136" s="62">
        <f ca="1">AVERAGE(OFFSET($DS$3,0,0,'Données projet'!$E$14+1,1))-AVERAGE(OFFSET($H$3,0,0,'Données projet'!$E$14+1,1))</f>
        <v>370.38521334472284</v>
      </c>
      <c r="DU136" s="62">
        <f t="shared" si="152"/>
        <v>404.61777090709171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-1.1368683772161603E-13</v>
      </c>
      <c r="EK136" s="18">
        <f>EJ136*VLOOKUP('Données projet'!$B$15,Paramètres!$A$1:$I$89,3,0)*VLOOKUP('Données projet'!$B$15,Paramètres!$A$1:$I$89,5,0)</f>
        <v>-9.7543306765146564E-14</v>
      </c>
      <c r="EL136" s="14" t="e">
        <f t="shared" si="153"/>
        <v>#NUM!</v>
      </c>
      <c r="EM136" s="22" t="e">
        <f t="shared" si="127"/>
        <v>#NUM!</v>
      </c>
      <c r="EN136" s="62" t="e">
        <f t="shared" si="128"/>
        <v>#NUM!</v>
      </c>
      <c r="EO136" s="62">
        <f ca="1">AVERAGE(OFFSET($EN$3,0,0,'Données projet'!$E$15+1,1))-AVERAGE(OFFSET($H$3,0,0,'Données projet'!$E$15+1,1))</f>
        <v>445.81166342116865</v>
      </c>
      <c r="EP136" s="62">
        <f t="shared" si="154"/>
        <v>230.82970731138215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0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4</v>
      </c>
      <c r="FE136" s="13">
        <f>IF('Données projet'!$A$218&gt;35,FE135+FD136-FM135,IF(A136&lt;'Données projet'!$A$218,$FB$205^A136,IF(A136='Données projet'!$A$218,'Données projet'!$B$218,FE135+FD136-FM135)))</f>
        <v>314.99999999999955</v>
      </c>
      <c r="FF136" s="18">
        <f>FE136*VLOOKUP('Données projet'!$B$16,Paramètres!$A$1:$I$89,3,0)*VLOOKUP('Données projet'!$B$16,Paramètres!$A$1:$I$89,5,0)</f>
        <v>304.66799999999961</v>
      </c>
      <c r="FG136" s="14">
        <f t="shared" si="155"/>
        <v>72.15417446000599</v>
      </c>
      <c r="FH136" s="22">
        <f t="shared" si="130"/>
        <v>656.29862051784312</v>
      </c>
      <c r="FI136" s="62">
        <f t="shared" si="131"/>
        <v>949.63195385117638</v>
      </c>
      <c r="FJ136" s="62">
        <f ca="1">AVERAGE(OFFSET($FI$3,0,0,'Données projet'!$E$16+1,1))-AVERAGE(OFFSET($H$3,0,0,'Données projet'!$E$16+1,1))</f>
        <v>541.66888676162716</v>
      </c>
      <c r="FK136" s="62">
        <f t="shared" si="156"/>
        <v>294.45557293177131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>
        <f>EXP(-LN(2)/35)*FQ135+(1-EXP(-LN(2)/35))/(LN(2)/35)*FM136*FN136*VLOOKUP('Données projet'!$B$16,Paramètres!$A$1:$I$89,3,0)*0.475*44/12</f>
        <v>0</v>
      </c>
      <c r="FR136" s="23">
        <f>EXP(-LN(2)/25)*FR135+(1-EXP(-LN(2)/25))/(LN(2)/25)*Calculateur!FM136*Calculateur!FO136*VLOOKUP('Données projet'!$B$16,Paramètres!$A$1:$I$89,3,0)*0.475*44/12</f>
        <v>0</v>
      </c>
      <c r="FS136" s="23">
        <f>EXP(-LN(2)/2)*FS135+(1-EXP(-LN(2)/2))/(LN(2)/2)*FM136*FP136*VLOOKUP('Données projet'!$B$16,Paramètres!$A$1:$I$89,3,0)*0.475*44/12</f>
        <v>0</v>
      </c>
      <c r="FT136" s="24">
        <f t="shared" si="132"/>
        <v>0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1.1368683772161603E-13</v>
      </c>
      <c r="GA136" s="18">
        <f>FZ136*VLOOKUP('Données projet'!$B$17,Paramètres!$A$1:$I$89,3,0)*VLOOKUP('Données projet'!$B$17,Paramètres!$A$1:$I$89,5,0)</f>
        <v>8.8675733422860506E-14</v>
      </c>
      <c r="GB136" s="14">
        <f t="shared" si="157"/>
        <v>1.3509285393066301E-12</v>
      </c>
      <c r="GC136" s="22">
        <f t="shared" si="133"/>
        <v>2.5073107750038623E-12</v>
      </c>
      <c r="GD136" s="62">
        <f t="shared" si="134"/>
        <v>293.33333333333582</v>
      </c>
      <c r="GE136" s="62">
        <f ca="1">AVERAGE(OFFSET($GD$3,0,0,'Données projet'!$E$17+1,1))-AVERAGE(OFFSET($H$3,0,0,'Données projet'!$E$17+1,1))</f>
        <v>292.57482726862594</v>
      </c>
      <c r="GF136" s="62">
        <f t="shared" si="158"/>
        <v>283.48738729114024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>
        <f>EXP(-LN(2)/35)*GL135+(1-EXP(-LN(2)/35))/(LN(2)/35)*GH136*GI136*VLOOKUP('Données projet'!$B$17,Paramètres!$A$1:$I$89,3,0)*0.475*44/12</f>
        <v>0</v>
      </c>
      <c r="GM136" s="23">
        <f>EXP(-LN(2)/25)*GM135+(1-EXP(-LN(2)/25))/(LN(2)/25)*Calculateur!GH136*Calculateur!GJ136*VLOOKUP('Données projet'!$B$17,Paramètres!$A$1:$I$89,3,0)*0.475*44/12</f>
        <v>0</v>
      </c>
      <c r="GN136" s="23">
        <f>EXP(-LN(2)/2)*GN135+(1-EXP(-LN(2)/2))/(LN(2)/2)*GH136*GK136*VLOOKUP('Données projet'!$B$17,Paramètres!$A$1:$I$89,3,0)*0.475*44/12</f>
        <v>0</v>
      </c>
      <c r="GO136" s="23">
        <f t="shared" si="135"/>
        <v>0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-2.2737367544323206E-13</v>
      </c>
      <c r="GV136" s="18">
        <f>GU136*VLOOKUP('Données projet'!$B$18,Paramètres!$A$1:$I$89,3,0)*VLOOKUP('Données projet'!$B$18,Paramètres!$A$1:$I$89,5,0)</f>
        <v>-1.5252226148732008E-13</v>
      </c>
      <c r="GW136" s="14" t="e">
        <f t="shared" si="159"/>
        <v>#NUM!</v>
      </c>
      <c r="GX136" s="22" t="e">
        <f t="shared" si="136"/>
        <v>#NUM!</v>
      </c>
      <c r="GY136" s="62" t="e">
        <f t="shared" si="137"/>
        <v>#NUM!</v>
      </c>
      <c r="GZ136" s="62">
        <f ca="1">AVERAGE(OFFSET($GY$3,0,0,'Données projet'!$E$18+1,1))-AVERAGE(OFFSET($H$3,0,0,'Données projet'!$E$18+1,1))</f>
        <v>410.20186800287411</v>
      </c>
      <c r="HA136" s="62">
        <f t="shared" si="160"/>
        <v>321.99347958016057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>
        <f>EXP(-LN(2)/35)*HG135+(1-EXP(-LN(2)/35))/(LN(2)/35)*HC136*HD136*VLOOKUP('Données projet'!$B$18,Paramètres!$A$1:$I$89,3,0)*0.475*44/12</f>
        <v>0</v>
      </c>
      <c r="HH136" s="23">
        <f>EXP(-LN(2)/25)*HH135+(1-EXP(-LN(2)/25))/(LN(2)/25)*Calculateur!HC136*Calculateur!HE136*VLOOKUP('Données projet'!$B$18,Paramètres!$A$1:$I$89,3,0)*0.475*44/12</f>
        <v>0</v>
      </c>
      <c r="HI136" s="23">
        <f>EXP(-LN(2)/2)*HI135+(1-EXP(-LN(2)/2))/(LN(2)/2)*HC136*HF136*VLOOKUP('Données projet'!$B$18,Paramètres!$A$1:$I$89,3,0)*0.475*44/12</f>
        <v>0</v>
      </c>
      <c r="HJ136" s="24">
        <f t="shared" si="138"/>
        <v>0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4</v>
      </c>
      <c r="N137" s="14">
        <f>IF('Données projet'!$A$36&gt;35,N136+M137-V136,IF(A137&lt;'Données projet'!$A$36,$K$205^A137,IF(A137='Données projet'!$A$36,'Données projet'!$B$36,N136+M137-V136)))</f>
        <v>318.99999999999955</v>
      </c>
      <c r="O137" s="14">
        <f>N137*VLOOKUP('Données projet'!$B$9,Paramètres!$A$1:$I$89,3,0)*VLOOKUP('Données projet'!$B$9,Paramètres!$A$1:$I$89,5,0)</f>
        <v>288.63119999999958</v>
      </c>
      <c r="P137" s="14">
        <f t="shared" si="141"/>
        <v>68.787794100289148</v>
      </c>
      <c r="Q137" s="22">
        <f t="shared" si="108"/>
        <v>622.50474805800286</v>
      </c>
      <c r="R137" s="62">
        <f t="shared" si="109"/>
        <v>915.83808139133612</v>
      </c>
      <c r="S137" s="62">
        <f ca="1">AVERAGE(OFFSET($R$3,0,0,'Données projet'!$E$9+1,1))-AVERAGE(OFFSET($H$3,0,0,'Données projet'!$E$9+1,1))</f>
        <v>509.56241660612449</v>
      </c>
      <c r="T137" s="62">
        <f t="shared" si="142"/>
        <v>278.21741231699929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4</v>
      </c>
      <c r="AI137" s="14">
        <f>IF('Données projet'!$A$62&gt;35,AI136+AH137-AQ136,IF(A137&lt;'Données projet'!$A$62,$AF$205^A137,IF(A137='Données projet'!$A$62,'Données projet'!$B$62,AI136+AH137-AQ136)))</f>
        <v>318.99999999999955</v>
      </c>
      <c r="AJ137" s="14">
        <f>AI137*VLOOKUP('Données projet'!$B$10,Paramètres!$A$1:$I$89,3,0)*VLOOKUP('Données projet'!$B$10,Paramètres!$A$1:$I$89,5,0)</f>
        <v>323.46599999999955</v>
      </c>
      <c r="AK137" s="14">
        <f t="shared" si="143"/>
        <v>76.07406958143109</v>
      </c>
      <c r="AL137" s="22">
        <f t="shared" si="112"/>
        <v>695.86562118765835</v>
      </c>
      <c r="AM137" s="62">
        <f t="shared" si="113"/>
        <v>989.19895452099172</v>
      </c>
      <c r="AN137" s="62">
        <f ca="1">AVERAGE(OFFSET($AM$3,0,0,'Données projet'!$E$10+1,1))-AVERAGE(OFFSET($H$3,0,0,'Données projet'!$E$10+1,1))</f>
        <v>565.72091871734051</v>
      </c>
      <c r="AO137" s="62">
        <f t="shared" si="144"/>
        <v>306.61893266146666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-5.6843418860808015E-14</v>
      </c>
      <c r="BE137" s="14">
        <f>BD137*VLOOKUP('Données projet'!$B$11,Paramètres!$A$1:$I$89,3,0)*VLOOKUP('Données projet'!$B$11,Paramètres!$A$1:$I$89,5,0)</f>
        <v>-4.1677594708744434E-14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344.26020118887629</v>
      </c>
      <c r="BJ137" s="62">
        <f t="shared" si="146"/>
        <v>376.41441893222185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4</v>
      </c>
      <c r="BY137" s="13">
        <f>IF('Données projet'!$A$114&gt;35,BY136+BX137-CG136,IF(A137&lt;'Données projet'!$A$114,$BV$205^A137,IF(A137='Données projet'!$A$114,'Données projet'!$B$114,BY136+BX137-CG136)))</f>
        <v>318.99999999999955</v>
      </c>
      <c r="BZ137" s="14">
        <f>BY137*VLOOKUP('Données projet'!$B$12,Paramètres!$A$1:$I$89,3,0)*VLOOKUP('Données projet'!$B$12,Paramètres!$A$1:$I$89,5,0)</f>
        <v>268.72559999999964</v>
      </c>
      <c r="CA137" s="14">
        <f t="shared" si="147"/>
        <v>64.578735016913811</v>
      </c>
      <c r="CB137" s="22">
        <f t="shared" si="118"/>
        <v>580.50505015445754</v>
      </c>
      <c r="CC137" s="62">
        <f t="shared" si="119"/>
        <v>873.83838348779091</v>
      </c>
      <c r="CD137" s="62">
        <f ca="1">AVERAGE(OFFSET($CC$3,0,0,'Données projet'!$E$12+1,1))-AVERAGE(OFFSET($H$3,0,0,'Données projet'!$E$12+1,1))</f>
        <v>477.4105367901771</v>
      </c>
      <c r="CE137" s="62">
        <f t="shared" si="148"/>
        <v>261.95434270986397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-6.2527760746888816E-13</v>
      </c>
      <c r="CU137" s="18">
        <f>CT137*VLOOKUP('Données projet'!$B$13,Paramètres!$A$1:$I$89,3,0)*VLOOKUP('Données projet'!$B$13,Paramètres!$A$1:$I$89,5,0)</f>
        <v>-2.9262992029543964E-13</v>
      </c>
      <c r="CV137" s="14" t="e">
        <f t="shared" si="149"/>
        <v>#NUM!</v>
      </c>
      <c r="CW137" s="22" t="e">
        <f t="shared" si="121"/>
        <v>#NUM!</v>
      </c>
      <c r="CX137" s="62" t="e">
        <f t="shared" si="122"/>
        <v>#NUM!</v>
      </c>
      <c r="CY137" s="62">
        <f ca="1">AVERAGE(OFFSET($CX$3,0,0,'Données projet'!$E$13+1,1))-AVERAGE(OFFSET($H$3,0,0,'Données projet'!$E$13+1,1))</f>
        <v>246.64907095367749</v>
      </c>
      <c r="CZ137" s="62">
        <f t="shared" si="150"/>
        <v>145.34368562171613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-5.6843418860808015E-14</v>
      </c>
      <c r="DP137" s="18">
        <f>DO137*VLOOKUP('Données projet'!$B$14,Paramètres!$A$1:$I$89,3,0)*VLOOKUP('Données projet'!$B$14,Paramètres!$A$1:$I$89,5,0)</f>
        <v>-4.5224624045658861E-14</v>
      </c>
      <c r="DQ137" s="14" t="e">
        <f t="shared" si="151"/>
        <v>#NUM!</v>
      </c>
      <c r="DR137" s="22" t="e">
        <f t="shared" si="124"/>
        <v>#NUM!</v>
      </c>
      <c r="DS137" s="62" t="e">
        <f t="shared" si="125"/>
        <v>#NUM!</v>
      </c>
      <c r="DT137" s="62">
        <f ca="1">AVERAGE(OFFSET($DS$3,0,0,'Données projet'!$E$14+1,1))-AVERAGE(OFFSET($H$3,0,0,'Données projet'!$E$14+1,1))</f>
        <v>370.38521334472284</v>
      </c>
      <c r="DU137" s="62">
        <f t="shared" si="152"/>
        <v>404.61777090709171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-1.1368683772161603E-13</v>
      </c>
      <c r="EK137" s="18">
        <f>EJ137*VLOOKUP('Données projet'!$B$15,Paramètres!$A$1:$I$89,3,0)*VLOOKUP('Données projet'!$B$15,Paramètres!$A$1:$I$89,5,0)</f>
        <v>-9.7543306765146564E-14</v>
      </c>
      <c r="EL137" s="14" t="e">
        <f t="shared" si="153"/>
        <v>#NUM!</v>
      </c>
      <c r="EM137" s="22" t="e">
        <f t="shared" si="127"/>
        <v>#NUM!</v>
      </c>
      <c r="EN137" s="62" t="e">
        <f t="shared" si="128"/>
        <v>#NUM!</v>
      </c>
      <c r="EO137" s="62">
        <f ca="1">AVERAGE(OFFSET($EN$3,0,0,'Données projet'!$E$15+1,1))-AVERAGE(OFFSET($H$3,0,0,'Données projet'!$E$15+1,1))</f>
        <v>445.81166342116865</v>
      </c>
      <c r="EP137" s="62">
        <f t="shared" si="154"/>
        <v>230.82970731138215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0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4</v>
      </c>
      <c r="FE137" s="13">
        <f>IF('Données projet'!$A$218&gt;35,FE136+FD137-FM136,IF(A137&lt;'Données projet'!$A$218,$FB$205^A137,IF(A137='Données projet'!$A$218,'Données projet'!$B$218,FE136+FD137-FM136)))</f>
        <v>318.99999999999955</v>
      </c>
      <c r="FF137" s="18">
        <f>FE137*VLOOKUP('Données projet'!$B$16,Paramètres!$A$1:$I$89,3,0)*VLOOKUP('Données projet'!$B$16,Paramètres!$A$1:$I$89,5,0)</f>
        <v>308.53679999999957</v>
      </c>
      <c r="FG137" s="14">
        <f t="shared" si="155"/>
        <v>72.963171684495975</v>
      </c>
      <c r="FH137" s="22">
        <f t="shared" si="130"/>
        <v>664.44578401716308</v>
      </c>
      <c r="FI137" s="62">
        <f t="shared" si="131"/>
        <v>957.77911735049634</v>
      </c>
      <c r="FJ137" s="62">
        <f ca="1">AVERAGE(OFFSET($FI$3,0,0,'Données projet'!$E$16+1,1))-AVERAGE(OFFSET($H$3,0,0,'Données projet'!$E$16+1,1))</f>
        <v>541.66888676162716</v>
      </c>
      <c r="FK137" s="62">
        <f t="shared" si="156"/>
        <v>294.45557293177131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>
        <f>EXP(-LN(2)/35)*FQ136+(1-EXP(-LN(2)/35))/(LN(2)/35)*FM137*FN137*VLOOKUP('Données projet'!$B$16,Paramètres!$A$1:$I$89,3,0)*0.475*44/12</f>
        <v>0</v>
      </c>
      <c r="FR137" s="23">
        <f>EXP(-LN(2)/25)*FR136+(1-EXP(-LN(2)/25))/(LN(2)/25)*Calculateur!FM137*Calculateur!FO137*VLOOKUP('Données projet'!$B$16,Paramètres!$A$1:$I$89,3,0)*0.475*44/12</f>
        <v>0</v>
      </c>
      <c r="FS137" s="23">
        <f>EXP(-LN(2)/2)*FS136+(1-EXP(-LN(2)/2))/(LN(2)/2)*FM137*FP137*VLOOKUP('Données projet'!$B$16,Paramètres!$A$1:$I$89,3,0)*0.475*44/12</f>
        <v>0</v>
      </c>
      <c r="FT137" s="24">
        <f t="shared" si="132"/>
        <v>0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1.1368683772161603E-13</v>
      </c>
      <c r="GA137" s="18">
        <f>FZ137*VLOOKUP('Données projet'!$B$17,Paramètres!$A$1:$I$89,3,0)*VLOOKUP('Données projet'!$B$17,Paramètres!$A$1:$I$89,5,0)</f>
        <v>8.8675733422860506E-14</v>
      </c>
      <c r="GB137" s="14">
        <f t="shared" si="157"/>
        <v>1.3509285393066301E-12</v>
      </c>
      <c r="GC137" s="22">
        <f t="shared" si="133"/>
        <v>2.5073107750038623E-12</v>
      </c>
      <c r="GD137" s="62">
        <f t="shared" si="134"/>
        <v>293.33333333333582</v>
      </c>
      <c r="GE137" s="62">
        <f ca="1">AVERAGE(OFFSET($GD$3,0,0,'Données projet'!$E$17+1,1))-AVERAGE(OFFSET($H$3,0,0,'Données projet'!$E$17+1,1))</f>
        <v>292.57482726862594</v>
      </c>
      <c r="GF137" s="62">
        <f t="shared" si="158"/>
        <v>283.48738729114024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>
        <f>EXP(-LN(2)/35)*GL136+(1-EXP(-LN(2)/35))/(LN(2)/35)*GH137*GI137*VLOOKUP('Données projet'!$B$17,Paramètres!$A$1:$I$89,3,0)*0.475*44/12</f>
        <v>0</v>
      </c>
      <c r="GM137" s="23">
        <f>EXP(-LN(2)/25)*GM136+(1-EXP(-LN(2)/25))/(LN(2)/25)*Calculateur!GH137*Calculateur!GJ137*VLOOKUP('Données projet'!$B$17,Paramètres!$A$1:$I$89,3,0)*0.475*44/12</f>
        <v>0</v>
      </c>
      <c r="GN137" s="23">
        <f>EXP(-LN(2)/2)*GN136+(1-EXP(-LN(2)/2))/(LN(2)/2)*GH137*GK137*VLOOKUP('Données projet'!$B$17,Paramètres!$A$1:$I$89,3,0)*0.475*44/12</f>
        <v>0</v>
      </c>
      <c r="GO137" s="23">
        <f t="shared" si="135"/>
        <v>0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-2.2737367544323206E-13</v>
      </c>
      <c r="GV137" s="18">
        <f>GU137*VLOOKUP('Données projet'!$B$18,Paramètres!$A$1:$I$89,3,0)*VLOOKUP('Données projet'!$B$18,Paramètres!$A$1:$I$89,5,0)</f>
        <v>-1.5252226148732008E-13</v>
      </c>
      <c r="GW137" s="14" t="e">
        <f t="shared" si="159"/>
        <v>#NUM!</v>
      </c>
      <c r="GX137" s="22" t="e">
        <f t="shared" si="136"/>
        <v>#NUM!</v>
      </c>
      <c r="GY137" s="62" t="e">
        <f t="shared" si="137"/>
        <v>#NUM!</v>
      </c>
      <c r="GZ137" s="62">
        <f ca="1">AVERAGE(OFFSET($GY$3,0,0,'Données projet'!$E$18+1,1))-AVERAGE(OFFSET($H$3,0,0,'Données projet'!$E$18+1,1))</f>
        <v>410.20186800287411</v>
      </c>
      <c r="HA137" s="62">
        <f t="shared" si="160"/>
        <v>321.99347958016057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>
        <f>EXP(-LN(2)/35)*HG136+(1-EXP(-LN(2)/35))/(LN(2)/35)*HC137*HD137*VLOOKUP('Données projet'!$B$18,Paramètres!$A$1:$I$89,3,0)*0.475*44/12</f>
        <v>0</v>
      </c>
      <c r="HH137" s="23">
        <f>EXP(-LN(2)/25)*HH136+(1-EXP(-LN(2)/25))/(LN(2)/25)*Calculateur!HC137*Calculateur!HE137*VLOOKUP('Données projet'!$B$18,Paramètres!$A$1:$I$89,3,0)*0.475*44/12</f>
        <v>0</v>
      </c>
      <c r="HI137" s="23">
        <f>EXP(-LN(2)/2)*HI136+(1-EXP(-LN(2)/2))/(LN(2)/2)*HC137*HF137*VLOOKUP('Données projet'!$B$18,Paramètres!$A$1:$I$89,3,0)*0.475*44/12</f>
        <v>0</v>
      </c>
      <c r="HJ137" s="24">
        <f t="shared" si="138"/>
        <v>0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4</v>
      </c>
      <c r="N138" s="14">
        <f>IF('Données projet'!$A$36&gt;35,N137+M138-V137,IF(A138&lt;'Données projet'!$A$36,$K$205^A138,IF(A138='Données projet'!$A$36,'Données projet'!$B$36,N137+M138-V137)))</f>
        <v>322.99999999999955</v>
      </c>
      <c r="O138" s="14">
        <f>N138*VLOOKUP('Données projet'!$B$9,Paramètres!$A$1:$I$89,3,0)*VLOOKUP('Données projet'!$B$9,Paramètres!$A$1:$I$89,5,0)</f>
        <v>292.25039999999956</v>
      </c>
      <c r="P138" s="14">
        <f t="shared" si="141"/>
        <v>69.549383363839866</v>
      </c>
      <c r="Q138" s="22">
        <f t="shared" si="108"/>
        <v>630.13462269202034</v>
      </c>
      <c r="R138" s="62">
        <f t="shared" si="109"/>
        <v>923.46795602535371</v>
      </c>
      <c r="S138" s="62">
        <f ca="1">AVERAGE(OFFSET($R$3,0,0,'Données projet'!$E$9+1,1))-AVERAGE(OFFSET($H$3,0,0,'Données projet'!$E$9+1,1))</f>
        <v>509.56241660612449</v>
      </c>
      <c r="T138" s="62">
        <f t="shared" si="142"/>
        <v>278.21741231699929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4</v>
      </c>
      <c r="AI138" s="14">
        <f>IF('Données projet'!$A$62&gt;35,AI137+AH138-AQ137,IF(A138&lt;'Données projet'!$A$62,$AF$205^A138,IF(A138='Données projet'!$A$62,'Données projet'!$B$62,AI137+AH138-AQ137)))</f>
        <v>322.99999999999955</v>
      </c>
      <c r="AJ138" s="14">
        <f>AI138*VLOOKUP('Données projet'!$B$10,Paramètres!$A$1:$I$89,3,0)*VLOOKUP('Données projet'!$B$10,Paramètres!$A$1:$I$89,5,0)</f>
        <v>327.52199999999954</v>
      </c>
      <c r="AK138" s="14">
        <f t="shared" si="143"/>
        <v>76.916329394899719</v>
      </c>
      <c r="AL138" s="22">
        <f t="shared" si="112"/>
        <v>704.39675702944942</v>
      </c>
      <c r="AM138" s="62">
        <f t="shared" si="113"/>
        <v>997.73009036278268</v>
      </c>
      <c r="AN138" s="62">
        <f ca="1">AVERAGE(OFFSET($AM$3,0,0,'Données projet'!$E$10+1,1))-AVERAGE(OFFSET($H$3,0,0,'Données projet'!$E$10+1,1))</f>
        <v>565.72091871734051</v>
      </c>
      <c r="AO138" s="62">
        <f t="shared" si="144"/>
        <v>306.61893266146666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-5.6843418860808015E-14</v>
      </c>
      <c r="BE138" s="14">
        <f>BD138*VLOOKUP('Données projet'!$B$11,Paramètres!$A$1:$I$89,3,0)*VLOOKUP('Données projet'!$B$11,Paramètres!$A$1:$I$89,5,0)</f>
        <v>-4.1677594708744434E-14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344.26020118887629</v>
      </c>
      <c r="BJ138" s="62">
        <f t="shared" si="146"/>
        <v>376.41441893222185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4</v>
      </c>
      <c r="BY138" s="13">
        <f>IF('Données projet'!$A$114&gt;35,BY137+BX138-CG137,IF(A138&lt;'Données projet'!$A$114,$BV$205^A138,IF(A138='Données projet'!$A$114,'Données projet'!$B$114,BY137+BX138-CG137)))</f>
        <v>322.99999999999955</v>
      </c>
      <c r="BZ138" s="14">
        <f>BY138*VLOOKUP('Données projet'!$B$12,Paramètres!$A$1:$I$89,3,0)*VLOOKUP('Données projet'!$B$12,Paramètres!$A$1:$I$89,5,0)</f>
        <v>272.09519999999964</v>
      </c>
      <c r="CA138" s="14">
        <f t="shared" si="147"/>
        <v>65.293723364568322</v>
      </c>
      <c r="CB138" s="22">
        <f t="shared" si="118"/>
        <v>587.61904152662248</v>
      </c>
      <c r="CC138" s="62">
        <f t="shared" si="119"/>
        <v>880.95237485995585</v>
      </c>
      <c r="CD138" s="62">
        <f ca="1">AVERAGE(OFFSET($CC$3,0,0,'Données projet'!$E$12+1,1))-AVERAGE(OFFSET($H$3,0,0,'Données projet'!$E$12+1,1))</f>
        <v>477.4105367901771</v>
      </c>
      <c r="CE138" s="62">
        <f t="shared" si="148"/>
        <v>261.95434270986397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-6.2527760746888816E-13</v>
      </c>
      <c r="CU138" s="18">
        <f>CT138*VLOOKUP('Données projet'!$B$13,Paramètres!$A$1:$I$89,3,0)*VLOOKUP('Données projet'!$B$13,Paramètres!$A$1:$I$89,5,0)</f>
        <v>-2.9262992029543964E-13</v>
      </c>
      <c r="CV138" s="14" t="e">
        <f t="shared" si="149"/>
        <v>#NUM!</v>
      </c>
      <c r="CW138" s="22" t="e">
        <f t="shared" si="121"/>
        <v>#NUM!</v>
      </c>
      <c r="CX138" s="62" t="e">
        <f t="shared" si="122"/>
        <v>#NUM!</v>
      </c>
      <c r="CY138" s="62">
        <f ca="1">AVERAGE(OFFSET($CX$3,0,0,'Données projet'!$E$13+1,1))-AVERAGE(OFFSET($H$3,0,0,'Données projet'!$E$13+1,1))</f>
        <v>246.64907095367749</v>
      </c>
      <c r="CZ138" s="62">
        <f t="shared" si="150"/>
        <v>145.34368562171613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-5.6843418860808015E-14</v>
      </c>
      <c r="DP138" s="18">
        <f>DO138*VLOOKUP('Données projet'!$B$14,Paramètres!$A$1:$I$89,3,0)*VLOOKUP('Données projet'!$B$14,Paramètres!$A$1:$I$89,5,0)</f>
        <v>-4.5224624045658861E-14</v>
      </c>
      <c r="DQ138" s="14" t="e">
        <f t="shared" si="151"/>
        <v>#NUM!</v>
      </c>
      <c r="DR138" s="22" t="e">
        <f t="shared" si="124"/>
        <v>#NUM!</v>
      </c>
      <c r="DS138" s="62" t="e">
        <f t="shared" si="125"/>
        <v>#NUM!</v>
      </c>
      <c r="DT138" s="62">
        <f ca="1">AVERAGE(OFFSET($DS$3,0,0,'Données projet'!$E$14+1,1))-AVERAGE(OFFSET($H$3,0,0,'Données projet'!$E$14+1,1))</f>
        <v>370.38521334472284</v>
      </c>
      <c r="DU138" s="62">
        <f t="shared" si="152"/>
        <v>404.61777090709171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-1.1368683772161603E-13</v>
      </c>
      <c r="EK138" s="18">
        <f>EJ138*VLOOKUP('Données projet'!$B$15,Paramètres!$A$1:$I$89,3,0)*VLOOKUP('Données projet'!$B$15,Paramètres!$A$1:$I$89,5,0)</f>
        <v>-9.7543306765146564E-14</v>
      </c>
      <c r="EL138" s="14" t="e">
        <f t="shared" si="153"/>
        <v>#NUM!</v>
      </c>
      <c r="EM138" s="22" t="e">
        <f t="shared" si="127"/>
        <v>#NUM!</v>
      </c>
      <c r="EN138" s="62" t="e">
        <f t="shared" si="128"/>
        <v>#NUM!</v>
      </c>
      <c r="EO138" s="62">
        <f ca="1">AVERAGE(OFFSET($EN$3,0,0,'Données projet'!$E$15+1,1))-AVERAGE(OFFSET($H$3,0,0,'Données projet'!$E$15+1,1))</f>
        <v>445.81166342116865</v>
      </c>
      <c r="EP138" s="62">
        <f t="shared" si="154"/>
        <v>230.82970731138215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0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4</v>
      </c>
      <c r="FE138" s="13">
        <f>IF('Données projet'!$A$218&gt;35,FE137+FD138-FM137,IF(A138&lt;'Données projet'!$A$218,$FB$205^A138,IF(A138='Données projet'!$A$218,'Données projet'!$B$218,FE137+FD138-FM137)))</f>
        <v>322.99999999999955</v>
      </c>
      <c r="FF138" s="18">
        <f>FE138*VLOOKUP('Données projet'!$B$16,Paramètres!$A$1:$I$89,3,0)*VLOOKUP('Données projet'!$B$16,Paramètres!$A$1:$I$89,5,0)</f>
        <v>312.40559999999954</v>
      </c>
      <c r="FG138" s="14">
        <f t="shared" si="155"/>
        <v>73.770988956678082</v>
      </c>
      <c r="FH138" s="22">
        <f t="shared" si="130"/>
        <v>672.5908924328802</v>
      </c>
      <c r="FI138" s="62">
        <f t="shared" si="131"/>
        <v>965.92422576621357</v>
      </c>
      <c r="FJ138" s="62">
        <f ca="1">AVERAGE(OFFSET($FI$3,0,0,'Données projet'!$E$16+1,1))-AVERAGE(OFFSET($H$3,0,0,'Données projet'!$E$16+1,1))</f>
        <v>541.66888676162716</v>
      </c>
      <c r="FK138" s="62">
        <f t="shared" si="156"/>
        <v>294.45557293177131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>
        <f>EXP(-LN(2)/35)*FQ137+(1-EXP(-LN(2)/35))/(LN(2)/35)*FM138*FN138*VLOOKUP('Données projet'!$B$16,Paramètres!$A$1:$I$89,3,0)*0.475*44/12</f>
        <v>0</v>
      </c>
      <c r="FR138" s="23">
        <f>EXP(-LN(2)/25)*FR137+(1-EXP(-LN(2)/25))/(LN(2)/25)*Calculateur!FM138*Calculateur!FO138*VLOOKUP('Données projet'!$B$16,Paramètres!$A$1:$I$89,3,0)*0.475*44/12</f>
        <v>0</v>
      </c>
      <c r="FS138" s="23">
        <f>EXP(-LN(2)/2)*FS137+(1-EXP(-LN(2)/2))/(LN(2)/2)*FM138*FP138*VLOOKUP('Données projet'!$B$16,Paramètres!$A$1:$I$89,3,0)*0.475*44/12</f>
        <v>0</v>
      </c>
      <c r="FT138" s="24">
        <f t="shared" si="132"/>
        <v>0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1.1368683772161603E-13</v>
      </c>
      <c r="GA138" s="18">
        <f>FZ138*VLOOKUP('Données projet'!$B$17,Paramètres!$A$1:$I$89,3,0)*VLOOKUP('Données projet'!$B$17,Paramètres!$A$1:$I$89,5,0)</f>
        <v>8.8675733422860506E-14</v>
      </c>
      <c r="GB138" s="14">
        <f t="shared" si="157"/>
        <v>1.3509285393066301E-12</v>
      </c>
      <c r="GC138" s="22">
        <f t="shared" si="133"/>
        <v>2.5073107750038623E-12</v>
      </c>
      <c r="GD138" s="62">
        <f t="shared" si="134"/>
        <v>293.33333333333582</v>
      </c>
      <c r="GE138" s="62">
        <f ca="1">AVERAGE(OFFSET($GD$3,0,0,'Données projet'!$E$17+1,1))-AVERAGE(OFFSET($H$3,0,0,'Données projet'!$E$17+1,1))</f>
        <v>292.57482726862594</v>
      </c>
      <c r="GF138" s="62">
        <f t="shared" si="158"/>
        <v>283.48738729114024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>
        <f>EXP(-LN(2)/35)*GL137+(1-EXP(-LN(2)/35))/(LN(2)/35)*GH138*GI138*VLOOKUP('Données projet'!$B$17,Paramètres!$A$1:$I$89,3,0)*0.475*44/12</f>
        <v>0</v>
      </c>
      <c r="GM138" s="23">
        <f>EXP(-LN(2)/25)*GM137+(1-EXP(-LN(2)/25))/(LN(2)/25)*Calculateur!GH138*Calculateur!GJ138*VLOOKUP('Données projet'!$B$17,Paramètres!$A$1:$I$89,3,0)*0.475*44/12</f>
        <v>0</v>
      </c>
      <c r="GN138" s="23">
        <f>EXP(-LN(2)/2)*GN137+(1-EXP(-LN(2)/2))/(LN(2)/2)*GH138*GK138*VLOOKUP('Données projet'!$B$17,Paramètres!$A$1:$I$89,3,0)*0.475*44/12</f>
        <v>0</v>
      </c>
      <c r="GO138" s="23">
        <f t="shared" si="135"/>
        <v>0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-2.2737367544323206E-13</v>
      </c>
      <c r="GV138" s="18">
        <f>GU138*VLOOKUP('Données projet'!$B$18,Paramètres!$A$1:$I$89,3,0)*VLOOKUP('Données projet'!$B$18,Paramètres!$A$1:$I$89,5,0)</f>
        <v>-1.5252226148732008E-13</v>
      </c>
      <c r="GW138" s="14" t="e">
        <f t="shared" si="159"/>
        <v>#NUM!</v>
      </c>
      <c r="GX138" s="22" t="e">
        <f t="shared" si="136"/>
        <v>#NUM!</v>
      </c>
      <c r="GY138" s="62" t="e">
        <f t="shared" si="137"/>
        <v>#NUM!</v>
      </c>
      <c r="GZ138" s="62">
        <f ca="1">AVERAGE(OFFSET($GY$3,0,0,'Données projet'!$E$18+1,1))-AVERAGE(OFFSET($H$3,0,0,'Données projet'!$E$18+1,1))</f>
        <v>410.20186800287411</v>
      </c>
      <c r="HA138" s="62">
        <f t="shared" si="160"/>
        <v>321.99347958016057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>
        <f>EXP(-LN(2)/35)*HG137+(1-EXP(-LN(2)/35))/(LN(2)/35)*HC138*HD138*VLOOKUP('Données projet'!$B$18,Paramètres!$A$1:$I$89,3,0)*0.475*44/12</f>
        <v>0</v>
      </c>
      <c r="HH138" s="23">
        <f>EXP(-LN(2)/25)*HH137+(1-EXP(-LN(2)/25))/(LN(2)/25)*Calculateur!HC138*Calculateur!HE138*VLOOKUP('Données projet'!$B$18,Paramètres!$A$1:$I$89,3,0)*0.475*44/12</f>
        <v>0</v>
      </c>
      <c r="HI138" s="23">
        <f>EXP(-LN(2)/2)*HI137+(1-EXP(-LN(2)/2))/(LN(2)/2)*HC138*HF138*VLOOKUP('Données projet'!$B$18,Paramètres!$A$1:$I$89,3,0)*0.475*44/12</f>
        <v>0</v>
      </c>
      <c r="HJ138" s="24">
        <f t="shared" si="138"/>
        <v>0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4</v>
      </c>
      <c r="N139" s="14">
        <f>IF('Données projet'!$A$36&gt;35,N138+M139-V138,IF(A139&lt;'Données projet'!$A$36,$K$205^A139,IF(A139='Données projet'!$A$36,'Données projet'!$B$36,N138+M139-V138)))</f>
        <v>326.99999999999955</v>
      </c>
      <c r="O139" s="14">
        <f>N139*VLOOKUP('Données projet'!$B$9,Paramètres!$A$1:$I$89,3,0)*VLOOKUP('Données projet'!$B$9,Paramètres!$A$1:$I$89,5,0)</f>
        <v>295.86959999999954</v>
      </c>
      <c r="P139" s="14">
        <f t="shared" si="141"/>
        <v>70.309875568291091</v>
      </c>
      <c r="Q139" s="22">
        <f t="shared" si="108"/>
        <v>637.76258661477277</v>
      </c>
      <c r="R139" s="62">
        <f t="shared" si="109"/>
        <v>931.09591994810603</v>
      </c>
      <c r="S139" s="62">
        <f ca="1">AVERAGE(OFFSET($R$3,0,0,'Données projet'!$E$9+1,1))-AVERAGE(OFFSET($H$3,0,0,'Données projet'!$E$9+1,1))</f>
        <v>509.56241660612449</v>
      </c>
      <c r="T139" s="62">
        <f t="shared" si="142"/>
        <v>278.21741231699929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4</v>
      </c>
      <c r="AI139" s="14">
        <f>IF('Données projet'!$A$62&gt;35,AI138+AH139-AQ138,IF(A139&lt;'Données projet'!$A$62,$AF$205^A139,IF(A139='Données projet'!$A$62,'Données projet'!$B$62,AI138+AH139-AQ138)))</f>
        <v>326.99999999999955</v>
      </c>
      <c r="AJ139" s="14">
        <f>AI139*VLOOKUP('Données projet'!$B$10,Paramètres!$A$1:$I$89,3,0)*VLOOKUP('Données projet'!$B$10,Paramètres!$A$1:$I$89,5,0)</f>
        <v>331.57799999999952</v>
      </c>
      <c r="AK139" s="14">
        <f t="shared" si="143"/>
        <v>77.757375944425789</v>
      </c>
      <c r="AL139" s="22">
        <f t="shared" si="112"/>
        <v>712.92577976987411</v>
      </c>
      <c r="AM139" s="62">
        <f t="shared" si="113"/>
        <v>1006.2591131032075</v>
      </c>
      <c r="AN139" s="62">
        <f ca="1">AVERAGE(OFFSET($AM$3,0,0,'Données projet'!$E$10+1,1))-AVERAGE(OFFSET($H$3,0,0,'Données projet'!$E$10+1,1))</f>
        <v>565.72091871734051</v>
      </c>
      <c r="AO139" s="62">
        <f t="shared" si="144"/>
        <v>306.61893266146666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-5.6843418860808015E-14</v>
      </c>
      <c r="BE139" s="14">
        <f>BD139*VLOOKUP('Données projet'!$B$11,Paramètres!$A$1:$I$89,3,0)*VLOOKUP('Données projet'!$B$11,Paramètres!$A$1:$I$89,5,0)</f>
        <v>-4.1677594708744434E-14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344.26020118887629</v>
      </c>
      <c r="BJ139" s="62">
        <f t="shared" si="146"/>
        <v>376.41441893222185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4</v>
      </c>
      <c r="BY139" s="13">
        <f>IF('Données projet'!$A$114&gt;35,BY138+BX139-CG138,IF(A139&lt;'Données projet'!$A$114,$BV$205^A139,IF(A139='Données projet'!$A$114,'Données projet'!$B$114,BY138+BX139-CG138)))</f>
        <v>326.99999999999955</v>
      </c>
      <c r="BZ139" s="14">
        <f>BY139*VLOOKUP('Données projet'!$B$12,Paramètres!$A$1:$I$89,3,0)*VLOOKUP('Données projet'!$B$12,Paramètres!$A$1:$I$89,5,0)</f>
        <v>275.46479999999963</v>
      </c>
      <c r="CA139" s="14">
        <f t="shared" si="147"/>
        <v>66.00768178111656</v>
      </c>
      <c r="CB139" s="22">
        <f t="shared" si="118"/>
        <v>594.73123910211064</v>
      </c>
      <c r="CC139" s="62">
        <f t="shared" si="119"/>
        <v>888.06457243544401</v>
      </c>
      <c r="CD139" s="62">
        <f ca="1">AVERAGE(OFFSET($CC$3,0,0,'Données projet'!$E$12+1,1))-AVERAGE(OFFSET($H$3,0,0,'Données projet'!$E$12+1,1))</f>
        <v>477.4105367901771</v>
      </c>
      <c r="CE139" s="62">
        <f t="shared" si="148"/>
        <v>261.95434270986397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-6.2527760746888816E-13</v>
      </c>
      <c r="CU139" s="18">
        <f>CT139*VLOOKUP('Données projet'!$B$13,Paramètres!$A$1:$I$89,3,0)*VLOOKUP('Données projet'!$B$13,Paramètres!$A$1:$I$89,5,0)</f>
        <v>-2.9262992029543964E-13</v>
      </c>
      <c r="CV139" s="14" t="e">
        <f t="shared" si="149"/>
        <v>#NUM!</v>
      </c>
      <c r="CW139" s="22" t="e">
        <f t="shared" si="121"/>
        <v>#NUM!</v>
      </c>
      <c r="CX139" s="62" t="e">
        <f t="shared" si="122"/>
        <v>#NUM!</v>
      </c>
      <c r="CY139" s="62">
        <f ca="1">AVERAGE(OFFSET($CX$3,0,0,'Données projet'!$E$13+1,1))-AVERAGE(OFFSET($H$3,0,0,'Données projet'!$E$13+1,1))</f>
        <v>246.64907095367749</v>
      </c>
      <c r="CZ139" s="62">
        <f t="shared" si="150"/>
        <v>145.34368562171613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-5.6843418860808015E-14</v>
      </c>
      <c r="DP139" s="18">
        <f>DO139*VLOOKUP('Données projet'!$B$14,Paramètres!$A$1:$I$89,3,0)*VLOOKUP('Données projet'!$B$14,Paramètres!$A$1:$I$89,5,0)</f>
        <v>-4.5224624045658861E-14</v>
      </c>
      <c r="DQ139" s="14" t="e">
        <f t="shared" si="151"/>
        <v>#NUM!</v>
      </c>
      <c r="DR139" s="22" t="e">
        <f t="shared" si="124"/>
        <v>#NUM!</v>
      </c>
      <c r="DS139" s="62" t="e">
        <f t="shared" si="125"/>
        <v>#NUM!</v>
      </c>
      <c r="DT139" s="62">
        <f ca="1">AVERAGE(OFFSET($DS$3,0,0,'Données projet'!$E$14+1,1))-AVERAGE(OFFSET($H$3,0,0,'Données projet'!$E$14+1,1))</f>
        <v>370.38521334472284</v>
      </c>
      <c r="DU139" s="62">
        <f t="shared" si="152"/>
        <v>404.61777090709171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-1.1368683772161603E-13</v>
      </c>
      <c r="EK139" s="18">
        <f>EJ139*VLOOKUP('Données projet'!$B$15,Paramètres!$A$1:$I$89,3,0)*VLOOKUP('Données projet'!$B$15,Paramètres!$A$1:$I$89,5,0)</f>
        <v>-9.7543306765146564E-14</v>
      </c>
      <c r="EL139" s="14" t="e">
        <f t="shared" si="153"/>
        <v>#NUM!</v>
      </c>
      <c r="EM139" s="22" t="e">
        <f t="shared" si="127"/>
        <v>#NUM!</v>
      </c>
      <c r="EN139" s="62" t="e">
        <f t="shared" si="128"/>
        <v>#NUM!</v>
      </c>
      <c r="EO139" s="62">
        <f ca="1">AVERAGE(OFFSET($EN$3,0,0,'Données projet'!$E$15+1,1))-AVERAGE(OFFSET($H$3,0,0,'Données projet'!$E$15+1,1))</f>
        <v>445.81166342116865</v>
      </c>
      <c r="EP139" s="62">
        <f t="shared" si="154"/>
        <v>230.82970731138215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0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4</v>
      </c>
      <c r="FE139" s="13">
        <f>IF('Données projet'!$A$218&gt;35,FE138+FD139-FM138,IF(A139&lt;'Données projet'!$A$218,$FB$205^A139,IF(A139='Données projet'!$A$218,'Données projet'!$B$218,FE138+FD139-FM138)))</f>
        <v>326.99999999999955</v>
      </c>
      <c r="FF139" s="18">
        <f>FE139*VLOOKUP('Données projet'!$B$16,Paramètres!$A$1:$I$89,3,0)*VLOOKUP('Données projet'!$B$16,Paramètres!$A$1:$I$89,5,0)</f>
        <v>316.27439999999956</v>
      </c>
      <c r="FG139" s="14">
        <f t="shared" si="155"/>
        <v>74.577642578935496</v>
      </c>
      <c r="FH139" s="22">
        <f t="shared" si="130"/>
        <v>680.73397415831187</v>
      </c>
      <c r="FI139" s="62">
        <f t="shared" si="131"/>
        <v>974.06730749164512</v>
      </c>
      <c r="FJ139" s="62">
        <f ca="1">AVERAGE(OFFSET($FI$3,0,0,'Données projet'!$E$16+1,1))-AVERAGE(OFFSET($H$3,0,0,'Données projet'!$E$16+1,1))</f>
        <v>541.66888676162716</v>
      </c>
      <c r="FK139" s="62">
        <f t="shared" si="156"/>
        <v>294.45557293177131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>
        <f>EXP(-LN(2)/35)*FQ138+(1-EXP(-LN(2)/35))/(LN(2)/35)*FM139*FN139*VLOOKUP('Données projet'!$B$16,Paramètres!$A$1:$I$89,3,0)*0.475*44/12</f>
        <v>0</v>
      </c>
      <c r="FR139" s="23">
        <f>EXP(-LN(2)/25)*FR138+(1-EXP(-LN(2)/25))/(LN(2)/25)*Calculateur!FM139*Calculateur!FO139*VLOOKUP('Données projet'!$B$16,Paramètres!$A$1:$I$89,3,0)*0.475*44/12</f>
        <v>0</v>
      </c>
      <c r="FS139" s="23">
        <f>EXP(-LN(2)/2)*FS138+(1-EXP(-LN(2)/2))/(LN(2)/2)*FM139*FP139*VLOOKUP('Données projet'!$B$16,Paramètres!$A$1:$I$89,3,0)*0.475*44/12</f>
        <v>0</v>
      </c>
      <c r="FT139" s="24">
        <f t="shared" si="132"/>
        <v>0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1.1368683772161603E-13</v>
      </c>
      <c r="GA139" s="18">
        <f>FZ139*VLOOKUP('Données projet'!$B$17,Paramètres!$A$1:$I$89,3,0)*VLOOKUP('Données projet'!$B$17,Paramètres!$A$1:$I$89,5,0)</f>
        <v>8.8675733422860506E-14</v>
      </c>
      <c r="GB139" s="14">
        <f t="shared" si="157"/>
        <v>1.3509285393066301E-12</v>
      </c>
      <c r="GC139" s="22">
        <f t="shared" si="133"/>
        <v>2.5073107750038623E-12</v>
      </c>
      <c r="GD139" s="62">
        <f t="shared" si="134"/>
        <v>293.33333333333582</v>
      </c>
      <c r="GE139" s="62">
        <f ca="1">AVERAGE(OFFSET($GD$3,0,0,'Données projet'!$E$17+1,1))-AVERAGE(OFFSET($H$3,0,0,'Données projet'!$E$17+1,1))</f>
        <v>292.57482726862594</v>
      </c>
      <c r="GF139" s="62">
        <f t="shared" si="158"/>
        <v>283.48738729114024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>
        <f>EXP(-LN(2)/35)*GL138+(1-EXP(-LN(2)/35))/(LN(2)/35)*GH139*GI139*VLOOKUP('Données projet'!$B$17,Paramètres!$A$1:$I$89,3,0)*0.475*44/12</f>
        <v>0</v>
      </c>
      <c r="GM139" s="23">
        <f>EXP(-LN(2)/25)*GM138+(1-EXP(-LN(2)/25))/(LN(2)/25)*Calculateur!GH139*Calculateur!GJ139*VLOOKUP('Données projet'!$B$17,Paramètres!$A$1:$I$89,3,0)*0.475*44/12</f>
        <v>0</v>
      </c>
      <c r="GN139" s="23">
        <f>EXP(-LN(2)/2)*GN138+(1-EXP(-LN(2)/2))/(LN(2)/2)*GH139*GK139*VLOOKUP('Données projet'!$B$17,Paramètres!$A$1:$I$89,3,0)*0.475*44/12</f>
        <v>0</v>
      </c>
      <c r="GO139" s="23">
        <f t="shared" si="135"/>
        <v>0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-2.2737367544323206E-13</v>
      </c>
      <c r="GV139" s="18">
        <f>GU139*VLOOKUP('Données projet'!$B$18,Paramètres!$A$1:$I$89,3,0)*VLOOKUP('Données projet'!$B$18,Paramètres!$A$1:$I$89,5,0)</f>
        <v>-1.5252226148732008E-13</v>
      </c>
      <c r="GW139" s="14" t="e">
        <f t="shared" si="159"/>
        <v>#NUM!</v>
      </c>
      <c r="GX139" s="22" t="e">
        <f t="shared" si="136"/>
        <v>#NUM!</v>
      </c>
      <c r="GY139" s="62" t="e">
        <f t="shared" si="137"/>
        <v>#NUM!</v>
      </c>
      <c r="GZ139" s="62">
        <f ca="1">AVERAGE(OFFSET($GY$3,0,0,'Données projet'!$E$18+1,1))-AVERAGE(OFFSET($H$3,0,0,'Données projet'!$E$18+1,1))</f>
        <v>410.20186800287411</v>
      </c>
      <c r="HA139" s="62">
        <f t="shared" si="160"/>
        <v>321.99347958016057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>
        <f>EXP(-LN(2)/35)*HG138+(1-EXP(-LN(2)/35))/(LN(2)/35)*HC139*HD139*VLOOKUP('Données projet'!$B$18,Paramètres!$A$1:$I$89,3,0)*0.475*44/12</f>
        <v>0</v>
      </c>
      <c r="HH139" s="23">
        <f>EXP(-LN(2)/25)*HH138+(1-EXP(-LN(2)/25))/(LN(2)/25)*Calculateur!HC139*Calculateur!HE139*VLOOKUP('Données projet'!$B$18,Paramètres!$A$1:$I$89,3,0)*0.475*44/12</f>
        <v>0</v>
      </c>
      <c r="HI139" s="23">
        <f>EXP(-LN(2)/2)*HI138+(1-EXP(-LN(2)/2))/(LN(2)/2)*HC139*HF139*VLOOKUP('Données projet'!$B$18,Paramètres!$A$1:$I$89,3,0)*0.475*44/12</f>
        <v>0</v>
      </c>
      <c r="HJ139" s="24">
        <f t="shared" si="138"/>
        <v>0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4</v>
      </c>
      <c r="N140" s="14">
        <f>IF('Données projet'!$A$36&gt;35,N139+M140-V139,IF(A140&lt;'Données projet'!$A$36,$K$205^A140,IF(A140='Données projet'!$A$36,'Données projet'!$B$36,N139+M140-V139)))</f>
        <v>330.99999999999955</v>
      </c>
      <c r="O140" s="14">
        <f>N140*VLOOKUP('Données projet'!$B$9,Paramètres!$A$1:$I$89,3,0)*VLOOKUP('Données projet'!$B$9,Paramètres!$A$1:$I$89,5,0)</f>
        <v>299.48879999999957</v>
      </c>
      <c r="P140" s="14">
        <f t="shared" si="141"/>
        <v>71.069285685467236</v>
      </c>
      <c r="Q140" s="22">
        <f t="shared" si="108"/>
        <v>645.38866590218811</v>
      </c>
      <c r="R140" s="62">
        <f t="shared" si="109"/>
        <v>938.72199923552148</v>
      </c>
      <c r="S140" s="62">
        <f ca="1">AVERAGE(OFFSET($R$3,0,0,'Données projet'!$E$9+1,1))-AVERAGE(OFFSET($H$3,0,0,'Données projet'!$E$9+1,1))</f>
        <v>509.56241660612449</v>
      </c>
      <c r="T140" s="62">
        <f t="shared" si="142"/>
        <v>278.21741231699929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4</v>
      </c>
      <c r="AI140" s="14">
        <f>IF('Données projet'!$A$62&gt;35,AI139+AH140-AQ139,IF(A140&lt;'Données projet'!$A$62,$AF$205^A140,IF(A140='Données projet'!$A$62,'Données projet'!$B$62,AI139+AH140-AQ139)))</f>
        <v>330.99999999999955</v>
      </c>
      <c r="AJ140" s="14">
        <f>AI140*VLOOKUP('Données projet'!$B$10,Paramètres!$A$1:$I$89,3,0)*VLOOKUP('Données projet'!$B$10,Paramètres!$A$1:$I$89,5,0)</f>
        <v>335.63399999999956</v>
      </c>
      <c r="AK140" s="14">
        <f t="shared" si="143"/>
        <v>78.597225787708567</v>
      </c>
      <c r="AL140" s="22">
        <f t="shared" si="112"/>
        <v>721.45271824692497</v>
      </c>
      <c r="AM140" s="62">
        <f t="shared" si="113"/>
        <v>1014.7860515802583</v>
      </c>
      <c r="AN140" s="62">
        <f ca="1">AVERAGE(OFFSET($AM$3,0,0,'Données projet'!$E$10+1,1))-AVERAGE(OFFSET($H$3,0,0,'Données projet'!$E$10+1,1))</f>
        <v>565.72091871734051</v>
      </c>
      <c r="AO140" s="62">
        <f t="shared" si="144"/>
        <v>306.61893266146666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-5.6843418860808015E-14</v>
      </c>
      <c r="BE140" s="14">
        <f>BD140*VLOOKUP('Données projet'!$B$11,Paramètres!$A$1:$I$89,3,0)*VLOOKUP('Données projet'!$B$11,Paramètres!$A$1:$I$89,5,0)</f>
        <v>-4.1677594708744434E-14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344.26020118887629</v>
      </c>
      <c r="BJ140" s="62">
        <f t="shared" si="146"/>
        <v>376.41441893222185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4</v>
      </c>
      <c r="BY140" s="13">
        <f>IF('Données projet'!$A$114&gt;35,BY139+BX140-CG139,IF(A140&lt;'Données projet'!$A$114,$BV$205^A140,IF(A140='Données projet'!$A$114,'Données projet'!$B$114,BY139+BX140-CG139)))</f>
        <v>330.99999999999955</v>
      </c>
      <c r="BZ140" s="14">
        <f>BY140*VLOOKUP('Données projet'!$B$12,Paramètres!$A$1:$I$89,3,0)*VLOOKUP('Données projet'!$B$12,Paramètres!$A$1:$I$89,5,0)</f>
        <v>278.83439999999962</v>
      </c>
      <c r="CA140" s="14">
        <f t="shared" si="147"/>
        <v>66.720624322271121</v>
      </c>
      <c r="CB140" s="22">
        <f t="shared" si="118"/>
        <v>601.84166736128827</v>
      </c>
      <c r="CC140" s="62">
        <f t="shared" si="119"/>
        <v>895.17500069462153</v>
      </c>
      <c r="CD140" s="62">
        <f ca="1">AVERAGE(OFFSET($CC$3,0,0,'Données projet'!$E$12+1,1))-AVERAGE(OFFSET($H$3,0,0,'Données projet'!$E$12+1,1))</f>
        <v>477.4105367901771</v>
      </c>
      <c r="CE140" s="62">
        <f t="shared" si="148"/>
        <v>261.95434270986397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-6.2527760746888816E-13</v>
      </c>
      <c r="CU140" s="18">
        <f>CT140*VLOOKUP('Données projet'!$B$13,Paramètres!$A$1:$I$89,3,0)*VLOOKUP('Données projet'!$B$13,Paramètres!$A$1:$I$89,5,0)</f>
        <v>-2.9262992029543964E-13</v>
      </c>
      <c r="CV140" s="14" t="e">
        <f t="shared" si="149"/>
        <v>#NUM!</v>
      </c>
      <c r="CW140" s="22" t="e">
        <f t="shared" si="121"/>
        <v>#NUM!</v>
      </c>
      <c r="CX140" s="62" t="e">
        <f t="shared" si="122"/>
        <v>#NUM!</v>
      </c>
      <c r="CY140" s="62">
        <f ca="1">AVERAGE(OFFSET($CX$3,0,0,'Données projet'!$E$13+1,1))-AVERAGE(OFFSET($H$3,0,0,'Données projet'!$E$13+1,1))</f>
        <v>246.64907095367749</v>
      </c>
      <c r="CZ140" s="62">
        <f t="shared" si="150"/>
        <v>145.34368562171613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-5.6843418860808015E-14</v>
      </c>
      <c r="DP140" s="18">
        <f>DO140*VLOOKUP('Données projet'!$B$14,Paramètres!$A$1:$I$89,3,0)*VLOOKUP('Données projet'!$B$14,Paramètres!$A$1:$I$89,5,0)</f>
        <v>-4.5224624045658861E-14</v>
      </c>
      <c r="DQ140" s="14" t="e">
        <f t="shared" si="151"/>
        <v>#NUM!</v>
      </c>
      <c r="DR140" s="22" t="e">
        <f t="shared" si="124"/>
        <v>#NUM!</v>
      </c>
      <c r="DS140" s="62" t="e">
        <f t="shared" si="125"/>
        <v>#NUM!</v>
      </c>
      <c r="DT140" s="62">
        <f ca="1">AVERAGE(OFFSET($DS$3,0,0,'Données projet'!$E$14+1,1))-AVERAGE(OFFSET($H$3,0,0,'Données projet'!$E$14+1,1))</f>
        <v>370.38521334472284</v>
      </c>
      <c r="DU140" s="62">
        <f t="shared" si="152"/>
        <v>404.61777090709171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-1.1368683772161603E-13</v>
      </c>
      <c r="EK140" s="18">
        <f>EJ140*VLOOKUP('Données projet'!$B$15,Paramètres!$A$1:$I$89,3,0)*VLOOKUP('Données projet'!$B$15,Paramètres!$A$1:$I$89,5,0)</f>
        <v>-9.7543306765146564E-14</v>
      </c>
      <c r="EL140" s="14" t="e">
        <f t="shared" si="153"/>
        <v>#NUM!</v>
      </c>
      <c r="EM140" s="22" t="e">
        <f t="shared" si="127"/>
        <v>#NUM!</v>
      </c>
      <c r="EN140" s="62" t="e">
        <f t="shared" si="128"/>
        <v>#NUM!</v>
      </c>
      <c r="EO140" s="62">
        <f ca="1">AVERAGE(OFFSET($EN$3,0,0,'Données projet'!$E$15+1,1))-AVERAGE(OFFSET($H$3,0,0,'Données projet'!$E$15+1,1))</f>
        <v>445.81166342116865</v>
      </c>
      <c r="EP140" s="62">
        <f t="shared" si="154"/>
        <v>230.82970731138215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0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4</v>
      </c>
      <c r="FE140" s="13">
        <f>IF('Données projet'!$A$218&gt;35,FE139+FD140-FM139,IF(A140&lt;'Données projet'!$A$218,$FB$205^A140,IF(A140='Données projet'!$A$218,'Données projet'!$B$218,FE139+FD140-FM139)))</f>
        <v>330.99999999999955</v>
      </c>
      <c r="FF140" s="18">
        <f>FE140*VLOOKUP('Données projet'!$B$16,Paramètres!$A$1:$I$89,3,0)*VLOOKUP('Données projet'!$B$16,Paramètres!$A$1:$I$89,5,0)</f>
        <v>320.14319999999958</v>
      </c>
      <c r="FG140" s="14">
        <f t="shared" si="155"/>
        <v>75.383148431873337</v>
      </c>
      <c r="FH140" s="22">
        <f t="shared" si="130"/>
        <v>688.87505685217866</v>
      </c>
      <c r="FI140" s="62">
        <f t="shared" si="131"/>
        <v>982.20839018551192</v>
      </c>
      <c r="FJ140" s="62">
        <f ca="1">AVERAGE(OFFSET($FI$3,0,0,'Données projet'!$E$16+1,1))-AVERAGE(OFFSET($H$3,0,0,'Données projet'!$E$16+1,1))</f>
        <v>541.66888676162716</v>
      </c>
      <c r="FK140" s="62">
        <f t="shared" si="156"/>
        <v>294.45557293177131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>
        <f>EXP(-LN(2)/35)*FQ139+(1-EXP(-LN(2)/35))/(LN(2)/35)*FM140*FN140*VLOOKUP('Données projet'!$B$16,Paramètres!$A$1:$I$89,3,0)*0.475*44/12</f>
        <v>0</v>
      </c>
      <c r="FR140" s="23">
        <f>EXP(-LN(2)/25)*FR139+(1-EXP(-LN(2)/25))/(LN(2)/25)*Calculateur!FM140*Calculateur!FO140*VLOOKUP('Données projet'!$B$16,Paramètres!$A$1:$I$89,3,0)*0.475*44/12</f>
        <v>0</v>
      </c>
      <c r="FS140" s="23">
        <f>EXP(-LN(2)/2)*FS139+(1-EXP(-LN(2)/2))/(LN(2)/2)*FM140*FP140*VLOOKUP('Données projet'!$B$16,Paramètres!$A$1:$I$89,3,0)*0.475*44/12</f>
        <v>0</v>
      </c>
      <c r="FT140" s="24">
        <f t="shared" si="132"/>
        <v>0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1.1368683772161603E-13</v>
      </c>
      <c r="GA140" s="18">
        <f>FZ140*VLOOKUP('Données projet'!$B$17,Paramètres!$A$1:$I$89,3,0)*VLOOKUP('Données projet'!$B$17,Paramètres!$A$1:$I$89,5,0)</f>
        <v>8.8675733422860506E-14</v>
      </c>
      <c r="GB140" s="14">
        <f t="shared" si="157"/>
        <v>1.3509285393066301E-12</v>
      </c>
      <c r="GC140" s="22">
        <f t="shared" si="133"/>
        <v>2.5073107750038623E-12</v>
      </c>
      <c r="GD140" s="62">
        <f t="shared" si="134"/>
        <v>293.33333333333582</v>
      </c>
      <c r="GE140" s="62">
        <f ca="1">AVERAGE(OFFSET($GD$3,0,0,'Données projet'!$E$17+1,1))-AVERAGE(OFFSET($H$3,0,0,'Données projet'!$E$17+1,1))</f>
        <v>292.57482726862594</v>
      </c>
      <c r="GF140" s="62">
        <f t="shared" si="158"/>
        <v>283.48738729114024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>
        <f>EXP(-LN(2)/35)*GL139+(1-EXP(-LN(2)/35))/(LN(2)/35)*GH140*GI140*VLOOKUP('Données projet'!$B$17,Paramètres!$A$1:$I$89,3,0)*0.475*44/12</f>
        <v>0</v>
      </c>
      <c r="GM140" s="23">
        <f>EXP(-LN(2)/25)*GM139+(1-EXP(-LN(2)/25))/(LN(2)/25)*Calculateur!GH140*Calculateur!GJ140*VLOOKUP('Données projet'!$B$17,Paramètres!$A$1:$I$89,3,0)*0.475*44/12</f>
        <v>0</v>
      </c>
      <c r="GN140" s="23">
        <f>EXP(-LN(2)/2)*GN139+(1-EXP(-LN(2)/2))/(LN(2)/2)*GH140*GK140*VLOOKUP('Données projet'!$B$17,Paramètres!$A$1:$I$89,3,0)*0.475*44/12</f>
        <v>0</v>
      </c>
      <c r="GO140" s="23">
        <f t="shared" si="135"/>
        <v>0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-2.2737367544323206E-13</v>
      </c>
      <c r="GV140" s="18">
        <f>GU140*VLOOKUP('Données projet'!$B$18,Paramètres!$A$1:$I$89,3,0)*VLOOKUP('Données projet'!$B$18,Paramètres!$A$1:$I$89,5,0)</f>
        <v>-1.5252226148732008E-13</v>
      </c>
      <c r="GW140" s="14" t="e">
        <f t="shared" si="159"/>
        <v>#NUM!</v>
      </c>
      <c r="GX140" s="22" t="e">
        <f t="shared" si="136"/>
        <v>#NUM!</v>
      </c>
      <c r="GY140" s="62" t="e">
        <f t="shared" si="137"/>
        <v>#NUM!</v>
      </c>
      <c r="GZ140" s="62">
        <f ca="1">AVERAGE(OFFSET($GY$3,0,0,'Données projet'!$E$18+1,1))-AVERAGE(OFFSET($H$3,0,0,'Données projet'!$E$18+1,1))</f>
        <v>410.20186800287411</v>
      </c>
      <c r="HA140" s="62">
        <f t="shared" si="160"/>
        <v>321.99347958016057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>
        <f>EXP(-LN(2)/35)*HG139+(1-EXP(-LN(2)/35))/(LN(2)/35)*HC140*HD140*VLOOKUP('Données projet'!$B$18,Paramètres!$A$1:$I$89,3,0)*0.475*44/12</f>
        <v>0</v>
      </c>
      <c r="HH140" s="23">
        <f>EXP(-LN(2)/25)*HH139+(1-EXP(-LN(2)/25))/(LN(2)/25)*Calculateur!HC140*Calculateur!HE140*VLOOKUP('Données projet'!$B$18,Paramètres!$A$1:$I$89,3,0)*0.475*44/12</f>
        <v>0</v>
      </c>
      <c r="HI140" s="23">
        <f>EXP(-LN(2)/2)*HI139+(1-EXP(-LN(2)/2))/(LN(2)/2)*HC140*HF140*VLOOKUP('Données projet'!$B$18,Paramètres!$A$1:$I$89,3,0)*0.475*44/12</f>
        <v>0</v>
      </c>
      <c r="HJ140" s="24">
        <f t="shared" si="138"/>
        <v>0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4</v>
      </c>
      <c r="N141" s="14">
        <f>IF('Données projet'!$A$36&gt;35,N140+M141-V140,IF(A141&lt;'Données projet'!$A$36,$K$205^A141,IF(A141='Données projet'!$A$36,'Données projet'!$B$36,N140+M141-V140)))</f>
        <v>334.99999999999955</v>
      </c>
      <c r="O141" s="14">
        <f>N141*VLOOKUP('Données projet'!$B$9,Paramètres!$A$1:$I$89,3,0)*VLOOKUP('Données projet'!$B$9,Paramètres!$A$1:$I$89,5,0)</f>
        <v>303.10799999999961</v>
      </c>
      <c r="P141" s="14">
        <f t="shared" si="141"/>
        <v>71.827628304517162</v>
      </c>
      <c r="Q141" s="22">
        <f t="shared" si="108"/>
        <v>653.0128859637</v>
      </c>
      <c r="R141" s="62">
        <f t="shared" si="109"/>
        <v>946.34621929703326</v>
      </c>
      <c r="S141" s="62">
        <f ca="1">AVERAGE(OFFSET($R$3,0,0,'Données projet'!$E$9+1,1))-AVERAGE(OFFSET($H$3,0,0,'Données projet'!$E$9+1,1))</f>
        <v>509.56241660612449</v>
      </c>
      <c r="T141" s="62">
        <f t="shared" si="142"/>
        <v>278.21741231699929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4</v>
      </c>
      <c r="AI141" s="14">
        <f>IF('Données projet'!$A$62&gt;35,AI140+AH141-AQ140,IF(A141&lt;'Données projet'!$A$62,$AF$205^A141,IF(A141='Données projet'!$A$62,'Données projet'!$B$62,AI140+AH141-AQ140)))</f>
        <v>334.99999999999955</v>
      </c>
      <c r="AJ141" s="14">
        <f>AI141*VLOOKUP('Données projet'!$B$10,Paramètres!$A$1:$I$89,3,0)*VLOOKUP('Données projet'!$B$10,Paramètres!$A$1:$I$89,5,0)</f>
        <v>339.68999999999954</v>
      </c>
      <c r="AK141" s="14">
        <f t="shared" si="143"/>
        <v>79.435895059237467</v>
      </c>
      <c r="AL141" s="22">
        <f t="shared" si="112"/>
        <v>729.97760056150446</v>
      </c>
      <c r="AM141" s="62">
        <f t="shared" si="113"/>
        <v>1023.3109338948377</v>
      </c>
      <c r="AN141" s="62">
        <f ca="1">AVERAGE(OFFSET($AM$3,0,0,'Données projet'!$E$10+1,1))-AVERAGE(OFFSET($H$3,0,0,'Données projet'!$E$10+1,1))</f>
        <v>565.72091871734051</v>
      </c>
      <c r="AO141" s="62">
        <f t="shared" si="144"/>
        <v>306.61893266146666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-5.6843418860808015E-14</v>
      </c>
      <c r="BE141" s="14">
        <f>BD141*VLOOKUP('Données projet'!$B$11,Paramètres!$A$1:$I$89,3,0)*VLOOKUP('Données projet'!$B$11,Paramètres!$A$1:$I$89,5,0)</f>
        <v>-4.1677594708744434E-14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344.26020118887629</v>
      </c>
      <c r="BJ141" s="62">
        <f t="shared" si="146"/>
        <v>376.41441893222185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4</v>
      </c>
      <c r="BY141" s="13">
        <f>IF('Données projet'!$A$114&gt;35,BY140+BX141-CG140,IF(A141&lt;'Données projet'!$A$114,$BV$205^A141,IF(A141='Données projet'!$A$114,'Données projet'!$B$114,BY140+BX141-CG140)))</f>
        <v>334.99999999999955</v>
      </c>
      <c r="BZ141" s="14">
        <f>BY141*VLOOKUP('Données projet'!$B$12,Paramètres!$A$1:$I$89,3,0)*VLOOKUP('Données projet'!$B$12,Paramètres!$A$1:$I$89,5,0)</f>
        <v>282.20399999999967</v>
      </c>
      <c r="CA141" s="14">
        <f t="shared" si="147"/>
        <v>67.432564684485129</v>
      </c>
      <c r="CB141" s="22">
        <f t="shared" si="118"/>
        <v>608.95035015881103</v>
      </c>
      <c r="CC141" s="62">
        <f t="shared" si="119"/>
        <v>902.28368349214429</v>
      </c>
      <c r="CD141" s="62">
        <f ca="1">AVERAGE(OFFSET($CC$3,0,0,'Données projet'!$E$12+1,1))-AVERAGE(OFFSET($H$3,0,0,'Données projet'!$E$12+1,1))</f>
        <v>477.4105367901771</v>
      </c>
      <c r="CE141" s="62">
        <f t="shared" si="148"/>
        <v>261.95434270986397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-6.2527760746888816E-13</v>
      </c>
      <c r="CU141" s="18">
        <f>CT141*VLOOKUP('Données projet'!$B$13,Paramètres!$A$1:$I$89,3,0)*VLOOKUP('Données projet'!$B$13,Paramètres!$A$1:$I$89,5,0)</f>
        <v>-2.9262992029543964E-13</v>
      </c>
      <c r="CV141" s="14" t="e">
        <f t="shared" si="149"/>
        <v>#NUM!</v>
      </c>
      <c r="CW141" s="22" t="e">
        <f t="shared" si="121"/>
        <v>#NUM!</v>
      </c>
      <c r="CX141" s="62" t="e">
        <f t="shared" si="122"/>
        <v>#NUM!</v>
      </c>
      <c r="CY141" s="62">
        <f ca="1">AVERAGE(OFFSET($CX$3,0,0,'Données projet'!$E$13+1,1))-AVERAGE(OFFSET($H$3,0,0,'Données projet'!$E$13+1,1))</f>
        <v>246.64907095367749</v>
      </c>
      <c r="CZ141" s="62">
        <f t="shared" si="150"/>
        <v>145.34368562171613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-5.6843418860808015E-14</v>
      </c>
      <c r="DP141" s="18">
        <f>DO141*VLOOKUP('Données projet'!$B$14,Paramètres!$A$1:$I$89,3,0)*VLOOKUP('Données projet'!$B$14,Paramètres!$A$1:$I$89,5,0)</f>
        <v>-4.5224624045658861E-14</v>
      </c>
      <c r="DQ141" s="14" t="e">
        <f t="shared" si="151"/>
        <v>#NUM!</v>
      </c>
      <c r="DR141" s="22" t="e">
        <f t="shared" si="124"/>
        <v>#NUM!</v>
      </c>
      <c r="DS141" s="62" t="e">
        <f t="shared" si="125"/>
        <v>#NUM!</v>
      </c>
      <c r="DT141" s="62">
        <f ca="1">AVERAGE(OFFSET($DS$3,0,0,'Données projet'!$E$14+1,1))-AVERAGE(OFFSET($H$3,0,0,'Données projet'!$E$14+1,1))</f>
        <v>370.38521334472284</v>
      </c>
      <c r="DU141" s="62">
        <f t="shared" si="152"/>
        <v>404.61777090709171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-1.1368683772161603E-13</v>
      </c>
      <c r="EK141" s="18">
        <f>EJ141*VLOOKUP('Données projet'!$B$15,Paramètres!$A$1:$I$89,3,0)*VLOOKUP('Données projet'!$B$15,Paramètres!$A$1:$I$89,5,0)</f>
        <v>-9.7543306765146564E-14</v>
      </c>
      <c r="EL141" s="14" t="e">
        <f t="shared" si="153"/>
        <v>#NUM!</v>
      </c>
      <c r="EM141" s="22" t="e">
        <f t="shared" si="127"/>
        <v>#NUM!</v>
      </c>
      <c r="EN141" s="62" t="e">
        <f t="shared" si="128"/>
        <v>#NUM!</v>
      </c>
      <c r="EO141" s="62">
        <f ca="1">AVERAGE(OFFSET($EN$3,0,0,'Données projet'!$E$15+1,1))-AVERAGE(OFFSET($H$3,0,0,'Données projet'!$E$15+1,1))</f>
        <v>445.81166342116865</v>
      </c>
      <c r="EP141" s="62">
        <f t="shared" si="154"/>
        <v>230.82970731138215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0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4</v>
      </c>
      <c r="FE141" s="13">
        <f>IF('Données projet'!$A$218&gt;35,FE140+FD141-FM140,IF(A141&lt;'Données projet'!$A$218,$FB$205^A141,IF(A141='Données projet'!$A$218,'Données projet'!$B$218,FE140+FD141-FM140)))</f>
        <v>334.99999999999955</v>
      </c>
      <c r="FF141" s="18">
        <f>FE141*VLOOKUP('Données projet'!$B$16,Paramètres!$A$1:$I$89,3,0)*VLOOKUP('Données projet'!$B$16,Paramètres!$A$1:$I$89,5,0)</f>
        <v>324.01199999999955</v>
      </c>
      <c r="FG141" s="14">
        <f t="shared" si="155"/>
        <v>76.187521990192948</v>
      </c>
      <c r="FH141" s="22">
        <f t="shared" si="130"/>
        <v>697.01416746625182</v>
      </c>
      <c r="FI141" s="62">
        <f t="shared" si="131"/>
        <v>990.34750079958508</v>
      </c>
      <c r="FJ141" s="62">
        <f ca="1">AVERAGE(OFFSET($FI$3,0,0,'Données projet'!$E$16+1,1))-AVERAGE(OFFSET($H$3,0,0,'Données projet'!$E$16+1,1))</f>
        <v>541.66888676162716</v>
      </c>
      <c r="FK141" s="62">
        <f t="shared" si="156"/>
        <v>294.45557293177131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>
        <f>EXP(-LN(2)/35)*FQ140+(1-EXP(-LN(2)/35))/(LN(2)/35)*FM141*FN141*VLOOKUP('Données projet'!$B$16,Paramètres!$A$1:$I$89,3,0)*0.475*44/12</f>
        <v>0</v>
      </c>
      <c r="FR141" s="23">
        <f>EXP(-LN(2)/25)*FR140+(1-EXP(-LN(2)/25))/(LN(2)/25)*Calculateur!FM141*Calculateur!FO141*VLOOKUP('Données projet'!$B$16,Paramètres!$A$1:$I$89,3,0)*0.475*44/12</f>
        <v>0</v>
      </c>
      <c r="FS141" s="23">
        <f>EXP(-LN(2)/2)*FS140+(1-EXP(-LN(2)/2))/(LN(2)/2)*FM141*FP141*VLOOKUP('Données projet'!$B$16,Paramètres!$A$1:$I$89,3,0)*0.475*44/12</f>
        <v>0</v>
      </c>
      <c r="FT141" s="24">
        <f t="shared" si="132"/>
        <v>0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1.1368683772161603E-13</v>
      </c>
      <c r="GA141" s="18">
        <f>FZ141*VLOOKUP('Données projet'!$B$17,Paramètres!$A$1:$I$89,3,0)*VLOOKUP('Données projet'!$B$17,Paramètres!$A$1:$I$89,5,0)</f>
        <v>8.8675733422860506E-14</v>
      </c>
      <c r="GB141" s="14">
        <f t="shared" si="157"/>
        <v>1.3509285393066301E-12</v>
      </c>
      <c r="GC141" s="22">
        <f t="shared" si="133"/>
        <v>2.5073107750038623E-12</v>
      </c>
      <c r="GD141" s="62">
        <f t="shared" si="134"/>
        <v>293.33333333333582</v>
      </c>
      <c r="GE141" s="62">
        <f ca="1">AVERAGE(OFFSET($GD$3,0,0,'Données projet'!$E$17+1,1))-AVERAGE(OFFSET($H$3,0,0,'Données projet'!$E$17+1,1))</f>
        <v>292.57482726862594</v>
      </c>
      <c r="GF141" s="62">
        <f t="shared" si="158"/>
        <v>283.48738729114024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>
        <f>EXP(-LN(2)/35)*GL140+(1-EXP(-LN(2)/35))/(LN(2)/35)*GH141*GI141*VLOOKUP('Données projet'!$B$17,Paramètres!$A$1:$I$89,3,0)*0.475*44/12</f>
        <v>0</v>
      </c>
      <c r="GM141" s="23">
        <f>EXP(-LN(2)/25)*GM140+(1-EXP(-LN(2)/25))/(LN(2)/25)*Calculateur!GH141*Calculateur!GJ141*VLOOKUP('Données projet'!$B$17,Paramètres!$A$1:$I$89,3,0)*0.475*44/12</f>
        <v>0</v>
      </c>
      <c r="GN141" s="23">
        <f>EXP(-LN(2)/2)*GN140+(1-EXP(-LN(2)/2))/(LN(2)/2)*GH141*GK141*VLOOKUP('Données projet'!$B$17,Paramètres!$A$1:$I$89,3,0)*0.475*44/12</f>
        <v>0</v>
      </c>
      <c r="GO141" s="23">
        <f t="shared" si="135"/>
        <v>0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-2.2737367544323206E-13</v>
      </c>
      <c r="GV141" s="18">
        <f>GU141*VLOOKUP('Données projet'!$B$18,Paramètres!$A$1:$I$89,3,0)*VLOOKUP('Données projet'!$B$18,Paramètres!$A$1:$I$89,5,0)</f>
        <v>-1.5252226148732008E-13</v>
      </c>
      <c r="GW141" s="14" t="e">
        <f t="shared" si="159"/>
        <v>#NUM!</v>
      </c>
      <c r="GX141" s="22" t="e">
        <f t="shared" si="136"/>
        <v>#NUM!</v>
      </c>
      <c r="GY141" s="62" t="e">
        <f t="shared" si="137"/>
        <v>#NUM!</v>
      </c>
      <c r="GZ141" s="62">
        <f ca="1">AVERAGE(OFFSET($GY$3,0,0,'Données projet'!$E$18+1,1))-AVERAGE(OFFSET($H$3,0,0,'Données projet'!$E$18+1,1))</f>
        <v>410.20186800287411</v>
      </c>
      <c r="HA141" s="62">
        <f t="shared" si="160"/>
        <v>321.99347958016057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>
        <f>EXP(-LN(2)/35)*HG140+(1-EXP(-LN(2)/35))/(LN(2)/35)*HC141*HD141*VLOOKUP('Données projet'!$B$18,Paramètres!$A$1:$I$89,3,0)*0.475*44/12</f>
        <v>0</v>
      </c>
      <c r="HH141" s="23">
        <f>EXP(-LN(2)/25)*HH140+(1-EXP(-LN(2)/25))/(LN(2)/25)*Calculateur!HC141*Calculateur!HE141*VLOOKUP('Données projet'!$B$18,Paramètres!$A$1:$I$89,3,0)*0.475*44/12</f>
        <v>0</v>
      </c>
      <c r="HI141" s="23">
        <f>EXP(-LN(2)/2)*HI140+(1-EXP(-LN(2)/2))/(LN(2)/2)*HC141*HF141*VLOOKUP('Données projet'!$B$18,Paramètres!$A$1:$I$89,3,0)*0.475*44/12</f>
        <v>0</v>
      </c>
      <c r="HJ141" s="24">
        <f t="shared" si="138"/>
        <v>0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4</v>
      </c>
      <c r="N142" s="14">
        <f>IF('Données projet'!$A$36&gt;35,N141+M142-V141,IF(A142&lt;'Données projet'!$A$36,$K$205^A142,IF(A142='Données projet'!$A$36,'Données projet'!$B$36,N141+M142-V141)))</f>
        <v>338.99999999999955</v>
      </c>
      <c r="O142" s="14">
        <f>N142*VLOOKUP('Données projet'!$B$9,Paramètres!$A$1:$I$89,3,0)*VLOOKUP('Données projet'!$B$9,Paramètres!$A$1:$I$89,5,0)</f>
        <v>306.72719999999958</v>
      </c>
      <c r="P142" s="14">
        <f t="shared" si="141"/>
        <v>72.584917646145513</v>
      </c>
      <c r="Q142" s="22">
        <f t="shared" si="108"/>
        <v>660.63527156703606</v>
      </c>
      <c r="R142" s="62">
        <f t="shared" si="109"/>
        <v>953.96860490036943</v>
      </c>
      <c r="S142" s="62">
        <f ca="1">AVERAGE(OFFSET($R$3,0,0,'Données projet'!$E$9+1,1))-AVERAGE(OFFSET($H$3,0,0,'Données projet'!$E$9+1,1))</f>
        <v>509.56241660612449</v>
      </c>
      <c r="T142" s="62">
        <f t="shared" si="142"/>
        <v>278.21741231699929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4</v>
      </c>
      <c r="AI142" s="14">
        <f>IF('Données projet'!$A$62&gt;35,AI141+AH142-AQ141,IF(A142&lt;'Données projet'!$A$62,$AF$205^A142,IF(A142='Données projet'!$A$62,'Données projet'!$B$62,AI141+AH142-AQ141)))</f>
        <v>338.99999999999955</v>
      </c>
      <c r="AJ142" s="14">
        <f>AI142*VLOOKUP('Données projet'!$B$10,Paramètres!$A$1:$I$89,3,0)*VLOOKUP('Données projet'!$B$10,Paramètres!$A$1:$I$89,5,0)</f>
        <v>343.74599999999958</v>
      </c>
      <c r="AK142" s="14">
        <f t="shared" si="143"/>
        <v>80.273399486030371</v>
      </c>
      <c r="AL142" s="22">
        <f t="shared" si="112"/>
        <v>738.50045410483551</v>
      </c>
      <c r="AM142" s="62">
        <f t="shared" si="113"/>
        <v>1031.8337874381689</v>
      </c>
      <c r="AN142" s="62">
        <f ca="1">AVERAGE(OFFSET($AM$3,0,0,'Données projet'!$E$10+1,1))-AVERAGE(OFFSET($H$3,0,0,'Données projet'!$E$10+1,1))</f>
        <v>565.72091871734051</v>
      </c>
      <c r="AO142" s="62">
        <f t="shared" si="144"/>
        <v>306.61893266146666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-5.6843418860808015E-14</v>
      </c>
      <c r="BE142" s="14">
        <f>BD142*VLOOKUP('Données projet'!$B$11,Paramètres!$A$1:$I$89,3,0)*VLOOKUP('Données projet'!$B$11,Paramètres!$A$1:$I$89,5,0)</f>
        <v>-4.1677594708744434E-14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344.26020118887629</v>
      </c>
      <c r="BJ142" s="62">
        <f t="shared" si="146"/>
        <v>376.41441893222185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4</v>
      </c>
      <c r="BY142" s="13">
        <f>IF('Données projet'!$A$114&gt;35,BY141+BX142-CG141,IF(A142&lt;'Données projet'!$A$114,$BV$205^A142,IF(A142='Données projet'!$A$114,'Données projet'!$B$114,BY141+BX142-CG141)))</f>
        <v>338.99999999999955</v>
      </c>
      <c r="BZ142" s="14">
        <f>BY142*VLOOKUP('Données projet'!$B$12,Paramètres!$A$1:$I$89,3,0)*VLOOKUP('Données projet'!$B$12,Paramètres!$A$1:$I$89,5,0)</f>
        <v>285.57359999999966</v>
      </c>
      <c r="CA142" s="14">
        <f t="shared" si="147"/>
        <v>68.143516218311746</v>
      </c>
      <c r="CB142" s="22">
        <f t="shared" si="118"/>
        <v>616.05731074689231</v>
      </c>
      <c r="CC142" s="62">
        <f t="shared" si="119"/>
        <v>909.39064408022568</v>
      </c>
      <c r="CD142" s="62">
        <f ca="1">AVERAGE(OFFSET($CC$3,0,0,'Données projet'!$E$12+1,1))-AVERAGE(OFFSET($H$3,0,0,'Données projet'!$E$12+1,1))</f>
        <v>477.4105367901771</v>
      </c>
      <c r="CE142" s="62">
        <f t="shared" si="148"/>
        <v>261.95434270986397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-6.2527760746888816E-13</v>
      </c>
      <c r="CU142" s="18">
        <f>CT142*VLOOKUP('Données projet'!$B$13,Paramètres!$A$1:$I$89,3,0)*VLOOKUP('Données projet'!$B$13,Paramètres!$A$1:$I$89,5,0)</f>
        <v>-2.9262992029543964E-13</v>
      </c>
      <c r="CV142" s="14" t="e">
        <f t="shared" si="149"/>
        <v>#NUM!</v>
      </c>
      <c r="CW142" s="22" t="e">
        <f t="shared" si="121"/>
        <v>#NUM!</v>
      </c>
      <c r="CX142" s="62" t="e">
        <f t="shared" si="122"/>
        <v>#NUM!</v>
      </c>
      <c r="CY142" s="62">
        <f ca="1">AVERAGE(OFFSET($CX$3,0,0,'Données projet'!$E$13+1,1))-AVERAGE(OFFSET($H$3,0,0,'Données projet'!$E$13+1,1))</f>
        <v>246.64907095367749</v>
      </c>
      <c r="CZ142" s="62">
        <f t="shared" si="150"/>
        <v>145.34368562171613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-5.6843418860808015E-14</v>
      </c>
      <c r="DP142" s="18">
        <f>DO142*VLOOKUP('Données projet'!$B$14,Paramètres!$A$1:$I$89,3,0)*VLOOKUP('Données projet'!$B$14,Paramètres!$A$1:$I$89,5,0)</f>
        <v>-4.5224624045658861E-14</v>
      </c>
      <c r="DQ142" s="14" t="e">
        <f t="shared" si="151"/>
        <v>#NUM!</v>
      </c>
      <c r="DR142" s="22" t="e">
        <f t="shared" si="124"/>
        <v>#NUM!</v>
      </c>
      <c r="DS142" s="62" t="e">
        <f t="shared" si="125"/>
        <v>#NUM!</v>
      </c>
      <c r="DT142" s="62">
        <f ca="1">AVERAGE(OFFSET($DS$3,0,0,'Données projet'!$E$14+1,1))-AVERAGE(OFFSET($H$3,0,0,'Données projet'!$E$14+1,1))</f>
        <v>370.38521334472284</v>
      </c>
      <c r="DU142" s="62">
        <f t="shared" si="152"/>
        <v>404.61777090709171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-1.1368683772161603E-13</v>
      </c>
      <c r="EK142" s="18">
        <f>EJ142*VLOOKUP('Données projet'!$B$15,Paramètres!$A$1:$I$89,3,0)*VLOOKUP('Données projet'!$B$15,Paramètres!$A$1:$I$89,5,0)</f>
        <v>-9.7543306765146564E-14</v>
      </c>
      <c r="EL142" s="14" t="e">
        <f t="shared" si="153"/>
        <v>#NUM!</v>
      </c>
      <c r="EM142" s="22" t="e">
        <f t="shared" si="127"/>
        <v>#NUM!</v>
      </c>
      <c r="EN142" s="62" t="e">
        <f t="shared" si="128"/>
        <v>#NUM!</v>
      </c>
      <c r="EO142" s="62">
        <f ca="1">AVERAGE(OFFSET($EN$3,0,0,'Données projet'!$E$15+1,1))-AVERAGE(OFFSET($H$3,0,0,'Données projet'!$E$15+1,1))</f>
        <v>445.81166342116865</v>
      </c>
      <c r="EP142" s="62">
        <f t="shared" si="154"/>
        <v>230.82970731138215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0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4</v>
      </c>
      <c r="FE142" s="13">
        <f>IF('Données projet'!$A$218&gt;35,FE141+FD142-FM141,IF(A142&lt;'Données projet'!$A$218,$FB$205^A142,IF(A142='Données projet'!$A$218,'Données projet'!$B$218,FE141+FD142-FM141)))</f>
        <v>338.99999999999955</v>
      </c>
      <c r="FF142" s="18">
        <f>FE142*VLOOKUP('Données projet'!$B$16,Paramètres!$A$1:$I$89,3,0)*VLOOKUP('Données projet'!$B$16,Paramètres!$A$1:$I$89,5,0)</f>
        <v>327.88079999999957</v>
      </c>
      <c r="FG142" s="14">
        <f t="shared" si="155"/>
        <v>76.990778337787333</v>
      </c>
      <c r="FH142" s="22">
        <f t="shared" si="130"/>
        <v>705.15133227164551</v>
      </c>
      <c r="FI142" s="62">
        <f t="shared" si="131"/>
        <v>998.48466560497877</v>
      </c>
      <c r="FJ142" s="62">
        <f ca="1">AVERAGE(OFFSET($FI$3,0,0,'Données projet'!$E$16+1,1))-AVERAGE(OFFSET($H$3,0,0,'Données projet'!$E$16+1,1))</f>
        <v>541.66888676162716</v>
      </c>
      <c r="FK142" s="62">
        <f t="shared" si="156"/>
        <v>294.45557293177131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>
        <f>EXP(-LN(2)/35)*FQ141+(1-EXP(-LN(2)/35))/(LN(2)/35)*FM142*FN142*VLOOKUP('Données projet'!$B$16,Paramètres!$A$1:$I$89,3,0)*0.475*44/12</f>
        <v>0</v>
      </c>
      <c r="FR142" s="23">
        <f>EXP(-LN(2)/25)*FR141+(1-EXP(-LN(2)/25))/(LN(2)/25)*Calculateur!FM142*Calculateur!FO142*VLOOKUP('Données projet'!$B$16,Paramètres!$A$1:$I$89,3,0)*0.475*44/12</f>
        <v>0</v>
      </c>
      <c r="FS142" s="23">
        <f>EXP(-LN(2)/2)*FS141+(1-EXP(-LN(2)/2))/(LN(2)/2)*FM142*FP142*VLOOKUP('Données projet'!$B$16,Paramètres!$A$1:$I$89,3,0)*0.475*44/12</f>
        <v>0</v>
      </c>
      <c r="FT142" s="24">
        <f t="shared" si="132"/>
        <v>0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1.1368683772161603E-13</v>
      </c>
      <c r="GA142" s="18">
        <f>FZ142*VLOOKUP('Données projet'!$B$17,Paramètres!$A$1:$I$89,3,0)*VLOOKUP('Données projet'!$B$17,Paramètres!$A$1:$I$89,5,0)</f>
        <v>8.8675733422860506E-14</v>
      </c>
      <c r="GB142" s="14">
        <f t="shared" si="157"/>
        <v>1.3509285393066301E-12</v>
      </c>
      <c r="GC142" s="22">
        <f t="shared" si="133"/>
        <v>2.5073107750038623E-12</v>
      </c>
      <c r="GD142" s="62">
        <f t="shared" si="134"/>
        <v>293.33333333333582</v>
      </c>
      <c r="GE142" s="62">
        <f ca="1">AVERAGE(OFFSET($GD$3,0,0,'Données projet'!$E$17+1,1))-AVERAGE(OFFSET($H$3,0,0,'Données projet'!$E$17+1,1))</f>
        <v>292.57482726862594</v>
      </c>
      <c r="GF142" s="62">
        <f t="shared" si="158"/>
        <v>283.48738729114024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>
        <f>EXP(-LN(2)/35)*GL141+(1-EXP(-LN(2)/35))/(LN(2)/35)*GH142*GI142*VLOOKUP('Données projet'!$B$17,Paramètres!$A$1:$I$89,3,0)*0.475*44/12</f>
        <v>0</v>
      </c>
      <c r="GM142" s="23">
        <f>EXP(-LN(2)/25)*GM141+(1-EXP(-LN(2)/25))/(LN(2)/25)*Calculateur!GH142*Calculateur!GJ142*VLOOKUP('Données projet'!$B$17,Paramètres!$A$1:$I$89,3,0)*0.475*44/12</f>
        <v>0</v>
      </c>
      <c r="GN142" s="23">
        <f>EXP(-LN(2)/2)*GN141+(1-EXP(-LN(2)/2))/(LN(2)/2)*GH142*GK142*VLOOKUP('Données projet'!$B$17,Paramètres!$A$1:$I$89,3,0)*0.475*44/12</f>
        <v>0</v>
      </c>
      <c r="GO142" s="23">
        <f t="shared" si="135"/>
        <v>0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-2.2737367544323206E-13</v>
      </c>
      <c r="GV142" s="18">
        <f>GU142*VLOOKUP('Données projet'!$B$18,Paramètres!$A$1:$I$89,3,0)*VLOOKUP('Données projet'!$B$18,Paramètres!$A$1:$I$89,5,0)</f>
        <v>-1.5252226148732008E-13</v>
      </c>
      <c r="GW142" s="14" t="e">
        <f t="shared" si="159"/>
        <v>#NUM!</v>
      </c>
      <c r="GX142" s="22" t="e">
        <f t="shared" si="136"/>
        <v>#NUM!</v>
      </c>
      <c r="GY142" s="62" t="e">
        <f t="shared" si="137"/>
        <v>#NUM!</v>
      </c>
      <c r="GZ142" s="62">
        <f ca="1">AVERAGE(OFFSET($GY$3,0,0,'Données projet'!$E$18+1,1))-AVERAGE(OFFSET($H$3,0,0,'Données projet'!$E$18+1,1))</f>
        <v>410.20186800287411</v>
      </c>
      <c r="HA142" s="62">
        <f t="shared" si="160"/>
        <v>321.99347958016057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>
        <f>EXP(-LN(2)/35)*HG141+(1-EXP(-LN(2)/35))/(LN(2)/35)*HC142*HD142*VLOOKUP('Données projet'!$B$18,Paramètres!$A$1:$I$89,3,0)*0.475*44/12</f>
        <v>0</v>
      </c>
      <c r="HH142" s="23">
        <f>EXP(-LN(2)/25)*HH141+(1-EXP(-LN(2)/25))/(LN(2)/25)*Calculateur!HC142*Calculateur!HE142*VLOOKUP('Données projet'!$B$18,Paramètres!$A$1:$I$89,3,0)*0.475*44/12</f>
        <v>0</v>
      </c>
      <c r="HI142" s="23">
        <f>EXP(-LN(2)/2)*HI141+(1-EXP(-LN(2)/2))/(LN(2)/2)*HC142*HF142*VLOOKUP('Données projet'!$B$18,Paramètres!$A$1:$I$89,3,0)*0.475*44/12</f>
        <v>0</v>
      </c>
      <c r="HJ142" s="24">
        <f t="shared" si="138"/>
        <v>0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>
        <f>VLOOKUP(A143,'Données projet'!$A$35:$I$55,2,0)</f>
        <v>343</v>
      </c>
      <c r="L143" s="13">
        <f>VLOOKUP(A143,'Données projet'!$A$35:$I$55,9,0)</f>
        <v>4</v>
      </c>
      <c r="M143" s="13">
        <f t="array" ref="M143">INDEX(L:L,MIN(IF(ISNUMBER(L143:L339),ROW(L143:L339),"")))</f>
        <v>4</v>
      </c>
      <c r="N143" s="14">
        <f>IF('Données projet'!$A$36&gt;35,N142+M143-V142,IF(A143&lt;'Données projet'!$A$36,$K$205^A143,IF(A143='Données projet'!$A$36,'Données projet'!$B$36,N142+M143-V142)))</f>
        <v>342.99999999999955</v>
      </c>
      <c r="O143" s="14">
        <f>N143*VLOOKUP('Données projet'!$B$9,Paramètres!$A$1:$I$89,3,0)*VLOOKUP('Données projet'!$B$9,Paramètres!$A$1:$I$89,5,0)</f>
        <v>310.34639999999956</v>
      </c>
      <c r="P143" s="14">
        <f t="shared" si="141"/>
        <v>73.341167576152927</v>
      </c>
      <c r="Q143" s="22">
        <f t="shared" si="108"/>
        <v>668.25584686179889</v>
      </c>
      <c r="R143" s="62">
        <f t="shared" si="109"/>
        <v>961.58918019513226</v>
      </c>
      <c r="S143" s="62">
        <f ca="1">AVERAGE(OFFSET($R$3,0,0,'Données projet'!$E$9+1,1))-AVERAGE(OFFSET($H$3,0,0,'Données projet'!$E$9+1,1))</f>
        <v>509.56241660612449</v>
      </c>
      <c r="T143" s="62">
        <f t="shared" si="142"/>
        <v>278.21741231699929</v>
      </c>
      <c r="U143" s="16">
        <f>IF(ISNA(VLOOKUP(A143,'Données projet'!$A$35:$I$55,3,0)),0,VLOOKUP(A143,'Données projet'!$A$35:$I$55,3,0))</f>
        <v>12</v>
      </c>
      <c r="V143" s="16">
        <f>IF(ISNA(VLOOKUP(A143,'Données projet'!$A$35:$I$55,4,0)),0,VLOOKUP(A143,'Données projet'!$A$35:$I$55,4,0))</f>
        <v>43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>
        <f>VLOOKUP(A143,'Données projet'!$A$61:$I$81,2,0)</f>
        <v>343</v>
      </c>
      <c r="AG143" s="13">
        <f>VLOOKUP(A143,'Données projet'!$A$61:$I$81,9,0)</f>
        <v>4</v>
      </c>
      <c r="AH143" s="13">
        <f t="array" ref="AH143">INDEX(AG:AG,MIN(IF(ISNUMBER(AG143:AG339),ROW(AG143:AG339),"")))</f>
        <v>4</v>
      </c>
      <c r="AI143" s="14">
        <f>IF('Données projet'!$A$62&gt;35,AI142+AH143-AQ142,IF(A143&lt;'Données projet'!$A$62,$AF$205^A143,IF(A143='Données projet'!$A$62,'Données projet'!$B$62,AI142+AH143-AQ142)))</f>
        <v>342.99999999999955</v>
      </c>
      <c r="AJ143" s="14">
        <f>AI143*VLOOKUP('Données projet'!$B$10,Paramètres!$A$1:$I$89,3,0)*VLOOKUP('Données projet'!$B$10,Paramètres!$A$1:$I$89,5,0)</f>
        <v>347.80199999999957</v>
      </c>
      <c r="AK143" s="14">
        <f t="shared" si="143"/>
        <v>81.109754402608502</v>
      </c>
      <c r="AL143" s="22">
        <f t="shared" si="112"/>
        <v>747.02130558454235</v>
      </c>
      <c r="AM143" s="62">
        <f t="shared" si="113"/>
        <v>1040.3546389178757</v>
      </c>
      <c r="AN143" s="62">
        <f ca="1">AVERAGE(OFFSET($AM$3,0,0,'Données projet'!$E$10+1,1))-AVERAGE(OFFSET($H$3,0,0,'Données projet'!$E$10+1,1))</f>
        <v>565.72091871734051</v>
      </c>
      <c r="AO143" s="62">
        <f t="shared" si="144"/>
        <v>306.61893266146666</v>
      </c>
      <c r="AP143" s="16">
        <f>IF(ISNA(VLOOKUP(A143,'Données projet'!$A$61:$I$81,3,0)),0,VLOOKUP(A143,'Données projet'!$A$61:$I$81,3,0))</f>
        <v>12</v>
      </c>
      <c r="AQ143" s="16">
        <f>IF(ISNA(VLOOKUP(A143,'Données projet'!$A$61:$I$81,4,0)),0,VLOOKUP(A143,'Données projet'!$A$61:$I$81,4,0))</f>
        <v>43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-5.6843418860808015E-14</v>
      </c>
      <c r="BE143" s="14">
        <f>BD143*VLOOKUP('Données projet'!$B$11,Paramètres!$A$1:$I$89,3,0)*VLOOKUP('Données projet'!$B$11,Paramètres!$A$1:$I$89,5,0)</f>
        <v>-4.1677594708744434E-14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344.26020118887629</v>
      </c>
      <c r="BJ143" s="62">
        <f t="shared" si="146"/>
        <v>376.41441893222185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>
        <f>VLOOKUP(A143,'Données projet'!$A$113:$I$133,2,0)</f>
        <v>343</v>
      </c>
      <c r="BW143" s="13">
        <f>VLOOKUP(A143,'Données projet'!$A$113:$I$133,9,0)</f>
        <v>4</v>
      </c>
      <c r="BX143" s="13">
        <f t="array" ref="BX143">INDEX(BW:BW,MIN(IF(ISNUMBER(BW143:BW339),ROW(BW143:BW339),"")))</f>
        <v>4</v>
      </c>
      <c r="BY143" s="13">
        <f>IF('Données projet'!$A$114&gt;35,BY142+BX143-CG142,IF(A143&lt;'Données projet'!$A$114,$BV$205^A143,IF(A143='Données projet'!$A$114,'Données projet'!$B$114,BY142+BX143-CG142)))</f>
        <v>342.99999999999955</v>
      </c>
      <c r="BZ143" s="14">
        <f>BY143*VLOOKUP('Données projet'!$B$12,Paramètres!$A$1:$I$89,3,0)*VLOOKUP('Données projet'!$B$12,Paramètres!$A$1:$I$89,5,0)</f>
        <v>288.94319999999965</v>
      </c>
      <c r="CA143" s="14">
        <f t="shared" si="147"/>
        <v>68.853491941116658</v>
      </c>
      <c r="CB143" s="22">
        <f t="shared" si="118"/>
        <v>623.16257179744423</v>
      </c>
      <c r="CC143" s="62">
        <f t="shared" si="119"/>
        <v>916.4959051307776</v>
      </c>
      <c r="CD143" s="62">
        <f ca="1">AVERAGE(OFFSET($CC$3,0,0,'Données projet'!$E$12+1,1))-AVERAGE(OFFSET($H$3,0,0,'Données projet'!$E$12+1,1))</f>
        <v>477.4105367901771</v>
      </c>
      <c r="CE143" s="62">
        <f t="shared" si="148"/>
        <v>261.95434270986397</v>
      </c>
      <c r="CF143" s="16">
        <f>IF(ISNA(VLOOKUP(A143,'Données projet'!$A$113:$I$133,3,0)),0,VLOOKUP(A143,'Données projet'!$A$113:$I$133,3,0))</f>
        <v>12</v>
      </c>
      <c r="CG143" s="16">
        <f>IF(ISNA(VLOOKUP(A143,'Données projet'!$A$113:$I$133,4,0)),0,VLOOKUP(A143,'Données projet'!$A$113:$I$133,4,0))</f>
        <v>43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-6.2527760746888816E-13</v>
      </c>
      <c r="CU143" s="18">
        <f>CT143*VLOOKUP('Données projet'!$B$13,Paramètres!$A$1:$I$89,3,0)*VLOOKUP('Données projet'!$B$13,Paramètres!$A$1:$I$89,5,0)</f>
        <v>-2.9262992029543964E-13</v>
      </c>
      <c r="CV143" s="14" t="e">
        <f t="shared" si="149"/>
        <v>#NUM!</v>
      </c>
      <c r="CW143" s="22" t="e">
        <f t="shared" si="121"/>
        <v>#NUM!</v>
      </c>
      <c r="CX143" s="62" t="e">
        <f t="shared" si="122"/>
        <v>#NUM!</v>
      </c>
      <c r="CY143" s="62">
        <f ca="1">AVERAGE(OFFSET($CX$3,0,0,'Données projet'!$E$13+1,1))-AVERAGE(OFFSET($H$3,0,0,'Données projet'!$E$13+1,1))</f>
        <v>246.64907095367749</v>
      </c>
      <c r="CZ143" s="62">
        <f t="shared" si="150"/>
        <v>145.34368562171613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-5.6843418860808015E-14</v>
      </c>
      <c r="DP143" s="18">
        <f>DO143*VLOOKUP('Données projet'!$B$14,Paramètres!$A$1:$I$89,3,0)*VLOOKUP('Données projet'!$B$14,Paramètres!$A$1:$I$89,5,0)</f>
        <v>-4.5224624045658861E-14</v>
      </c>
      <c r="DQ143" s="14" t="e">
        <f t="shared" si="151"/>
        <v>#NUM!</v>
      </c>
      <c r="DR143" s="22" t="e">
        <f t="shared" si="124"/>
        <v>#NUM!</v>
      </c>
      <c r="DS143" s="62" t="e">
        <f t="shared" si="125"/>
        <v>#NUM!</v>
      </c>
      <c r="DT143" s="62">
        <f ca="1">AVERAGE(OFFSET($DS$3,0,0,'Données projet'!$E$14+1,1))-AVERAGE(OFFSET($H$3,0,0,'Données projet'!$E$14+1,1))</f>
        <v>370.38521334472284</v>
      </c>
      <c r="DU143" s="62">
        <f t="shared" si="152"/>
        <v>404.61777090709171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-1.1368683772161603E-13</v>
      </c>
      <c r="EK143" s="18">
        <f>EJ143*VLOOKUP('Données projet'!$B$15,Paramètres!$A$1:$I$89,3,0)*VLOOKUP('Données projet'!$B$15,Paramètres!$A$1:$I$89,5,0)</f>
        <v>-9.7543306765146564E-14</v>
      </c>
      <c r="EL143" s="14" t="e">
        <f t="shared" si="153"/>
        <v>#NUM!</v>
      </c>
      <c r="EM143" s="22" t="e">
        <f t="shared" si="127"/>
        <v>#NUM!</v>
      </c>
      <c r="EN143" s="62" t="e">
        <f t="shared" si="128"/>
        <v>#NUM!</v>
      </c>
      <c r="EO143" s="62">
        <f ca="1">AVERAGE(OFFSET($EN$3,0,0,'Données projet'!$E$15+1,1))-AVERAGE(OFFSET($H$3,0,0,'Données projet'!$E$15+1,1))</f>
        <v>445.81166342116865</v>
      </c>
      <c r="EP143" s="62">
        <f t="shared" si="154"/>
        <v>230.82970731138215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0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>
        <f>VLOOKUP(A143,'Données projet'!$A$217:$I$237,2,0)</f>
        <v>343</v>
      </c>
      <c r="FC143" s="13">
        <f>VLOOKUP(A143,'Données projet'!$A$217:$I$237,9,0)</f>
        <v>4</v>
      </c>
      <c r="FD143" s="13">
        <f t="array" ref="FD143">INDEX(FC:FC,MIN(IF(ISNUMBER(FC143:FC339),ROW(FC143:FC339),"")))</f>
        <v>4</v>
      </c>
      <c r="FE143" s="13">
        <f>IF('Données projet'!$A$218&gt;35,FE142+FD143-FM142,IF(A143&lt;'Données projet'!$A$218,$FB$205^A143,IF(A143='Données projet'!$A$218,'Données projet'!$B$218,FE142+FD143-FM142)))</f>
        <v>342.99999999999955</v>
      </c>
      <c r="FF143" s="18">
        <f>FE143*VLOOKUP('Données projet'!$B$16,Paramètres!$A$1:$I$89,3,0)*VLOOKUP('Données projet'!$B$16,Paramètres!$A$1:$I$89,5,0)</f>
        <v>331.74959999999959</v>
      </c>
      <c r="FG143" s="14">
        <f t="shared" si="155"/>
        <v>77.792932182102746</v>
      </c>
      <c r="FH143" s="22">
        <f t="shared" si="130"/>
        <v>713.28657688382816</v>
      </c>
      <c r="FI143" s="62">
        <f t="shared" si="131"/>
        <v>1006.6199102171615</v>
      </c>
      <c r="FJ143" s="62">
        <f ca="1">AVERAGE(OFFSET($FI$3,0,0,'Données projet'!$E$16+1,1))-AVERAGE(OFFSET($H$3,0,0,'Données projet'!$E$16+1,1))</f>
        <v>541.66888676162716</v>
      </c>
      <c r="FK143" s="62">
        <f t="shared" si="156"/>
        <v>294.45557293177131</v>
      </c>
      <c r="FL143" s="16">
        <f>IF(ISNA(VLOOKUP(A143,'Données projet'!$A$217:$I$237,3,0)),0,VLOOKUP(A143,'Données projet'!$A$217:$I$237,3,0))</f>
        <v>12</v>
      </c>
      <c r="FM143" s="16">
        <f>IF(ISNA(VLOOKUP(A143,'Données projet'!$A$217:$I$237,4,0)),0,VLOOKUP(A143,'Données projet'!$A$217:$I$237,4,0))</f>
        <v>43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>
        <f>EXP(-LN(2)/35)*FQ142+(1-EXP(-LN(2)/35))/(LN(2)/35)*FM143*FN143*VLOOKUP('Données projet'!$B$16,Paramètres!$A$1:$I$89,3,0)*0.475*44/12</f>
        <v>0</v>
      </c>
      <c r="FR143" s="23">
        <f>EXP(-LN(2)/25)*FR142+(1-EXP(-LN(2)/25))/(LN(2)/25)*Calculateur!FM143*Calculateur!FO143*VLOOKUP('Données projet'!$B$16,Paramètres!$A$1:$I$89,3,0)*0.475*44/12</f>
        <v>0</v>
      </c>
      <c r="FS143" s="23">
        <f>EXP(-LN(2)/2)*FS142+(1-EXP(-LN(2)/2))/(LN(2)/2)*FM143*FP143*VLOOKUP('Données projet'!$B$16,Paramètres!$A$1:$I$89,3,0)*0.475*44/12</f>
        <v>0</v>
      </c>
      <c r="FT143" s="24">
        <f t="shared" si="132"/>
        <v>0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1.1368683772161603E-13</v>
      </c>
      <c r="GA143" s="18">
        <f>FZ143*VLOOKUP('Données projet'!$B$17,Paramètres!$A$1:$I$89,3,0)*VLOOKUP('Données projet'!$B$17,Paramètres!$A$1:$I$89,5,0)</f>
        <v>8.8675733422860506E-14</v>
      </c>
      <c r="GB143" s="14">
        <f t="shared" si="157"/>
        <v>1.3509285393066301E-12</v>
      </c>
      <c r="GC143" s="22">
        <f t="shared" si="133"/>
        <v>2.5073107750038623E-12</v>
      </c>
      <c r="GD143" s="62">
        <f t="shared" si="134"/>
        <v>293.33333333333582</v>
      </c>
      <c r="GE143" s="62">
        <f ca="1">AVERAGE(OFFSET($GD$3,0,0,'Données projet'!$E$17+1,1))-AVERAGE(OFFSET($H$3,0,0,'Données projet'!$E$17+1,1))</f>
        <v>292.57482726862594</v>
      </c>
      <c r="GF143" s="62">
        <f t="shared" si="158"/>
        <v>283.48738729114024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>
        <f>EXP(-LN(2)/35)*GL142+(1-EXP(-LN(2)/35))/(LN(2)/35)*GH143*GI143*VLOOKUP('Données projet'!$B$17,Paramètres!$A$1:$I$89,3,0)*0.475*44/12</f>
        <v>0</v>
      </c>
      <c r="GM143" s="23">
        <f>EXP(-LN(2)/25)*GM142+(1-EXP(-LN(2)/25))/(LN(2)/25)*Calculateur!GH143*Calculateur!GJ143*VLOOKUP('Données projet'!$B$17,Paramètres!$A$1:$I$89,3,0)*0.475*44/12</f>
        <v>0</v>
      </c>
      <c r="GN143" s="23">
        <f>EXP(-LN(2)/2)*GN142+(1-EXP(-LN(2)/2))/(LN(2)/2)*GH143*GK143*VLOOKUP('Données projet'!$B$17,Paramètres!$A$1:$I$89,3,0)*0.475*44/12</f>
        <v>0</v>
      </c>
      <c r="GO143" s="23">
        <f t="shared" si="135"/>
        <v>0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-2.2737367544323206E-13</v>
      </c>
      <c r="GV143" s="18">
        <f>GU143*VLOOKUP('Données projet'!$B$18,Paramètres!$A$1:$I$89,3,0)*VLOOKUP('Données projet'!$B$18,Paramètres!$A$1:$I$89,5,0)</f>
        <v>-1.5252226148732008E-13</v>
      </c>
      <c r="GW143" s="14" t="e">
        <f t="shared" si="159"/>
        <v>#NUM!</v>
      </c>
      <c r="GX143" s="22" t="e">
        <f t="shared" si="136"/>
        <v>#NUM!</v>
      </c>
      <c r="GY143" s="62" t="e">
        <f t="shared" si="137"/>
        <v>#NUM!</v>
      </c>
      <c r="GZ143" s="62">
        <f ca="1">AVERAGE(OFFSET($GY$3,0,0,'Données projet'!$E$18+1,1))-AVERAGE(OFFSET($H$3,0,0,'Données projet'!$E$18+1,1))</f>
        <v>410.20186800287411</v>
      </c>
      <c r="HA143" s="62">
        <f t="shared" si="160"/>
        <v>321.99347958016057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>
        <f>EXP(-LN(2)/35)*HG142+(1-EXP(-LN(2)/35))/(LN(2)/35)*HC143*HD143*VLOOKUP('Données projet'!$B$18,Paramètres!$A$1:$I$89,3,0)*0.475*44/12</f>
        <v>0</v>
      </c>
      <c r="HH143" s="23">
        <f>EXP(-LN(2)/25)*HH142+(1-EXP(-LN(2)/25))/(LN(2)/25)*Calculateur!HC143*Calculateur!HE143*VLOOKUP('Données projet'!$B$18,Paramètres!$A$1:$I$89,3,0)*0.475*44/12</f>
        <v>0</v>
      </c>
      <c r="HI143" s="23">
        <f>EXP(-LN(2)/2)*HI142+(1-EXP(-LN(2)/2))/(LN(2)/2)*HC143*HF143*VLOOKUP('Données projet'!$B$18,Paramètres!$A$1:$I$89,3,0)*0.475*44/12</f>
        <v>0</v>
      </c>
      <c r="HJ143" s="24">
        <f t="shared" si="138"/>
        <v>0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3.5</v>
      </c>
      <c r="N144" s="14">
        <f>IF('Données projet'!$A$36&gt;35,N143+M144-V143,IF(A144&lt;'Données projet'!$A$36,$K$205^A144,IF(A144='Données projet'!$A$36,'Données projet'!$B$36,N143+M144-V143)))</f>
        <v>303.49999999999955</v>
      </c>
      <c r="O144" s="14">
        <f>N144*VLOOKUP('Données projet'!$B$9,Paramètres!$A$1:$I$89,3,0)*VLOOKUP('Données projet'!$B$9,Paramètres!$A$1:$I$89,5,0)</f>
        <v>274.60679999999957</v>
      </c>
      <c r="P144" s="14">
        <f t="shared" si="141"/>
        <v>65.825983768649721</v>
      </c>
      <c r="Q144" s="22">
        <f t="shared" si="108"/>
        <v>592.92043173039758</v>
      </c>
      <c r="R144" s="62">
        <f t="shared" si="109"/>
        <v>886.25376506373095</v>
      </c>
      <c r="S144" s="62">
        <f ca="1">AVERAGE(OFFSET($R$3,0,0,'Données projet'!$E$9+1,1))-AVERAGE(OFFSET($H$3,0,0,'Données projet'!$E$9+1,1))</f>
        <v>509.56241660612449</v>
      </c>
      <c r="T144" s="62">
        <f t="shared" si="142"/>
        <v>278.21741231699929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3.5</v>
      </c>
      <c r="AI144" s="14">
        <f>IF('Données projet'!$A$62&gt;35,AI143+AH144-AQ143,IF(A144&lt;'Données projet'!$A$62,$AF$205^A144,IF(A144='Données projet'!$A$62,'Données projet'!$B$62,AI143+AH144-AQ143)))</f>
        <v>303.49999999999955</v>
      </c>
      <c r="AJ144" s="14">
        <f>AI144*VLOOKUP('Données projet'!$B$10,Paramètres!$A$1:$I$89,3,0)*VLOOKUP('Données projet'!$B$10,Paramètres!$A$1:$I$89,5,0)</f>
        <v>307.74899999999957</v>
      </c>
      <c r="AK144" s="14">
        <f t="shared" si="143"/>
        <v>72.798532573693379</v>
      </c>
      <c r="AL144" s="22">
        <f t="shared" si="112"/>
        <v>662.78695256584854</v>
      </c>
      <c r="AM144" s="62">
        <f t="shared" si="113"/>
        <v>956.12028589918191</v>
      </c>
      <c r="AN144" s="62">
        <f ca="1">AVERAGE(OFFSET($AM$3,0,0,'Données projet'!$E$10+1,1))-AVERAGE(OFFSET($H$3,0,0,'Données projet'!$E$10+1,1))</f>
        <v>565.72091871734051</v>
      </c>
      <c r="AO144" s="62">
        <f t="shared" si="144"/>
        <v>306.61893266146666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-5.6843418860808015E-14</v>
      </c>
      <c r="BE144" s="14">
        <f>BD144*VLOOKUP('Données projet'!$B$11,Paramètres!$A$1:$I$89,3,0)*VLOOKUP('Données projet'!$B$11,Paramètres!$A$1:$I$89,5,0)</f>
        <v>-4.1677594708744434E-14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344.26020118887629</v>
      </c>
      <c r="BJ144" s="62">
        <f t="shared" si="146"/>
        <v>376.41441893222185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3.5</v>
      </c>
      <c r="BY144" s="13">
        <f>IF('Données projet'!$A$114&gt;35,BY143+BX144-CG143,IF(A144&lt;'Données projet'!$A$114,$BV$205^A144,IF(A144='Données projet'!$A$114,'Données projet'!$B$114,BY143+BX144-CG143)))</f>
        <v>303.49999999999955</v>
      </c>
      <c r="BZ144" s="14">
        <f>BY144*VLOOKUP('Données projet'!$B$12,Paramètres!$A$1:$I$89,3,0)*VLOOKUP('Données projet'!$B$12,Paramètres!$A$1:$I$89,5,0)</f>
        <v>255.66839999999962</v>
      </c>
      <c r="CA144" s="14">
        <f t="shared" si="147"/>
        <v>61.798155016071838</v>
      </c>
      <c r="CB144" s="22">
        <f t="shared" si="118"/>
        <v>552.9209166529912</v>
      </c>
      <c r="CC144" s="62">
        <f t="shared" si="119"/>
        <v>846.25424998632457</v>
      </c>
      <c r="CD144" s="62">
        <f ca="1">AVERAGE(OFFSET($CC$3,0,0,'Données projet'!$E$12+1,1))-AVERAGE(OFFSET($H$3,0,0,'Données projet'!$E$12+1,1))</f>
        <v>477.4105367901771</v>
      </c>
      <c r="CE144" s="62">
        <f t="shared" si="148"/>
        <v>261.95434270986397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-6.2527760746888816E-13</v>
      </c>
      <c r="CU144" s="18">
        <f>CT144*VLOOKUP('Données projet'!$B$13,Paramètres!$A$1:$I$89,3,0)*VLOOKUP('Données projet'!$B$13,Paramètres!$A$1:$I$89,5,0)</f>
        <v>-2.9262992029543964E-13</v>
      </c>
      <c r="CV144" s="14" t="e">
        <f t="shared" si="149"/>
        <v>#NUM!</v>
      </c>
      <c r="CW144" s="22" t="e">
        <f t="shared" si="121"/>
        <v>#NUM!</v>
      </c>
      <c r="CX144" s="62" t="e">
        <f t="shared" si="122"/>
        <v>#NUM!</v>
      </c>
      <c r="CY144" s="62">
        <f ca="1">AVERAGE(OFFSET($CX$3,0,0,'Données projet'!$E$13+1,1))-AVERAGE(OFFSET($H$3,0,0,'Données projet'!$E$13+1,1))</f>
        <v>246.64907095367749</v>
      </c>
      <c r="CZ144" s="62">
        <f t="shared" si="150"/>
        <v>145.34368562171613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-5.6843418860808015E-14</v>
      </c>
      <c r="DP144" s="18">
        <f>DO144*VLOOKUP('Données projet'!$B$14,Paramètres!$A$1:$I$89,3,0)*VLOOKUP('Données projet'!$B$14,Paramètres!$A$1:$I$89,5,0)</f>
        <v>-4.5224624045658861E-14</v>
      </c>
      <c r="DQ144" s="14" t="e">
        <f t="shared" si="151"/>
        <v>#NUM!</v>
      </c>
      <c r="DR144" s="22" t="e">
        <f t="shared" si="124"/>
        <v>#NUM!</v>
      </c>
      <c r="DS144" s="62" t="e">
        <f t="shared" si="125"/>
        <v>#NUM!</v>
      </c>
      <c r="DT144" s="62">
        <f ca="1">AVERAGE(OFFSET($DS$3,0,0,'Données projet'!$E$14+1,1))-AVERAGE(OFFSET($H$3,0,0,'Données projet'!$E$14+1,1))</f>
        <v>370.38521334472284</v>
      </c>
      <c r="DU144" s="62">
        <f t="shared" si="152"/>
        <v>404.61777090709171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-1.1368683772161603E-13</v>
      </c>
      <c r="EK144" s="18">
        <f>EJ144*VLOOKUP('Données projet'!$B$15,Paramètres!$A$1:$I$89,3,0)*VLOOKUP('Données projet'!$B$15,Paramètres!$A$1:$I$89,5,0)</f>
        <v>-9.7543306765146564E-14</v>
      </c>
      <c r="EL144" s="14" t="e">
        <f t="shared" si="153"/>
        <v>#NUM!</v>
      </c>
      <c r="EM144" s="22" t="e">
        <f t="shared" si="127"/>
        <v>#NUM!</v>
      </c>
      <c r="EN144" s="62" t="e">
        <f t="shared" si="128"/>
        <v>#NUM!</v>
      </c>
      <c r="EO144" s="62">
        <f ca="1">AVERAGE(OFFSET($EN$3,0,0,'Données projet'!$E$15+1,1))-AVERAGE(OFFSET($H$3,0,0,'Données projet'!$E$15+1,1))</f>
        <v>445.81166342116865</v>
      </c>
      <c r="EP144" s="62">
        <f t="shared" si="154"/>
        <v>230.82970731138215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0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3.5</v>
      </c>
      <c r="FE144" s="13">
        <f>IF('Données projet'!$A$218&gt;35,FE143+FD144-FM143,IF(A144&lt;'Données projet'!$A$218,$FB$205^A144,IF(A144='Données projet'!$A$218,'Données projet'!$B$218,FE143+FD144-FM143)))</f>
        <v>303.49999999999955</v>
      </c>
      <c r="FF144" s="18">
        <f>FE144*VLOOKUP('Données projet'!$B$16,Paramètres!$A$1:$I$89,3,0)*VLOOKUP('Données projet'!$B$16,Paramètres!$A$1:$I$89,5,0)</f>
        <v>293.54519999999957</v>
      </c>
      <c r="FG144" s="14">
        <f t="shared" si="155"/>
        <v>69.821581253361501</v>
      </c>
      <c r="FH144" s="22">
        <f t="shared" si="130"/>
        <v>632.86381068293724</v>
      </c>
      <c r="FI144" s="62">
        <f t="shared" si="131"/>
        <v>926.19714401627061</v>
      </c>
      <c r="FJ144" s="62">
        <f ca="1">AVERAGE(OFFSET($FI$3,0,0,'Données projet'!$E$16+1,1))-AVERAGE(OFFSET($H$3,0,0,'Données projet'!$E$16+1,1))</f>
        <v>541.66888676162716</v>
      </c>
      <c r="FK144" s="62">
        <f t="shared" si="156"/>
        <v>294.45557293177131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>
        <f>EXP(-LN(2)/35)*FQ143+(1-EXP(-LN(2)/35))/(LN(2)/35)*FM144*FN144*VLOOKUP('Données projet'!$B$16,Paramètres!$A$1:$I$89,3,0)*0.475*44/12</f>
        <v>0</v>
      </c>
      <c r="FR144" s="23">
        <f>EXP(-LN(2)/25)*FR143+(1-EXP(-LN(2)/25))/(LN(2)/25)*Calculateur!FM144*Calculateur!FO144*VLOOKUP('Données projet'!$B$16,Paramètres!$A$1:$I$89,3,0)*0.475*44/12</f>
        <v>0</v>
      </c>
      <c r="FS144" s="23">
        <f>EXP(-LN(2)/2)*FS143+(1-EXP(-LN(2)/2))/(LN(2)/2)*FM144*FP144*VLOOKUP('Données projet'!$B$16,Paramètres!$A$1:$I$89,3,0)*0.475*44/12</f>
        <v>0</v>
      </c>
      <c r="FT144" s="24">
        <f t="shared" si="132"/>
        <v>0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1.1368683772161603E-13</v>
      </c>
      <c r="GA144" s="18">
        <f>FZ144*VLOOKUP('Données projet'!$B$17,Paramètres!$A$1:$I$89,3,0)*VLOOKUP('Données projet'!$B$17,Paramètres!$A$1:$I$89,5,0)</f>
        <v>8.8675733422860506E-14</v>
      </c>
      <c r="GB144" s="14">
        <f t="shared" si="157"/>
        <v>1.3509285393066301E-12</v>
      </c>
      <c r="GC144" s="22">
        <f t="shared" si="133"/>
        <v>2.5073107750038623E-12</v>
      </c>
      <c r="GD144" s="62">
        <f t="shared" si="134"/>
        <v>293.33333333333582</v>
      </c>
      <c r="GE144" s="62">
        <f ca="1">AVERAGE(OFFSET($GD$3,0,0,'Données projet'!$E$17+1,1))-AVERAGE(OFFSET($H$3,0,0,'Données projet'!$E$17+1,1))</f>
        <v>292.57482726862594</v>
      </c>
      <c r="GF144" s="62">
        <f t="shared" si="158"/>
        <v>283.48738729114024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>
        <f>EXP(-LN(2)/35)*GL143+(1-EXP(-LN(2)/35))/(LN(2)/35)*GH144*GI144*VLOOKUP('Données projet'!$B$17,Paramètres!$A$1:$I$89,3,0)*0.475*44/12</f>
        <v>0</v>
      </c>
      <c r="GM144" s="23">
        <f>EXP(-LN(2)/25)*GM143+(1-EXP(-LN(2)/25))/(LN(2)/25)*Calculateur!GH144*Calculateur!GJ144*VLOOKUP('Données projet'!$B$17,Paramètres!$A$1:$I$89,3,0)*0.475*44/12</f>
        <v>0</v>
      </c>
      <c r="GN144" s="23">
        <f>EXP(-LN(2)/2)*GN143+(1-EXP(-LN(2)/2))/(LN(2)/2)*GH144*GK144*VLOOKUP('Données projet'!$B$17,Paramètres!$A$1:$I$89,3,0)*0.475*44/12</f>
        <v>0</v>
      </c>
      <c r="GO144" s="23">
        <f t="shared" si="135"/>
        <v>0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-2.2737367544323206E-13</v>
      </c>
      <c r="GV144" s="18">
        <f>GU144*VLOOKUP('Données projet'!$B$18,Paramètres!$A$1:$I$89,3,0)*VLOOKUP('Données projet'!$B$18,Paramètres!$A$1:$I$89,5,0)</f>
        <v>-1.5252226148732008E-13</v>
      </c>
      <c r="GW144" s="14" t="e">
        <f t="shared" si="159"/>
        <v>#NUM!</v>
      </c>
      <c r="GX144" s="22" t="e">
        <f t="shared" si="136"/>
        <v>#NUM!</v>
      </c>
      <c r="GY144" s="62" t="e">
        <f t="shared" si="137"/>
        <v>#NUM!</v>
      </c>
      <c r="GZ144" s="62">
        <f ca="1">AVERAGE(OFFSET($GY$3,0,0,'Données projet'!$E$18+1,1))-AVERAGE(OFFSET($H$3,0,0,'Données projet'!$E$18+1,1))</f>
        <v>410.20186800287411</v>
      </c>
      <c r="HA144" s="62">
        <f t="shared" si="160"/>
        <v>321.99347958016057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>
        <f>EXP(-LN(2)/35)*HG143+(1-EXP(-LN(2)/35))/(LN(2)/35)*HC144*HD144*VLOOKUP('Données projet'!$B$18,Paramètres!$A$1:$I$89,3,0)*0.475*44/12</f>
        <v>0</v>
      </c>
      <c r="HH144" s="23">
        <f>EXP(-LN(2)/25)*HH143+(1-EXP(-LN(2)/25))/(LN(2)/25)*Calculateur!HC144*Calculateur!HE144*VLOOKUP('Données projet'!$B$18,Paramètres!$A$1:$I$89,3,0)*0.475*44/12</f>
        <v>0</v>
      </c>
      <c r="HI144" s="23">
        <f>EXP(-LN(2)/2)*HI143+(1-EXP(-LN(2)/2))/(LN(2)/2)*HC144*HF144*VLOOKUP('Données projet'!$B$18,Paramètres!$A$1:$I$89,3,0)*0.475*44/12</f>
        <v>0</v>
      </c>
      <c r="HJ144" s="24">
        <f t="shared" si="138"/>
        <v>0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3.5</v>
      </c>
      <c r="N145" s="14">
        <f>IF('Données projet'!$A$36&gt;35,N144+M145-V144,IF(A145&lt;'Données projet'!$A$36,$K$205^A145,IF(A145='Données projet'!$A$36,'Données projet'!$B$36,N144+M145-V144)))</f>
        <v>306.99999999999955</v>
      </c>
      <c r="O145" s="14">
        <f>N145*VLOOKUP('Données projet'!$B$9,Paramètres!$A$1:$I$89,3,0)*VLOOKUP('Données projet'!$B$9,Paramètres!$A$1:$I$89,5,0)</f>
        <v>277.77359999999959</v>
      </c>
      <c r="P145" s="14">
        <f t="shared" si="141"/>
        <v>66.496288176842299</v>
      </c>
      <c r="Q145" s="22">
        <f t="shared" si="108"/>
        <v>599.60338857466627</v>
      </c>
      <c r="R145" s="62">
        <f t="shared" si="109"/>
        <v>892.93672190799953</v>
      </c>
      <c r="S145" s="62">
        <f ca="1">AVERAGE(OFFSET($R$3,0,0,'Données projet'!$E$9+1,1))-AVERAGE(OFFSET($H$3,0,0,'Données projet'!$E$9+1,1))</f>
        <v>509.56241660612449</v>
      </c>
      <c r="T145" s="62">
        <f t="shared" si="142"/>
        <v>278.21741231699929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3.5</v>
      </c>
      <c r="AI145" s="14">
        <f>IF('Données projet'!$A$62&gt;35,AI144+AH145-AQ144,IF(A145&lt;'Données projet'!$A$62,$AF$205^A145,IF(A145='Données projet'!$A$62,'Données projet'!$B$62,AI144+AH145-AQ144)))</f>
        <v>306.99999999999955</v>
      </c>
      <c r="AJ145" s="14">
        <f>AI145*VLOOKUP('Données projet'!$B$10,Paramètres!$A$1:$I$89,3,0)*VLOOKUP('Données projet'!$B$10,Paramètres!$A$1:$I$89,5,0)</f>
        <v>311.29799999999955</v>
      </c>
      <c r="AK145" s="14">
        <f t="shared" si="143"/>
        <v>73.53983827852862</v>
      </c>
      <c r="AL145" s="22">
        <f t="shared" si="112"/>
        <v>670.25923500176987</v>
      </c>
      <c r="AM145" s="62">
        <f t="shared" si="113"/>
        <v>963.59256833510312</v>
      </c>
      <c r="AN145" s="62">
        <f ca="1">AVERAGE(OFFSET($AM$3,0,0,'Données projet'!$E$10+1,1))-AVERAGE(OFFSET($H$3,0,0,'Données projet'!$E$10+1,1))</f>
        <v>565.72091871734051</v>
      </c>
      <c r="AO145" s="62">
        <f t="shared" si="144"/>
        <v>306.61893266146666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-5.6843418860808015E-14</v>
      </c>
      <c r="BE145" s="14">
        <f>BD145*VLOOKUP('Données projet'!$B$11,Paramètres!$A$1:$I$89,3,0)*VLOOKUP('Données projet'!$B$11,Paramètres!$A$1:$I$89,5,0)</f>
        <v>-4.1677594708744434E-14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344.26020118887629</v>
      </c>
      <c r="BJ145" s="62">
        <f t="shared" si="146"/>
        <v>376.41441893222185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3.5</v>
      </c>
      <c r="BY145" s="13">
        <f>IF('Données projet'!$A$114&gt;35,BY144+BX145-CG144,IF(A145&lt;'Données projet'!$A$114,$BV$205^A145,IF(A145='Données projet'!$A$114,'Données projet'!$B$114,BY144+BX145-CG144)))</f>
        <v>306.99999999999955</v>
      </c>
      <c r="BZ145" s="14">
        <f>BY145*VLOOKUP('Données projet'!$B$12,Paramètres!$A$1:$I$89,3,0)*VLOOKUP('Données projet'!$B$12,Paramètres!$A$1:$I$89,5,0)</f>
        <v>258.61679999999967</v>
      </c>
      <c r="CA145" s="14">
        <f t="shared" si="147"/>
        <v>62.427444141032382</v>
      </c>
      <c r="CB145" s="22">
        <f t="shared" si="118"/>
        <v>559.15205854563067</v>
      </c>
      <c r="CC145" s="62">
        <f t="shared" si="119"/>
        <v>852.48539187896404</v>
      </c>
      <c r="CD145" s="62">
        <f ca="1">AVERAGE(OFFSET($CC$3,0,0,'Données projet'!$E$12+1,1))-AVERAGE(OFFSET($H$3,0,0,'Données projet'!$E$12+1,1))</f>
        <v>477.4105367901771</v>
      </c>
      <c r="CE145" s="62">
        <f t="shared" si="148"/>
        <v>261.95434270986397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-6.2527760746888816E-13</v>
      </c>
      <c r="CU145" s="18">
        <f>CT145*VLOOKUP('Données projet'!$B$13,Paramètres!$A$1:$I$89,3,0)*VLOOKUP('Données projet'!$B$13,Paramètres!$A$1:$I$89,5,0)</f>
        <v>-2.9262992029543964E-13</v>
      </c>
      <c r="CV145" s="14" t="e">
        <f t="shared" si="149"/>
        <v>#NUM!</v>
      </c>
      <c r="CW145" s="22" t="e">
        <f t="shared" si="121"/>
        <v>#NUM!</v>
      </c>
      <c r="CX145" s="62" t="e">
        <f t="shared" si="122"/>
        <v>#NUM!</v>
      </c>
      <c r="CY145" s="62">
        <f ca="1">AVERAGE(OFFSET($CX$3,0,0,'Données projet'!$E$13+1,1))-AVERAGE(OFFSET($H$3,0,0,'Données projet'!$E$13+1,1))</f>
        <v>246.64907095367749</v>
      </c>
      <c r="CZ145" s="62">
        <f t="shared" si="150"/>
        <v>145.34368562171613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-5.6843418860808015E-14</v>
      </c>
      <c r="DP145" s="18">
        <f>DO145*VLOOKUP('Données projet'!$B$14,Paramètres!$A$1:$I$89,3,0)*VLOOKUP('Données projet'!$B$14,Paramètres!$A$1:$I$89,5,0)</f>
        <v>-4.5224624045658861E-14</v>
      </c>
      <c r="DQ145" s="14" t="e">
        <f t="shared" si="151"/>
        <v>#NUM!</v>
      </c>
      <c r="DR145" s="22" t="e">
        <f t="shared" si="124"/>
        <v>#NUM!</v>
      </c>
      <c r="DS145" s="62" t="e">
        <f t="shared" si="125"/>
        <v>#NUM!</v>
      </c>
      <c r="DT145" s="62">
        <f ca="1">AVERAGE(OFFSET($DS$3,0,0,'Données projet'!$E$14+1,1))-AVERAGE(OFFSET($H$3,0,0,'Données projet'!$E$14+1,1))</f>
        <v>370.38521334472284</v>
      </c>
      <c r="DU145" s="62">
        <f t="shared" si="152"/>
        <v>404.61777090709171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-1.1368683772161603E-13</v>
      </c>
      <c r="EK145" s="18">
        <f>EJ145*VLOOKUP('Données projet'!$B$15,Paramètres!$A$1:$I$89,3,0)*VLOOKUP('Données projet'!$B$15,Paramètres!$A$1:$I$89,5,0)</f>
        <v>-9.7543306765146564E-14</v>
      </c>
      <c r="EL145" s="14" t="e">
        <f t="shared" si="153"/>
        <v>#NUM!</v>
      </c>
      <c r="EM145" s="22" t="e">
        <f t="shared" si="127"/>
        <v>#NUM!</v>
      </c>
      <c r="EN145" s="62" t="e">
        <f t="shared" si="128"/>
        <v>#NUM!</v>
      </c>
      <c r="EO145" s="62">
        <f ca="1">AVERAGE(OFFSET($EN$3,0,0,'Données projet'!$E$15+1,1))-AVERAGE(OFFSET($H$3,0,0,'Données projet'!$E$15+1,1))</f>
        <v>445.81166342116865</v>
      </c>
      <c r="EP145" s="62">
        <f t="shared" si="154"/>
        <v>230.82970731138215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0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3.5</v>
      </c>
      <c r="FE145" s="13">
        <f>IF('Données projet'!$A$218&gt;35,FE144+FD145-FM144,IF(A145&lt;'Données projet'!$A$218,$FB$205^A145,IF(A145='Données projet'!$A$218,'Données projet'!$B$218,FE144+FD145-FM144)))</f>
        <v>306.99999999999955</v>
      </c>
      <c r="FF145" s="18">
        <f>FE145*VLOOKUP('Données projet'!$B$16,Paramètres!$A$1:$I$89,3,0)*VLOOKUP('Données projet'!$B$16,Paramètres!$A$1:$I$89,5,0)</f>
        <v>296.93039999999957</v>
      </c>
      <c r="FG145" s="14">
        <f t="shared" si="155"/>
        <v>70.532572734561199</v>
      </c>
      <c r="FH145" s="22">
        <f t="shared" si="130"/>
        <v>639.99801084602666</v>
      </c>
      <c r="FI145" s="62">
        <f t="shared" si="131"/>
        <v>933.33134417936003</v>
      </c>
      <c r="FJ145" s="62">
        <f ca="1">AVERAGE(OFFSET($FI$3,0,0,'Données projet'!$E$16+1,1))-AVERAGE(OFFSET($H$3,0,0,'Données projet'!$E$16+1,1))</f>
        <v>541.66888676162716</v>
      </c>
      <c r="FK145" s="62">
        <f t="shared" si="156"/>
        <v>294.45557293177131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>
        <f>EXP(-LN(2)/35)*FQ144+(1-EXP(-LN(2)/35))/(LN(2)/35)*FM145*FN145*VLOOKUP('Données projet'!$B$16,Paramètres!$A$1:$I$89,3,0)*0.475*44/12</f>
        <v>0</v>
      </c>
      <c r="FR145" s="23">
        <f>EXP(-LN(2)/25)*FR144+(1-EXP(-LN(2)/25))/(LN(2)/25)*Calculateur!FM145*Calculateur!FO145*VLOOKUP('Données projet'!$B$16,Paramètres!$A$1:$I$89,3,0)*0.475*44/12</f>
        <v>0</v>
      </c>
      <c r="FS145" s="23">
        <f>EXP(-LN(2)/2)*FS144+(1-EXP(-LN(2)/2))/(LN(2)/2)*FM145*FP145*VLOOKUP('Données projet'!$B$16,Paramètres!$A$1:$I$89,3,0)*0.475*44/12</f>
        <v>0</v>
      </c>
      <c r="FT145" s="24">
        <f t="shared" si="132"/>
        <v>0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1.1368683772161603E-13</v>
      </c>
      <c r="GA145" s="18">
        <f>FZ145*VLOOKUP('Données projet'!$B$17,Paramètres!$A$1:$I$89,3,0)*VLOOKUP('Données projet'!$B$17,Paramètres!$A$1:$I$89,5,0)</f>
        <v>8.8675733422860506E-14</v>
      </c>
      <c r="GB145" s="14">
        <f t="shared" si="157"/>
        <v>1.3509285393066301E-12</v>
      </c>
      <c r="GC145" s="22">
        <f t="shared" si="133"/>
        <v>2.5073107750038623E-12</v>
      </c>
      <c r="GD145" s="62">
        <f t="shared" si="134"/>
        <v>293.33333333333582</v>
      </c>
      <c r="GE145" s="62">
        <f ca="1">AVERAGE(OFFSET($GD$3,0,0,'Données projet'!$E$17+1,1))-AVERAGE(OFFSET($H$3,0,0,'Données projet'!$E$17+1,1))</f>
        <v>292.57482726862594</v>
      </c>
      <c r="GF145" s="62">
        <f t="shared" si="158"/>
        <v>283.48738729114024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>
        <f>EXP(-LN(2)/35)*GL144+(1-EXP(-LN(2)/35))/(LN(2)/35)*GH145*GI145*VLOOKUP('Données projet'!$B$17,Paramètres!$A$1:$I$89,3,0)*0.475*44/12</f>
        <v>0</v>
      </c>
      <c r="GM145" s="23">
        <f>EXP(-LN(2)/25)*GM144+(1-EXP(-LN(2)/25))/(LN(2)/25)*Calculateur!GH145*Calculateur!GJ145*VLOOKUP('Données projet'!$B$17,Paramètres!$A$1:$I$89,3,0)*0.475*44/12</f>
        <v>0</v>
      </c>
      <c r="GN145" s="23">
        <f>EXP(-LN(2)/2)*GN144+(1-EXP(-LN(2)/2))/(LN(2)/2)*GH145*GK145*VLOOKUP('Données projet'!$B$17,Paramètres!$A$1:$I$89,3,0)*0.475*44/12</f>
        <v>0</v>
      </c>
      <c r="GO145" s="23">
        <f t="shared" si="135"/>
        <v>0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-2.2737367544323206E-13</v>
      </c>
      <c r="GV145" s="18">
        <f>GU145*VLOOKUP('Données projet'!$B$18,Paramètres!$A$1:$I$89,3,0)*VLOOKUP('Données projet'!$B$18,Paramètres!$A$1:$I$89,5,0)</f>
        <v>-1.5252226148732008E-13</v>
      </c>
      <c r="GW145" s="14" t="e">
        <f t="shared" si="159"/>
        <v>#NUM!</v>
      </c>
      <c r="GX145" s="22" t="e">
        <f t="shared" si="136"/>
        <v>#NUM!</v>
      </c>
      <c r="GY145" s="62" t="e">
        <f t="shared" si="137"/>
        <v>#NUM!</v>
      </c>
      <c r="GZ145" s="62">
        <f ca="1">AVERAGE(OFFSET($GY$3,0,0,'Données projet'!$E$18+1,1))-AVERAGE(OFFSET($H$3,0,0,'Données projet'!$E$18+1,1))</f>
        <v>410.20186800287411</v>
      </c>
      <c r="HA145" s="62">
        <f t="shared" si="160"/>
        <v>321.99347958016057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>
        <f>EXP(-LN(2)/35)*HG144+(1-EXP(-LN(2)/35))/(LN(2)/35)*HC145*HD145*VLOOKUP('Données projet'!$B$18,Paramètres!$A$1:$I$89,3,0)*0.475*44/12</f>
        <v>0</v>
      </c>
      <c r="HH145" s="23">
        <f>EXP(-LN(2)/25)*HH144+(1-EXP(-LN(2)/25))/(LN(2)/25)*Calculateur!HC145*Calculateur!HE145*VLOOKUP('Données projet'!$B$18,Paramètres!$A$1:$I$89,3,0)*0.475*44/12</f>
        <v>0</v>
      </c>
      <c r="HI145" s="23">
        <f>EXP(-LN(2)/2)*HI144+(1-EXP(-LN(2)/2))/(LN(2)/2)*HC145*HF145*VLOOKUP('Données projet'!$B$18,Paramètres!$A$1:$I$89,3,0)*0.475*44/12</f>
        <v>0</v>
      </c>
      <c r="HJ145" s="24">
        <f t="shared" si="138"/>
        <v>0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3.5</v>
      </c>
      <c r="N146" s="14">
        <f>IF('Données projet'!$A$36&gt;35,N145+M146-V145,IF(A146&lt;'Données projet'!$A$36,$K$205^A146,IF(A146='Données projet'!$A$36,'Données projet'!$B$36,N145+M146-V145)))</f>
        <v>310.49999999999955</v>
      </c>
      <c r="O146" s="14">
        <f>N146*VLOOKUP('Données projet'!$B$9,Paramètres!$A$1:$I$89,3,0)*VLOOKUP('Données projet'!$B$9,Paramètres!$A$1:$I$89,5,0)</f>
        <v>280.94039999999956</v>
      </c>
      <c r="P146" s="14">
        <f t="shared" si="141"/>
        <v>67.165703636653078</v>
      </c>
      <c r="Q146" s="22">
        <f t="shared" si="108"/>
        <v>606.28479716716993</v>
      </c>
      <c r="R146" s="62">
        <f t="shared" si="109"/>
        <v>899.61813050050318</v>
      </c>
      <c r="S146" s="62">
        <f ca="1">AVERAGE(OFFSET($R$3,0,0,'Données projet'!$E$9+1,1))-AVERAGE(OFFSET($H$3,0,0,'Données projet'!$E$9+1,1))</f>
        <v>509.56241660612449</v>
      </c>
      <c r="T146" s="62">
        <f t="shared" si="142"/>
        <v>278.21741231699929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3.5</v>
      </c>
      <c r="AI146" s="14">
        <f>IF('Données projet'!$A$62&gt;35,AI145+AH146-AQ145,IF(A146&lt;'Données projet'!$A$62,$AF$205^A146,IF(A146='Données projet'!$A$62,'Données projet'!$B$62,AI145+AH146-AQ145)))</f>
        <v>310.49999999999955</v>
      </c>
      <c r="AJ146" s="14">
        <f>AI146*VLOOKUP('Données projet'!$B$10,Paramètres!$A$1:$I$89,3,0)*VLOOKUP('Données projet'!$B$10,Paramètres!$A$1:$I$89,5,0)</f>
        <v>314.84699999999953</v>
      </c>
      <c r="AK146" s="14">
        <f t="shared" si="143"/>
        <v>74.280160874050353</v>
      </c>
      <c r="AL146" s="22">
        <f t="shared" si="112"/>
        <v>677.7298051889702</v>
      </c>
      <c r="AM146" s="62">
        <f t="shared" si="113"/>
        <v>971.06313852230346</v>
      </c>
      <c r="AN146" s="62">
        <f ca="1">AVERAGE(OFFSET($AM$3,0,0,'Données projet'!$E$10+1,1))-AVERAGE(OFFSET($H$3,0,0,'Données projet'!$E$10+1,1))</f>
        <v>565.72091871734051</v>
      </c>
      <c r="AO146" s="62">
        <f t="shared" si="144"/>
        <v>306.61893266146666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-5.6843418860808015E-14</v>
      </c>
      <c r="BE146" s="14">
        <f>BD146*VLOOKUP('Données projet'!$B$11,Paramètres!$A$1:$I$89,3,0)*VLOOKUP('Données projet'!$B$11,Paramètres!$A$1:$I$89,5,0)</f>
        <v>-4.1677594708744434E-14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344.26020118887629</v>
      </c>
      <c r="BJ146" s="62">
        <f t="shared" si="146"/>
        <v>376.41441893222185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3.5</v>
      </c>
      <c r="BY146" s="13">
        <f>IF('Données projet'!$A$114&gt;35,BY145+BX146-CG145,IF(A146&lt;'Données projet'!$A$114,$BV$205^A146,IF(A146='Données projet'!$A$114,'Données projet'!$B$114,BY145+BX146-CG145)))</f>
        <v>310.49999999999955</v>
      </c>
      <c r="BZ146" s="14">
        <f>BY146*VLOOKUP('Données projet'!$B$12,Paramètres!$A$1:$I$89,3,0)*VLOOKUP('Données projet'!$B$12,Paramètres!$A$1:$I$89,5,0)</f>
        <v>261.56519999999961</v>
      </c>
      <c r="CA146" s="14">
        <f t="shared" si="147"/>
        <v>63.055898711509222</v>
      </c>
      <c r="CB146" s="22">
        <f t="shared" si="118"/>
        <v>565.38174692254449</v>
      </c>
      <c r="CC146" s="62">
        <f t="shared" si="119"/>
        <v>858.71508025587787</v>
      </c>
      <c r="CD146" s="62">
        <f ca="1">AVERAGE(OFFSET($CC$3,0,0,'Données projet'!$E$12+1,1))-AVERAGE(OFFSET($H$3,0,0,'Données projet'!$E$12+1,1))</f>
        <v>477.4105367901771</v>
      </c>
      <c r="CE146" s="62">
        <f t="shared" si="148"/>
        <v>261.95434270986397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-6.2527760746888816E-13</v>
      </c>
      <c r="CU146" s="18">
        <f>CT146*VLOOKUP('Données projet'!$B$13,Paramètres!$A$1:$I$89,3,0)*VLOOKUP('Données projet'!$B$13,Paramètres!$A$1:$I$89,5,0)</f>
        <v>-2.9262992029543964E-13</v>
      </c>
      <c r="CV146" s="14" t="e">
        <f t="shared" si="149"/>
        <v>#NUM!</v>
      </c>
      <c r="CW146" s="22" t="e">
        <f t="shared" si="121"/>
        <v>#NUM!</v>
      </c>
      <c r="CX146" s="62" t="e">
        <f t="shared" si="122"/>
        <v>#NUM!</v>
      </c>
      <c r="CY146" s="62">
        <f ca="1">AVERAGE(OFFSET($CX$3,0,0,'Données projet'!$E$13+1,1))-AVERAGE(OFFSET($H$3,0,0,'Données projet'!$E$13+1,1))</f>
        <v>246.64907095367749</v>
      </c>
      <c r="CZ146" s="62">
        <f t="shared" si="150"/>
        <v>145.34368562171613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-5.6843418860808015E-14</v>
      </c>
      <c r="DP146" s="18">
        <f>DO146*VLOOKUP('Données projet'!$B$14,Paramètres!$A$1:$I$89,3,0)*VLOOKUP('Données projet'!$B$14,Paramètres!$A$1:$I$89,5,0)</f>
        <v>-4.5224624045658861E-14</v>
      </c>
      <c r="DQ146" s="14" t="e">
        <f t="shared" si="151"/>
        <v>#NUM!</v>
      </c>
      <c r="DR146" s="22" t="e">
        <f t="shared" si="124"/>
        <v>#NUM!</v>
      </c>
      <c r="DS146" s="62" t="e">
        <f t="shared" si="125"/>
        <v>#NUM!</v>
      </c>
      <c r="DT146" s="62">
        <f ca="1">AVERAGE(OFFSET($DS$3,0,0,'Données projet'!$E$14+1,1))-AVERAGE(OFFSET($H$3,0,0,'Données projet'!$E$14+1,1))</f>
        <v>370.38521334472284</v>
      </c>
      <c r="DU146" s="62">
        <f t="shared" si="152"/>
        <v>404.61777090709171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-1.1368683772161603E-13</v>
      </c>
      <c r="EK146" s="18">
        <f>EJ146*VLOOKUP('Données projet'!$B$15,Paramètres!$A$1:$I$89,3,0)*VLOOKUP('Données projet'!$B$15,Paramètres!$A$1:$I$89,5,0)</f>
        <v>-9.7543306765146564E-14</v>
      </c>
      <c r="EL146" s="14" t="e">
        <f t="shared" si="153"/>
        <v>#NUM!</v>
      </c>
      <c r="EM146" s="22" t="e">
        <f t="shared" si="127"/>
        <v>#NUM!</v>
      </c>
      <c r="EN146" s="62" t="e">
        <f t="shared" si="128"/>
        <v>#NUM!</v>
      </c>
      <c r="EO146" s="62">
        <f ca="1">AVERAGE(OFFSET($EN$3,0,0,'Données projet'!$E$15+1,1))-AVERAGE(OFFSET($H$3,0,0,'Données projet'!$E$15+1,1))</f>
        <v>445.81166342116865</v>
      </c>
      <c r="EP146" s="62">
        <f t="shared" si="154"/>
        <v>230.82970731138215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0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3.5</v>
      </c>
      <c r="FE146" s="13">
        <f>IF('Données projet'!$A$218&gt;35,FE145+FD146-FM145,IF(A146&lt;'Données projet'!$A$218,$FB$205^A146,IF(A146='Données projet'!$A$218,'Données projet'!$B$218,FE145+FD146-FM145)))</f>
        <v>310.49999999999955</v>
      </c>
      <c r="FF146" s="18">
        <f>FE146*VLOOKUP('Données projet'!$B$16,Paramètres!$A$1:$I$89,3,0)*VLOOKUP('Données projet'!$B$16,Paramètres!$A$1:$I$89,5,0)</f>
        <v>300.31559999999956</v>
      </c>
      <c r="FG146" s="14">
        <f t="shared" si="155"/>
        <v>71.242621308749008</v>
      </c>
      <c r="FH146" s="22">
        <f t="shared" si="130"/>
        <v>647.13056877940369</v>
      </c>
      <c r="FI146" s="62">
        <f t="shared" si="131"/>
        <v>940.46390211273706</v>
      </c>
      <c r="FJ146" s="62">
        <f ca="1">AVERAGE(OFFSET($FI$3,0,0,'Données projet'!$E$16+1,1))-AVERAGE(OFFSET($H$3,0,0,'Données projet'!$E$16+1,1))</f>
        <v>541.66888676162716</v>
      </c>
      <c r="FK146" s="62">
        <f t="shared" si="156"/>
        <v>294.45557293177131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>
        <f>EXP(-LN(2)/35)*FQ145+(1-EXP(-LN(2)/35))/(LN(2)/35)*FM146*FN146*VLOOKUP('Données projet'!$B$16,Paramètres!$A$1:$I$89,3,0)*0.475*44/12</f>
        <v>0</v>
      </c>
      <c r="FR146" s="23">
        <f>EXP(-LN(2)/25)*FR145+(1-EXP(-LN(2)/25))/(LN(2)/25)*Calculateur!FM146*Calculateur!FO146*VLOOKUP('Données projet'!$B$16,Paramètres!$A$1:$I$89,3,0)*0.475*44/12</f>
        <v>0</v>
      </c>
      <c r="FS146" s="23">
        <f>EXP(-LN(2)/2)*FS145+(1-EXP(-LN(2)/2))/(LN(2)/2)*FM146*FP146*VLOOKUP('Données projet'!$B$16,Paramètres!$A$1:$I$89,3,0)*0.475*44/12</f>
        <v>0</v>
      </c>
      <c r="FT146" s="24">
        <f t="shared" si="132"/>
        <v>0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1.1368683772161603E-13</v>
      </c>
      <c r="GA146" s="18">
        <f>FZ146*VLOOKUP('Données projet'!$B$17,Paramètres!$A$1:$I$89,3,0)*VLOOKUP('Données projet'!$B$17,Paramètres!$A$1:$I$89,5,0)</f>
        <v>8.8675733422860506E-14</v>
      </c>
      <c r="GB146" s="14">
        <f t="shared" si="157"/>
        <v>1.3509285393066301E-12</v>
      </c>
      <c r="GC146" s="22">
        <f t="shared" si="133"/>
        <v>2.5073107750038623E-12</v>
      </c>
      <c r="GD146" s="62">
        <f t="shared" si="134"/>
        <v>293.33333333333582</v>
      </c>
      <c r="GE146" s="62">
        <f ca="1">AVERAGE(OFFSET($GD$3,0,0,'Données projet'!$E$17+1,1))-AVERAGE(OFFSET($H$3,0,0,'Données projet'!$E$17+1,1))</f>
        <v>292.57482726862594</v>
      </c>
      <c r="GF146" s="62">
        <f t="shared" si="158"/>
        <v>283.48738729114024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>
        <f>EXP(-LN(2)/35)*GL145+(1-EXP(-LN(2)/35))/(LN(2)/35)*GH146*GI146*VLOOKUP('Données projet'!$B$17,Paramètres!$A$1:$I$89,3,0)*0.475*44/12</f>
        <v>0</v>
      </c>
      <c r="GM146" s="23">
        <f>EXP(-LN(2)/25)*GM145+(1-EXP(-LN(2)/25))/(LN(2)/25)*Calculateur!GH146*Calculateur!GJ146*VLOOKUP('Données projet'!$B$17,Paramètres!$A$1:$I$89,3,0)*0.475*44/12</f>
        <v>0</v>
      </c>
      <c r="GN146" s="23">
        <f>EXP(-LN(2)/2)*GN145+(1-EXP(-LN(2)/2))/(LN(2)/2)*GH146*GK146*VLOOKUP('Données projet'!$B$17,Paramètres!$A$1:$I$89,3,0)*0.475*44/12</f>
        <v>0</v>
      </c>
      <c r="GO146" s="23">
        <f t="shared" si="135"/>
        <v>0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-2.2737367544323206E-13</v>
      </c>
      <c r="GV146" s="18">
        <f>GU146*VLOOKUP('Données projet'!$B$18,Paramètres!$A$1:$I$89,3,0)*VLOOKUP('Données projet'!$B$18,Paramètres!$A$1:$I$89,5,0)</f>
        <v>-1.5252226148732008E-13</v>
      </c>
      <c r="GW146" s="14" t="e">
        <f t="shared" si="159"/>
        <v>#NUM!</v>
      </c>
      <c r="GX146" s="22" t="e">
        <f t="shared" si="136"/>
        <v>#NUM!</v>
      </c>
      <c r="GY146" s="62" t="e">
        <f t="shared" si="137"/>
        <v>#NUM!</v>
      </c>
      <c r="GZ146" s="62">
        <f ca="1">AVERAGE(OFFSET($GY$3,0,0,'Données projet'!$E$18+1,1))-AVERAGE(OFFSET($H$3,0,0,'Données projet'!$E$18+1,1))</f>
        <v>410.20186800287411</v>
      </c>
      <c r="HA146" s="62">
        <f t="shared" si="160"/>
        <v>321.99347958016057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>
        <f>EXP(-LN(2)/35)*HG145+(1-EXP(-LN(2)/35))/(LN(2)/35)*HC146*HD146*VLOOKUP('Données projet'!$B$18,Paramètres!$A$1:$I$89,3,0)*0.475*44/12</f>
        <v>0</v>
      </c>
      <c r="HH146" s="23">
        <f>EXP(-LN(2)/25)*HH145+(1-EXP(-LN(2)/25))/(LN(2)/25)*Calculateur!HC146*Calculateur!HE146*VLOOKUP('Données projet'!$B$18,Paramètres!$A$1:$I$89,3,0)*0.475*44/12</f>
        <v>0</v>
      </c>
      <c r="HI146" s="23">
        <f>EXP(-LN(2)/2)*HI145+(1-EXP(-LN(2)/2))/(LN(2)/2)*HC146*HF146*VLOOKUP('Données projet'!$B$18,Paramètres!$A$1:$I$89,3,0)*0.475*44/12</f>
        <v>0</v>
      </c>
      <c r="HJ146" s="24">
        <f t="shared" si="138"/>
        <v>0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3.5</v>
      </c>
      <c r="N147" s="14">
        <f>IF('Données projet'!$A$36&gt;35,N146+M147-V146,IF(A147&lt;'Données projet'!$A$36,$K$205^A147,IF(A147='Données projet'!$A$36,'Données projet'!$B$36,N146+M147-V146)))</f>
        <v>313.99999999999955</v>
      </c>
      <c r="O147" s="14">
        <f>N147*VLOOKUP('Données projet'!$B$9,Paramètres!$A$1:$I$89,3,0)*VLOOKUP('Données projet'!$B$9,Paramètres!$A$1:$I$89,5,0)</f>
        <v>284.10719999999958</v>
      </c>
      <c r="P147" s="14">
        <f t="shared" si="141"/>
        <v>67.834241327943658</v>
      </c>
      <c r="Q147" s="22">
        <f t="shared" si="108"/>
        <v>612.96467697950118</v>
      </c>
      <c r="R147" s="62">
        <f t="shared" si="109"/>
        <v>906.29801031283455</v>
      </c>
      <c r="S147" s="62">
        <f ca="1">AVERAGE(OFFSET($R$3,0,0,'Données projet'!$E$9+1,1))-AVERAGE(OFFSET($H$3,0,0,'Données projet'!$E$9+1,1))</f>
        <v>509.56241660612449</v>
      </c>
      <c r="T147" s="62">
        <f t="shared" si="142"/>
        <v>278.21741231699929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3.5</v>
      </c>
      <c r="AI147" s="14">
        <f>IF('Données projet'!$A$62&gt;35,AI146+AH147-AQ146,IF(A147&lt;'Données projet'!$A$62,$AF$205^A147,IF(A147='Données projet'!$A$62,'Données projet'!$B$62,AI146+AH147-AQ146)))</f>
        <v>313.99999999999955</v>
      </c>
      <c r="AJ147" s="14">
        <f>AI147*VLOOKUP('Données projet'!$B$10,Paramètres!$A$1:$I$89,3,0)*VLOOKUP('Données projet'!$B$10,Paramètres!$A$1:$I$89,5,0)</f>
        <v>318.39599999999956</v>
      </c>
      <c r="AK147" s="14">
        <f t="shared" si="143"/>
        <v>75.019512724334874</v>
      </c>
      <c r="AL147" s="22">
        <f t="shared" si="112"/>
        <v>685.19868466154912</v>
      </c>
      <c r="AM147" s="62">
        <f t="shared" si="113"/>
        <v>978.53201799488238</v>
      </c>
      <c r="AN147" s="62">
        <f ca="1">AVERAGE(OFFSET($AM$3,0,0,'Données projet'!$E$10+1,1))-AVERAGE(OFFSET($H$3,0,0,'Données projet'!$E$10+1,1))</f>
        <v>565.72091871734051</v>
      </c>
      <c r="AO147" s="62">
        <f t="shared" si="144"/>
        <v>306.61893266146666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-5.6843418860808015E-14</v>
      </c>
      <c r="BE147" s="14">
        <f>BD147*VLOOKUP('Données projet'!$B$11,Paramètres!$A$1:$I$89,3,0)*VLOOKUP('Données projet'!$B$11,Paramètres!$A$1:$I$89,5,0)</f>
        <v>-4.1677594708744434E-14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344.26020118887629</v>
      </c>
      <c r="BJ147" s="62">
        <f t="shared" si="146"/>
        <v>376.41441893222185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3.5</v>
      </c>
      <c r="BY147" s="13">
        <f>IF('Données projet'!$A$114&gt;35,BY146+BX147-CG146,IF(A147&lt;'Données projet'!$A$114,$BV$205^A147,IF(A147='Données projet'!$A$114,'Données projet'!$B$114,BY146+BX147-CG146)))</f>
        <v>313.99999999999955</v>
      </c>
      <c r="BZ147" s="14">
        <f>BY147*VLOOKUP('Données projet'!$B$12,Paramètres!$A$1:$I$89,3,0)*VLOOKUP('Données projet'!$B$12,Paramètres!$A$1:$I$89,5,0)</f>
        <v>264.51359999999966</v>
      </c>
      <c r="CA147" s="14">
        <f t="shared" si="147"/>
        <v>63.683529223278924</v>
      </c>
      <c r="CB147" s="22">
        <f t="shared" si="118"/>
        <v>571.61000006387678</v>
      </c>
      <c r="CC147" s="62">
        <f t="shared" si="119"/>
        <v>864.94333339721015</v>
      </c>
      <c r="CD147" s="62">
        <f ca="1">AVERAGE(OFFSET($CC$3,0,0,'Données projet'!$E$12+1,1))-AVERAGE(OFFSET($H$3,0,0,'Données projet'!$E$12+1,1))</f>
        <v>477.4105367901771</v>
      </c>
      <c r="CE147" s="62">
        <f t="shared" si="148"/>
        <v>261.95434270986397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-6.2527760746888816E-13</v>
      </c>
      <c r="CU147" s="18">
        <f>CT147*VLOOKUP('Données projet'!$B$13,Paramètres!$A$1:$I$89,3,0)*VLOOKUP('Données projet'!$B$13,Paramètres!$A$1:$I$89,5,0)</f>
        <v>-2.9262992029543964E-13</v>
      </c>
      <c r="CV147" s="14" t="e">
        <f t="shared" si="149"/>
        <v>#NUM!</v>
      </c>
      <c r="CW147" s="22" t="e">
        <f t="shared" si="121"/>
        <v>#NUM!</v>
      </c>
      <c r="CX147" s="62" t="e">
        <f t="shared" si="122"/>
        <v>#NUM!</v>
      </c>
      <c r="CY147" s="62">
        <f ca="1">AVERAGE(OFFSET($CX$3,0,0,'Données projet'!$E$13+1,1))-AVERAGE(OFFSET($H$3,0,0,'Données projet'!$E$13+1,1))</f>
        <v>246.64907095367749</v>
      </c>
      <c r="CZ147" s="62">
        <f t="shared" si="150"/>
        <v>145.34368562171613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-5.6843418860808015E-14</v>
      </c>
      <c r="DP147" s="18">
        <f>DO147*VLOOKUP('Données projet'!$B$14,Paramètres!$A$1:$I$89,3,0)*VLOOKUP('Données projet'!$B$14,Paramètres!$A$1:$I$89,5,0)</f>
        <v>-4.5224624045658861E-14</v>
      </c>
      <c r="DQ147" s="14" t="e">
        <f t="shared" si="151"/>
        <v>#NUM!</v>
      </c>
      <c r="DR147" s="22" t="e">
        <f t="shared" si="124"/>
        <v>#NUM!</v>
      </c>
      <c r="DS147" s="62" t="e">
        <f t="shared" si="125"/>
        <v>#NUM!</v>
      </c>
      <c r="DT147" s="62">
        <f ca="1">AVERAGE(OFFSET($DS$3,0,0,'Données projet'!$E$14+1,1))-AVERAGE(OFFSET($H$3,0,0,'Données projet'!$E$14+1,1))</f>
        <v>370.38521334472284</v>
      </c>
      <c r="DU147" s="62">
        <f t="shared" si="152"/>
        <v>404.61777090709171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-1.1368683772161603E-13</v>
      </c>
      <c r="EK147" s="18">
        <f>EJ147*VLOOKUP('Données projet'!$B$15,Paramètres!$A$1:$I$89,3,0)*VLOOKUP('Données projet'!$B$15,Paramètres!$A$1:$I$89,5,0)</f>
        <v>-9.7543306765146564E-14</v>
      </c>
      <c r="EL147" s="14" t="e">
        <f t="shared" si="153"/>
        <v>#NUM!</v>
      </c>
      <c r="EM147" s="22" t="e">
        <f t="shared" si="127"/>
        <v>#NUM!</v>
      </c>
      <c r="EN147" s="62" t="e">
        <f t="shared" si="128"/>
        <v>#NUM!</v>
      </c>
      <c r="EO147" s="62">
        <f ca="1">AVERAGE(OFFSET($EN$3,0,0,'Données projet'!$E$15+1,1))-AVERAGE(OFFSET($H$3,0,0,'Données projet'!$E$15+1,1))</f>
        <v>445.81166342116865</v>
      </c>
      <c r="EP147" s="62">
        <f t="shared" si="154"/>
        <v>230.82970731138215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0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3.5</v>
      </c>
      <c r="FE147" s="13">
        <f>IF('Données projet'!$A$218&gt;35,FE146+FD147-FM146,IF(A147&lt;'Données projet'!$A$218,$FB$205^A147,IF(A147='Données projet'!$A$218,'Données projet'!$B$218,FE146+FD147-FM146)))</f>
        <v>313.99999999999955</v>
      </c>
      <c r="FF147" s="18">
        <f>FE147*VLOOKUP('Données projet'!$B$16,Paramètres!$A$1:$I$89,3,0)*VLOOKUP('Données projet'!$B$16,Paramètres!$A$1:$I$89,5,0)</f>
        <v>303.70079999999956</v>
      </c>
      <c r="FG147" s="14">
        <f t="shared" si="155"/>
        <v>71.95173883439702</v>
      </c>
      <c r="FH147" s="22">
        <f t="shared" si="130"/>
        <v>654.26150513657399</v>
      </c>
      <c r="FI147" s="62">
        <f t="shared" si="131"/>
        <v>947.59483846990724</v>
      </c>
      <c r="FJ147" s="62">
        <f ca="1">AVERAGE(OFFSET($FI$3,0,0,'Données projet'!$E$16+1,1))-AVERAGE(OFFSET($H$3,0,0,'Données projet'!$E$16+1,1))</f>
        <v>541.66888676162716</v>
      </c>
      <c r="FK147" s="62">
        <f t="shared" si="156"/>
        <v>294.45557293177131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>
        <f>EXP(-LN(2)/35)*FQ146+(1-EXP(-LN(2)/35))/(LN(2)/35)*FM147*FN147*VLOOKUP('Données projet'!$B$16,Paramètres!$A$1:$I$89,3,0)*0.475*44/12</f>
        <v>0</v>
      </c>
      <c r="FR147" s="23">
        <f>EXP(-LN(2)/25)*FR146+(1-EXP(-LN(2)/25))/(LN(2)/25)*Calculateur!FM147*Calculateur!FO147*VLOOKUP('Données projet'!$B$16,Paramètres!$A$1:$I$89,3,0)*0.475*44/12</f>
        <v>0</v>
      </c>
      <c r="FS147" s="23">
        <f>EXP(-LN(2)/2)*FS146+(1-EXP(-LN(2)/2))/(LN(2)/2)*FM147*FP147*VLOOKUP('Données projet'!$B$16,Paramètres!$A$1:$I$89,3,0)*0.475*44/12</f>
        <v>0</v>
      </c>
      <c r="FT147" s="24">
        <f t="shared" si="132"/>
        <v>0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1.1368683772161603E-13</v>
      </c>
      <c r="GA147" s="18">
        <f>FZ147*VLOOKUP('Données projet'!$B$17,Paramètres!$A$1:$I$89,3,0)*VLOOKUP('Données projet'!$B$17,Paramètres!$A$1:$I$89,5,0)</f>
        <v>8.8675733422860506E-14</v>
      </c>
      <c r="GB147" s="14">
        <f t="shared" si="157"/>
        <v>1.3509285393066301E-12</v>
      </c>
      <c r="GC147" s="22">
        <f t="shared" si="133"/>
        <v>2.5073107750038623E-12</v>
      </c>
      <c r="GD147" s="62">
        <f t="shared" si="134"/>
        <v>293.33333333333582</v>
      </c>
      <c r="GE147" s="62">
        <f ca="1">AVERAGE(OFFSET($GD$3,0,0,'Données projet'!$E$17+1,1))-AVERAGE(OFFSET($H$3,0,0,'Données projet'!$E$17+1,1))</f>
        <v>292.57482726862594</v>
      </c>
      <c r="GF147" s="62">
        <f t="shared" si="158"/>
        <v>283.48738729114024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>
        <f>EXP(-LN(2)/35)*GL146+(1-EXP(-LN(2)/35))/(LN(2)/35)*GH147*GI147*VLOOKUP('Données projet'!$B$17,Paramètres!$A$1:$I$89,3,0)*0.475*44/12</f>
        <v>0</v>
      </c>
      <c r="GM147" s="23">
        <f>EXP(-LN(2)/25)*GM146+(1-EXP(-LN(2)/25))/(LN(2)/25)*Calculateur!GH147*Calculateur!GJ147*VLOOKUP('Données projet'!$B$17,Paramètres!$A$1:$I$89,3,0)*0.475*44/12</f>
        <v>0</v>
      </c>
      <c r="GN147" s="23">
        <f>EXP(-LN(2)/2)*GN146+(1-EXP(-LN(2)/2))/(LN(2)/2)*GH147*GK147*VLOOKUP('Données projet'!$B$17,Paramètres!$A$1:$I$89,3,0)*0.475*44/12</f>
        <v>0</v>
      </c>
      <c r="GO147" s="23">
        <f t="shared" si="135"/>
        <v>0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-2.2737367544323206E-13</v>
      </c>
      <c r="GV147" s="18">
        <f>GU147*VLOOKUP('Données projet'!$B$18,Paramètres!$A$1:$I$89,3,0)*VLOOKUP('Données projet'!$B$18,Paramètres!$A$1:$I$89,5,0)</f>
        <v>-1.5252226148732008E-13</v>
      </c>
      <c r="GW147" s="14" t="e">
        <f t="shared" si="159"/>
        <v>#NUM!</v>
      </c>
      <c r="GX147" s="22" t="e">
        <f t="shared" si="136"/>
        <v>#NUM!</v>
      </c>
      <c r="GY147" s="62" t="e">
        <f t="shared" si="137"/>
        <v>#NUM!</v>
      </c>
      <c r="GZ147" s="62">
        <f ca="1">AVERAGE(OFFSET($GY$3,0,0,'Données projet'!$E$18+1,1))-AVERAGE(OFFSET($H$3,0,0,'Données projet'!$E$18+1,1))</f>
        <v>410.20186800287411</v>
      </c>
      <c r="HA147" s="62">
        <f t="shared" si="160"/>
        <v>321.99347958016057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>
        <f>EXP(-LN(2)/35)*HG146+(1-EXP(-LN(2)/35))/(LN(2)/35)*HC147*HD147*VLOOKUP('Données projet'!$B$18,Paramètres!$A$1:$I$89,3,0)*0.475*44/12</f>
        <v>0</v>
      </c>
      <c r="HH147" s="23">
        <f>EXP(-LN(2)/25)*HH146+(1-EXP(-LN(2)/25))/(LN(2)/25)*Calculateur!HC147*Calculateur!HE147*VLOOKUP('Données projet'!$B$18,Paramètres!$A$1:$I$89,3,0)*0.475*44/12</f>
        <v>0</v>
      </c>
      <c r="HI147" s="23">
        <f>EXP(-LN(2)/2)*HI146+(1-EXP(-LN(2)/2))/(LN(2)/2)*HC147*HF147*VLOOKUP('Données projet'!$B$18,Paramètres!$A$1:$I$89,3,0)*0.475*44/12</f>
        <v>0</v>
      </c>
      <c r="HJ147" s="24">
        <f t="shared" si="138"/>
        <v>0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3.5</v>
      </c>
      <c r="N148" s="14">
        <f>IF('Données projet'!$A$36&gt;35,N147+M148-V147,IF(A148&lt;'Données projet'!$A$36,$K$205^A148,IF(A148='Données projet'!$A$36,'Données projet'!$B$36,N147+M148-V147)))</f>
        <v>317.49999999999955</v>
      </c>
      <c r="O148" s="14">
        <f>N148*VLOOKUP('Données projet'!$B$9,Paramètres!$A$1:$I$89,3,0)*VLOOKUP('Données projet'!$B$9,Paramètres!$A$1:$I$89,5,0)</f>
        <v>287.2739999999996</v>
      </c>
      <c r="P148" s="14">
        <f t="shared" si="141"/>
        <v>68.501912166991971</v>
      </c>
      <c r="Q148" s="22">
        <f t="shared" si="108"/>
        <v>619.64304702417701</v>
      </c>
      <c r="R148" s="62">
        <f t="shared" si="109"/>
        <v>912.97638035751038</v>
      </c>
      <c r="S148" s="62">
        <f ca="1">AVERAGE(OFFSET($R$3,0,0,'Données projet'!$E$9+1,1))-AVERAGE(OFFSET($H$3,0,0,'Données projet'!$E$9+1,1))</f>
        <v>509.56241660612449</v>
      </c>
      <c r="T148" s="62">
        <f t="shared" si="142"/>
        <v>278.21741231699929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3.5</v>
      </c>
      <c r="AI148" s="14">
        <f>IF('Données projet'!$A$62&gt;35,AI147+AH148-AQ147,IF(A148&lt;'Données projet'!$A$62,$AF$205^A148,IF(A148='Données projet'!$A$62,'Données projet'!$B$62,AI147+AH148-AQ147)))</f>
        <v>317.49999999999955</v>
      </c>
      <c r="AJ148" s="14">
        <f>AI148*VLOOKUP('Données projet'!$B$10,Paramètres!$A$1:$I$89,3,0)*VLOOKUP('Données projet'!$B$10,Paramètres!$A$1:$I$89,5,0)</f>
        <v>321.9449999999996</v>
      </c>
      <c r="AK148" s="14">
        <f t="shared" si="143"/>
        <v>75.757905901955908</v>
      </c>
      <c r="AL148" s="22">
        <f t="shared" si="112"/>
        <v>692.66589444590579</v>
      </c>
      <c r="AM148" s="62">
        <f t="shared" si="113"/>
        <v>985.99922777923916</v>
      </c>
      <c r="AN148" s="62">
        <f ca="1">AVERAGE(OFFSET($AM$3,0,0,'Données projet'!$E$10+1,1))-AVERAGE(OFFSET($H$3,0,0,'Données projet'!$E$10+1,1))</f>
        <v>565.72091871734051</v>
      </c>
      <c r="AO148" s="62">
        <f t="shared" si="144"/>
        <v>306.61893266146666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-5.6843418860808015E-14</v>
      </c>
      <c r="BE148" s="14">
        <f>BD148*VLOOKUP('Données projet'!$B$11,Paramètres!$A$1:$I$89,3,0)*VLOOKUP('Données projet'!$B$11,Paramètres!$A$1:$I$89,5,0)</f>
        <v>-4.1677594708744434E-14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344.26020118887629</v>
      </c>
      <c r="BJ148" s="62">
        <f t="shared" si="146"/>
        <v>376.41441893222185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3.5</v>
      </c>
      <c r="BY148" s="13">
        <f>IF('Données projet'!$A$114&gt;35,BY147+BX148-CG147,IF(A148&lt;'Données projet'!$A$114,$BV$205^A148,IF(A148='Données projet'!$A$114,'Données projet'!$B$114,BY147+BX148-CG147)))</f>
        <v>317.49999999999955</v>
      </c>
      <c r="BZ148" s="14">
        <f>BY148*VLOOKUP('Données projet'!$B$12,Paramètres!$A$1:$I$89,3,0)*VLOOKUP('Données projet'!$B$12,Paramètres!$A$1:$I$89,5,0)</f>
        <v>267.46199999999965</v>
      </c>
      <c r="CA148" s="14">
        <f t="shared" si="147"/>
        <v>64.310345924662812</v>
      </c>
      <c r="CB148" s="22">
        <f t="shared" si="118"/>
        <v>577.83683581878711</v>
      </c>
      <c r="CC148" s="62">
        <f t="shared" si="119"/>
        <v>871.17016915212048</v>
      </c>
      <c r="CD148" s="62">
        <f ca="1">AVERAGE(OFFSET($CC$3,0,0,'Données projet'!$E$12+1,1))-AVERAGE(OFFSET($H$3,0,0,'Données projet'!$E$12+1,1))</f>
        <v>477.4105367901771</v>
      </c>
      <c r="CE148" s="62">
        <f t="shared" si="148"/>
        <v>261.95434270986397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-6.2527760746888816E-13</v>
      </c>
      <c r="CU148" s="18">
        <f>CT148*VLOOKUP('Données projet'!$B$13,Paramètres!$A$1:$I$89,3,0)*VLOOKUP('Données projet'!$B$13,Paramètres!$A$1:$I$89,5,0)</f>
        <v>-2.9262992029543964E-13</v>
      </c>
      <c r="CV148" s="14" t="e">
        <f t="shared" si="149"/>
        <v>#NUM!</v>
      </c>
      <c r="CW148" s="22" t="e">
        <f t="shared" si="121"/>
        <v>#NUM!</v>
      </c>
      <c r="CX148" s="62" t="e">
        <f t="shared" si="122"/>
        <v>#NUM!</v>
      </c>
      <c r="CY148" s="62">
        <f ca="1">AVERAGE(OFFSET($CX$3,0,0,'Données projet'!$E$13+1,1))-AVERAGE(OFFSET($H$3,0,0,'Données projet'!$E$13+1,1))</f>
        <v>246.64907095367749</v>
      </c>
      <c r="CZ148" s="62">
        <f t="shared" si="150"/>
        <v>145.34368562171613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-5.6843418860808015E-14</v>
      </c>
      <c r="DP148" s="18">
        <f>DO148*VLOOKUP('Données projet'!$B$14,Paramètres!$A$1:$I$89,3,0)*VLOOKUP('Données projet'!$B$14,Paramètres!$A$1:$I$89,5,0)</f>
        <v>-4.5224624045658861E-14</v>
      </c>
      <c r="DQ148" s="14" t="e">
        <f t="shared" si="151"/>
        <v>#NUM!</v>
      </c>
      <c r="DR148" s="22" t="e">
        <f t="shared" si="124"/>
        <v>#NUM!</v>
      </c>
      <c r="DS148" s="62" t="e">
        <f t="shared" si="125"/>
        <v>#NUM!</v>
      </c>
      <c r="DT148" s="62">
        <f ca="1">AVERAGE(OFFSET($DS$3,0,0,'Données projet'!$E$14+1,1))-AVERAGE(OFFSET($H$3,0,0,'Données projet'!$E$14+1,1))</f>
        <v>370.38521334472284</v>
      </c>
      <c r="DU148" s="62">
        <f t="shared" si="152"/>
        <v>404.61777090709171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-1.1368683772161603E-13</v>
      </c>
      <c r="EK148" s="18">
        <f>EJ148*VLOOKUP('Données projet'!$B$15,Paramètres!$A$1:$I$89,3,0)*VLOOKUP('Données projet'!$B$15,Paramètres!$A$1:$I$89,5,0)</f>
        <v>-9.7543306765146564E-14</v>
      </c>
      <c r="EL148" s="14" t="e">
        <f t="shared" si="153"/>
        <v>#NUM!</v>
      </c>
      <c r="EM148" s="22" t="e">
        <f t="shared" si="127"/>
        <v>#NUM!</v>
      </c>
      <c r="EN148" s="62" t="e">
        <f t="shared" si="128"/>
        <v>#NUM!</v>
      </c>
      <c r="EO148" s="62">
        <f ca="1">AVERAGE(OFFSET($EN$3,0,0,'Données projet'!$E$15+1,1))-AVERAGE(OFFSET($H$3,0,0,'Données projet'!$E$15+1,1))</f>
        <v>445.81166342116865</v>
      </c>
      <c r="EP148" s="62">
        <f t="shared" si="154"/>
        <v>230.82970731138215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0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3.5</v>
      </c>
      <c r="FE148" s="13">
        <f>IF('Données projet'!$A$218&gt;35,FE147+FD148-FM147,IF(A148&lt;'Données projet'!$A$218,$FB$205^A148,IF(A148='Données projet'!$A$218,'Données projet'!$B$218,FE147+FD148-FM147)))</f>
        <v>317.49999999999955</v>
      </c>
      <c r="FF148" s="18">
        <f>FE148*VLOOKUP('Données projet'!$B$16,Paramètres!$A$1:$I$89,3,0)*VLOOKUP('Données projet'!$B$16,Paramètres!$A$1:$I$89,5,0)</f>
        <v>307.08599999999956</v>
      </c>
      <c r="FG148" s="14">
        <f t="shared" si="155"/>
        <v>72.659936890395059</v>
      </c>
      <c r="FH148" s="22">
        <f t="shared" si="130"/>
        <v>661.39084008410396</v>
      </c>
      <c r="FI148" s="62">
        <f t="shared" si="131"/>
        <v>954.72417341743721</v>
      </c>
      <c r="FJ148" s="62">
        <f ca="1">AVERAGE(OFFSET($FI$3,0,0,'Données projet'!$E$16+1,1))-AVERAGE(OFFSET($H$3,0,0,'Données projet'!$E$16+1,1))</f>
        <v>541.66888676162716</v>
      </c>
      <c r="FK148" s="62">
        <f t="shared" si="156"/>
        <v>294.45557293177131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>
        <f>EXP(-LN(2)/35)*FQ147+(1-EXP(-LN(2)/35))/(LN(2)/35)*FM148*FN148*VLOOKUP('Données projet'!$B$16,Paramètres!$A$1:$I$89,3,0)*0.475*44/12</f>
        <v>0</v>
      </c>
      <c r="FR148" s="23">
        <f>EXP(-LN(2)/25)*FR147+(1-EXP(-LN(2)/25))/(LN(2)/25)*Calculateur!FM148*Calculateur!FO148*VLOOKUP('Données projet'!$B$16,Paramètres!$A$1:$I$89,3,0)*0.475*44/12</f>
        <v>0</v>
      </c>
      <c r="FS148" s="23">
        <f>EXP(-LN(2)/2)*FS147+(1-EXP(-LN(2)/2))/(LN(2)/2)*FM148*FP148*VLOOKUP('Données projet'!$B$16,Paramètres!$A$1:$I$89,3,0)*0.475*44/12</f>
        <v>0</v>
      </c>
      <c r="FT148" s="24">
        <f t="shared" si="132"/>
        <v>0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1.1368683772161603E-13</v>
      </c>
      <c r="GA148" s="18">
        <f>FZ148*VLOOKUP('Données projet'!$B$17,Paramètres!$A$1:$I$89,3,0)*VLOOKUP('Données projet'!$B$17,Paramètres!$A$1:$I$89,5,0)</f>
        <v>8.8675733422860506E-14</v>
      </c>
      <c r="GB148" s="14">
        <f t="shared" si="157"/>
        <v>1.3509285393066301E-12</v>
      </c>
      <c r="GC148" s="22">
        <f t="shared" si="133"/>
        <v>2.5073107750038623E-12</v>
      </c>
      <c r="GD148" s="62">
        <f t="shared" si="134"/>
        <v>293.33333333333582</v>
      </c>
      <c r="GE148" s="62">
        <f ca="1">AVERAGE(OFFSET($GD$3,0,0,'Données projet'!$E$17+1,1))-AVERAGE(OFFSET($H$3,0,0,'Données projet'!$E$17+1,1))</f>
        <v>292.57482726862594</v>
      </c>
      <c r="GF148" s="62">
        <f t="shared" si="158"/>
        <v>283.48738729114024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>
        <f>EXP(-LN(2)/35)*GL147+(1-EXP(-LN(2)/35))/(LN(2)/35)*GH148*GI148*VLOOKUP('Données projet'!$B$17,Paramètres!$A$1:$I$89,3,0)*0.475*44/12</f>
        <v>0</v>
      </c>
      <c r="GM148" s="23">
        <f>EXP(-LN(2)/25)*GM147+(1-EXP(-LN(2)/25))/(LN(2)/25)*Calculateur!GH148*Calculateur!GJ148*VLOOKUP('Données projet'!$B$17,Paramètres!$A$1:$I$89,3,0)*0.475*44/12</f>
        <v>0</v>
      </c>
      <c r="GN148" s="23">
        <f>EXP(-LN(2)/2)*GN147+(1-EXP(-LN(2)/2))/(LN(2)/2)*GH148*GK148*VLOOKUP('Données projet'!$B$17,Paramètres!$A$1:$I$89,3,0)*0.475*44/12</f>
        <v>0</v>
      </c>
      <c r="GO148" s="23">
        <f t="shared" si="135"/>
        <v>0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-2.2737367544323206E-13</v>
      </c>
      <c r="GV148" s="18">
        <f>GU148*VLOOKUP('Données projet'!$B$18,Paramètres!$A$1:$I$89,3,0)*VLOOKUP('Données projet'!$B$18,Paramètres!$A$1:$I$89,5,0)</f>
        <v>-1.5252226148732008E-13</v>
      </c>
      <c r="GW148" s="14" t="e">
        <f t="shared" si="159"/>
        <v>#NUM!</v>
      </c>
      <c r="GX148" s="22" t="e">
        <f t="shared" si="136"/>
        <v>#NUM!</v>
      </c>
      <c r="GY148" s="62" t="e">
        <f t="shared" si="137"/>
        <v>#NUM!</v>
      </c>
      <c r="GZ148" s="62">
        <f ca="1">AVERAGE(OFFSET($GY$3,0,0,'Données projet'!$E$18+1,1))-AVERAGE(OFFSET($H$3,0,0,'Données projet'!$E$18+1,1))</f>
        <v>410.20186800287411</v>
      </c>
      <c r="HA148" s="62">
        <f t="shared" si="160"/>
        <v>321.99347958016057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>
        <f>EXP(-LN(2)/35)*HG147+(1-EXP(-LN(2)/35))/(LN(2)/35)*HC148*HD148*VLOOKUP('Données projet'!$B$18,Paramètres!$A$1:$I$89,3,0)*0.475*44/12</f>
        <v>0</v>
      </c>
      <c r="HH148" s="23">
        <f>EXP(-LN(2)/25)*HH147+(1-EXP(-LN(2)/25))/(LN(2)/25)*Calculateur!HC148*Calculateur!HE148*VLOOKUP('Données projet'!$B$18,Paramètres!$A$1:$I$89,3,0)*0.475*44/12</f>
        <v>0</v>
      </c>
      <c r="HI148" s="23">
        <f>EXP(-LN(2)/2)*HI147+(1-EXP(-LN(2)/2))/(LN(2)/2)*HC148*HF148*VLOOKUP('Données projet'!$B$18,Paramètres!$A$1:$I$89,3,0)*0.475*44/12</f>
        <v>0</v>
      </c>
      <c r="HJ148" s="24">
        <f t="shared" si="138"/>
        <v>0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3.5</v>
      </c>
      <c r="N149" s="14">
        <f>IF('Données projet'!$A$36&gt;35,N148+M149-V148,IF(A149&lt;'Données projet'!$A$36,$K$205^A149,IF(A149='Données projet'!$A$36,'Données projet'!$B$36,N148+M149-V148)))</f>
        <v>320.99999999999955</v>
      </c>
      <c r="O149" s="14">
        <f>N149*VLOOKUP('Données projet'!$B$9,Paramètres!$A$1:$I$89,3,0)*VLOOKUP('Données projet'!$B$9,Paramètres!$A$1:$I$89,5,0)</f>
        <v>290.44079999999957</v>
      </c>
      <c r="P149" s="14">
        <f t="shared" si="141"/>
        <v>69.168726815543238</v>
      </c>
      <c r="Q149" s="22">
        <f t="shared" si="108"/>
        <v>626.31992587040372</v>
      </c>
      <c r="R149" s="62">
        <f t="shared" si="109"/>
        <v>919.65325920373698</v>
      </c>
      <c r="S149" s="62">
        <f ca="1">AVERAGE(OFFSET($R$3,0,0,'Données projet'!$E$9+1,1))-AVERAGE(OFFSET($H$3,0,0,'Données projet'!$E$9+1,1))</f>
        <v>509.56241660612449</v>
      </c>
      <c r="T149" s="62">
        <f t="shared" si="142"/>
        <v>278.21741231699929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3.5</v>
      </c>
      <c r="AI149" s="14">
        <f>IF('Données projet'!$A$62&gt;35,AI148+AH149-AQ148,IF(A149&lt;'Données projet'!$A$62,$AF$205^A149,IF(A149='Données projet'!$A$62,'Données projet'!$B$62,AI148+AH149-AQ148)))</f>
        <v>320.99999999999955</v>
      </c>
      <c r="AJ149" s="14">
        <f>AI149*VLOOKUP('Données projet'!$B$10,Paramètres!$A$1:$I$89,3,0)*VLOOKUP('Données projet'!$B$10,Paramètres!$A$1:$I$89,5,0)</f>
        <v>325.49399999999957</v>
      </c>
      <c r="AK149" s="14">
        <f t="shared" si="143"/>
        <v>76.495352197992801</v>
      </c>
      <c r="AL149" s="22">
        <f t="shared" si="112"/>
        <v>700.13145507817001</v>
      </c>
      <c r="AM149" s="62">
        <f t="shared" si="113"/>
        <v>993.46478841150338</v>
      </c>
      <c r="AN149" s="62">
        <f ca="1">AVERAGE(OFFSET($AM$3,0,0,'Données projet'!$E$10+1,1))-AVERAGE(OFFSET($H$3,0,0,'Données projet'!$E$10+1,1))</f>
        <v>565.72091871734051</v>
      </c>
      <c r="AO149" s="62">
        <f t="shared" si="144"/>
        <v>306.61893266146666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-5.6843418860808015E-14</v>
      </c>
      <c r="BE149" s="14">
        <f>BD149*VLOOKUP('Données projet'!$B$11,Paramètres!$A$1:$I$89,3,0)*VLOOKUP('Données projet'!$B$11,Paramètres!$A$1:$I$89,5,0)</f>
        <v>-4.1677594708744434E-14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344.26020118887629</v>
      </c>
      <c r="BJ149" s="62">
        <f t="shared" si="146"/>
        <v>376.41441893222185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3.5</v>
      </c>
      <c r="BY149" s="13">
        <f>IF('Données projet'!$A$114&gt;35,BY148+BX149-CG148,IF(A149&lt;'Données projet'!$A$114,$BV$205^A149,IF(A149='Données projet'!$A$114,'Données projet'!$B$114,BY148+BX149-CG148)))</f>
        <v>320.99999999999955</v>
      </c>
      <c r="BZ149" s="14">
        <f>BY149*VLOOKUP('Données projet'!$B$12,Paramètres!$A$1:$I$89,3,0)*VLOOKUP('Données projet'!$B$12,Paramètres!$A$1:$I$89,5,0)</f>
        <v>270.41039999999964</v>
      </c>
      <c r="CA149" s="14">
        <f t="shared" si="147"/>
        <v>64.936358825024271</v>
      </c>
      <c r="CB149" s="22">
        <f t="shared" si="118"/>
        <v>584.06227162025004</v>
      </c>
      <c r="CC149" s="62">
        <f t="shared" si="119"/>
        <v>877.39560495358342</v>
      </c>
      <c r="CD149" s="62">
        <f ca="1">AVERAGE(OFFSET($CC$3,0,0,'Données projet'!$E$12+1,1))-AVERAGE(OFFSET($H$3,0,0,'Données projet'!$E$12+1,1))</f>
        <v>477.4105367901771</v>
      </c>
      <c r="CE149" s="62">
        <f t="shared" si="148"/>
        <v>261.95434270986397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-6.2527760746888816E-13</v>
      </c>
      <c r="CU149" s="18">
        <f>CT149*VLOOKUP('Données projet'!$B$13,Paramètres!$A$1:$I$89,3,0)*VLOOKUP('Données projet'!$B$13,Paramètres!$A$1:$I$89,5,0)</f>
        <v>-2.9262992029543964E-13</v>
      </c>
      <c r="CV149" s="14" t="e">
        <f t="shared" si="149"/>
        <v>#NUM!</v>
      </c>
      <c r="CW149" s="22" t="e">
        <f t="shared" si="121"/>
        <v>#NUM!</v>
      </c>
      <c r="CX149" s="62" t="e">
        <f t="shared" si="122"/>
        <v>#NUM!</v>
      </c>
      <c r="CY149" s="62">
        <f ca="1">AVERAGE(OFFSET($CX$3,0,0,'Données projet'!$E$13+1,1))-AVERAGE(OFFSET($H$3,0,0,'Données projet'!$E$13+1,1))</f>
        <v>246.64907095367749</v>
      </c>
      <c r="CZ149" s="62">
        <f t="shared" si="150"/>
        <v>145.34368562171613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-5.6843418860808015E-14</v>
      </c>
      <c r="DP149" s="18">
        <f>DO149*VLOOKUP('Données projet'!$B$14,Paramètres!$A$1:$I$89,3,0)*VLOOKUP('Données projet'!$B$14,Paramètres!$A$1:$I$89,5,0)</f>
        <v>-4.5224624045658861E-14</v>
      </c>
      <c r="DQ149" s="14" t="e">
        <f t="shared" si="151"/>
        <v>#NUM!</v>
      </c>
      <c r="DR149" s="22" t="e">
        <f t="shared" si="124"/>
        <v>#NUM!</v>
      </c>
      <c r="DS149" s="62" t="e">
        <f t="shared" si="125"/>
        <v>#NUM!</v>
      </c>
      <c r="DT149" s="62">
        <f ca="1">AVERAGE(OFFSET($DS$3,0,0,'Données projet'!$E$14+1,1))-AVERAGE(OFFSET($H$3,0,0,'Données projet'!$E$14+1,1))</f>
        <v>370.38521334472284</v>
      </c>
      <c r="DU149" s="62">
        <f t="shared" si="152"/>
        <v>404.61777090709171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-1.1368683772161603E-13</v>
      </c>
      <c r="EK149" s="18">
        <f>EJ149*VLOOKUP('Données projet'!$B$15,Paramètres!$A$1:$I$89,3,0)*VLOOKUP('Données projet'!$B$15,Paramètres!$A$1:$I$89,5,0)</f>
        <v>-9.7543306765146564E-14</v>
      </c>
      <c r="EL149" s="14" t="e">
        <f t="shared" si="153"/>
        <v>#NUM!</v>
      </c>
      <c r="EM149" s="22" t="e">
        <f t="shared" si="127"/>
        <v>#NUM!</v>
      </c>
      <c r="EN149" s="62" t="e">
        <f t="shared" si="128"/>
        <v>#NUM!</v>
      </c>
      <c r="EO149" s="62">
        <f ca="1">AVERAGE(OFFSET($EN$3,0,0,'Données projet'!$E$15+1,1))-AVERAGE(OFFSET($H$3,0,0,'Données projet'!$E$15+1,1))</f>
        <v>445.81166342116865</v>
      </c>
      <c r="EP149" s="62">
        <f t="shared" si="154"/>
        <v>230.82970731138215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0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3.5</v>
      </c>
      <c r="FE149" s="13">
        <f>IF('Données projet'!$A$218&gt;35,FE148+FD149-FM148,IF(A149&lt;'Données projet'!$A$218,$FB$205^A149,IF(A149='Données projet'!$A$218,'Données projet'!$B$218,FE148+FD149-FM148)))</f>
        <v>320.99999999999955</v>
      </c>
      <c r="FF149" s="18">
        <f>FE149*VLOOKUP('Données projet'!$B$16,Paramètres!$A$1:$I$89,3,0)*VLOOKUP('Données projet'!$B$16,Paramètres!$A$1:$I$89,5,0)</f>
        <v>310.47119999999956</v>
      </c>
      <c r="FG149" s="14">
        <f t="shared" si="155"/>
        <v>73.367226785649578</v>
      </c>
      <c r="FH149" s="22">
        <f t="shared" si="130"/>
        <v>668.51859331833884</v>
      </c>
      <c r="FI149" s="62">
        <f t="shared" si="131"/>
        <v>961.8519266516721</v>
      </c>
      <c r="FJ149" s="62">
        <f ca="1">AVERAGE(OFFSET($FI$3,0,0,'Données projet'!$E$16+1,1))-AVERAGE(OFFSET($H$3,0,0,'Données projet'!$E$16+1,1))</f>
        <v>541.66888676162716</v>
      </c>
      <c r="FK149" s="62">
        <f t="shared" si="156"/>
        <v>294.45557293177131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>
        <f>EXP(-LN(2)/35)*FQ148+(1-EXP(-LN(2)/35))/(LN(2)/35)*FM149*FN149*VLOOKUP('Données projet'!$B$16,Paramètres!$A$1:$I$89,3,0)*0.475*44/12</f>
        <v>0</v>
      </c>
      <c r="FR149" s="23">
        <f>EXP(-LN(2)/25)*FR148+(1-EXP(-LN(2)/25))/(LN(2)/25)*Calculateur!FM149*Calculateur!FO149*VLOOKUP('Données projet'!$B$16,Paramètres!$A$1:$I$89,3,0)*0.475*44/12</f>
        <v>0</v>
      </c>
      <c r="FS149" s="23">
        <f>EXP(-LN(2)/2)*FS148+(1-EXP(-LN(2)/2))/(LN(2)/2)*FM149*FP149*VLOOKUP('Données projet'!$B$16,Paramètres!$A$1:$I$89,3,0)*0.475*44/12</f>
        <v>0</v>
      </c>
      <c r="FT149" s="24">
        <f t="shared" si="132"/>
        <v>0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1.1368683772161603E-13</v>
      </c>
      <c r="GA149" s="18">
        <f>FZ149*VLOOKUP('Données projet'!$B$17,Paramètres!$A$1:$I$89,3,0)*VLOOKUP('Données projet'!$B$17,Paramètres!$A$1:$I$89,5,0)</f>
        <v>8.8675733422860506E-14</v>
      </c>
      <c r="GB149" s="14">
        <f t="shared" si="157"/>
        <v>1.3509285393066301E-12</v>
      </c>
      <c r="GC149" s="22">
        <f t="shared" si="133"/>
        <v>2.5073107750038623E-12</v>
      </c>
      <c r="GD149" s="62">
        <f t="shared" si="134"/>
        <v>293.33333333333582</v>
      </c>
      <c r="GE149" s="62">
        <f ca="1">AVERAGE(OFFSET($GD$3,0,0,'Données projet'!$E$17+1,1))-AVERAGE(OFFSET($H$3,0,0,'Données projet'!$E$17+1,1))</f>
        <v>292.57482726862594</v>
      </c>
      <c r="GF149" s="62">
        <f t="shared" si="158"/>
        <v>283.48738729114024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>
        <f>EXP(-LN(2)/35)*GL148+(1-EXP(-LN(2)/35))/(LN(2)/35)*GH149*GI149*VLOOKUP('Données projet'!$B$17,Paramètres!$A$1:$I$89,3,0)*0.475*44/12</f>
        <v>0</v>
      </c>
      <c r="GM149" s="23">
        <f>EXP(-LN(2)/25)*GM148+(1-EXP(-LN(2)/25))/(LN(2)/25)*Calculateur!GH149*Calculateur!GJ149*VLOOKUP('Données projet'!$B$17,Paramètres!$A$1:$I$89,3,0)*0.475*44/12</f>
        <v>0</v>
      </c>
      <c r="GN149" s="23">
        <f>EXP(-LN(2)/2)*GN148+(1-EXP(-LN(2)/2))/(LN(2)/2)*GH149*GK149*VLOOKUP('Données projet'!$B$17,Paramètres!$A$1:$I$89,3,0)*0.475*44/12</f>
        <v>0</v>
      </c>
      <c r="GO149" s="23">
        <f t="shared" si="135"/>
        <v>0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-2.2737367544323206E-13</v>
      </c>
      <c r="GV149" s="18">
        <f>GU149*VLOOKUP('Données projet'!$B$18,Paramètres!$A$1:$I$89,3,0)*VLOOKUP('Données projet'!$B$18,Paramètres!$A$1:$I$89,5,0)</f>
        <v>-1.5252226148732008E-13</v>
      </c>
      <c r="GW149" s="14" t="e">
        <f t="shared" si="159"/>
        <v>#NUM!</v>
      </c>
      <c r="GX149" s="22" t="e">
        <f t="shared" si="136"/>
        <v>#NUM!</v>
      </c>
      <c r="GY149" s="62" t="e">
        <f t="shared" si="137"/>
        <v>#NUM!</v>
      </c>
      <c r="GZ149" s="62">
        <f ca="1">AVERAGE(OFFSET($GY$3,0,0,'Données projet'!$E$18+1,1))-AVERAGE(OFFSET($H$3,0,0,'Données projet'!$E$18+1,1))</f>
        <v>410.20186800287411</v>
      </c>
      <c r="HA149" s="62">
        <f t="shared" si="160"/>
        <v>321.99347958016057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>
        <f>EXP(-LN(2)/35)*HG148+(1-EXP(-LN(2)/35))/(LN(2)/35)*HC149*HD149*VLOOKUP('Données projet'!$B$18,Paramètres!$A$1:$I$89,3,0)*0.475*44/12</f>
        <v>0</v>
      </c>
      <c r="HH149" s="23">
        <f>EXP(-LN(2)/25)*HH148+(1-EXP(-LN(2)/25))/(LN(2)/25)*Calculateur!HC149*Calculateur!HE149*VLOOKUP('Données projet'!$B$18,Paramètres!$A$1:$I$89,3,0)*0.475*44/12</f>
        <v>0</v>
      </c>
      <c r="HI149" s="23">
        <f>EXP(-LN(2)/2)*HI148+(1-EXP(-LN(2)/2))/(LN(2)/2)*HC149*HF149*VLOOKUP('Données projet'!$B$18,Paramètres!$A$1:$I$89,3,0)*0.475*44/12</f>
        <v>0</v>
      </c>
      <c r="HJ149" s="24">
        <f t="shared" si="138"/>
        <v>0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3.5</v>
      </c>
      <c r="N150" s="14">
        <f>IF('Données projet'!$A$36&gt;35,N149+M150-V149,IF(A150&lt;'Données projet'!$A$36,$K$205^A150,IF(A150='Données projet'!$A$36,'Données projet'!$B$36,N149+M150-V149)))</f>
        <v>324.49999999999955</v>
      </c>
      <c r="O150" s="14">
        <f>N150*VLOOKUP('Données projet'!$B$9,Paramètres!$A$1:$I$89,3,0)*VLOOKUP('Données projet'!$B$9,Paramètres!$A$1:$I$89,5,0)</f>
        <v>293.60759999999959</v>
      </c>
      <c r="P150" s="14">
        <f t="shared" si="141"/>
        <v>69.834695689453554</v>
      </c>
      <c r="Q150" s="22">
        <f t="shared" si="108"/>
        <v>632.99533165913078</v>
      </c>
      <c r="R150" s="62">
        <f t="shared" si="109"/>
        <v>926.32866499246416</v>
      </c>
      <c r="S150" s="62">
        <f ca="1">AVERAGE(OFFSET($R$3,0,0,'Données projet'!$E$9+1,1))-AVERAGE(OFFSET($H$3,0,0,'Données projet'!$E$9+1,1))</f>
        <v>509.56241660612449</v>
      </c>
      <c r="T150" s="62">
        <f t="shared" si="142"/>
        <v>278.21741231699929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3.5</v>
      </c>
      <c r="AI150" s="14">
        <f>IF('Données projet'!$A$62&gt;35,AI149+AH150-AQ149,IF(A150&lt;'Données projet'!$A$62,$AF$205^A150,IF(A150='Données projet'!$A$62,'Données projet'!$B$62,AI149+AH150-AQ149)))</f>
        <v>324.49999999999955</v>
      </c>
      <c r="AJ150" s="14">
        <f>AI150*VLOOKUP('Données projet'!$B$10,Paramètres!$A$1:$I$89,3,0)*VLOOKUP('Données projet'!$B$10,Paramètres!$A$1:$I$89,5,0)</f>
        <v>329.04299999999955</v>
      </c>
      <c r="AK150" s="14">
        <f t="shared" si="143"/>
        <v>77.231863131590359</v>
      </c>
      <c r="AL150" s="22">
        <f t="shared" si="112"/>
        <v>707.59538662085242</v>
      </c>
      <c r="AM150" s="62">
        <f t="shared" si="113"/>
        <v>1000.9287199541857</v>
      </c>
      <c r="AN150" s="62">
        <f ca="1">AVERAGE(OFFSET($AM$3,0,0,'Données projet'!$E$10+1,1))-AVERAGE(OFFSET($H$3,0,0,'Données projet'!$E$10+1,1))</f>
        <v>565.72091871734051</v>
      </c>
      <c r="AO150" s="62">
        <f t="shared" si="144"/>
        <v>306.61893266146666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-5.6843418860808015E-14</v>
      </c>
      <c r="BE150" s="14">
        <f>BD150*VLOOKUP('Données projet'!$B$11,Paramètres!$A$1:$I$89,3,0)*VLOOKUP('Données projet'!$B$11,Paramètres!$A$1:$I$89,5,0)</f>
        <v>-4.1677594708744434E-14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344.26020118887629</v>
      </c>
      <c r="BJ150" s="62">
        <f t="shared" si="146"/>
        <v>376.41441893222185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3.5</v>
      </c>
      <c r="BY150" s="13">
        <f>IF('Données projet'!$A$114&gt;35,BY149+BX150-CG149,IF(A150&lt;'Données projet'!$A$114,$BV$205^A150,IF(A150='Données projet'!$A$114,'Données projet'!$B$114,BY149+BX150-CG149)))</f>
        <v>324.49999999999955</v>
      </c>
      <c r="BZ150" s="14">
        <f>BY150*VLOOKUP('Données projet'!$B$12,Paramètres!$A$1:$I$89,3,0)*VLOOKUP('Données projet'!$B$12,Paramètres!$A$1:$I$89,5,0)</f>
        <v>273.35879999999963</v>
      </c>
      <c r="CA150" s="14">
        <f t="shared" si="147"/>
        <v>65.561577702883156</v>
      </c>
      <c r="CB150" s="22">
        <f t="shared" si="118"/>
        <v>590.28632449918746</v>
      </c>
      <c r="CC150" s="62">
        <f t="shared" si="119"/>
        <v>883.61965783252072</v>
      </c>
      <c r="CD150" s="62">
        <f ca="1">AVERAGE(OFFSET($CC$3,0,0,'Données projet'!$E$12+1,1))-AVERAGE(OFFSET($H$3,0,0,'Données projet'!$E$12+1,1))</f>
        <v>477.4105367901771</v>
      </c>
      <c r="CE150" s="62">
        <f t="shared" si="148"/>
        <v>261.95434270986397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-6.2527760746888816E-13</v>
      </c>
      <c r="CU150" s="18">
        <f>CT150*VLOOKUP('Données projet'!$B$13,Paramètres!$A$1:$I$89,3,0)*VLOOKUP('Données projet'!$B$13,Paramètres!$A$1:$I$89,5,0)</f>
        <v>-2.9262992029543964E-13</v>
      </c>
      <c r="CV150" s="14" t="e">
        <f t="shared" si="149"/>
        <v>#NUM!</v>
      </c>
      <c r="CW150" s="22" t="e">
        <f t="shared" si="121"/>
        <v>#NUM!</v>
      </c>
      <c r="CX150" s="62" t="e">
        <f t="shared" si="122"/>
        <v>#NUM!</v>
      </c>
      <c r="CY150" s="62">
        <f ca="1">AVERAGE(OFFSET($CX$3,0,0,'Données projet'!$E$13+1,1))-AVERAGE(OFFSET($H$3,0,0,'Données projet'!$E$13+1,1))</f>
        <v>246.64907095367749</v>
      </c>
      <c r="CZ150" s="62">
        <f t="shared" si="150"/>
        <v>145.34368562171613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-5.6843418860808015E-14</v>
      </c>
      <c r="DP150" s="18">
        <f>DO150*VLOOKUP('Données projet'!$B$14,Paramètres!$A$1:$I$89,3,0)*VLOOKUP('Données projet'!$B$14,Paramètres!$A$1:$I$89,5,0)</f>
        <v>-4.5224624045658861E-14</v>
      </c>
      <c r="DQ150" s="14" t="e">
        <f t="shared" si="151"/>
        <v>#NUM!</v>
      </c>
      <c r="DR150" s="22" t="e">
        <f t="shared" si="124"/>
        <v>#NUM!</v>
      </c>
      <c r="DS150" s="62" t="e">
        <f t="shared" si="125"/>
        <v>#NUM!</v>
      </c>
      <c r="DT150" s="62">
        <f ca="1">AVERAGE(OFFSET($DS$3,0,0,'Données projet'!$E$14+1,1))-AVERAGE(OFFSET($H$3,0,0,'Données projet'!$E$14+1,1))</f>
        <v>370.38521334472284</v>
      </c>
      <c r="DU150" s="62">
        <f t="shared" si="152"/>
        <v>404.61777090709171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-1.1368683772161603E-13</v>
      </c>
      <c r="EK150" s="18">
        <f>EJ150*VLOOKUP('Données projet'!$B$15,Paramètres!$A$1:$I$89,3,0)*VLOOKUP('Données projet'!$B$15,Paramètres!$A$1:$I$89,5,0)</f>
        <v>-9.7543306765146564E-14</v>
      </c>
      <c r="EL150" s="14" t="e">
        <f t="shared" si="153"/>
        <v>#NUM!</v>
      </c>
      <c r="EM150" s="22" t="e">
        <f t="shared" si="127"/>
        <v>#NUM!</v>
      </c>
      <c r="EN150" s="62" t="e">
        <f t="shared" si="128"/>
        <v>#NUM!</v>
      </c>
      <c r="EO150" s="62">
        <f ca="1">AVERAGE(OFFSET($EN$3,0,0,'Données projet'!$E$15+1,1))-AVERAGE(OFFSET($H$3,0,0,'Données projet'!$E$15+1,1))</f>
        <v>445.81166342116865</v>
      </c>
      <c r="EP150" s="62">
        <f t="shared" si="154"/>
        <v>230.82970731138215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0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3.5</v>
      </c>
      <c r="FE150" s="13">
        <f>IF('Données projet'!$A$218&gt;35,FE149+FD150-FM149,IF(A150&lt;'Données projet'!$A$218,$FB$205^A150,IF(A150='Données projet'!$A$218,'Données projet'!$B$218,FE149+FD150-FM149)))</f>
        <v>324.49999999999955</v>
      </c>
      <c r="FF150" s="18">
        <f>FE150*VLOOKUP('Données projet'!$B$16,Paramètres!$A$1:$I$89,3,0)*VLOOKUP('Données projet'!$B$16,Paramètres!$A$1:$I$89,5,0)</f>
        <v>313.85639999999955</v>
      </c>
      <c r="FG150" s="14">
        <f t="shared" si="155"/>
        <v>74.07361956825298</v>
      </c>
      <c r="FH150" s="22">
        <f t="shared" si="130"/>
        <v>675.64478408137313</v>
      </c>
      <c r="FI150" s="62">
        <f t="shared" si="131"/>
        <v>968.9781174147065</v>
      </c>
      <c r="FJ150" s="62">
        <f ca="1">AVERAGE(OFFSET($FI$3,0,0,'Données projet'!$E$16+1,1))-AVERAGE(OFFSET($H$3,0,0,'Données projet'!$E$16+1,1))</f>
        <v>541.66888676162716</v>
      </c>
      <c r="FK150" s="62">
        <f t="shared" si="156"/>
        <v>294.45557293177131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>
        <f>EXP(-LN(2)/35)*FQ149+(1-EXP(-LN(2)/35))/(LN(2)/35)*FM150*FN150*VLOOKUP('Données projet'!$B$16,Paramètres!$A$1:$I$89,3,0)*0.475*44/12</f>
        <v>0</v>
      </c>
      <c r="FR150" s="23">
        <f>EXP(-LN(2)/25)*FR149+(1-EXP(-LN(2)/25))/(LN(2)/25)*Calculateur!FM150*Calculateur!FO150*VLOOKUP('Données projet'!$B$16,Paramètres!$A$1:$I$89,3,0)*0.475*44/12</f>
        <v>0</v>
      </c>
      <c r="FS150" s="23">
        <f>EXP(-LN(2)/2)*FS149+(1-EXP(-LN(2)/2))/(LN(2)/2)*FM150*FP150*VLOOKUP('Données projet'!$B$16,Paramètres!$A$1:$I$89,3,0)*0.475*44/12</f>
        <v>0</v>
      </c>
      <c r="FT150" s="24">
        <f t="shared" si="132"/>
        <v>0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1.1368683772161603E-13</v>
      </c>
      <c r="GA150" s="18">
        <f>FZ150*VLOOKUP('Données projet'!$B$17,Paramètres!$A$1:$I$89,3,0)*VLOOKUP('Données projet'!$B$17,Paramètres!$A$1:$I$89,5,0)</f>
        <v>8.8675733422860506E-14</v>
      </c>
      <c r="GB150" s="14">
        <f t="shared" si="157"/>
        <v>1.3509285393066301E-12</v>
      </c>
      <c r="GC150" s="22">
        <f t="shared" si="133"/>
        <v>2.5073107750038623E-12</v>
      </c>
      <c r="GD150" s="62">
        <f t="shared" si="134"/>
        <v>293.33333333333582</v>
      </c>
      <c r="GE150" s="62">
        <f ca="1">AVERAGE(OFFSET($GD$3,0,0,'Données projet'!$E$17+1,1))-AVERAGE(OFFSET($H$3,0,0,'Données projet'!$E$17+1,1))</f>
        <v>292.57482726862594</v>
      </c>
      <c r="GF150" s="62">
        <f t="shared" si="158"/>
        <v>283.48738729114024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>
        <f>EXP(-LN(2)/35)*GL149+(1-EXP(-LN(2)/35))/(LN(2)/35)*GH150*GI150*VLOOKUP('Données projet'!$B$17,Paramètres!$A$1:$I$89,3,0)*0.475*44/12</f>
        <v>0</v>
      </c>
      <c r="GM150" s="23">
        <f>EXP(-LN(2)/25)*GM149+(1-EXP(-LN(2)/25))/(LN(2)/25)*Calculateur!GH150*Calculateur!GJ150*VLOOKUP('Données projet'!$B$17,Paramètres!$A$1:$I$89,3,0)*0.475*44/12</f>
        <v>0</v>
      </c>
      <c r="GN150" s="23">
        <f>EXP(-LN(2)/2)*GN149+(1-EXP(-LN(2)/2))/(LN(2)/2)*GH150*GK150*VLOOKUP('Données projet'!$B$17,Paramètres!$A$1:$I$89,3,0)*0.475*44/12</f>
        <v>0</v>
      </c>
      <c r="GO150" s="23">
        <f t="shared" si="135"/>
        <v>0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-2.2737367544323206E-13</v>
      </c>
      <c r="GV150" s="18">
        <f>GU150*VLOOKUP('Données projet'!$B$18,Paramètres!$A$1:$I$89,3,0)*VLOOKUP('Données projet'!$B$18,Paramètres!$A$1:$I$89,5,0)</f>
        <v>-1.5252226148732008E-13</v>
      </c>
      <c r="GW150" s="14" t="e">
        <f t="shared" si="159"/>
        <v>#NUM!</v>
      </c>
      <c r="GX150" s="22" t="e">
        <f t="shared" si="136"/>
        <v>#NUM!</v>
      </c>
      <c r="GY150" s="62" t="e">
        <f t="shared" si="137"/>
        <v>#NUM!</v>
      </c>
      <c r="GZ150" s="62">
        <f ca="1">AVERAGE(OFFSET($GY$3,0,0,'Données projet'!$E$18+1,1))-AVERAGE(OFFSET($H$3,0,0,'Données projet'!$E$18+1,1))</f>
        <v>410.20186800287411</v>
      </c>
      <c r="HA150" s="62">
        <f t="shared" si="160"/>
        <v>321.99347958016057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>
        <f>EXP(-LN(2)/35)*HG149+(1-EXP(-LN(2)/35))/(LN(2)/35)*HC150*HD150*VLOOKUP('Données projet'!$B$18,Paramètres!$A$1:$I$89,3,0)*0.475*44/12</f>
        <v>0</v>
      </c>
      <c r="HH150" s="23">
        <f>EXP(-LN(2)/25)*HH149+(1-EXP(-LN(2)/25))/(LN(2)/25)*Calculateur!HC150*Calculateur!HE150*VLOOKUP('Données projet'!$B$18,Paramètres!$A$1:$I$89,3,0)*0.475*44/12</f>
        <v>0</v>
      </c>
      <c r="HI150" s="23">
        <f>EXP(-LN(2)/2)*HI149+(1-EXP(-LN(2)/2))/(LN(2)/2)*HC150*HF150*VLOOKUP('Données projet'!$B$18,Paramètres!$A$1:$I$89,3,0)*0.475*44/12</f>
        <v>0</v>
      </c>
      <c r="HJ150" s="24">
        <f t="shared" si="138"/>
        <v>0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3.5</v>
      </c>
      <c r="N151" s="14">
        <f>IF('Données projet'!$A$36&gt;35,N150+M151-V150,IF(A151&lt;'Données projet'!$A$36,$K$205^A151,IF(A151='Données projet'!$A$36,'Données projet'!$B$36,N150+M151-V150)))</f>
        <v>327.99999999999955</v>
      </c>
      <c r="O151" s="14">
        <f>N151*VLOOKUP('Données projet'!$B$9,Paramètres!$A$1:$I$89,3,0)*VLOOKUP('Données projet'!$B$9,Paramètres!$A$1:$I$89,5,0)</f>
        <v>296.77439999999956</v>
      </c>
      <c r="P151" s="14">
        <f t="shared" si="141"/>
        <v>70.499828966950616</v>
      </c>
      <c r="Q151" s="22">
        <f t="shared" si="108"/>
        <v>639.66928211743823</v>
      </c>
      <c r="R151" s="62">
        <f t="shared" si="109"/>
        <v>933.0026154507716</v>
      </c>
      <c r="S151" s="62">
        <f ca="1">AVERAGE(OFFSET($R$3,0,0,'Données projet'!$E$9+1,1))-AVERAGE(OFFSET($H$3,0,0,'Données projet'!$E$9+1,1))</f>
        <v>509.56241660612449</v>
      </c>
      <c r="T151" s="62">
        <f t="shared" si="142"/>
        <v>278.21741231699929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3.5</v>
      </c>
      <c r="AI151" s="14">
        <f>IF('Données projet'!$A$62&gt;35,AI150+AH151-AQ150,IF(A151&lt;'Données projet'!$A$62,$AF$205^A151,IF(A151='Données projet'!$A$62,'Données projet'!$B$62,AI150+AH151-AQ150)))</f>
        <v>327.99999999999955</v>
      </c>
      <c r="AJ151" s="14">
        <f>AI151*VLOOKUP('Données projet'!$B$10,Paramètres!$A$1:$I$89,3,0)*VLOOKUP('Données projet'!$B$10,Paramètres!$A$1:$I$89,5,0)</f>
        <v>332.59199999999953</v>
      </c>
      <c r="AK151" s="14">
        <f t="shared" si="143"/>
        <v>77.967449959094523</v>
      </c>
      <c r="AL151" s="22">
        <f t="shared" si="112"/>
        <v>715.05770867875538</v>
      </c>
      <c r="AM151" s="62">
        <f t="shared" si="113"/>
        <v>1008.3910420120887</v>
      </c>
      <c r="AN151" s="62">
        <f ca="1">AVERAGE(OFFSET($AM$3,0,0,'Données projet'!$E$10+1,1))-AVERAGE(OFFSET($H$3,0,0,'Données projet'!$E$10+1,1))</f>
        <v>565.72091871734051</v>
      </c>
      <c r="AO151" s="62">
        <f t="shared" si="144"/>
        <v>306.61893266146666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-5.6843418860808015E-14</v>
      </c>
      <c r="BE151" s="14">
        <f>BD151*VLOOKUP('Données projet'!$B$11,Paramètres!$A$1:$I$89,3,0)*VLOOKUP('Données projet'!$B$11,Paramètres!$A$1:$I$89,5,0)</f>
        <v>-4.1677594708744434E-14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344.26020118887629</v>
      </c>
      <c r="BJ151" s="62">
        <f t="shared" si="146"/>
        <v>376.41441893222185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3.5</v>
      </c>
      <c r="BY151" s="13">
        <f>IF('Données projet'!$A$114&gt;35,BY150+BX151-CG150,IF(A151&lt;'Données projet'!$A$114,$BV$205^A151,IF(A151='Données projet'!$A$114,'Données projet'!$B$114,BY150+BX151-CG150)))</f>
        <v>327.99999999999955</v>
      </c>
      <c r="BZ151" s="14">
        <f>BY151*VLOOKUP('Données projet'!$B$12,Paramètres!$A$1:$I$89,3,0)*VLOOKUP('Données projet'!$B$12,Paramètres!$A$1:$I$89,5,0)</f>
        <v>276.30719999999968</v>
      </c>
      <c r="CA151" s="14">
        <f t="shared" si="147"/>
        <v>66.186012113671069</v>
      </c>
      <c r="CB151" s="22">
        <f t="shared" si="118"/>
        <v>596.50901109797655</v>
      </c>
      <c r="CC151" s="62">
        <f t="shared" si="119"/>
        <v>889.84234443130981</v>
      </c>
      <c r="CD151" s="62">
        <f ca="1">AVERAGE(OFFSET($CC$3,0,0,'Données projet'!$E$12+1,1))-AVERAGE(OFFSET($H$3,0,0,'Données projet'!$E$12+1,1))</f>
        <v>477.4105367901771</v>
      </c>
      <c r="CE151" s="62">
        <f t="shared" si="148"/>
        <v>261.95434270986397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-6.2527760746888816E-13</v>
      </c>
      <c r="CU151" s="18">
        <f>CT151*VLOOKUP('Données projet'!$B$13,Paramètres!$A$1:$I$89,3,0)*VLOOKUP('Données projet'!$B$13,Paramètres!$A$1:$I$89,5,0)</f>
        <v>-2.9262992029543964E-13</v>
      </c>
      <c r="CV151" s="14" t="e">
        <f t="shared" si="149"/>
        <v>#NUM!</v>
      </c>
      <c r="CW151" s="22" t="e">
        <f t="shared" si="121"/>
        <v>#NUM!</v>
      </c>
      <c r="CX151" s="62" t="e">
        <f t="shared" si="122"/>
        <v>#NUM!</v>
      </c>
      <c r="CY151" s="62">
        <f ca="1">AVERAGE(OFFSET($CX$3,0,0,'Données projet'!$E$13+1,1))-AVERAGE(OFFSET($H$3,0,0,'Données projet'!$E$13+1,1))</f>
        <v>246.64907095367749</v>
      </c>
      <c r="CZ151" s="62">
        <f t="shared" si="150"/>
        <v>145.34368562171613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-5.6843418860808015E-14</v>
      </c>
      <c r="DP151" s="18">
        <f>DO151*VLOOKUP('Données projet'!$B$14,Paramètres!$A$1:$I$89,3,0)*VLOOKUP('Données projet'!$B$14,Paramètres!$A$1:$I$89,5,0)</f>
        <v>-4.5224624045658861E-14</v>
      </c>
      <c r="DQ151" s="14" t="e">
        <f t="shared" si="151"/>
        <v>#NUM!</v>
      </c>
      <c r="DR151" s="22" t="e">
        <f t="shared" si="124"/>
        <v>#NUM!</v>
      </c>
      <c r="DS151" s="62" t="e">
        <f t="shared" si="125"/>
        <v>#NUM!</v>
      </c>
      <c r="DT151" s="62">
        <f ca="1">AVERAGE(OFFSET($DS$3,0,0,'Données projet'!$E$14+1,1))-AVERAGE(OFFSET($H$3,0,0,'Données projet'!$E$14+1,1))</f>
        <v>370.38521334472284</v>
      </c>
      <c r="DU151" s="62">
        <f t="shared" si="152"/>
        <v>404.61777090709171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-1.1368683772161603E-13</v>
      </c>
      <c r="EK151" s="18">
        <f>EJ151*VLOOKUP('Données projet'!$B$15,Paramètres!$A$1:$I$89,3,0)*VLOOKUP('Données projet'!$B$15,Paramètres!$A$1:$I$89,5,0)</f>
        <v>-9.7543306765146564E-14</v>
      </c>
      <c r="EL151" s="14" t="e">
        <f t="shared" si="153"/>
        <v>#NUM!</v>
      </c>
      <c r="EM151" s="22" t="e">
        <f t="shared" si="127"/>
        <v>#NUM!</v>
      </c>
      <c r="EN151" s="62" t="e">
        <f t="shared" si="128"/>
        <v>#NUM!</v>
      </c>
      <c r="EO151" s="62">
        <f ca="1">AVERAGE(OFFSET($EN$3,0,0,'Données projet'!$E$15+1,1))-AVERAGE(OFFSET($H$3,0,0,'Données projet'!$E$15+1,1))</f>
        <v>445.81166342116865</v>
      </c>
      <c r="EP151" s="62">
        <f t="shared" si="154"/>
        <v>230.82970731138215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0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3.5</v>
      </c>
      <c r="FE151" s="13">
        <f>IF('Données projet'!$A$218&gt;35,FE150+FD151-FM150,IF(A151&lt;'Données projet'!$A$218,$FB$205^A151,IF(A151='Données projet'!$A$218,'Données projet'!$B$218,FE150+FD151-FM150)))</f>
        <v>327.99999999999955</v>
      </c>
      <c r="FF151" s="18">
        <f>FE151*VLOOKUP('Données projet'!$B$16,Paramètres!$A$1:$I$89,3,0)*VLOOKUP('Données projet'!$B$16,Paramètres!$A$1:$I$89,5,0)</f>
        <v>317.24159999999961</v>
      </c>
      <c r="FG151" s="14">
        <f t="shared" si="155"/>
        <v>74.779126034245124</v>
      </c>
      <c r="FH151" s="22">
        <f t="shared" si="130"/>
        <v>682.76943117630947</v>
      </c>
      <c r="FI151" s="62">
        <f t="shared" si="131"/>
        <v>976.10276450964284</v>
      </c>
      <c r="FJ151" s="62">
        <f ca="1">AVERAGE(OFFSET($FI$3,0,0,'Données projet'!$E$16+1,1))-AVERAGE(OFFSET($H$3,0,0,'Données projet'!$E$16+1,1))</f>
        <v>541.66888676162716</v>
      </c>
      <c r="FK151" s="62">
        <f t="shared" si="156"/>
        <v>294.45557293177131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>
        <f>EXP(-LN(2)/35)*FQ150+(1-EXP(-LN(2)/35))/(LN(2)/35)*FM151*FN151*VLOOKUP('Données projet'!$B$16,Paramètres!$A$1:$I$89,3,0)*0.475*44/12</f>
        <v>0</v>
      </c>
      <c r="FR151" s="23">
        <f>EXP(-LN(2)/25)*FR150+(1-EXP(-LN(2)/25))/(LN(2)/25)*Calculateur!FM151*Calculateur!FO151*VLOOKUP('Données projet'!$B$16,Paramètres!$A$1:$I$89,3,0)*0.475*44/12</f>
        <v>0</v>
      </c>
      <c r="FS151" s="23">
        <f>EXP(-LN(2)/2)*FS150+(1-EXP(-LN(2)/2))/(LN(2)/2)*FM151*FP151*VLOOKUP('Données projet'!$B$16,Paramètres!$A$1:$I$89,3,0)*0.475*44/12</f>
        <v>0</v>
      </c>
      <c r="FT151" s="24">
        <f t="shared" si="132"/>
        <v>0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1.1368683772161603E-13</v>
      </c>
      <c r="GA151" s="18">
        <f>FZ151*VLOOKUP('Données projet'!$B$17,Paramètres!$A$1:$I$89,3,0)*VLOOKUP('Données projet'!$B$17,Paramètres!$A$1:$I$89,5,0)</f>
        <v>8.8675733422860506E-14</v>
      </c>
      <c r="GB151" s="14">
        <f t="shared" si="157"/>
        <v>1.3509285393066301E-12</v>
      </c>
      <c r="GC151" s="22">
        <f t="shared" si="133"/>
        <v>2.5073107750038623E-12</v>
      </c>
      <c r="GD151" s="62">
        <f t="shared" si="134"/>
        <v>293.33333333333582</v>
      </c>
      <c r="GE151" s="62">
        <f ca="1">AVERAGE(OFFSET($GD$3,0,0,'Données projet'!$E$17+1,1))-AVERAGE(OFFSET($H$3,0,0,'Données projet'!$E$17+1,1))</f>
        <v>292.57482726862594</v>
      </c>
      <c r="GF151" s="62">
        <f t="shared" si="158"/>
        <v>283.48738729114024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>
        <f>EXP(-LN(2)/35)*GL150+(1-EXP(-LN(2)/35))/(LN(2)/35)*GH151*GI151*VLOOKUP('Données projet'!$B$17,Paramètres!$A$1:$I$89,3,0)*0.475*44/12</f>
        <v>0</v>
      </c>
      <c r="GM151" s="23">
        <f>EXP(-LN(2)/25)*GM150+(1-EXP(-LN(2)/25))/(LN(2)/25)*Calculateur!GH151*Calculateur!GJ151*VLOOKUP('Données projet'!$B$17,Paramètres!$A$1:$I$89,3,0)*0.475*44/12</f>
        <v>0</v>
      </c>
      <c r="GN151" s="23">
        <f>EXP(-LN(2)/2)*GN150+(1-EXP(-LN(2)/2))/(LN(2)/2)*GH151*GK151*VLOOKUP('Données projet'!$B$17,Paramètres!$A$1:$I$89,3,0)*0.475*44/12</f>
        <v>0</v>
      </c>
      <c r="GO151" s="23">
        <f t="shared" si="135"/>
        <v>0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-2.2737367544323206E-13</v>
      </c>
      <c r="GV151" s="18">
        <f>GU151*VLOOKUP('Données projet'!$B$18,Paramètres!$A$1:$I$89,3,0)*VLOOKUP('Données projet'!$B$18,Paramètres!$A$1:$I$89,5,0)</f>
        <v>-1.5252226148732008E-13</v>
      </c>
      <c r="GW151" s="14" t="e">
        <f t="shared" si="159"/>
        <v>#NUM!</v>
      </c>
      <c r="GX151" s="22" t="e">
        <f t="shared" si="136"/>
        <v>#NUM!</v>
      </c>
      <c r="GY151" s="62" t="e">
        <f t="shared" si="137"/>
        <v>#NUM!</v>
      </c>
      <c r="GZ151" s="62">
        <f ca="1">AVERAGE(OFFSET($GY$3,0,0,'Données projet'!$E$18+1,1))-AVERAGE(OFFSET($H$3,0,0,'Données projet'!$E$18+1,1))</f>
        <v>410.20186800287411</v>
      </c>
      <c r="HA151" s="62">
        <f t="shared" si="160"/>
        <v>321.99347958016057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>
        <f>EXP(-LN(2)/35)*HG150+(1-EXP(-LN(2)/35))/(LN(2)/35)*HC151*HD151*VLOOKUP('Données projet'!$B$18,Paramètres!$A$1:$I$89,3,0)*0.475*44/12</f>
        <v>0</v>
      </c>
      <c r="HH151" s="23">
        <f>EXP(-LN(2)/25)*HH150+(1-EXP(-LN(2)/25))/(LN(2)/25)*Calculateur!HC151*Calculateur!HE151*VLOOKUP('Données projet'!$B$18,Paramètres!$A$1:$I$89,3,0)*0.475*44/12</f>
        <v>0</v>
      </c>
      <c r="HI151" s="23">
        <f>EXP(-LN(2)/2)*HI150+(1-EXP(-LN(2)/2))/(LN(2)/2)*HC151*HF151*VLOOKUP('Données projet'!$B$18,Paramètres!$A$1:$I$89,3,0)*0.475*44/12</f>
        <v>0</v>
      </c>
      <c r="HJ151" s="24">
        <f t="shared" si="138"/>
        <v>0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3.5</v>
      </c>
      <c r="N152" s="14">
        <f>IF('Données projet'!$A$36&gt;35,N151+M152-V151,IF(A152&lt;'Données projet'!$A$36,$K$205^A152,IF(A152='Données projet'!$A$36,'Données projet'!$B$36,N151+M152-V151)))</f>
        <v>331.49999999999955</v>
      </c>
      <c r="O152" s="14">
        <f>N152*VLOOKUP('Données projet'!$B$9,Paramètres!$A$1:$I$89,3,0)*VLOOKUP('Données projet'!$B$9,Paramètres!$A$1:$I$89,5,0)</f>
        <v>299.94119999999958</v>
      </c>
      <c r="P152" s="14">
        <f t="shared" si="141"/>
        <v>71.164136596531449</v>
      </c>
      <c r="Q152" s="22">
        <f t="shared" si="108"/>
        <v>646.34179457229163</v>
      </c>
      <c r="R152" s="62">
        <f t="shared" si="109"/>
        <v>939.675127905625</v>
      </c>
      <c r="S152" s="62">
        <f ca="1">AVERAGE(OFFSET($R$3,0,0,'Données projet'!$E$9+1,1))-AVERAGE(OFFSET($H$3,0,0,'Données projet'!$E$9+1,1))</f>
        <v>509.56241660612449</v>
      </c>
      <c r="T152" s="62">
        <f t="shared" si="142"/>
        <v>278.21741231699929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3.5</v>
      </c>
      <c r="AI152" s="14">
        <f>IF('Données projet'!$A$62&gt;35,AI151+AH152-AQ151,IF(A152&lt;'Données projet'!$A$62,$AF$205^A152,IF(A152='Données projet'!$A$62,'Données projet'!$B$62,AI151+AH152-AQ151)))</f>
        <v>331.49999999999955</v>
      </c>
      <c r="AJ152" s="14">
        <f>AI152*VLOOKUP('Données projet'!$B$10,Paramètres!$A$1:$I$89,3,0)*VLOOKUP('Données projet'!$B$10,Paramètres!$A$1:$I$89,5,0)</f>
        <v>336.14099999999956</v>
      </c>
      <c r="AK152" s="14">
        <f t="shared" si="143"/>
        <v>78.702123682786379</v>
      </c>
      <c r="AL152" s="22">
        <f t="shared" si="112"/>
        <v>722.51844041418553</v>
      </c>
      <c r="AM152" s="62">
        <f t="shared" si="113"/>
        <v>1015.8517737475188</v>
      </c>
      <c r="AN152" s="62">
        <f ca="1">AVERAGE(OFFSET($AM$3,0,0,'Données projet'!$E$10+1,1))-AVERAGE(OFFSET($H$3,0,0,'Données projet'!$E$10+1,1))</f>
        <v>565.72091871734051</v>
      </c>
      <c r="AO152" s="62">
        <f t="shared" si="144"/>
        <v>306.61893266146666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-5.6843418860808015E-14</v>
      </c>
      <c r="BE152" s="14">
        <f>BD152*VLOOKUP('Données projet'!$B$11,Paramètres!$A$1:$I$89,3,0)*VLOOKUP('Données projet'!$B$11,Paramètres!$A$1:$I$89,5,0)</f>
        <v>-4.1677594708744434E-14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344.26020118887629</v>
      </c>
      <c r="BJ152" s="62">
        <f t="shared" si="146"/>
        <v>376.41441893222185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3.5</v>
      </c>
      <c r="BY152" s="13">
        <f>IF('Données projet'!$A$114&gt;35,BY151+BX152-CG151,IF(A152&lt;'Données projet'!$A$114,$BV$205^A152,IF(A152='Données projet'!$A$114,'Données projet'!$B$114,BY151+BX152-CG151)))</f>
        <v>331.49999999999955</v>
      </c>
      <c r="BZ152" s="14">
        <f>BY152*VLOOKUP('Données projet'!$B$12,Paramètres!$A$1:$I$89,3,0)*VLOOKUP('Données projet'!$B$12,Paramètres!$A$1:$I$89,5,0)</f>
        <v>279.25559999999962</v>
      </c>
      <c r="CA152" s="14">
        <f t="shared" si="147"/>
        <v>66.809671397146104</v>
      </c>
      <c r="CB152" s="22">
        <f t="shared" si="118"/>
        <v>602.73034768336208</v>
      </c>
      <c r="CC152" s="62">
        <f t="shared" si="119"/>
        <v>896.06368101669545</v>
      </c>
      <c r="CD152" s="62">
        <f ca="1">AVERAGE(OFFSET($CC$3,0,0,'Données projet'!$E$12+1,1))-AVERAGE(OFFSET($H$3,0,0,'Données projet'!$E$12+1,1))</f>
        <v>477.4105367901771</v>
      </c>
      <c r="CE152" s="62">
        <f t="shared" si="148"/>
        <v>261.95434270986397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-6.2527760746888816E-13</v>
      </c>
      <c r="CU152" s="18">
        <f>CT152*VLOOKUP('Données projet'!$B$13,Paramètres!$A$1:$I$89,3,0)*VLOOKUP('Données projet'!$B$13,Paramètres!$A$1:$I$89,5,0)</f>
        <v>-2.9262992029543964E-13</v>
      </c>
      <c r="CV152" s="14" t="e">
        <f t="shared" si="149"/>
        <v>#NUM!</v>
      </c>
      <c r="CW152" s="22" t="e">
        <f t="shared" si="121"/>
        <v>#NUM!</v>
      </c>
      <c r="CX152" s="62" t="e">
        <f t="shared" si="122"/>
        <v>#NUM!</v>
      </c>
      <c r="CY152" s="62">
        <f ca="1">AVERAGE(OFFSET($CX$3,0,0,'Données projet'!$E$13+1,1))-AVERAGE(OFFSET($H$3,0,0,'Données projet'!$E$13+1,1))</f>
        <v>246.64907095367749</v>
      </c>
      <c r="CZ152" s="62">
        <f t="shared" si="150"/>
        <v>145.34368562171613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-5.6843418860808015E-14</v>
      </c>
      <c r="DP152" s="18">
        <f>DO152*VLOOKUP('Données projet'!$B$14,Paramètres!$A$1:$I$89,3,0)*VLOOKUP('Données projet'!$B$14,Paramètres!$A$1:$I$89,5,0)</f>
        <v>-4.5224624045658861E-14</v>
      </c>
      <c r="DQ152" s="14" t="e">
        <f t="shared" si="151"/>
        <v>#NUM!</v>
      </c>
      <c r="DR152" s="22" t="e">
        <f t="shared" si="124"/>
        <v>#NUM!</v>
      </c>
      <c r="DS152" s="62" t="e">
        <f t="shared" si="125"/>
        <v>#NUM!</v>
      </c>
      <c r="DT152" s="62">
        <f ca="1">AVERAGE(OFFSET($DS$3,0,0,'Données projet'!$E$14+1,1))-AVERAGE(OFFSET($H$3,0,0,'Données projet'!$E$14+1,1))</f>
        <v>370.38521334472284</v>
      </c>
      <c r="DU152" s="62">
        <f t="shared" si="152"/>
        <v>404.61777090709171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-1.1368683772161603E-13</v>
      </c>
      <c r="EK152" s="18">
        <f>EJ152*VLOOKUP('Données projet'!$B$15,Paramètres!$A$1:$I$89,3,0)*VLOOKUP('Données projet'!$B$15,Paramètres!$A$1:$I$89,5,0)</f>
        <v>-9.7543306765146564E-14</v>
      </c>
      <c r="EL152" s="14" t="e">
        <f t="shared" si="153"/>
        <v>#NUM!</v>
      </c>
      <c r="EM152" s="22" t="e">
        <f t="shared" si="127"/>
        <v>#NUM!</v>
      </c>
      <c r="EN152" s="62" t="e">
        <f t="shared" si="128"/>
        <v>#NUM!</v>
      </c>
      <c r="EO152" s="62">
        <f ca="1">AVERAGE(OFFSET($EN$3,0,0,'Données projet'!$E$15+1,1))-AVERAGE(OFFSET($H$3,0,0,'Données projet'!$E$15+1,1))</f>
        <v>445.81166342116865</v>
      </c>
      <c r="EP152" s="62">
        <f t="shared" si="154"/>
        <v>230.82970731138215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0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3.5</v>
      </c>
      <c r="FE152" s="13">
        <f>IF('Données projet'!$A$218&gt;35,FE151+FD152-FM151,IF(A152&lt;'Données projet'!$A$218,$FB$205^A152,IF(A152='Données projet'!$A$218,'Données projet'!$B$218,FE151+FD152-FM151)))</f>
        <v>331.49999999999955</v>
      </c>
      <c r="FF152" s="18">
        <f>FE152*VLOOKUP('Données projet'!$B$16,Paramètres!$A$1:$I$89,3,0)*VLOOKUP('Données projet'!$B$16,Paramètres!$A$1:$I$89,5,0)</f>
        <v>320.62679999999955</v>
      </c>
      <c r="FG152" s="14">
        <f t="shared" si="155"/>
        <v>75.483756735990767</v>
      </c>
      <c r="FH152" s="22">
        <f t="shared" si="130"/>
        <v>689.8925529818498</v>
      </c>
      <c r="FI152" s="62">
        <f t="shared" si="131"/>
        <v>983.22588631518306</v>
      </c>
      <c r="FJ152" s="62">
        <f ca="1">AVERAGE(OFFSET($FI$3,0,0,'Données projet'!$E$16+1,1))-AVERAGE(OFFSET($H$3,0,0,'Données projet'!$E$16+1,1))</f>
        <v>541.66888676162716</v>
      </c>
      <c r="FK152" s="62">
        <f t="shared" si="156"/>
        <v>294.45557293177131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>
        <f>EXP(-LN(2)/35)*FQ151+(1-EXP(-LN(2)/35))/(LN(2)/35)*FM152*FN152*VLOOKUP('Données projet'!$B$16,Paramètres!$A$1:$I$89,3,0)*0.475*44/12</f>
        <v>0</v>
      </c>
      <c r="FR152" s="23">
        <f>EXP(-LN(2)/25)*FR151+(1-EXP(-LN(2)/25))/(LN(2)/25)*Calculateur!FM152*Calculateur!FO152*VLOOKUP('Données projet'!$B$16,Paramètres!$A$1:$I$89,3,0)*0.475*44/12</f>
        <v>0</v>
      </c>
      <c r="FS152" s="23">
        <f>EXP(-LN(2)/2)*FS151+(1-EXP(-LN(2)/2))/(LN(2)/2)*FM152*FP152*VLOOKUP('Données projet'!$B$16,Paramètres!$A$1:$I$89,3,0)*0.475*44/12</f>
        <v>0</v>
      </c>
      <c r="FT152" s="24">
        <f t="shared" si="132"/>
        <v>0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1.1368683772161603E-13</v>
      </c>
      <c r="GA152" s="18">
        <f>FZ152*VLOOKUP('Données projet'!$B$17,Paramètres!$A$1:$I$89,3,0)*VLOOKUP('Données projet'!$B$17,Paramètres!$A$1:$I$89,5,0)</f>
        <v>8.8675733422860506E-14</v>
      </c>
      <c r="GB152" s="14">
        <f t="shared" si="157"/>
        <v>1.3509285393066301E-12</v>
      </c>
      <c r="GC152" s="22">
        <f t="shared" si="133"/>
        <v>2.5073107750038623E-12</v>
      </c>
      <c r="GD152" s="62">
        <f t="shared" si="134"/>
        <v>293.33333333333582</v>
      </c>
      <c r="GE152" s="62">
        <f ca="1">AVERAGE(OFFSET($GD$3,0,0,'Données projet'!$E$17+1,1))-AVERAGE(OFFSET($H$3,0,0,'Données projet'!$E$17+1,1))</f>
        <v>292.57482726862594</v>
      </c>
      <c r="GF152" s="62">
        <f t="shared" si="158"/>
        <v>283.48738729114024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>
        <f>EXP(-LN(2)/35)*GL151+(1-EXP(-LN(2)/35))/(LN(2)/35)*GH152*GI152*VLOOKUP('Données projet'!$B$17,Paramètres!$A$1:$I$89,3,0)*0.475*44/12</f>
        <v>0</v>
      </c>
      <c r="GM152" s="23">
        <f>EXP(-LN(2)/25)*GM151+(1-EXP(-LN(2)/25))/(LN(2)/25)*Calculateur!GH152*Calculateur!GJ152*VLOOKUP('Données projet'!$B$17,Paramètres!$A$1:$I$89,3,0)*0.475*44/12</f>
        <v>0</v>
      </c>
      <c r="GN152" s="23">
        <f>EXP(-LN(2)/2)*GN151+(1-EXP(-LN(2)/2))/(LN(2)/2)*GH152*GK152*VLOOKUP('Données projet'!$B$17,Paramètres!$A$1:$I$89,3,0)*0.475*44/12</f>
        <v>0</v>
      </c>
      <c r="GO152" s="23">
        <f t="shared" si="135"/>
        <v>0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-2.2737367544323206E-13</v>
      </c>
      <c r="GV152" s="18">
        <f>GU152*VLOOKUP('Données projet'!$B$18,Paramètres!$A$1:$I$89,3,0)*VLOOKUP('Données projet'!$B$18,Paramètres!$A$1:$I$89,5,0)</f>
        <v>-1.5252226148732008E-13</v>
      </c>
      <c r="GW152" s="14" t="e">
        <f t="shared" si="159"/>
        <v>#NUM!</v>
      </c>
      <c r="GX152" s="22" t="e">
        <f t="shared" si="136"/>
        <v>#NUM!</v>
      </c>
      <c r="GY152" s="62" t="e">
        <f t="shared" si="137"/>
        <v>#NUM!</v>
      </c>
      <c r="GZ152" s="62">
        <f ca="1">AVERAGE(OFFSET($GY$3,0,0,'Données projet'!$E$18+1,1))-AVERAGE(OFFSET($H$3,0,0,'Données projet'!$E$18+1,1))</f>
        <v>410.20186800287411</v>
      </c>
      <c r="HA152" s="62">
        <f t="shared" si="160"/>
        <v>321.99347958016057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>
        <f>EXP(-LN(2)/35)*HG151+(1-EXP(-LN(2)/35))/(LN(2)/35)*HC152*HD152*VLOOKUP('Données projet'!$B$18,Paramètres!$A$1:$I$89,3,0)*0.475*44/12</f>
        <v>0</v>
      </c>
      <c r="HH152" s="23">
        <f>EXP(-LN(2)/25)*HH151+(1-EXP(-LN(2)/25))/(LN(2)/25)*Calculateur!HC152*Calculateur!HE152*VLOOKUP('Données projet'!$B$18,Paramètres!$A$1:$I$89,3,0)*0.475*44/12</f>
        <v>0</v>
      </c>
      <c r="HI152" s="23">
        <f>EXP(-LN(2)/2)*HI151+(1-EXP(-LN(2)/2))/(LN(2)/2)*HC152*HF152*VLOOKUP('Données projet'!$B$18,Paramètres!$A$1:$I$89,3,0)*0.475*44/12</f>
        <v>0</v>
      </c>
      <c r="HJ152" s="24">
        <f t="shared" si="138"/>
        <v>0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>
        <f>VLOOKUP(A153,'Données projet'!$A$35:$I$55,2,0)</f>
        <v>335</v>
      </c>
      <c r="L153" s="13">
        <f>VLOOKUP(A153,'Données projet'!$A$35:$I$55,9,0)</f>
        <v>3.5</v>
      </c>
      <c r="M153" s="13">
        <f t="array" ref="M153">INDEX(L:L,MIN(IF(ISNUMBER(L153:L349),ROW(L153:L349),"")))</f>
        <v>3.5</v>
      </c>
      <c r="N153" s="14">
        <f>IF('Données projet'!$A$36&gt;35,N152+M153-V152,IF(A153&lt;'Données projet'!$A$36,$K$205^A153,IF(A153='Données projet'!$A$36,'Données projet'!$B$36,N152+M153-V152)))</f>
        <v>334.99999999999955</v>
      </c>
      <c r="O153" s="14">
        <f>N153*VLOOKUP('Données projet'!$B$9,Paramètres!$A$1:$I$89,3,0)*VLOOKUP('Données projet'!$B$9,Paramètres!$A$1:$I$89,5,0)</f>
        <v>303.10799999999961</v>
      </c>
      <c r="P153" s="14">
        <f t="shared" si="141"/>
        <v>71.827628304517162</v>
      </c>
      <c r="Q153" s="22">
        <f t="shared" si="108"/>
        <v>653.0128859637</v>
      </c>
      <c r="R153" s="62">
        <f t="shared" si="109"/>
        <v>946.34621929703326</v>
      </c>
      <c r="S153" s="62">
        <f ca="1">AVERAGE(OFFSET($R$3,0,0,'Données projet'!$E$9+1,1))-AVERAGE(OFFSET($H$3,0,0,'Données projet'!$E$9+1,1))</f>
        <v>509.56241660612449</v>
      </c>
      <c r="T153" s="62">
        <f t="shared" si="142"/>
        <v>278.21741231699929</v>
      </c>
      <c r="U153" s="16">
        <f>IF(ISNA(VLOOKUP(A153,'Données projet'!$A$35:$I$55,3,0)),0,VLOOKUP(A153,'Données projet'!$A$35:$I$55,3,0))</f>
        <v>13</v>
      </c>
      <c r="V153" s="16">
        <f>IF(ISNA(VLOOKUP(A153,'Données projet'!$A$35:$I$55,4,0)),0,VLOOKUP(A153,'Données projet'!$A$35:$I$55,4,0))</f>
        <v>335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>
        <f>VLOOKUP(A153,'Données projet'!$A$61:$I$81,2,0)</f>
        <v>335</v>
      </c>
      <c r="AG153" s="13">
        <f>VLOOKUP(A153,'Données projet'!$A$61:$I$81,9,0)</f>
        <v>3.5</v>
      </c>
      <c r="AH153" s="13">
        <f t="array" ref="AH153">INDEX(AG:AG,MIN(IF(ISNUMBER(AG153:AG349),ROW(AG153:AG349),"")))</f>
        <v>3.5</v>
      </c>
      <c r="AI153" s="14">
        <f>IF('Données projet'!$A$62&gt;35,AI152+AH153-AQ152,IF(A153&lt;'Données projet'!$A$62,$AF$205^A153,IF(A153='Données projet'!$A$62,'Données projet'!$B$62,AI152+AH153-AQ152)))</f>
        <v>334.99999999999955</v>
      </c>
      <c r="AJ153" s="14">
        <f>AI153*VLOOKUP('Données projet'!$B$10,Paramètres!$A$1:$I$89,3,0)*VLOOKUP('Données projet'!$B$10,Paramètres!$A$1:$I$89,5,0)</f>
        <v>339.68999999999954</v>
      </c>
      <c r="AK153" s="14">
        <f t="shared" si="143"/>
        <v>79.435895059237467</v>
      </c>
      <c r="AL153" s="22">
        <f t="shared" si="112"/>
        <v>729.97760056150446</v>
      </c>
      <c r="AM153" s="62">
        <f t="shared" si="113"/>
        <v>1023.3109338948377</v>
      </c>
      <c r="AN153" s="62">
        <f ca="1">AVERAGE(OFFSET($AM$3,0,0,'Données projet'!$E$10+1,1))-AVERAGE(OFFSET($H$3,0,0,'Données projet'!$E$10+1,1))</f>
        <v>565.72091871734051</v>
      </c>
      <c r="AO153" s="62">
        <f t="shared" si="144"/>
        <v>306.61893266146666</v>
      </c>
      <c r="AP153" s="16">
        <f>IF(ISNA(VLOOKUP(A153,'Données projet'!$A$61:$I$81,3,0)),0,VLOOKUP(A153,'Données projet'!$A$61:$I$81,3,0))</f>
        <v>13</v>
      </c>
      <c r="AQ153" s="16">
        <f>IF(ISNA(VLOOKUP(A153,'Données projet'!$A$61:$I$81,4,0)),0,VLOOKUP(A153,'Données projet'!$A$61:$I$81,4,0))</f>
        <v>335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-5.6843418860808015E-14</v>
      </c>
      <c r="BE153" s="14">
        <f>BD153*VLOOKUP('Données projet'!$B$11,Paramètres!$A$1:$I$89,3,0)*VLOOKUP('Données projet'!$B$11,Paramètres!$A$1:$I$89,5,0)</f>
        <v>-4.1677594708744434E-14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344.26020118887629</v>
      </c>
      <c r="BJ153" s="62">
        <f t="shared" si="146"/>
        <v>376.41441893222185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>
        <f>VLOOKUP(A153,'Données projet'!$A$113:$I$133,2,0)</f>
        <v>335</v>
      </c>
      <c r="BW153" s="13">
        <f>VLOOKUP(A153,'Données projet'!$A$113:$I$133,9,0)</f>
        <v>3.5</v>
      </c>
      <c r="BX153" s="13">
        <f t="array" ref="BX153">INDEX(BW:BW,MIN(IF(ISNUMBER(BW153:BW349),ROW(BW153:BW349),"")))</f>
        <v>3.5</v>
      </c>
      <c r="BY153" s="13">
        <f>IF('Données projet'!$A$114&gt;35,BY152+BX153-CG152,IF(A153&lt;'Données projet'!$A$114,$BV$205^A153,IF(A153='Données projet'!$A$114,'Données projet'!$B$114,BY152+BX153-CG152)))</f>
        <v>334.99999999999955</v>
      </c>
      <c r="BZ153" s="14">
        <f>BY153*VLOOKUP('Données projet'!$B$12,Paramètres!$A$1:$I$89,3,0)*VLOOKUP('Données projet'!$B$12,Paramètres!$A$1:$I$89,5,0)</f>
        <v>282.20399999999967</v>
      </c>
      <c r="CA153" s="14">
        <f t="shared" si="147"/>
        <v>67.432564684485129</v>
      </c>
      <c r="CB153" s="22">
        <f t="shared" si="118"/>
        <v>608.95035015881103</v>
      </c>
      <c r="CC153" s="62">
        <f t="shared" si="119"/>
        <v>902.28368349214429</v>
      </c>
      <c r="CD153" s="62">
        <f ca="1">AVERAGE(OFFSET($CC$3,0,0,'Données projet'!$E$12+1,1))-AVERAGE(OFFSET($H$3,0,0,'Données projet'!$E$12+1,1))</f>
        <v>477.4105367901771</v>
      </c>
      <c r="CE153" s="62">
        <f t="shared" si="148"/>
        <v>261.95434270986397</v>
      </c>
      <c r="CF153" s="16">
        <f>IF(ISNA(VLOOKUP(A153,'Données projet'!$A$113:$I$133,3,0)),0,VLOOKUP(A153,'Données projet'!$A$113:$I$133,3,0))</f>
        <v>13</v>
      </c>
      <c r="CG153" s="16">
        <f>IF(ISNA(VLOOKUP(A153,'Données projet'!$A$113:$I$133,4,0)),0,VLOOKUP(A153,'Données projet'!$A$113:$I$133,4,0))</f>
        <v>335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-6.2527760746888816E-13</v>
      </c>
      <c r="CU153" s="18">
        <f>CT153*VLOOKUP('Données projet'!$B$13,Paramètres!$A$1:$I$89,3,0)*VLOOKUP('Données projet'!$B$13,Paramètres!$A$1:$I$89,5,0)</f>
        <v>-2.9262992029543964E-13</v>
      </c>
      <c r="CV153" s="14" t="e">
        <f t="shared" si="149"/>
        <v>#NUM!</v>
      </c>
      <c r="CW153" s="22" t="e">
        <f t="shared" si="121"/>
        <v>#NUM!</v>
      </c>
      <c r="CX153" s="62" t="e">
        <f t="shared" si="122"/>
        <v>#NUM!</v>
      </c>
      <c r="CY153" s="62">
        <f ca="1">AVERAGE(OFFSET($CX$3,0,0,'Données projet'!$E$13+1,1))-AVERAGE(OFFSET($H$3,0,0,'Données projet'!$E$13+1,1))</f>
        <v>246.64907095367749</v>
      </c>
      <c r="CZ153" s="62">
        <f t="shared" si="150"/>
        <v>145.34368562171613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-5.6843418860808015E-14</v>
      </c>
      <c r="DP153" s="18">
        <f>DO153*VLOOKUP('Données projet'!$B$14,Paramètres!$A$1:$I$89,3,0)*VLOOKUP('Données projet'!$B$14,Paramètres!$A$1:$I$89,5,0)</f>
        <v>-4.5224624045658861E-14</v>
      </c>
      <c r="DQ153" s="14" t="e">
        <f t="shared" si="151"/>
        <v>#NUM!</v>
      </c>
      <c r="DR153" s="22" t="e">
        <f t="shared" si="124"/>
        <v>#NUM!</v>
      </c>
      <c r="DS153" s="62" t="e">
        <f t="shared" si="125"/>
        <v>#NUM!</v>
      </c>
      <c r="DT153" s="62">
        <f ca="1">AVERAGE(OFFSET($DS$3,0,0,'Données projet'!$E$14+1,1))-AVERAGE(OFFSET($H$3,0,0,'Données projet'!$E$14+1,1))</f>
        <v>370.38521334472284</v>
      </c>
      <c r="DU153" s="62">
        <f t="shared" si="152"/>
        <v>404.61777090709171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-1.1368683772161603E-13</v>
      </c>
      <c r="EK153" s="18">
        <f>EJ153*VLOOKUP('Données projet'!$B$15,Paramètres!$A$1:$I$89,3,0)*VLOOKUP('Données projet'!$B$15,Paramètres!$A$1:$I$89,5,0)</f>
        <v>-9.7543306765146564E-14</v>
      </c>
      <c r="EL153" s="14" t="e">
        <f t="shared" si="153"/>
        <v>#NUM!</v>
      </c>
      <c r="EM153" s="22" t="e">
        <f t="shared" si="127"/>
        <v>#NUM!</v>
      </c>
      <c r="EN153" s="62" t="e">
        <f t="shared" si="128"/>
        <v>#NUM!</v>
      </c>
      <c r="EO153" s="62">
        <f ca="1">AVERAGE(OFFSET($EN$3,0,0,'Données projet'!$E$15+1,1))-AVERAGE(OFFSET($H$3,0,0,'Données projet'!$E$15+1,1))</f>
        <v>445.81166342116865</v>
      </c>
      <c r="EP153" s="62">
        <f t="shared" si="154"/>
        <v>230.82970731138215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0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>
        <f>VLOOKUP(A153,'Données projet'!$A$217:$I$237,2,0)</f>
        <v>335</v>
      </c>
      <c r="FC153" s="13">
        <f>VLOOKUP(A153,'Données projet'!$A$217:$I$237,9,0)</f>
        <v>3.5</v>
      </c>
      <c r="FD153" s="13">
        <f t="array" ref="FD153">INDEX(FC:FC,MIN(IF(ISNUMBER(FC153:FC349),ROW(FC153:FC349),"")))</f>
        <v>3.5</v>
      </c>
      <c r="FE153" s="13">
        <f>IF('Données projet'!$A$218&gt;35,FE152+FD153-FM152,IF(A153&lt;'Données projet'!$A$218,$FB$205^A153,IF(A153='Données projet'!$A$218,'Données projet'!$B$218,FE152+FD153-FM152)))</f>
        <v>334.99999999999955</v>
      </c>
      <c r="FF153" s="18">
        <f>FE153*VLOOKUP('Données projet'!$B$16,Paramètres!$A$1:$I$89,3,0)*VLOOKUP('Données projet'!$B$16,Paramètres!$A$1:$I$89,5,0)</f>
        <v>324.01199999999955</v>
      </c>
      <c r="FG153" s="14">
        <f t="shared" si="155"/>
        <v>76.187521990192948</v>
      </c>
      <c r="FH153" s="22">
        <f t="shared" si="130"/>
        <v>697.01416746625182</v>
      </c>
      <c r="FI153" s="62">
        <f t="shared" si="131"/>
        <v>990.34750079958508</v>
      </c>
      <c r="FJ153" s="62">
        <f ca="1">AVERAGE(OFFSET($FI$3,0,0,'Données projet'!$E$16+1,1))-AVERAGE(OFFSET($H$3,0,0,'Données projet'!$E$16+1,1))</f>
        <v>541.66888676162716</v>
      </c>
      <c r="FK153" s="62">
        <f t="shared" si="156"/>
        <v>294.45557293177131</v>
      </c>
      <c r="FL153" s="16">
        <f>IF(ISNA(VLOOKUP(A153,'Données projet'!$A$217:$I$237,3,0)),0,VLOOKUP(A153,'Données projet'!$A$217:$I$237,3,0))</f>
        <v>13</v>
      </c>
      <c r="FM153" s="16">
        <f>IF(ISNA(VLOOKUP(A153,'Données projet'!$A$217:$I$237,4,0)),0,VLOOKUP(A153,'Données projet'!$A$217:$I$237,4,0))</f>
        <v>335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>
        <f>EXP(-LN(2)/35)*FQ152+(1-EXP(-LN(2)/35))/(LN(2)/35)*FM153*FN153*VLOOKUP('Données projet'!$B$16,Paramètres!$A$1:$I$89,3,0)*0.475*44/12</f>
        <v>0</v>
      </c>
      <c r="FR153" s="23">
        <f>EXP(-LN(2)/25)*FR152+(1-EXP(-LN(2)/25))/(LN(2)/25)*Calculateur!FM153*Calculateur!FO153*VLOOKUP('Données projet'!$B$16,Paramètres!$A$1:$I$89,3,0)*0.475*44/12</f>
        <v>0</v>
      </c>
      <c r="FS153" s="23">
        <f>EXP(-LN(2)/2)*FS152+(1-EXP(-LN(2)/2))/(LN(2)/2)*FM153*FP153*VLOOKUP('Données projet'!$B$16,Paramètres!$A$1:$I$89,3,0)*0.475*44/12</f>
        <v>0</v>
      </c>
      <c r="FT153" s="24">
        <f t="shared" si="132"/>
        <v>0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1.1368683772161603E-13</v>
      </c>
      <c r="GA153" s="18">
        <f>FZ153*VLOOKUP('Données projet'!$B$17,Paramètres!$A$1:$I$89,3,0)*VLOOKUP('Données projet'!$B$17,Paramètres!$A$1:$I$89,5,0)</f>
        <v>8.8675733422860506E-14</v>
      </c>
      <c r="GB153" s="14">
        <f t="shared" si="157"/>
        <v>1.3509285393066301E-12</v>
      </c>
      <c r="GC153" s="22">
        <f t="shared" si="133"/>
        <v>2.5073107750038623E-12</v>
      </c>
      <c r="GD153" s="62">
        <f t="shared" si="134"/>
        <v>293.33333333333582</v>
      </c>
      <c r="GE153" s="62">
        <f ca="1">AVERAGE(OFFSET($GD$3,0,0,'Données projet'!$E$17+1,1))-AVERAGE(OFFSET($H$3,0,0,'Données projet'!$E$17+1,1))</f>
        <v>292.57482726862594</v>
      </c>
      <c r="GF153" s="62">
        <f t="shared" si="158"/>
        <v>283.48738729114024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>
        <f>EXP(-LN(2)/35)*GL152+(1-EXP(-LN(2)/35))/(LN(2)/35)*GH153*GI153*VLOOKUP('Données projet'!$B$17,Paramètres!$A$1:$I$89,3,0)*0.475*44/12</f>
        <v>0</v>
      </c>
      <c r="GM153" s="23">
        <f>EXP(-LN(2)/25)*GM152+(1-EXP(-LN(2)/25))/(LN(2)/25)*Calculateur!GH153*Calculateur!GJ153*VLOOKUP('Données projet'!$B$17,Paramètres!$A$1:$I$89,3,0)*0.475*44/12</f>
        <v>0</v>
      </c>
      <c r="GN153" s="23">
        <f>EXP(-LN(2)/2)*GN152+(1-EXP(-LN(2)/2))/(LN(2)/2)*GH153*GK153*VLOOKUP('Données projet'!$B$17,Paramètres!$A$1:$I$89,3,0)*0.475*44/12</f>
        <v>0</v>
      </c>
      <c r="GO153" s="23">
        <f t="shared" si="135"/>
        <v>0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-2.2737367544323206E-13</v>
      </c>
      <c r="GV153" s="18">
        <f>GU153*VLOOKUP('Données projet'!$B$18,Paramètres!$A$1:$I$89,3,0)*VLOOKUP('Données projet'!$B$18,Paramètres!$A$1:$I$89,5,0)</f>
        <v>-1.5252226148732008E-13</v>
      </c>
      <c r="GW153" s="14" t="e">
        <f t="shared" si="159"/>
        <v>#NUM!</v>
      </c>
      <c r="GX153" s="22" t="e">
        <f t="shared" si="136"/>
        <v>#NUM!</v>
      </c>
      <c r="GY153" s="62" t="e">
        <f t="shared" si="137"/>
        <v>#NUM!</v>
      </c>
      <c r="GZ153" s="62">
        <f ca="1">AVERAGE(OFFSET($GY$3,0,0,'Données projet'!$E$18+1,1))-AVERAGE(OFFSET($H$3,0,0,'Données projet'!$E$18+1,1))</f>
        <v>410.20186800287411</v>
      </c>
      <c r="HA153" s="62">
        <f t="shared" si="160"/>
        <v>321.99347958016057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>
        <f>EXP(-LN(2)/35)*HG152+(1-EXP(-LN(2)/35))/(LN(2)/35)*HC153*HD153*VLOOKUP('Données projet'!$B$18,Paramètres!$A$1:$I$89,3,0)*0.475*44/12</f>
        <v>0</v>
      </c>
      <c r="HH153" s="23">
        <f>EXP(-LN(2)/25)*HH152+(1-EXP(-LN(2)/25))/(LN(2)/25)*Calculateur!HC153*Calculateur!HE153*VLOOKUP('Données projet'!$B$18,Paramètres!$A$1:$I$89,3,0)*0.475*44/12</f>
        <v>0</v>
      </c>
      <c r="HI153" s="23">
        <f>EXP(-LN(2)/2)*HI152+(1-EXP(-LN(2)/2))/(LN(2)/2)*HC153*HF153*VLOOKUP('Données projet'!$B$18,Paramètres!$A$1:$I$89,3,0)*0.475*44/12</f>
        <v>0</v>
      </c>
      <c r="HJ153" s="24">
        <f t="shared" si="138"/>
        <v>0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-4.5474735088646412E-13</v>
      </c>
      <c r="O154" s="14">
        <f>N154*VLOOKUP('Données projet'!$B$9,Paramètres!$A$1:$I$89,3,0)*VLOOKUP('Données projet'!$B$9,Paramètres!$A$1:$I$89,5,0)</f>
        <v>-4.1145540308207271E-13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509.56241660612449</v>
      </c>
      <c r="T154" s="62">
        <f t="shared" si="142"/>
        <v>278.21741231699929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-4.5474735088646412E-13</v>
      </c>
      <c r="AJ154" s="14">
        <f>AI154*VLOOKUP('Données projet'!$B$10,Paramètres!$A$1:$I$89,3,0)*VLOOKUP('Données projet'!$B$10,Paramètres!$A$1:$I$89,5,0)</f>
        <v>-4.6111381379887462E-13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565.72091871734051</v>
      </c>
      <c r="AO154" s="62">
        <f t="shared" si="144"/>
        <v>306.61893266146666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-5.6843418860808015E-14</v>
      </c>
      <c r="BE154" s="14">
        <f>BD154*VLOOKUP('Données projet'!$B$11,Paramètres!$A$1:$I$89,3,0)*VLOOKUP('Données projet'!$B$11,Paramètres!$A$1:$I$89,5,0)</f>
        <v>-4.1677594708744434E-14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344.26020118887629</v>
      </c>
      <c r="BJ154" s="62">
        <f t="shared" si="146"/>
        <v>376.41441893222185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-4.5474735088646412E-13</v>
      </c>
      <c r="BZ154" s="14">
        <f>BY154*VLOOKUP('Données projet'!$B$12,Paramètres!$A$1:$I$89,3,0)*VLOOKUP('Données projet'!$B$12,Paramètres!$A$1:$I$89,5,0)</f>
        <v>-3.8307916838675739E-13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477.4105367901771</v>
      </c>
      <c r="CE154" s="62">
        <f t="shared" si="148"/>
        <v>261.95434270986397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-6.2527760746888816E-13</v>
      </c>
      <c r="CU154" s="18">
        <f>CT154*VLOOKUP('Données projet'!$B$13,Paramètres!$A$1:$I$89,3,0)*VLOOKUP('Données projet'!$B$13,Paramètres!$A$1:$I$89,5,0)</f>
        <v>-2.9262992029543964E-13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2" t="e">
        <f t="shared" si="122"/>
        <v>#NUM!</v>
      </c>
      <c r="CY154" s="62">
        <f ca="1">AVERAGE(OFFSET($CX$3,0,0,'Données projet'!$E$13+1,1))-AVERAGE(OFFSET($H$3,0,0,'Données projet'!$E$13+1,1))</f>
        <v>246.64907095367749</v>
      </c>
      <c r="CZ154" s="62">
        <f t="shared" si="150"/>
        <v>145.34368562171613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-5.6843418860808015E-14</v>
      </c>
      <c r="DP154" s="18">
        <f>DO154*VLOOKUP('Données projet'!$B$14,Paramètres!$A$1:$I$89,3,0)*VLOOKUP('Données projet'!$B$14,Paramètres!$A$1:$I$89,5,0)</f>
        <v>-4.5224624045658861E-14</v>
      </c>
      <c r="DQ154" s="14" t="e">
        <f t="shared" ref="DQ154:DQ203" si="176">EXP(-1.0587+0.8836*LN(DP154)+0.284)</f>
        <v>#NUM!</v>
      </c>
      <c r="DR154" s="22" t="e">
        <f t="shared" ref="DR154:DR203" si="177">(DP154+DQ154)*0.475*44/12</f>
        <v>#NUM!</v>
      </c>
      <c r="DS154" s="62" t="e">
        <f t="shared" si="125"/>
        <v>#NUM!</v>
      </c>
      <c r="DT154" s="62">
        <f ca="1">AVERAGE(OFFSET($DS$3,0,0,'Données projet'!$E$14+1,1))-AVERAGE(OFFSET($H$3,0,0,'Données projet'!$E$14+1,1))</f>
        <v>370.38521334472284</v>
      </c>
      <c r="DU154" s="62">
        <f t="shared" si="152"/>
        <v>404.61777090709171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-1.1368683772161603E-13</v>
      </c>
      <c r="EK154" s="18">
        <f>EJ154*VLOOKUP('Données projet'!$B$15,Paramètres!$A$1:$I$89,3,0)*VLOOKUP('Données projet'!$B$15,Paramètres!$A$1:$I$89,5,0)</f>
        <v>-9.7543306765146564E-14</v>
      </c>
      <c r="EL154" s="14" t="e">
        <f t="shared" ref="EL154:EL203" si="179">EXP(-1.0587+0.8836*LN(EK154)+0.284)</f>
        <v>#NUM!</v>
      </c>
      <c r="EM154" s="22" t="e">
        <f t="shared" ref="EM154:EM203" si="180">(EK154+EL154)*0.475*44/12</f>
        <v>#NUM!</v>
      </c>
      <c r="EN154" s="62" t="e">
        <f t="shared" si="128"/>
        <v>#NUM!</v>
      </c>
      <c r="EO154" s="62">
        <f ca="1">AVERAGE(OFFSET($EN$3,0,0,'Données projet'!$E$15+1,1))-AVERAGE(OFFSET($H$3,0,0,'Données projet'!$E$15+1,1))</f>
        <v>445.81166342116865</v>
      </c>
      <c r="EP154" s="62">
        <f t="shared" si="154"/>
        <v>230.82970731138215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0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-4.5474735088646412E-13</v>
      </c>
      <c r="FF154" s="18">
        <f>FE154*VLOOKUP('Données projet'!$B$16,Paramètres!$A$1:$I$89,3,0)*VLOOKUP('Données projet'!$B$16,Paramètres!$A$1:$I$89,5,0)</f>
        <v>-4.3983163777738812E-13</v>
      </c>
      <c r="FG154" s="14" t="e">
        <f t="shared" ref="FG154:FG203" si="182">EXP(-1.0587+0.8836*LN(FF154)+0.284)</f>
        <v>#NUM!</v>
      </c>
      <c r="FH154" s="22" t="e">
        <f t="shared" ref="FH154:FH203" si="183">(FF154+FG154)*0.475*44/12</f>
        <v>#NUM!</v>
      </c>
      <c r="FI154" s="62" t="e">
        <f t="shared" si="131"/>
        <v>#NUM!</v>
      </c>
      <c r="FJ154" s="62">
        <f ca="1">AVERAGE(OFFSET($FI$3,0,0,'Données projet'!$E$16+1,1))-AVERAGE(OFFSET($H$3,0,0,'Données projet'!$E$16+1,1))</f>
        <v>541.66888676162716</v>
      </c>
      <c r="FK154" s="62">
        <f t="shared" si="156"/>
        <v>294.45557293177131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>
        <f>EXP(-LN(2)/35)*FQ153+(1-EXP(-LN(2)/35))/(LN(2)/35)*FM154*FN154*VLOOKUP('Données projet'!$B$16,Paramètres!$A$1:$I$89,3,0)*0.475*44/12</f>
        <v>0</v>
      </c>
      <c r="FR154" s="23">
        <f>EXP(-LN(2)/25)*FR153+(1-EXP(-LN(2)/25))/(LN(2)/25)*Calculateur!FM154*Calculateur!FO154*VLOOKUP('Données projet'!$B$16,Paramètres!$A$1:$I$89,3,0)*0.475*44/12</f>
        <v>0</v>
      </c>
      <c r="FS154" s="23">
        <f>EXP(-LN(2)/2)*FS153+(1-EXP(-LN(2)/2))/(LN(2)/2)*FM154*FP154*VLOOKUP('Données projet'!$B$16,Paramètres!$A$1:$I$89,3,0)*0.475*44/12</f>
        <v>0</v>
      </c>
      <c r="FT154" s="24">
        <f t="shared" ref="FT154:FT203" si="184">SUM(FQ154:FS154)</f>
        <v>0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1.1368683772161603E-13</v>
      </c>
      <c r="GA154" s="18">
        <f>FZ154*VLOOKUP('Données projet'!$B$17,Paramètres!$A$1:$I$89,3,0)*VLOOKUP('Données projet'!$B$17,Paramètres!$A$1:$I$89,5,0)</f>
        <v>8.8675733422860506E-14</v>
      </c>
      <c r="GB154" s="14">
        <f t="shared" ref="GB154:GB203" si="185">EXP(-1.0587+0.8836*LN(GA154)+0.284)</f>
        <v>1.3509285393066301E-12</v>
      </c>
      <c r="GC154" s="22">
        <f t="shared" ref="GC154:GC203" si="186">(GA154+GB154)*0.475*44/12</f>
        <v>2.5073107750038623E-12</v>
      </c>
      <c r="GD154" s="62">
        <f t="shared" si="134"/>
        <v>293.33333333333582</v>
      </c>
      <c r="GE154" s="62">
        <f ca="1">AVERAGE(OFFSET($GD$3,0,0,'Données projet'!$E$17+1,1))-AVERAGE(OFFSET($H$3,0,0,'Données projet'!$E$17+1,1))</f>
        <v>292.57482726862594</v>
      </c>
      <c r="GF154" s="62">
        <f t="shared" si="158"/>
        <v>283.48738729114024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>
        <f>EXP(-LN(2)/35)*GL153+(1-EXP(-LN(2)/35))/(LN(2)/35)*GH154*GI154*VLOOKUP('Données projet'!$B$17,Paramètres!$A$1:$I$89,3,0)*0.475*44/12</f>
        <v>0</v>
      </c>
      <c r="GM154" s="23">
        <f>EXP(-LN(2)/25)*GM153+(1-EXP(-LN(2)/25))/(LN(2)/25)*Calculateur!GH154*Calculateur!GJ154*VLOOKUP('Données projet'!$B$17,Paramètres!$A$1:$I$89,3,0)*0.475*44/12</f>
        <v>0</v>
      </c>
      <c r="GN154" s="23">
        <f>EXP(-LN(2)/2)*GN153+(1-EXP(-LN(2)/2))/(LN(2)/2)*GH154*GK154*VLOOKUP('Données projet'!$B$17,Paramètres!$A$1:$I$89,3,0)*0.475*44/12</f>
        <v>0</v>
      </c>
      <c r="GO154" s="23">
        <f t="shared" ref="GO154:GO203" si="187">SUM(GL154:GN154)</f>
        <v>0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-2.2737367544323206E-13</v>
      </c>
      <c r="GV154" s="18">
        <f>GU154*VLOOKUP('Données projet'!$B$18,Paramètres!$A$1:$I$89,3,0)*VLOOKUP('Données projet'!$B$18,Paramètres!$A$1:$I$89,5,0)</f>
        <v>-1.5252226148732008E-13</v>
      </c>
      <c r="GW154" s="14" t="e">
        <f t="shared" ref="GW154:GW203" si="188">EXP(-1.0587+0.8836*LN(GV154)+0.284)</f>
        <v>#NUM!</v>
      </c>
      <c r="GX154" s="22" t="e">
        <f t="shared" ref="GX154:GX203" si="189">(GV154+GW154)*0.475*44/12</f>
        <v>#NUM!</v>
      </c>
      <c r="GY154" s="62" t="e">
        <f t="shared" si="137"/>
        <v>#NUM!</v>
      </c>
      <c r="GZ154" s="62">
        <f ca="1">AVERAGE(OFFSET($GY$3,0,0,'Données projet'!$E$18+1,1))-AVERAGE(OFFSET($H$3,0,0,'Données projet'!$E$18+1,1))</f>
        <v>410.20186800287411</v>
      </c>
      <c r="HA154" s="62">
        <f t="shared" si="160"/>
        <v>321.99347958016057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>
        <f>EXP(-LN(2)/35)*HG153+(1-EXP(-LN(2)/35))/(LN(2)/35)*HC154*HD154*VLOOKUP('Données projet'!$B$18,Paramètres!$A$1:$I$89,3,0)*0.475*44/12</f>
        <v>0</v>
      </c>
      <c r="HH154" s="23">
        <f>EXP(-LN(2)/25)*HH153+(1-EXP(-LN(2)/25))/(LN(2)/25)*Calculateur!HC154*Calculateur!HE154*VLOOKUP('Données projet'!$B$18,Paramètres!$A$1:$I$89,3,0)*0.475*44/12</f>
        <v>0</v>
      </c>
      <c r="HI154" s="23">
        <f>EXP(-LN(2)/2)*HI153+(1-EXP(-LN(2)/2))/(LN(2)/2)*HC154*HF154*VLOOKUP('Données projet'!$B$18,Paramètres!$A$1:$I$89,3,0)*0.475*44/12</f>
        <v>0</v>
      </c>
      <c r="HJ154" s="24">
        <f t="shared" ref="HJ154:HJ203" si="190">SUM(HG154:HI154)</f>
        <v>0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-4.5474735088646412E-13</v>
      </c>
      <c r="O155" s="14">
        <f>N155*VLOOKUP('Données projet'!$B$9,Paramètres!$A$1:$I$89,3,0)*VLOOKUP('Données projet'!$B$9,Paramètres!$A$1:$I$89,5,0)</f>
        <v>-4.1145540308207271E-13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509.56241660612449</v>
      </c>
      <c r="T155" s="62">
        <f t="shared" si="142"/>
        <v>278.21741231699929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-4.5474735088646412E-13</v>
      </c>
      <c r="AJ155" s="14">
        <f>AI155*VLOOKUP('Données projet'!$B$10,Paramètres!$A$1:$I$89,3,0)*VLOOKUP('Données projet'!$B$10,Paramètres!$A$1:$I$89,5,0)</f>
        <v>-4.6111381379887462E-13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565.72091871734051</v>
      </c>
      <c r="AO155" s="62">
        <f t="shared" si="144"/>
        <v>306.61893266146666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-5.6843418860808015E-14</v>
      </c>
      <c r="BE155" s="14">
        <f>BD155*VLOOKUP('Données projet'!$B$11,Paramètres!$A$1:$I$89,3,0)*VLOOKUP('Données projet'!$B$11,Paramètres!$A$1:$I$89,5,0)</f>
        <v>-4.1677594708744434E-14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344.26020118887629</v>
      </c>
      <c r="BJ155" s="62">
        <f t="shared" si="146"/>
        <v>376.41441893222185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-4.5474735088646412E-13</v>
      </c>
      <c r="BZ155" s="14">
        <f>BY155*VLOOKUP('Données projet'!$B$12,Paramètres!$A$1:$I$89,3,0)*VLOOKUP('Données projet'!$B$12,Paramètres!$A$1:$I$89,5,0)</f>
        <v>-3.8307916838675739E-13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477.4105367901771</v>
      </c>
      <c r="CE155" s="62">
        <f t="shared" si="148"/>
        <v>261.95434270986397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-6.2527760746888816E-13</v>
      </c>
      <c r="CU155" s="18">
        <f>CT155*VLOOKUP('Données projet'!$B$13,Paramètres!$A$1:$I$89,3,0)*VLOOKUP('Données projet'!$B$13,Paramètres!$A$1:$I$89,5,0)</f>
        <v>-2.9262992029543964E-13</v>
      </c>
      <c r="CV155" s="14" t="e">
        <f t="shared" si="173"/>
        <v>#NUM!</v>
      </c>
      <c r="CW155" s="22" t="e">
        <f t="shared" si="174"/>
        <v>#NUM!</v>
      </c>
      <c r="CX155" s="62" t="e">
        <f t="shared" si="122"/>
        <v>#NUM!</v>
      </c>
      <c r="CY155" s="62">
        <f ca="1">AVERAGE(OFFSET($CX$3,0,0,'Données projet'!$E$13+1,1))-AVERAGE(OFFSET($H$3,0,0,'Données projet'!$E$13+1,1))</f>
        <v>246.64907095367749</v>
      </c>
      <c r="CZ155" s="62">
        <f t="shared" si="150"/>
        <v>145.34368562171613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-5.6843418860808015E-14</v>
      </c>
      <c r="DP155" s="18">
        <f>DO155*VLOOKUP('Données projet'!$B$14,Paramètres!$A$1:$I$89,3,0)*VLOOKUP('Données projet'!$B$14,Paramètres!$A$1:$I$89,5,0)</f>
        <v>-4.5224624045658861E-14</v>
      </c>
      <c r="DQ155" s="14" t="e">
        <f t="shared" si="176"/>
        <v>#NUM!</v>
      </c>
      <c r="DR155" s="22" t="e">
        <f t="shared" si="177"/>
        <v>#NUM!</v>
      </c>
      <c r="DS155" s="62" t="e">
        <f t="shared" si="125"/>
        <v>#NUM!</v>
      </c>
      <c r="DT155" s="62">
        <f ca="1">AVERAGE(OFFSET($DS$3,0,0,'Données projet'!$E$14+1,1))-AVERAGE(OFFSET($H$3,0,0,'Données projet'!$E$14+1,1))</f>
        <v>370.38521334472284</v>
      </c>
      <c r="DU155" s="62">
        <f t="shared" si="152"/>
        <v>404.61777090709171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-1.1368683772161603E-13</v>
      </c>
      <c r="EK155" s="18">
        <f>EJ155*VLOOKUP('Données projet'!$B$15,Paramètres!$A$1:$I$89,3,0)*VLOOKUP('Données projet'!$B$15,Paramètres!$A$1:$I$89,5,0)</f>
        <v>-9.7543306765146564E-14</v>
      </c>
      <c r="EL155" s="14" t="e">
        <f t="shared" si="179"/>
        <v>#NUM!</v>
      </c>
      <c r="EM155" s="22" t="e">
        <f t="shared" si="180"/>
        <v>#NUM!</v>
      </c>
      <c r="EN155" s="62" t="e">
        <f t="shared" si="128"/>
        <v>#NUM!</v>
      </c>
      <c r="EO155" s="62">
        <f ca="1">AVERAGE(OFFSET($EN$3,0,0,'Données projet'!$E$15+1,1))-AVERAGE(OFFSET($H$3,0,0,'Données projet'!$E$15+1,1))</f>
        <v>445.81166342116865</v>
      </c>
      <c r="EP155" s="62">
        <f t="shared" si="154"/>
        <v>230.82970731138215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0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-4.5474735088646412E-13</v>
      </c>
      <c r="FF155" s="18">
        <f>FE155*VLOOKUP('Données projet'!$B$16,Paramètres!$A$1:$I$89,3,0)*VLOOKUP('Données projet'!$B$16,Paramètres!$A$1:$I$89,5,0)</f>
        <v>-4.3983163777738812E-13</v>
      </c>
      <c r="FG155" s="14" t="e">
        <f t="shared" si="182"/>
        <v>#NUM!</v>
      </c>
      <c r="FH155" s="22" t="e">
        <f t="shared" si="183"/>
        <v>#NUM!</v>
      </c>
      <c r="FI155" s="62" t="e">
        <f t="shared" si="131"/>
        <v>#NUM!</v>
      </c>
      <c r="FJ155" s="62">
        <f ca="1">AVERAGE(OFFSET($FI$3,0,0,'Données projet'!$E$16+1,1))-AVERAGE(OFFSET($H$3,0,0,'Données projet'!$E$16+1,1))</f>
        <v>541.66888676162716</v>
      </c>
      <c r="FK155" s="62">
        <f t="shared" si="156"/>
        <v>294.45557293177131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>
        <f>EXP(-LN(2)/35)*FQ154+(1-EXP(-LN(2)/35))/(LN(2)/35)*FM155*FN155*VLOOKUP('Données projet'!$B$16,Paramètres!$A$1:$I$89,3,0)*0.475*44/12</f>
        <v>0</v>
      </c>
      <c r="FR155" s="23">
        <f>EXP(-LN(2)/25)*FR154+(1-EXP(-LN(2)/25))/(LN(2)/25)*Calculateur!FM155*Calculateur!FO155*VLOOKUP('Données projet'!$B$16,Paramètres!$A$1:$I$89,3,0)*0.475*44/12</f>
        <v>0</v>
      </c>
      <c r="FS155" s="23">
        <f>EXP(-LN(2)/2)*FS154+(1-EXP(-LN(2)/2))/(LN(2)/2)*FM155*FP155*VLOOKUP('Données projet'!$B$16,Paramètres!$A$1:$I$89,3,0)*0.475*44/12</f>
        <v>0</v>
      </c>
      <c r="FT155" s="24">
        <f t="shared" si="184"/>
        <v>0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1.1368683772161603E-13</v>
      </c>
      <c r="GA155" s="18">
        <f>FZ155*VLOOKUP('Données projet'!$B$17,Paramètres!$A$1:$I$89,3,0)*VLOOKUP('Données projet'!$B$17,Paramètres!$A$1:$I$89,5,0)</f>
        <v>8.8675733422860506E-14</v>
      </c>
      <c r="GB155" s="14">
        <f t="shared" si="185"/>
        <v>1.3509285393066301E-12</v>
      </c>
      <c r="GC155" s="22">
        <f t="shared" si="186"/>
        <v>2.5073107750038623E-12</v>
      </c>
      <c r="GD155" s="62">
        <f t="shared" si="134"/>
        <v>293.33333333333582</v>
      </c>
      <c r="GE155" s="62">
        <f ca="1">AVERAGE(OFFSET($GD$3,0,0,'Données projet'!$E$17+1,1))-AVERAGE(OFFSET($H$3,0,0,'Données projet'!$E$17+1,1))</f>
        <v>292.57482726862594</v>
      </c>
      <c r="GF155" s="62">
        <f t="shared" si="158"/>
        <v>283.48738729114024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>
        <f>EXP(-LN(2)/35)*GL154+(1-EXP(-LN(2)/35))/(LN(2)/35)*GH155*GI155*VLOOKUP('Données projet'!$B$17,Paramètres!$A$1:$I$89,3,0)*0.475*44/12</f>
        <v>0</v>
      </c>
      <c r="GM155" s="23">
        <f>EXP(-LN(2)/25)*GM154+(1-EXP(-LN(2)/25))/(LN(2)/25)*Calculateur!GH155*Calculateur!GJ155*VLOOKUP('Données projet'!$B$17,Paramètres!$A$1:$I$89,3,0)*0.475*44/12</f>
        <v>0</v>
      </c>
      <c r="GN155" s="23">
        <f>EXP(-LN(2)/2)*GN154+(1-EXP(-LN(2)/2))/(LN(2)/2)*GH155*GK155*VLOOKUP('Données projet'!$B$17,Paramètres!$A$1:$I$89,3,0)*0.475*44/12</f>
        <v>0</v>
      </c>
      <c r="GO155" s="23">
        <f t="shared" si="187"/>
        <v>0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-2.2737367544323206E-13</v>
      </c>
      <c r="GV155" s="18">
        <f>GU155*VLOOKUP('Données projet'!$B$18,Paramètres!$A$1:$I$89,3,0)*VLOOKUP('Données projet'!$B$18,Paramètres!$A$1:$I$89,5,0)</f>
        <v>-1.5252226148732008E-13</v>
      </c>
      <c r="GW155" s="14" t="e">
        <f t="shared" si="188"/>
        <v>#NUM!</v>
      </c>
      <c r="GX155" s="22" t="e">
        <f t="shared" si="189"/>
        <v>#NUM!</v>
      </c>
      <c r="GY155" s="62" t="e">
        <f t="shared" si="137"/>
        <v>#NUM!</v>
      </c>
      <c r="GZ155" s="62">
        <f ca="1">AVERAGE(OFFSET($GY$3,0,0,'Données projet'!$E$18+1,1))-AVERAGE(OFFSET($H$3,0,0,'Données projet'!$E$18+1,1))</f>
        <v>410.20186800287411</v>
      </c>
      <c r="HA155" s="62">
        <f t="shared" si="160"/>
        <v>321.99347958016057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>
        <f>EXP(-LN(2)/35)*HG154+(1-EXP(-LN(2)/35))/(LN(2)/35)*HC155*HD155*VLOOKUP('Données projet'!$B$18,Paramètres!$A$1:$I$89,3,0)*0.475*44/12</f>
        <v>0</v>
      </c>
      <c r="HH155" s="23">
        <f>EXP(-LN(2)/25)*HH154+(1-EXP(-LN(2)/25))/(LN(2)/25)*Calculateur!HC155*Calculateur!HE155*VLOOKUP('Données projet'!$B$18,Paramètres!$A$1:$I$89,3,0)*0.475*44/12</f>
        <v>0</v>
      </c>
      <c r="HI155" s="23">
        <f>EXP(-LN(2)/2)*HI154+(1-EXP(-LN(2)/2))/(LN(2)/2)*HC155*HF155*VLOOKUP('Données projet'!$B$18,Paramètres!$A$1:$I$89,3,0)*0.475*44/12</f>
        <v>0</v>
      </c>
      <c r="HJ155" s="24">
        <f t="shared" si="190"/>
        <v>0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-4.5474735088646412E-13</v>
      </c>
      <c r="O156" s="14">
        <f>N156*VLOOKUP('Données projet'!$B$9,Paramètres!$A$1:$I$89,3,0)*VLOOKUP('Données projet'!$B$9,Paramètres!$A$1:$I$89,5,0)</f>
        <v>-4.1145540308207271E-13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509.56241660612449</v>
      </c>
      <c r="T156" s="62">
        <f t="shared" si="142"/>
        <v>278.21741231699929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-4.5474735088646412E-13</v>
      </c>
      <c r="AJ156" s="14">
        <f>AI156*VLOOKUP('Données projet'!$B$10,Paramètres!$A$1:$I$89,3,0)*VLOOKUP('Données projet'!$B$10,Paramètres!$A$1:$I$89,5,0)</f>
        <v>-4.6111381379887462E-13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565.72091871734051</v>
      </c>
      <c r="AO156" s="62">
        <f t="shared" si="144"/>
        <v>306.61893266146666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-5.6843418860808015E-14</v>
      </c>
      <c r="BE156" s="14">
        <f>BD156*VLOOKUP('Données projet'!$B$11,Paramètres!$A$1:$I$89,3,0)*VLOOKUP('Données projet'!$B$11,Paramètres!$A$1:$I$89,5,0)</f>
        <v>-4.1677594708744434E-14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344.26020118887629</v>
      </c>
      <c r="BJ156" s="62">
        <f t="shared" si="146"/>
        <v>376.41441893222185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-4.5474735088646412E-13</v>
      </c>
      <c r="BZ156" s="14">
        <f>BY156*VLOOKUP('Données projet'!$B$12,Paramètres!$A$1:$I$89,3,0)*VLOOKUP('Données projet'!$B$12,Paramètres!$A$1:$I$89,5,0)</f>
        <v>-3.8307916838675739E-13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477.4105367901771</v>
      </c>
      <c r="CE156" s="62">
        <f t="shared" si="148"/>
        <v>261.95434270986397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-6.2527760746888816E-13</v>
      </c>
      <c r="CU156" s="18">
        <f>CT156*VLOOKUP('Données projet'!$B$13,Paramètres!$A$1:$I$89,3,0)*VLOOKUP('Données projet'!$B$13,Paramètres!$A$1:$I$89,5,0)</f>
        <v>-2.9262992029543964E-13</v>
      </c>
      <c r="CV156" s="14" t="e">
        <f t="shared" si="173"/>
        <v>#NUM!</v>
      </c>
      <c r="CW156" s="22" t="e">
        <f t="shared" si="174"/>
        <v>#NUM!</v>
      </c>
      <c r="CX156" s="62" t="e">
        <f t="shared" si="122"/>
        <v>#NUM!</v>
      </c>
      <c r="CY156" s="62">
        <f ca="1">AVERAGE(OFFSET($CX$3,0,0,'Données projet'!$E$13+1,1))-AVERAGE(OFFSET($H$3,0,0,'Données projet'!$E$13+1,1))</f>
        <v>246.64907095367749</v>
      </c>
      <c r="CZ156" s="62">
        <f t="shared" si="150"/>
        <v>145.34368562171613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-5.6843418860808015E-14</v>
      </c>
      <c r="DP156" s="18">
        <f>DO156*VLOOKUP('Données projet'!$B$14,Paramètres!$A$1:$I$89,3,0)*VLOOKUP('Données projet'!$B$14,Paramètres!$A$1:$I$89,5,0)</f>
        <v>-4.5224624045658861E-14</v>
      </c>
      <c r="DQ156" s="14" t="e">
        <f t="shared" si="176"/>
        <v>#NUM!</v>
      </c>
      <c r="DR156" s="22" t="e">
        <f t="shared" si="177"/>
        <v>#NUM!</v>
      </c>
      <c r="DS156" s="62" t="e">
        <f t="shared" si="125"/>
        <v>#NUM!</v>
      </c>
      <c r="DT156" s="62">
        <f ca="1">AVERAGE(OFFSET($DS$3,0,0,'Données projet'!$E$14+1,1))-AVERAGE(OFFSET($H$3,0,0,'Données projet'!$E$14+1,1))</f>
        <v>370.38521334472284</v>
      </c>
      <c r="DU156" s="62">
        <f t="shared" si="152"/>
        <v>404.61777090709171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-1.1368683772161603E-13</v>
      </c>
      <c r="EK156" s="18">
        <f>EJ156*VLOOKUP('Données projet'!$B$15,Paramètres!$A$1:$I$89,3,0)*VLOOKUP('Données projet'!$B$15,Paramètres!$A$1:$I$89,5,0)</f>
        <v>-9.7543306765146564E-14</v>
      </c>
      <c r="EL156" s="14" t="e">
        <f t="shared" si="179"/>
        <v>#NUM!</v>
      </c>
      <c r="EM156" s="22" t="e">
        <f t="shared" si="180"/>
        <v>#NUM!</v>
      </c>
      <c r="EN156" s="62" t="e">
        <f t="shared" si="128"/>
        <v>#NUM!</v>
      </c>
      <c r="EO156" s="62">
        <f ca="1">AVERAGE(OFFSET($EN$3,0,0,'Données projet'!$E$15+1,1))-AVERAGE(OFFSET($H$3,0,0,'Données projet'!$E$15+1,1))</f>
        <v>445.81166342116865</v>
      </c>
      <c r="EP156" s="62">
        <f t="shared" si="154"/>
        <v>230.82970731138215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0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-4.5474735088646412E-13</v>
      </c>
      <c r="FF156" s="18">
        <f>FE156*VLOOKUP('Données projet'!$B$16,Paramètres!$A$1:$I$89,3,0)*VLOOKUP('Données projet'!$B$16,Paramètres!$A$1:$I$89,5,0)</f>
        <v>-4.3983163777738812E-13</v>
      </c>
      <c r="FG156" s="14" t="e">
        <f t="shared" si="182"/>
        <v>#NUM!</v>
      </c>
      <c r="FH156" s="22" t="e">
        <f t="shared" si="183"/>
        <v>#NUM!</v>
      </c>
      <c r="FI156" s="62" t="e">
        <f t="shared" si="131"/>
        <v>#NUM!</v>
      </c>
      <c r="FJ156" s="62">
        <f ca="1">AVERAGE(OFFSET($FI$3,0,0,'Données projet'!$E$16+1,1))-AVERAGE(OFFSET($H$3,0,0,'Données projet'!$E$16+1,1))</f>
        <v>541.66888676162716</v>
      </c>
      <c r="FK156" s="62">
        <f t="shared" si="156"/>
        <v>294.45557293177131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>
        <f>EXP(-LN(2)/35)*FQ155+(1-EXP(-LN(2)/35))/(LN(2)/35)*FM156*FN156*VLOOKUP('Données projet'!$B$16,Paramètres!$A$1:$I$89,3,0)*0.475*44/12</f>
        <v>0</v>
      </c>
      <c r="FR156" s="23">
        <f>EXP(-LN(2)/25)*FR155+(1-EXP(-LN(2)/25))/(LN(2)/25)*Calculateur!FM156*Calculateur!FO156*VLOOKUP('Données projet'!$B$16,Paramètres!$A$1:$I$89,3,0)*0.475*44/12</f>
        <v>0</v>
      </c>
      <c r="FS156" s="23">
        <f>EXP(-LN(2)/2)*FS155+(1-EXP(-LN(2)/2))/(LN(2)/2)*FM156*FP156*VLOOKUP('Données projet'!$B$16,Paramètres!$A$1:$I$89,3,0)*0.475*44/12</f>
        <v>0</v>
      </c>
      <c r="FT156" s="24">
        <f t="shared" si="184"/>
        <v>0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1.1368683772161603E-13</v>
      </c>
      <c r="GA156" s="18">
        <f>FZ156*VLOOKUP('Données projet'!$B$17,Paramètres!$A$1:$I$89,3,0)*VLOOKUP('Données projet'!$B$17,Paramètres!$A$1:$I$89,5,0)</f>
        <v>8.8675733422860506E-14</v>
      </c>
      <c r="GB156" s="14">
        <f t="shared" si="185"/>
        <v>1.3509285393066301E-12</v>
      </c>
      <c r="GC156" s="22">
        <f t="shared" si="186"/>
        <v>2.5073107750038623E-12</v>
      </c>
      <c r="GD156" s="62">
        <f t="shared" si="134"/>
        <v>293.33333333333582</v>
      </c>
      <c r="GE156" s="62">
        <f ca="1">AVERAGE(OFFSET($GD$3,0,0,'Données projet'!$E$17+1,1))-AVERAGE(OFFSET($H$3,0,0,'Données projet'!$E$17+1,1))</f>
        <v>292.57482726862594</v>
      </c>
      <c r="GF156" s="62">
        <f t="shared" si="158"/>
        <v>283.48738729114024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>
        <f>EXP(-LN(2)/35)*GL155+(1-EXP(-LN(2)/35))/(LN(2)/35)*GH156*GI156*VLOOKUP('Données projet'!$B$17,Paramètres!$A$1:$I$89,3,0)*0.475*44/12</f>
        <v>0</v>
      </c>
      <c r="GM156" s="23">
        <f>EXP(-LN(2)/25)*GM155+(1-EXP(-LN(2)/25))/(LN(2)/25)*Calculateur!GH156*Calculateur!GJ156*VLOOKUP('Données projet'!$B$17,Paramètres!$A$1:$I$89,3,0)*0.475*44/12</f>
        <v>0</v>
      </c>
      <c r="GN156" s="23">
        <f>EXP(-LN(2)/2)*GN155+(1-EXP(-LN(2)/2))/(LN(2)/2)*GH156*GK156*VLOOKUP('Données projet'!$B$17,Paramètres!$A$1:$I$89,3,0)*0.475*44/12</f>
        <v>0</v>
      </c>
      <c r="GO156" s="23">
        <f t="shared" si="187"/>
        <v>0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-2.2737367544323206E-13</v>
      </c>
      <c r="GV156" s="18">
        <f>GU156*VLOOKUP('Données projet'!$B$18,Paramètres!$A$1:$I$89,3,0)*VLOOKUP('Données projet'!$B$18,Paramètres!$A$1:$I$89,5,0)</f>
        <v>-1.5252226148732008E-13</v>
      </c>
      <c r="GW156" s="14" t="e">
        <f t="shared" si="188"/>
        <v>#NUM!</v>
      </c>
      <c r="GX156" s="22" t="e">
        <f t="shared" si="189"/>
        <v>#NUM!</v>
      </c>
      <c r="GY156" s="62" t="e">
        <f t="shared" si="137"/>
        <v>#NUM!</v>
      </c>
      <c r="GZ156" s="62">
        <f ca="1">AVERAGE(OFFSET($GY$3,0,0,'Données projet'!$E$18+1,1))-AVERAGE(OFFSET($H$3,0,0,'Données projet'!$E$18+1,1))</f>
        <v>410.20186800287411</v>
      </c>
      <c r="HA156" s="62">
        <f t="shared" si="160"/>
        <v>321.99347958016057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>
        <f>EXP(-LN(2)/35)*HG155+(1-EXP(-LN(2)/35))/(LN(2)/35)*HC156*HD156*VLOOKUP('Données projet'!$B$18,Paramètres!$A$1:$I$89,3,0)*0.475*44/12</f>
        <v>0</v>
      </c>
      <c r="HH156" s="23">
        <f>EXP(-LN(2)/25)*HH155+(1-EXP(-LN(2)/25))/(LN(2)/25)*Calculateur!HC156*Calculateur!HE156*VLOOKUP('Données projet'!$B$18,Paramètres!$A$1:$I$89,3,0)*0.475*44/12</f>
        <v>0</v>
      </c>
      <c r="HI156" s="23">
        <f>EXP(-LN(2)/2)*HI155+(1-EXP(-LN(2)/2))/(LN(2)/2)*HC156*HF156*VLOOKUP('Données projet'!$B$18,Paramètres!$A$1:$I$89,3,0)*0.475*44/12</f>
        <v>0</v>
      </c>
      <c r="HJ156" s="24">
        <f t="shared" si="190"/>
        <v>0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-4.5474735088646412E-13</v>
      </c>
      <c r="O157" s="14">
        <f>N157*VLOOKUP('Données projet'!$B$9,Paramètres!$A$1:$I$89,3,0)*VLOOKUP('Données projet'!$B$9,Paramètres!$A$1:$I$89,5,0)</f>
        <v>-4.1145540308207271E-13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509.56241660612449</v>
      </c>
      <c r="T157" s="62">
        <f t="shared" si="142"/>
        <v>278.21741231699929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-4.5474735088646412E-13</v>
      </c>
      <c r="AJ157" s="14">
        <f>AI157*VLOOKUP('Données projet'!$B$10,Paramètres!$A$1:$I$89,3,0)*VLOOKUP('Données projet'!$B$10,Paramètres!$A$1:$I$89,5,0)</f>
        <v>-4.6111381379887462E-13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565.72091871734051</v>
      </c>
      <c r="AO157" s="62">
        <f t="shared" si="144"/>
        <v>306.61893266146666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-5.6843418860808015E-14</v>
      </c>
      <c r="BE157" s="14">
        <f>BD157*VLOOKUP('Données projet'!$B$11,Paramètres!$A$1:$I$89,3,0)*VLOOKUP('Données projet'!$B$11,Paramètres!$A$1:$I$89,5,0)</f>
        <v>-4.1677594708744434E-14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344.26020118887629</v>
      </c>
      <c r="BJ157" s="62">
        <f t="shared" si="146"/>
        <v>376.41441893222185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-4.5474735088646412E-13</v>
      </c>
      <c r="BZ157" s="14">
        <f>BY157*VLOOKUP('Données projet'!$B$12,Paramètres!$A$1:$I$89,3,0)*VLOOKUP('Données projet'!$B$12,Paramètres!$A$1:$I$89,5,0)</f>
        <v>-3.8307916838675739E-13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477.4105367901771</v>
      </c>
      <c r="CE157" s="62">
        <f t="shared" si="148"/>
        <v>261.95434270986397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-6.2527760746888816E-13</v>
      </c>
      <c r="CU157" s="18">
        <f>CT157*VLOOKUP('Données projet'!$B$13,Paramètres!$A$1:$I$89,3,0)*VLOOKUP('Données projet'!$B$13,Paramètres!$A$1:$I$89,5,0)</f>
        <v>-2.9262992029543964E-13</v>
      </c>
      <c r="CV157" s="14" t="e">
        <f t="shared" si="173"/>
        <v>#NUM!</v>
      </c>
      <c r="CW157" s="22" t="e">
        <f t="shared" si="174"/>
        <v>#NUM!</v>
      </c>
      <c r="CX157" s="62" t="e">
        <f t="shared" si="122"/>
        <v>#NUM!</v>
      </c>
      <c r="CY157" s="62">
        <f ca="1">AVERAGE(OFFSET($CX$3,0,0,'Données projet'!$E$13+1,1))-AVERAGE(OFFSET($H$3,0,0,'Données projet'!$E$13+1,1))</f>
        <v>246.64907095367749</v>
      </c>
      <c r="CZ157" s="62">
        <f t="shared" si="150"/>
        <v>145.34368562171613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-5.6843418860808015E-14</v>
      </c>
      <c r="DP157" s="18">
        <f>DO157*VLOOKUP('Données projet'!$B$14,Paramètres!$A$1:$I$89,3,0)*VLOOKUP('Données projet'!$B$14,Paramètres!$A$1:$I$89,5,0)</f>
        <v>-4.5224624045658861E-14</v>
      </c>
      <c r="DQ157" s="14" t="e">
        <f t="shared" si="176"/>
        <v>#NUM!</v>
      </c>
      <c r="DR157" s="22" t="e">
        <f t="shared" si="177"/>
        <v>#NUM!</v>
      </c>
      <c r="DS157" s="62" t="e">
        <f t="shared" si="125"/>
        <v>#NUM!</v>
      </c>
      <c r="DT157" s="62">
        <f ca="1">AVERAGE(OFFSET($DS$3,0,0,'Données projet'!$E$14+1,1))-AVERAGE(OFFSET($H$3,0,0,'Données projet'!$E$14+1,1))</f>
        <v>370.38521334472284</v>
      </c>
      <c r="DU157" s="62">
        <f t="shared" si="152"/>
        <v>404.61777090709171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-1.1368683772161603E-13</v>
      </c>
      <c r="EK157" s="18">
        <f>EJ157*VLOOKUP('Données projet'!$B$15,Paramètres!$A$1:$I$89,3,0)*VLOOKUP('Données projet'!$B$15,Paramètres!$A$1:$I$89,5,0)</f>
        <v>-9.7543306765146564E-14</v>
      </c>
      <c r="EL157" s="14" t="e">
        <f t="shared" si="179"/>
        <v>#NUM!</v>
      </c>
      <c r="EM157" s="22" t="e">
        <f t="shared" si="180"/>
        <v>#NUM!</v>
      </c>
      <c r="EN157" s="62" t="e">
        <f t="shared" si="128"/>
        <v>#NUM!</v>
      </c>
      <c r="EO157" s="62">
        <f ca="1">AVERAGE(OFFSET($EN$3,0,0,'Données projet'!$E$15+1,1))-AVERAGE(OFFSET($H$3,0,0,'Données projet'!$E$15+1,1))</f>
        <v>445.81166342116865</v>
      </c>
      <c r="EP157" s="62">
        <f t="shared" si="154"/>
        <v>230.82970731138215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0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-4.5474735088646412E-13</v>
      </c>
      <c r="FF157" s="18">
        <f>FE157*VLOOKUP('Données projet'!$B$16,Paramètres!$A$1:$I$89,3,0)*VLOOKUP('Données projet'!$B$16,Paramètres!$A$1:$I$89,5,0)</f>
        <v>-4.3983163777738812E-13</v>
      </c>
      <c r="FG157" s="14" t="e">
        <f t="shared" si="182"/>
        <v>#NUM!</v>
      </c>
      <c r="FH157" s="22" t="e">
        <f t="shared" si="183"/>
        <v>#NUM!</v>
      </c>
      <c r="FI157" s="62" t="e">
        <f t="shared" si="131"/>
        <v>#NUM!</v>
      </c>
      <c r="FJ157" s="62">
        <f ca="1">AVERAGE(OFFSET($FI$3,0,0,'Données projet'!$E$16+1,1))-AVERAGE(OFFSET($H$3,0,0,'Données projet'!$E$16+1,1))</f>
        <v>541.66888676162716</v>
      </c>
      <c r="FK157" s="62">
        <f t="shared" si="156"/>
        <v>294.45557293177131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>
        <f>EXP(-LN(2)/35)*FQ156+(1-EXP(-LN(2)/35))/(LN(2)/35)*FM157*FN157*VLOOKUP('Données projet'!$B$16,Paramètres!$A$1:$I$89,3,0)*0.475*44/12</f>
        <v>0</v>
      </c>
      <c r="FR157" s="23">
        <f>EXP(-LN(2)/25)*FR156+(1-EXP(-LN(2)/25))/(LN(2)/25)*Calculateur!FM157*Calculateur!FO157*VLOOKUP('Données projet'!$B$16,Paramètres!$A$1:$I$89,3,0)*0.475*44/12</f>
        <v>0</v>
      </c>
      <c r="FS157" s="23">
        <f>EXP(-LN(2)/2)*FS156+(1-EXP(-LN(2)/2))/(LN(2)/2)*FM157*FP157*VLOOKUP('Données projet'!$B$16,Paramètres!$A$1:$I$89,3,0)*0.475*44/12</f>
        <v>0</v>
      </c>
      <c r="FT157" s="24">
        <f t="shared" si="184"/>
        <v>0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1.1368683772161603E-13</v>
      </c>
      <c r="GA157" s="18">
        <f>FZ157*VLOOKUP('Données projet'!$B$17,Paramètres!$A$1:$I$89,3,0)*VLOOKUP('Données projet'!$B$17,Paramètres!$A$1:$I$89,5,0)</f>
        <v>8.8675733422860506E-14</v>
      </c>
      <c r="GB157" s="14">
        <f t="shared" si="185"/>
        <v>1.3509285393066301E-12</v>
      </c>
      <c r="GC157" s="22">
        <f t="shared" si="186"/>
        <v>2.5073107750038623E-12</v>
      </c>
      <c r="GD157" s="62">
        <f t="shared" si="134"/>
        <v>293.33333333333582</v>
      </c>
      <c r="GE157" s="62">
        <f ca="1">AVERAGE(OFFSET($GD$3,0,0,'Données projet'!$E$17+1,1))-AVERAGE(OFFSET($H$3,0,0,'Données projet'!$E$17+1,1))</f>
        <v>292.57482726862594</v>
      </c>
      <c r="GF157" s="62">
        <f t="shared" si="158"/>
        <v>283.48738729114024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>
        <f>EXP(-LN(2)/35)*GL156+(1-EXP(-LN(2)/35))/(LN(2)/35)*GH157*GI157*VLOOKUP('Données projet'!$B$17,Paramètres!$A$1:$I$89,3,0)*0.475*44/12</f>
        <v>0</v>
      </c>
      <c r="GM157" s="23">
        <f>EXP(-LN(2)/25)*GM156+(1-EXP(-LN(2)/25))/(LN(2)/25)*Calculateur!GH157*Calculateur!GJ157*VLOOKUP('Données projet'!$B$17,Paramètres!$A$1:$I$89,3,0)*0.475*44/12</f>
        <v>0</v>
      </c>
      <c r="GN157" s="23">
        <f>EXP(-LN(2)/2)*GN156+(1-EXP(-LN(2)/2))/(LN(2)/2)*GH157*GK157*VLOOKUP('Données projet'!$B$17,Paramètres!$A$1:$I$89,3,0)*0.475*44/12</f>
        <v>0</v>
      </c>
      <c r="GO157" s="23">
        <f t="shared" si="187"/>
        <v>0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-2.2737367544323206E-13</v>
      </c>
      <c r="GV157" s="18">
        <f>GU157*VLOOKUP('Données projet'!$B$18,Paramètres!$A$1:$I$89,3,0)*VLOOKUP('Données projet'!$B$18,Paramètres!$A$1:$I$89,5,0)</f>
        <v>-1.5252226148732008E-13</v>
      </c>
      <c r="GW157" s="14" t="e">
        <f t="shared" si="188"/>
        <v>#NUM!</v>
      </c>
      <c r="GX157" s="22" t="e">
        <f t="shared" si="189"/>
        <v>#NUM!</v>
      </c>
      <c r="GY157" s="62" t="e">
        <f t="shared" si="137"/>
        <v>#NUM!</v>
      </c>
      <c r="GZ157" s="62">
        <f ca="1">AVERAGE(OFFSET($GY$3,0,0,'Données projet'!$E$18+1,1))-AVERAGE(OFFSET($H$3,0,0,'Données projet'!$E$18+1,1))</f>
        <v>410.20186800287411</v>
      </c>
      <c r="HA157" s="62">
        <f t="shared" si="160"/>
        <v>321.99347958016057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>
        <f>EXP(-LN(2)/35)*HG156+(1-EXP(-LN(2)/35))/(LN(2)/35)*HC157*HD157*VLOOKUP('Données projet'!$B$18,Paramètres!$A$1:$I$89,3,0)*0.475*44/12</f>
        <v>0</v>
      </c>
      <c r="HH157" s="23">
        <f>EXP(-LN(2)/25)*HH156+(1-EXP(-LN(2)/25))/(LN(2)/25)*Calculateur!HC157*Calculateur!HE157*VLOOKUP('Données projet'!$B$18,Paramètres!$A$1:$I$89,3,0)*0.475*44/12</f>
        <v>0</v>
      </c>
      <c r="HI157" s="23">
        <f>EXP(-LN(2)/2)*HI156+(1-EXP(-LN(2)/2))/(LN(2)/2)*HC157*HF157*VLOOKUP('Données projet'!$B$18,Paramètres!$A$1:$I$89,3,0)*0.475*44/12</f>
        <v>0</v>
      </c>
      <c r="HJ157" s="24">
        <f t="shared" si="190"/>
        <v>0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-4.5474735088646412E-13</v>
      </c>
      <c r="O158" s="14">
        <f>N158*VLOOKUP('Données projet'!$B$9,Paramètres!$A$1:$I$89,3,0)*VLOOKUP('Données projet'!$B$9,Paramètres!$A$1:$I$89,5,0)</f>
        <v>-4.1145540308207271E-13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509.56241660612449</v>
      </c>
      <c r="T158" s="62">
        <f t="shared" si="142"/>
        <v>278.21741231699929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-4.5474735088646412E-13</v>
      </c>
      <c r="AJ158" s="14">
        <f>AI158*VLOOKUP('Données projet'!$B$10,Paramètres!$A$1:$I$89,3,0)*VLOOKUP('Données projet'!$B$10,Paramètres!$A$1:$I$89,5,0)</f>
        <v>-4.6111381379887462E-13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565.72091871734051</v>
      </c>
      <c r="AO158" s="62">
        <f t="shared" si="144"/>
        <v>306.61893266146666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-5.6843418860808015E-14</v>
      </c>
      <c r="BE158" s="14">
        <f>BD158*VLOOKUP('Données projet'!$B$11,Paramètres!$A$1:$I$89,3,0)*VLOOKUP('Données projet'!$B$11,Paramètres!$A$1:$I$89,5,0)</f>
        <v>-4.1677594708744434E-14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344.26020118887629</v>
      </c>
      <c r="BJ158" s="62">
        <f t="shared" si="146"/>
        <v>376.41441893222185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-4.5474735088646412E-13</v>
      </c>
      <c r="BZ158" s="14">
        <f>BY158*VLOOKUP('Données projet'!$B$12,Paramètres!$A$1:$I$89,3,0)*VLOOKUP('Données projet'!$B$12,Paramètres!$A$1:$I$89,5,0)</f>
        <v>-3.8307916838675739E-13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477.4105367901771</v>
      </c>
      <c r="CE158" s="62">
        <f t="shared" si="148"/>
        <v>261.95434270986397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-6.2527760746888816E-13</v>
      </c>
      <c r="CU158" s="18">
        <f>CT158*VLOOKUP('Données projet'!$B$13,Paramètres!$A$1:$I$89,3,0)*VLOOKUP('Données projet'!$B$13,Paramètres!$A$1:$I$89,5,0)</f>
        <v>-2.9262992029543964E-13</v>
      </c>
      <c r="CV158" s="14" t="e">
        <f t="shared" si="173"/>
        <v>#NUM!</v>
      </c>
      <c r="CW158" s="22" t="e">
        <f t="shared" si="174"/>
        <v>#NUM!</v>
      </c>
      <c r="CX158" s="62" t="e">
        <f t="shared" si="122"/>
        <v>#NUM!</v>
      </c>
      <c r="CY158" s="62">
        <f ca="1">AVERAGE(OFFSET($CX$3,0,0,'Données projet'!$E$13+1,1))-AVERAGE(OFFSET($H$3,0,0,'Données projet'!$E$13+1,1))</f>
        <v>246.64907095367749</v>
      </c>
      <c r="CZ158" s="62">
        <f t="shared" si="150"/>
        <v>145.34368562171613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-5.6843418860808015E-14</v>
      </c>
      <c r="DP158" s="18">
        <f>DO158*VLOOKUP('Données projet'!$B$14,Paramètres!$A$1:$I$89,3,0)*VLOOKUP('Données projet'!$B$14,Paramètres!$A$1:$I$89,5,0)</f>
        <v>-4.5224624045658861E-14</v>
      </c>
      <c r="DQ158" s="14" t="e">
        <f t="shared" si="176"/>
        <v>#NUM!</v>
      </c>
      <c r="DR158" s="22" t="e">
        <f t="shared" si="177"/>
        <v>#NUM!</v>
      </c>
      <c r="DS158" s="62" t="e">
        <f t="shared" si="125"/>
        <v>#NUM!</v>
      </c>
      <c r="DT158" s="62">
        <f ca="1">AVERAGE(OFFSET($DS$3,0,0,'Données projet'!$E$14+1,1))-AVERAGE(OFFSET($H$3,0,0,'Données projet'!$E$14+1,1))</f>
        <v>370.38521334472284</v>
      </c>
      <c r="DU158" s="62">
        <f t="shared" si="152"/>
        <v>404.61777090709171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-1.1368683772161603E-13</v>
      </c>
      <c r="EK158" s="18">
        <f>EJ158*VLOOKUP('Données projet'!$B$15,Paramètres!$A$1:$I$89,3,0)*VLOOKUP('Données projet'!$B$15,Paramètres!$A$1:$I$89,5,0)</f>
        <v>-9.7543306765146564E-14</v>
      </c>
      <c r="EL158" s="14" t="e">
        <f t="shared" si="179"/>
        <v>#NUM!</v>
      </c>
      <c r="EM158" s="22" t="e">
        <f t="shared" si="180"/>
        <v>#NUM!</v>
      </c>
      <c r="EN158" s="62" t="e">
        <f t="shared" si="128"/>
        <v>#NUM!</v>
      </c>
      <c r="EO158" s="62">
        <f ca="1">AVERAGE(OFFSET($EN$3,0,0,'Données projet'!$E$15+1,1))-AVERAGE(OFFSET($H$3,0,0,'Données projet'!$E$15+1,1))</f>
        <v>445.81166342116865</v>
      </c>
      <c r="EP158" s="62">
        <f t="shared" si="154"/>
        <v>230.82970731138215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0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-4.5474735088646412E-13</v>
      </c>
      <c r="FF158" s="18">
        <f>FE158*VLOOKUP('Données projet'!$B$16,Paramètres!$A$1:$I$89,3,0)*VLOOKUP('Données projet'!$B$16,Paramètres!$A$1:$I$89,5,0)</f>
        <v>-4.3983163777738812E-13</v>
      </c>
      <c r="FG158" s="14" t="e">
        <f t="shared" si="182"/>
        <v>#NUM!</v>
      </c>
      <c r="FH158" s="22" t="e">
        <f t="shared" si="183"/>
        <v>#NUM!</v>
      </c>
      <c r="FI158" s="62" t="e">
        <f t="shared" si="131"/>
        <v>#NUM!</v>
      </c>
      <c r="FJ158" s="62">
        <f ca="1">AVERAGE(OFFSET($FI$3,0,0,'Données projet'!$E$16+1,1))-AVERAGE(OFFSET($H$3,0,0,'Données projet'!$E$16+1,1))</f>
        <v>541.66888676162716</v>
      </c>
      <c r="FK158" s="62">
        <f t="shared" si="156"/>
        <v>294.45557293177131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>
        <f>EXP(-LN(2)/35)*FQ157+(1-EXP(-LN(2)/35))/(LN(2)/35)*FM158*FN158*VLOOKUP('Données projet'!$B$16,Paramètres!$A$1:$I$89,3,0)*0.475*44/12</f>
        <v>0</v>
      </c>
      <c r="FR158" s="23">
        <f>EXP(-LN(2)/25)*FR157+(1-EXP(-LN(2)/25))/(LN(2)/25)*Calculateur!FM158*Calculateur!FO158*VLOOKUP('Données projet'!$B$16,Paramètres!$A$1:$I$89,3,0)*0.475*44/12</f>
        <v>0</v>
      </c>
      <c r="FS158" s="23">
        <f>EXP(-LN(2)/2)*FS157+(1-EXP(-LN(2)/2))/(LN(2)/2)*FM158*FP158*VLOOKUP('Données projet'!$B$16,Paramètres!$A$1:$I$89,3,0)*0.475*44/12</f>
        <v>0</v>
      </c>
      <c r="FT158" s="24">
        <f t="shared" si="184"/>
        <v>0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1.1368683772161603E-13</v>
      </c>
      <c r="GA158" s="18">
        <f>FZ158*VLOOKUP('Données projet'!$B$17,Paramètres!$A$1:$I$89,3,0)*VLOOKUP('Données projet'!$B$17,Paramètres!$A$1:$I$89,5,0)</f>
        <v>8.8675733422860506E-14</v>
      </c>
      <c r="GB158" s="14">
        <f t="shared" si="185"/>
        <v>1.3509285393066301E-12</v>
      </c>
      <c r="GC158" s="22">
        <f t="shared" si="186"/>
        <v>2.5073107750038623E-12</v>
      </c>
      <c r="GD158" s="62">
        <f t="shared" si="134"/>
        <v>293.33333333333582</v>
      </c>
      <c r="GE158" s="62">
        <f ca="1">AVERAGE(OFFSET($GD$3,0,0,'Données projet'!$E$17+1,1))-AVERAGE(OFFSET($H$3,0,0,'Données projet'!$E$17+1,1))</f>
        <v>292.57482726862594</v>
      </c>
      <c r="GF158" s="62">
        <f t="shared" si="158"/>
        <v>283.48738729114024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>
        <f>EXP(-LN(2)/35)*GL157+(1-EXP(-LN(2)/35))/(LN(2)/35)*GH158*GI158*VLOOKUP('Données projet'!$B$17,Paramètres!$A$1:$I$89,3,0)*0.475*44/12</f>
        <v>0</v>
      </c>
      <c r="GM158" s="23">
        <f>EXP(-LN(2)/25)*GM157+(1-EXP(-LN(2)/25))/(LN(2)/25)*Calculateur!GH158*Calculateur!GJ158*VLOOKUP('Données projet'!$B$17,Paramètres!$A$1:$I$89,3,0)*0.475*44/12</f>
        <v>0</v>
      </c>
      <c r="GN158" s="23">
        <f>EXP(-LN(2)/2)*GN157+(1-EXP(-LN(2)/2))/(LN(2)/2)*GH158*GK158*VLOOKUP('Données projet'!$B$17,Paramètres!$A$1:$I$89,3,0)*0.475*44/12</f>
        <v>0</v>
      </c>
      <c r="GO158" s="23">
        <f t="shared" si="187"/>
        <v>0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-2.2737367544323206E-13</v>
      </c>
      <c r="GV158" s="18">
        <f>GU158*VLOOKUP('Données projet'!$B$18,Paramètres!$A$1:$I$89,3,0)*VLOOKUP('Données projet'!$B$18,Paramètres!$A$1:$I$89,5,0)</f>
        <v>-1.5252226148732008E-13</v>
      </c>
      <c r="GW158" s="14" t="e">
        <f t="shared" si="188"/>
        <v>#NUM!</v>
      </c>
      <c r="GX158" s="22" t="e">
        <f t="shared" si="189"/>
        <v>#NUM!</v>
      </c>
      <c r="GY158" s="62" t="e">
        <f t="shared" si="137"/>
        <v>#NUM!</v>
      </c>
      <c r="GZ158" s="62">
        <f ca="1">AVERAGE(OFFSET($GY$3,0,0,'Données projet'!$E$18+1,1))-AVERAGE(OFFSET($H$3,0,0,'Données projet'!$E$18+1,1))</f>
        <v>410.20186800287411</v>
      </c>
      <c r="HA158" s="62">
        <f t="shared" si="160"/>
        <v>321.99347958016057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>
        <f>EXP(-LN(2)/35)*HG157+(1-EXP(-LN(2)/35))/(LN(2)/35)*HC158*HD158*VLOOKUP('Données projet'!$B$18,Paramètres!$A$1:$I$89,3,0)*0.475*44/12</f>
        <v>0</v>
      </c>
      <c r="HH158" s="23">
        <f>EXP(-LN(2)/25)*HH157+(1-EXP(-LN(2)/25))/(LN(2)/25)*Calculateur!HC158*Calculateur!HE158*VLOOKUP('Données projet'!$B$18,Paramètres!$A$1:$I$89,3,0)*0.475*44/12</f>
        <v>0</v>
      </c>
      <c r="HI158" s="23">
        <f>EXP(-LN(2)/2)*HI157+(1-EXP(-LN(2)/2))/(LN(2)/2)*HC158*HF158*VLOOKUP('Données projet'!$B$18,Paramètres!$A$1:$I$89,3,0)*0.475*44/12</f>
        <v>0</v>
      </c>
      <c r="HJ158" s="24">
        <f t="shared" si="190"/>
        <v>0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-4.5474735088646412E-13</v>
      </c>
      <c r="O159" s="14">
        <f>N159*VLOOKUP('Données projet'!$B$9,Paramètres!$A$1:$I$89,3,0)*VLOOKUP('Données projet'!$B$9,Paramètres!$A$1:$I$89,5,0)</f>
        <v>-4.1145540308207271E-13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509.56241660612449</v>
      </c>
      <c r="T159" s="62">
        <f t="shared" si="142"/>
        <v>278.21741231699929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-4.5474735088646412E-13</v>
      </c>
      <c r="AJ159" s="14">
        <f>AI159*VLOOKUP('Données projet'!$B$10,Paramètres!$A$1:$I$89,3,0)*VLOOKUP('Données projet'!$B$10,Paramètres!$A$1:$I$89,5,0)</f>
        <v>-4.6111381379887462E-13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565.72091871734051</v>
      </c>
      <c r="AO159" s="62">
        <f t="shared" si="144"/>
        <v>306.61893266146666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-5.6843418860808015E-14</v>
      </c>
      <c r="BE159" s="14">
        <f>BD159*VLOOKUP('Données projet'!$B$11,Paramètres!$A$1:$I$89,3,0)*VLOOKUP('Données projet'!$B$11,Paramètres!$A$1:$I$89,5,0)</f>
        <v>-4.1677594708744434E-14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344.26020118887629</v>
      </c>
      <c r="BJ159" s="62">
        <f t="shared" si="146"/>
        <v>376.41441893222185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-4.5474735088646412E-13</v>
      </c>
      <c r="BZ159" s="14">
        <f>BY159*VLOOKUP('Données projet'!$B$12,Paramètres!$A$1:$I$89,3,0)*VLOOKUP('Données projet'!$B$12,Paramètres!$A$1:$I$89,5,0)</f>
        <v>-3.8307916838675739E-13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477.4105367901771</v>
      </c>
      <c r="CE159" s="62">
        <f t="shared" si="148"/>
        <v>261.95434270986397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-6.2527760746888816E-13</v>
      </c>
      <c r="CU159" s="18">
        <f>CT159*VLOOKUP('Données projet'!$B$13,Paramètres!$A$1:$I$89,3,0)*VLOOKUP('Données projet'!$B$13,Paramètres!$A$1:$I$89,5,0)</f>
        <v>-2.9262992029543964E-13</v>
      </c>
      <c r="CV159" s="14" t="e">
        <f t="shared" si="173"/>
        <v>#NUM!</v>
      </c>
      <c r="CW159" s="22" t="e">
        <f t="shared" si="174"/>
        <v>#NUM!</v>
      </c>
      <c r="CX159" s="62" t="e">
        <f t="shared" si="122"/>
        <v>#NUM!</v>
      </c>
      <c r="CY159" s="62">
        <f ca="1">AVERAGE(OFFSET($CX$3,0,0,'Données projet'!$E$13+1,1))-AVERAGE(OFFSET($H$3,0,0,'Données projet'!$E$13+1,1))</f>
        <v>246.64907095367749</v>
      </c>
      <c r="CZ159" s="62">
        <f t="shared" si="150"/>
        <v>145.34368562171613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-5.6843418860808015E-14</v>
      </c>
      <c r="DP159" s="18">
        <f>DO159*VLOOKUP('Données projet'!$B$14,Paramètres!$A$1:$I$89,3,0)*VLOOKUP('Données projet'!$B$14,Paramètres!$A$1:$I$89,5,0)</f>
        <v>-4.5224624045658861E-14</v>
      </c>
      <c r="DQ159" s="14" t="e">
        <f t="shared" si="176"/>
        <v>#NUM!</v>
      </c>
      <c r="DR159" s="22" t="e">
        <f t="shared" si="177"/>
        <v>#NUM!</v>
      </c>
      <c r="DS159" s="62" t="e">
        <f t="shared" si="125"/>
        <v>#NUM!</v>
      </c>
      <c r="DT159" s="62">
        <f ca="1">AVERAGE(OFFSET($DS$3,0,0,'Données projet'!$E$14+1,1))-AVERAGE(OFFSET($H$3,0,0,'Données projet'!$E$14+1,1))</f>
        <v>370.38521334472284</v>
      </c>
      <c r="DU159" s="62">
        <f t="shared" si="152"/>
        <v>404.61777090709171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-1.1368683772161603E-13</v>
      </c>
      <c r="EK159" s="18">
        <f>EJ159*VLOOKUP('Données projet'!$B$15,Paramètres!$A$1:$I$89,3,0)*VLOOKUP('Données projet'!$B$15,Paramètres!$A$1:$I$89,5,0)</f>
        <v>-9.7543306765146564E-14</v>
      </c>
      <c r="EL159" s="14" t="e">
        <f t="shared" si="179"/>
        <v>#NUM!</v>
      </c>
      <c r="EM159" s="22" t="e">
        <f t="shared" si="180"/>
        <v>#NUM!</v>
      </c>
      <c r="EN159" s="62" t="e">
        <f t="shared" si="128"/>
        <v>#NUM!</v>
      </c>
      <c r="EO159" s="62">
        <f ca="1">AVERAGE(OFFSET($EN$3,0,0,'Données projet'!$E$15+1,1))-AVERAGE(OFFSET($H$3,0,0,'Données projet'!$E$15+1,1))</f>
        <v>445.81166342116865</v>
      </c>
      <c r="EP159" s="62">
        <f t="shared" si="154"/>
        <v>230.82970731138215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0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-4.5474735088646412E-13</v>
      </c>
      <c r="FF159" s="18">
        <f>FE159*VLOOKUP('Données projet'!$B$16,Paramètres!$A$1:$I$89,3,0)*VLOOKUP('Données projet'!$B$16,Paramètres!$A$1:$I$89,5,0)</f>
        <v>-4.3983163777738812E-13</v>
      </c>
      <c r="FG159" s="14" t="e">
        <f t="shared" si="182"/>
        <v>#NUM!</v>
      </c>
      <c r="FH159" s="22" t="e">
        <f t="shared" si="183"/>
        <v>#NUM!</v>
      </c>
      <c r="FI159" s="62" t="e">
        <f t="shared" si="131"/>
        <v>#NUM!</v>
      </c>
      <c r="FJ159" s="62">
        <f ca="1">AVERAGE(OFFSET($FI$3,0,0,'Données projet'!$E$16+1,1))-AVERAGE(OFFSET($H$3,0,0,'Données projet'!$E$16+1,1))</f>
        <v>541.66888676162716</v>
      </c>
      <c r="FK159" s="62">
        <f t="shared" si="156"/>
        <v>294.45557293177131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>
        <f>EXP(-LN(2)/35)*FQ158+(1-EXP(-LN(2)/35))/(LN(2)/35)*FM159*FN159*VLOOKUP('Données projet'!$B$16,Paramètres!$A$1:$I$89,3,0)*0.475*44/12</f>
        <v>0</v>
      </c>
      <c r="FR159" s="23">
        <f>EXP(-LN(2)/25)*FR158+(1-EXP(-LN(2)/25))/(LN(2)/25)*Calculateur!FM159*Calculateur!FO159*VLOOKUP('Données projet'!$B$16,Paramètres!$A$1:$I$89,3,0)*0.475*44/12</f>
        <v>0</v>
      </c>
      <c r="FS159" s="23">
        <f>EXP(-LN(2)/2)*FS158+(1-EXP(-LN(2)/2))/(LN(2)/2)*FM159*FP159*VLOOKUP('Données projet'!$B$16,Paramètres!$A$1:$I$89,3,0)*0.475*44/12</f>
        <v>0</v>
      </c>
      <c r="FT159" s="24">
        <f t="shared" si="184"/>
        <v>0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1.1368683772161603E-13</v>
      </c>
      <c r="GA159" s="18">
        <f>FZ159*VLOOKUP('Données projet'!$B$17,Paramètres!$A$1:$I$89,3,0)*VLOOKUP('Données projet'!$B$17,Paramètres!$A$1:$I$89,5,0)</f>
        <v>8.8675733422860506E-14</v>
      </c>
      <c r="GB159" s="14">
        <f t="shared" si="185"/>
        <v>1.3509285393066301E-12</v>
      </c>
      <c r="GC159" s="22">
        <f t="shared" si="186"/>
        <v>2.5073107750038623E-12</v>
      </c>
      <c r="GD159" s="62">
        <f t="shared" si="134"/>
        <v>293.33333333333582</v>
      </c>
      <c r="GE159" s="62">
        <f ca="1">AVERAGE(OFFSET($GD$3,0,0,'Données projet'!$E$17+1,1))-AVERAGE(OFFSET($H$3,0,0,'Données projet'!$E$17+1,1))</f>
        <v>292.57482726862594</v>
      </c>
      <c r="GF159" s="62">
        <f t="shared" si="158"/>
        <v>283.48738729114024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>
        <f>EXP(-LN(2)/35)*GL158+(1-EXP(-LN(2)/35))/(LN(2)/35)*GH159*GI159*VLOOKUP('Données projet'!$B$17,Paramètres!$A$1:$I$89,3,0)*0.475*44/12</f>
        <v>0</v>
      </c>
      <c r="GM159" s="23">
        <f>EXP(-LN(2)/25)*GM158+(1-EXP(-LN(2)/25))/(LN(2)/25)*Calculateur!GH159*Calculateur!GJ159*VLOOKUP('Données projet'!$B$17,Paramètres!$A$1:$I$89,3,0)*0.475*44/12</f>
        <v>0</v>
      </c>
      <c r="GN159" s="23">
        <f>EXP(-LN(2)/2)*GN158+(1-EXP(-LN(2)/2))/(LN(2)/2)*GH159*GK159*VLOOKUP('Données projet'!$B$17,Paramètres!$A$1:$I$89,3,0)*0.475*44/12</f>
        <v>0</v>
      </c>
      <c r="GO159" s="23">
        <f t="shared" si="187"/>
        <v>0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-2.2737367544323206E-13</v>
      </c>
      <c r="GV159" s="18">
        <f>GU159*VLOOKUP('Données projet'!$B$18,Paramètres!$A$1:$I$89,3,0)*VLOOKUP('Données projet'!$B$18,Paramètres!$A$1:$I$89,5,0)</f>
        <v>-1.5252226148732008E-13</v>
      </c>
      <c r="GW159" s="14" t="e">
        <f t="shared" si="188"/>
        <v>#NUM!</v>
      </c>
      <c r="GX159" s="22" t="e">
        <f t="shared" si="189"/>
        <v>#NUM!</v>
      </c>
      <c r="GY159" s="62" t="e">
        <f t="shared" si="137"/>
        <v>#NUM!</v>
      </c>
      <c r="GZ159" s="62">
        <f ca="1">AVERAGE(OFFSET($GY$3,0,0,'Données projet'!$E$18+1,1))-AVERAGE(OFFSET($H$3,0,0,'Données projet'!$E$18+1,1))</f>
        <v>410.20186800287411</v>
      </c>
      <c r="HA159" s="62">
        <f t="shared" si="160"/>
        <v>321.99347958016057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>
        <f>EXP(-LN(2)/35)*HG158+(1-EXP(-LN(2)/35))/(LN(2)/35)*HC159*HD159*VLOOKUP('Données projet'!$B$18,Paramètres!$A$1:$I$89,3,0)*0.475*44/12</f>
        <v>0</v>
      </c>
      <c r="HH159" s="23">
        <f>EXP(-LN(2)/25)*HH158+(1-EXP(-LN(2)/25))/(LN(2)/25)*Calculateur!HC159*Calculateur!HE159*VLOOKUP('Données projet'!$B$18,Paramètres!$A$1:$I$89,3,0)*0.475*44/12</f>
        <v>0</v>
      </c>
      <c r="HI159" s="23">
        <f>EXP(-LN(2)/2)*HI158+(1-EXP(-LN(2)/2))/(LN(2)/2)*HC159*HF159*VLOOKUP('Données projet'!$B$18,Paramètres!$A$1:$I$89,3,0)*0.475*44/12</f>
        <v>0</v>
      </c>
      <c r="HJ159" s="24">
        <f t="shared" si="190"/>
        <v>0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-4.5474735088646412E-13</v>
      </c>
      <c r="O160" s="14">
        <f>N160*VLOOKUP('Données projet'!$B$9,Paramètres!$A$1:$I$89,3,0)*VLOOKUP('Données projet'!$B$9,Paramètres!$A$1:$I$89,5,0)</f>
        <v>-4.1145540308207271E-13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509.56241660612449</v>
      </c>
      <c r="T160" s="62">
        <f t="shared" si="142"/>
        <v>278.21741231699929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-4.5474735088646412E-13</v>
      </c>
      <c r="AJ160" s="14">
        <f>AI160*VLOOKUP('Données projet'!$B$10,Paramètres!$A$1:$I$89,3,0)*VLOOKUP('Données projet'!$B$10,Paramètres!$A$1:$I$89,5,0)</f>
        <v>-4.6111381379887462E-13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565.72091871734051</v>
      </c>
      <c r="AO160" s="62">
        <f t="shared" si="144"/>
        <v>306.61893266146666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-5.6843418860808015E-14</v>
      </c>
      <c r="BE160" s="14">
        <f>BD160*VLOOKUP('Données projet'!$B$11,Paramètres!$A$1:$I$89,3,0)*VLOOKUP('Données projet'!$B$11,Paramètres!$A$1:$I$89,5,0)</f>
        <v>-4.1677594708744434E-14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344.26020118887629</v>
      </c>
      <c r="BJ160" s="62">
        <f t="shared" si="146"/>
        <v>376.41441893222185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-4.5474735088646412E-13</v>
      </c>
      <c r="BZ160" s="14">
        <f>BY160*VLOOKUP('Données projet'!$B$12,Paramètres!$A$1:$I$89,3,0)*VLOOKUP('Données projet'!$B$12,Paramètres!$A$1:$I$89,5,0)</f>
        <v>-3.8307916838675739E-13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477.4105367901771</v>
      </c>
      <c r="CE160" s="62">
        <f t="shared" si="148"/>
        <v>261.95434270986397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-6.2527760746888816E-13</v>
      </c>
      <c r="CU160" s="18">
        <f>CT160*VLOOKUP('Données projet'!$B$13,Paramètres!$A$1:$I$89,3,0)*VLOOKUP('Données projet'!$B$13,Paramètres!$A$1:$I$89,5,0)</f>
        <v>-2.9262992029543964E-13</v>
      </c>
      <c r="CV160" s="14" t="e">
        <f t="shared" si="173"/>
        <v>#NUM!</v>
      </c>
      <c r="CW160" s="22" t="e">
        <f t="shared" si="174"/>
        <v>#NUM!</v>
      </c>
      <c r="CX160" s="62" t="e">
        <f t="shared" si="122"/>
        <v>#NUM!</v>
      </c>
      <c r="CY160" s="62">
        <f ca="1">AVERAGE(OFFSET($CX$3,0,0,'Données projet'!$E$13+1,1))-AVERAGE(OFFSET($H$3,0,0,'Données projet'!$E$13+1,1))</f>
        <v>246.64907095367749</v>
      </c>
      <c r="CZ160" s="62">
        <f t="shared" si="150"/>
        <v>145.34368562171613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-5.6843418860808015E-14</v>
      </c>
      <c r="DP160" s="18">
        <f>DO160*VLOOKUP('Données projet'!$B$14,Paramètres!$A$1:$I$89,3,0)*VLOOKUP('Données projet'!$B$14,Paramètres!$A$1:$I$89,5,0)</f>
        <v>-4.5224624045658861E-14</v>
      </c>
      <c r="DQ160" s="14" t="e">
        <f t="shared" si="176"/>
        <v>#NUM!</v>
      </c>
      <c r="DR160" s="22" t="e">
        <f t="shared" si="177"/>
        <v>#NUM!</v>
      </c>
      <c r="DS160" s="62" t="e">
        <f t="shared" si="125"/>
        <v>#NUM!</v>
      </c>
      <c r="DT160" s="62">
        <f ca="1">AVERAGE(OFFSET($DS$3,0,0,'Données projet'!$E$14+1,1))-AVERAGE(OFFSET($H$3,0,0,'Données projet'!$E$14+1,1))</f>
        <v>370.38521334472284</v>
      </c>
      <c r="DU160" s="62">
        <f t="shared" si="152"/>
        <v>404.61777090709171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-1.1368683772161603E-13</v>
      </c>
      <c r="EK160" s="18">
        <f>EJ160*VLOOKUP('Données projet'!$B$15,Paramètres!$A$1:$I$89,3,0)*VLOOKUP('Données projet'!$B$15,Paramètres!$A$1:$I$89,5,0)</f>
        <v>-9.7543306765146564E-14</v>
      </c>
      <c r="EL160" s="14" t="e">
        <f t="shared" si="179"/>
        <v>#NUM!</v>
      </c>
      <c r="EM160" s="22" t="e">
        <f t="shared" si="180"/>
        <v>#NUM!</v>
      </c>
      <c r="EN160" s="62" t="e">
        <f t="shared" si="128"/>
        <v>#NUM!</v>
      </c>
      <c r="EO160" s="62">
        <f ca="1">AVERAGE(OFFSET($EN$3,0,0,'Données projet'!$E$15+1,1))-AVERAGE(OFFSET($H$3,0,0,'Données projet'!$E$15+1,1))</f>
        <v>445.81166342116865</v>
      </c>
      <c r="EP160" s="62">
        <f t="shared" si="154"/>
        <v>230.82970731138215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0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-4.5474735088646412E-13</v>
      </c>
      <c r="FF160" s="18">
        <f>FE160*VLOOKUP('Données projet'!$B$16,Paramètres!$A$1:$I$89,3,0)*VLOOKUP('Données projet'!$B$16,Paramètres!$A$1:$I$89,5,0)</f>
        <v>-4.3983163777738812E-13</v>
      </c>
      <c r="FG160" s="14" t="e">
        <f t="shared" si="182"/>
        <v>#NUM!</v>
      </c>
      <c r="FH160" s="22" t="e">
        <f t="shared" si="183"/>
        <v>#NUM!</v>
      </c>
      <c r="FI160" s="62" t="e">
        <f t="shared" si="131"/>
        <v>#NUM!</v>
      </c>
      <c r="FJ160" s="62">
        <f ca="1">AVERAGE(OFFSET($FI$3,0,0,'Données projet'!$E$16+1,1))-AVERAGE(OFFSET($H$3,0,0,'Données projet'!$E$16+1,1))</f>
        <v>541.66888676162716</v>
      </c>
      <c r="FK160" s="62">
        <f t="shared" si="156"/>
        <v>294.45557293177131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>
        <f>EXP(-LN(2)/35)*FQ159+(1-EXP(-LN(2)/35))/(LN(2)/35)*FM160*FN160*VLOOKUP('Données projet'!$B$16,Paramètres!$A$1:$I$89,3,0)*0.475*44/12</f>
        <v>0</v>
      </c>
      <c r="FR160" s="23">
        <f>EXP(-LN(2)/25)*FR159+(1-EXP(-LN(2)/25))/(LN(2)/25)*Calculateur!FM160*Calculateur!FO160*VLOOKUP('Données projet'!$B$16,Paramètres!$A$1:$I$89,3,0)*0.475*44/12</f>
        <v>0</v>
      </c>
      <c r="FS160" s="23">
        <f>EXP(-LN(2)/2)*FS159+(1-EXP(-LN(2)/2))/(LN(2)/2)*FM160*FP160*VLOOKUP('Données projet'!$B$16,Paramètres!$A$1:$I$89,3,0)*0.475*44/12</f>
        <v>0</v>
      </c>
      <c r="FT160" s="24">
        <f t="shared" si="184"/>
        <v>0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1.1368683772161603E-13</v>
      </c>
      <c r="GA160" s="18">
        <f>FZ160*VLOOKUP('Données projet'!$B$17,Paramètres!$A$1:$I$89,3,0)*VLOOKUP('Données projet'!$B$17,Paramètres!$A$1:$I$89,5,0)</f>
        <v>8.8675733422860506E-14</v>
      </c>
      <c r="GB160" s="14">
        <f t="shared" si="185"/>
        <v>1.3509285393066301E-12</v>
      </c>
      <c r="GC160" s="22">
        <f t="shared" si="186"/>
        <v>2.5073107750038623E-12</v>
      </c>
      <c r="GD160" s="62">
        <f t="shared" si="134"/>
        <v>293.33333333333582</v>
      </c>
      <c r="GE160" s="62">
        <f ca="1">AVERAGE(OFFSET($GD$3,0,0,'Données projet'!$E$17+1,1))-AVERAGE(OFFSET($H$3,0,0,'Données projet'!$E$17+1,1))</f>
        <v>292.57482726862594</v>
      </c>
      <c r="GF160" s="62">
        <f t="shared" si="158"/>
        <v>283.48738729114024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>
        <f>EXP(-LN(2)/35)*GL159+(1-EXP(-LN(2)/35))/(LN(2)/35)*GH160*GI160*VLOOKUP('Données projet'!$B$17,Paramètres!$A$1:$I$89,3,0)*0.475*44/12</f>
        <v>0</v>
      </c>
      <c r="GM160" s="23">
        <f>EXP(-LN(2)/25)*GM159+(1-EXP(-LN(2)/25))/(LN(2)/25)*Calculateur!GH160*Calculateur!GJ160*VLOOKUP('Données projet'!$B$17,Paramètres!$A$1:$I$89,3,0)*0.475*44/12</f>
        <v>0</v>
      </c>
      <c r="GN160" s="23">
        <f>EXP(-LN(2)/2)*GN159+(1-EXP(-LN(2)/2))/(LN(2)/2)*GH160*GK160*VLOOKUP('Données projet'!$B$17,Paramètres!$A$1:$I$89,3,0)*0.475*44/12</f>
        <v>0</v>
      </c>
      <c r="GO160" s="23">
        <f t="shared" si="187"/>
        <v>0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-2.2737367544323206E-13</v>
      </c>
      <c r="GV160" s="18">
        <f>GU160*VLOOKUP('Données projet'!$B$18,Paramètres!$A$1:$I$89,3,0)*VLOOKUP('Données projet'!$B$18,Paramètres!$A$1:$I$89,5,0)</f>
        <v>-1.5252226148732008E-13</v>
      </c>
      <c r="GW160" s="14" t="e">
        <f t="shared" si="188"/>
        <v>#NUM!</v>
      </c>
      <c r="GX160" s="22" t="e">
        <f t="shared" si="189"/>
        <v>#NUM!</v>
      </c>
      <c r="GY160" s="62" t="e">
        <f t="shared" si="137"/>
        <v>#NUM!</v>
      </c>
      <c r="GZ160" s="62">
        <f ca="1">AVERAGE(OFFSET($GY$3,0,0,'Données projet'!$E$18+1,1))-AVERAGE(OFFSET($H$3,0,0,'Données projet'!$E$18+1,1))</f>
        <v>410.20186800287411</v>
      </c>
      <c r="HA160" s="62">
        <f t="shared" si="160"/>
        <v>321.99347958016057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>
        <f>EXP(-LN(2)/35)*HG159+(1-EXP(-LN(2)/35))/(LN(2)/35)*HC160*HD160*VLOOKUP('Données projet'!$B$18,Paramètres!$A$1:$I$89,3,0)*0.475*44/12</f>
        <v>0</v>
      </c>
      <c r="HH160" s="23">
        <f>EXP(-LN(2)/25)*HH159+(1-EXP(-LN(2)/25))/(LN(2)/25)*Calculateur!HC160*Calculateur!HE160*VLOOKUP('Données projet'!$B$18,Paramètres!$A$1:$I$89,3,0)*0.475*44/12</f>
        <v>0</v>
      </c>
      <c r="HI160" s="23">
        <f>EXP(-LN(2)/2)*HI159+(1-EXP(-LN(2)/2))/(LN(2)/2)*HC160*HF160*VLOOKUP('Données projet'!$B$18,Paramètres!$A$1:$I$89,3,0)*0.475*44/12</f>
        <v>0</v>
      </c>
      <c r="HJ160" s="24">
        <f t="shared" si="190"/>
        <v>0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-4.5474735088646412E-13</v>
      </c>
      <c r="O161" s="14">
        <f>N161*VLOOKUP('Données projet'!$B$9,Paramètres!$A$1:$I$89,3,0)*VLOOKUP('Données projet'!$B$9,Paramètres!$A$1:$I$89,5,0)</f>
        <v>-4.1145540308207271E-13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509.56241660612449</v>
      </c>
      <c r="T161" s="62">
        <f t="shared" si="142"/>
        <v>278.21741231699929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-4.5474735088646412E-13</v>
      </c>
      <c r="AJ161" s="14">
        <f>AI161*VLOOKUP('Données projet'!$B$10,Paramètres!$A$1:$I$89,3,0)*VLOOKUP('Données projet'!$B$10,Paramètres!$A$1:$I$89,5,0)</f>
        <v>-4.6111381379887462E-13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565.72091871734051</v>
      </c>
      <c r="AO161" s="62">
        <f t="shared" si="144"/>
        <v>306.61893266146666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-5.6843418860808015E-14</v>
      </c>
      <c r="BE161" s="14">
        <f>BD161*VLOOKUP('Données projet'!$B$11,Paramètres!$A$1:$I$89,3,0)*VLOOKUP('Données projet'!$B$11,Paramètres!$A$1:$I$89,5,0)</f>
        <v>-4.1677594708744434E-14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344.26020118887629</v>
      </c>
      <c r="BJ161" s="62">
        <f t="shared" si="146"/>
        <v>376.41441893222185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-4.5474735088646412E-13</v>
      </c>
      <c r="BZ161" s="14">
        <f>BY161*VLOOKUP('Données projet'!$B$12,Paramètres!$A$1:$I$89,3,0)*VLOOKUP('Données projet'!$B$12,Paramètres!$A$1:$I$89,5,0)</f>
        <v>-3.8307916838675739E-13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477.4105367901771</v>
      </c>
      <c r="CE161" s="62">
        <f t="shared" si="148"/>
        <v>261.95434270986397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-6.2527760746888816E-13</v>
      </c>
      <c r="CU161" s="18">
        <f>CT161*VLOOKUP('Données projet'!$B$13,Paramètres!$A$1:$I$89,3,0)*VLOOKUP('Données projet'!$B$13,Paramètres!$A$1:$I$89,5,0)</f>
        <v>-2.9262992029543964E-13</v>
      </c>
      <c r="CV161" s="14" t="e">
        <f t="shared" si="173"/>
        <v>#NUM!</v>
      </c>
      <c r="CW161" s="22" t="e">
        <f t="shared" si="174"/>
        <v>#NUM!</v>
      </c>
      <c r="CX161" s="62" t="e">
        <f t="shared" si="122"/>
        <v>#NUM!</v>
      </c>
      <c r="CY161" s="62">
        <f ca="1">AVERAGE(OFFSET($CX$3,0,0,'Données projet'!$E$13+1,1))-AVERAGE(OFFSET($H$3,0,0,'Données projet'!$E$13+1,1))</f>
        <v>246.64907095367749</v>
      </c>
      <c r="CZ161" s="62">
        <f t="shared" si="150"/>
        <v>145.34368562171613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-5.6843418860808015E-14</v>
      </c>
      <c r="DP161" s="18">
        <f>DO161*VLOOKUP('Données projet'!$B$14,Paramètres!$A$1:$I$89,3,0)*VLOOKUP('Données projet'!$B$14,Paramètres!$A$1:$I$89,5,0)</f>
        <v>-4.5224624045658861E-14</v>
      </c>
      <c r="DQ161" s="14" t="e">
        <f t="shared" si="176"/>
        <v>#NUM!</v>
      </c>
      <c r="DR161" s="22" t="e">
        <f t="shared" si="177"/>
        <v>#NUM!</v>
      </c>
      <c r="DS161" s="62" t="e">
        <f t="shared" si="125"/>
        <v>#NUM!</v>
      </c>
      <c r="DT161" s="62">
        <f ca="1">AVERAGE(OFFSET($DS$3,0,0,'Données projet'!$E$14+1,1))-AVERAGE(OFFSET($H$3,0,0,'Données projet'!$E$14+1,1))</f>
        <v>370.38521334472284</v>
      </c>
      <c r="DU161" s="62">
        <f t="shared" si="152"/>
        <v>404.61777090709171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-1.1368683772161603E-13</v>
      </c>
      <c r="EK161" s="18">
        <f>EJ161*VLOOKUP('Données projet'!$B$15,Paramètres!$A$1:$I$89,3,0)*VLOOKUP('Données projet'!$B$15,Paramètres!$A$1:$I$89,5,0)</f>
        <v>-9.7543306765146564E-14</v>
      </c>
      <c r="EL161" s="14" t="e">
        <f t="shared" si="179"/>
        <v>#NUM!</v>
      </c>
      <c r="EM161" s="22" t="e">
        <f t="shared" si="180"/>
        <v>#NUM!</v>
      </c>
      <c r="EN161" s="62" t="e">
        <f t="shared" si="128"/>
        <v>#NUM!</v>
      </c>
      <c r="EO161" s="62">
        <f ca="1">AVERAGE(OFFSET($EN$3,0,0,'Données projet'!$E$15+1,1))-AVERAGE(OFFSET($H$3,0,0,'Données projet'!$E$15+1,1))</f>
        <v>445.81166342116865</v>
      </c>
      <c r="EP161" s="62">
        <f t="shared" si="154"/>
        <v>230.82970731138215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0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-4.5474735088646412E-13</v>
      </c>
      <c r="FF161" s="18">
        <f>FE161*VLOOKUP('Données projet'!$B$16,Paramètres!$A$1:$I$89,3,0)*VLOOKUP('Données projet'!$B$16,Paramètres!$A$1:$I$89,5,0)</f>
        <v>-4.3983163777738812E-13</v>
      </c>
      <c r="FG161" s="14" t="e">
        <f t="shared" si="182"/>
        <v>#NUM!</v>
      </c>
      <c r="FH161" s="22" t="e">
        <f t="shared" si="183"/>
        <v>#NUM!</v>
      </c>
      <c r="FI161" s="62" t="e">
        <f t="shared" si="131"/>
        <v>#NUM!</v>
      </c>
      <c r="FJ161" s="62">
        <f ca="1">AVERAGE(OFFSET($FI$3,0,0,'Données projet'!$E$16+1,1))-AVERAGE(OFFSET($H$3,0,0,'Données projet'!$E$16+1,1))</f>
        <v>541.66888676162716</v>
      </c>
      <c r="FK161" s="62">
        <f t="shared" si="156"/>
        <v>294.45557293177131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>
        <f>EXP(-LN(2)/35)*FQ160+(1-EXP(-LN(2)/35))/(LN(2)/35)*FM161*FN161*VLOOKUP('Données projet'!$B$16,Paramètres!$A$1:$I$89,3,0)*0.475*44/12</f>
        <v>0</v>
      </c>
      <c r="FR161" s="23">
        <f>EXP(-LN(2)/25)*FR160+(1-EXP(-LN(2)/25))/(LN(2)/25)*Calculateur!FM161*Calculateur!FO161*VLOOKUP('Données projet'!$B$16,Paramètres!$A$1:$I$89,3,0)*0.475*44/12</f>
        <v>0</v>
      </c>
      <c r="FS161" s="23">
        <f>EXP(-LN(2)/2)*FS160+(1-EXP(-LN(2)/2))/(LN(2)/2)*FM161*FP161*VLOOKUP('Données projet'!$B$16,Paramètres!$A$1:$I$89,3,0)*0.475*44/12</f>
        <v>0</v>
      </c>
      <c r="FT161" s="24">
        <f t="shared" si="184"/>
        <v>0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1.1368683772161603E-13</v>
      </c>
      <c r="GA161" s="18">
        <f>FZ161*VLOOKUP('Données projet'!$B$17,Paramètres!$A$1:$I$89,3,0)*VLOOKUP('Données projet'!$B$17,Paramètres!$A$1:$I$89,5,0)</f>
        <v>8.8675733422860506E-14</v>
      </c>
      <c r="GB161" s="14">
        <f t="shared" si="185"/>
        <v>1.3509285393066301E-12</v>
      </c>
      <c r="GC161" s="22">
        <f t="shared" si="186"/>
        <v>2.5073107750038623E-12</v>
      </c>
      <c r="GD161" s="62">
        <f t="shared" si="134"/>
        <v>293.33333333333582</v>
      </c>
      <c r="GE161" s="62">
        <f ca="1">AVERAGE(OFFSET($GD$3,0,0,'Données projet'!$E$17+1,1))-AVERAGE(OFFSET($H$3,0,0,'Données projet'!$E$17+1,1))</f>
        <v>292.57482726862594</v>
      </c>
      <c r="GF161" s="62">
        <f t="shared" si="158"/>
        <v>283.48738729114024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>
        <f>EXP(-LN(2)/35)*GL160+(1-EXP(-LN(2)/35))/(LN(2)/35)*GH161*GI161*VLOOKUP('Données projet'!$B$17,Paramètres!$A$1:$I$89,3,0)*0.475*44/12</f>
        <v>0</v>
      </c>
      <c r="GM161" s="23">
        <f>EXP(-LN(2)/25)*GM160+(1-EXP(-LN(2)/25))/(LN(2)/25)*Calculateur!GH161*Calculateur!GJ161*VLOOKUP('Données projet'!$B$17,Paramètres!$A$1:$I$89,3,0)*0.475*44/12</f>
        <v>0</v>
      </c>
      <c r="GN161" s="23">
        <f>EXP(-LN(2)/2)*GN160+(1-EXP(-LN(2)/2))/(LN(2)/2)*GH161*GK161*VLOOKUP('Données projet'!$B$17,Paramètres!$A$1:$I$89,3,0)*0.475*44/12</f>
        <v>0</v>
      </c>
      <c r="GO161" s="23">
        <f t="shared" si="187"/>
        <v>0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-2.2737367544323206E-13</v>
      </c>
      <c r="GV161" s="18">
        <f>GU161*VLOOKUP('Données projet'!$B$18,Paramètres!$A$1:$I$89,3,0)*VLOOKUP('Données projet'!$B$18,Paramètres!$A$1:$I$89,5,0)</f>
        <v>-1.5252226148732008E-13</v>
      </c>
      <c r="GW161" s="14" t="e">
        <f t="shared" si="188"/>
        <v>#NUM!</v>
      </c>
      <c r="GX161" s="22" t="e">
        <f t="shared" si="189"/>
        <v>#NUM!</v>
      </c>
      <c r="GY161" s="62" t="e">
        <f t="shared" si="137"/>
        <v>#NUM!</v>
      </c>
      <c r="GZ161" s="62">
        <f ca="1">AVERAGE(OFFSET($GY$3,0,0,'Données projet'!$E$18+1,1))-AVERAGE(OFFSET($H$3,0,0,'Données projet'!$E$18+1,1))</f>
        <v>410.20186800287411</v>
      </c>
      <c r="HA161" s="62">
        <f t="shared" si="160"/>
        <v>321.99347958016057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>
        <f>EXP(-LN(2)/35)*HG160+(1-EXP(-LN(2)/35))/(LN(2)/35)*HC161*HD161*VLOOKUP('Données projet'!$B$18,Paramètres!$A$1:$I$89,3,0)*0.475*44/12</f>
        <v>0</v>
      </c>
      <c r="HH161" s="23">
        <f>EXP(-LN(2)/25)*HH160+(1-EXP(-LN(2)/25))/(LN(2)/25)*Calculateur!HC161*Calculateur!HE161*VLOOKUP('Données projet'!$B$18,Paramètres!$A$1:$I$89,3,0)*0.475*44/12</f>
        <v>0</v>
      </c>
      <c r="HI161" s="23">
        <f>EXP(-LN(2)/2)*HI160+(1-EXP(-LN(2)/2))/(LN(2)/2)*HC161*HF161*VLOOKUP('Données projet'!$B$18,Paramètres!$A$1:$I$89,3,0)*0.475*44/12</f>
        <v>0</v>
      </c>
      <c r="HJ161" s="24">
        <f t="shared" si="190"/>
        <v>0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-4.5474735088646412E-13</v>
      </c>
      <c r="O162" s="14">
        <f>N162*VLOOKUP('Données projet'!$B$9,Paramètres!$A$1:$I$89,3,0)*VLOOKUP('Données projet'!$B$9,Paramètres!$A$1:$I$89,5,0)</f>
        <v>-4.1145540308207271E-13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509.56241660612449</v>
      </c>
      <c r="T162" s="62">
        <f t="shared" si="142"/>
        <v>278.21741231699929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-4.5474735088646412E-13</v>
      </c>
      <c r="AJ162" s="14">
        <f>AI162*VLOOKUP('Données projet'!$B$10,Paramètres!$A$1:$I$89,3,0)*VLOOKUP('Données projet'!$B$10,Paramètres!$A$1:$I$89,5,0)</f>
        <v>-4.6111381379887462E-13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565.72091871734051</v>
      </c>
      <c r="AO162" s="62">
        <f t="shared" si="144"/>
        <v>306.61893266146666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-5.6843418860808015E-14</v>
      </c>
      <c r="BE162" s="14">
        <f>BD162*VLOOKUP('Données projet'!$B$11,Paramètres!$A$1:$I$89,3,0)*VLOOKUP('Données projet'!$B$11,Paramètres!$A$1:$I$89,5,0)</f>
        <v>-4.1677594708744434E-14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344.26020118887629</v>
      </c>
      <c r="BJ162" s="62">
        <f t="shared" si="146"/>
        <v>376.41441893222185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-4.5474735088646412E-13</v>
      </c>
      <c r="BZ162" s="14">
        <f>BY162*VLOOKUP('Données projet'!$B$12,Paramètres!$A$1:$I$89,3,0)*VLOOKUP('Données projet'!$B$12,Paramètres!$A$1:$I$89,5,0)</f>
        <v>-3.8307916838675739E-13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477.4105367901771</v>
      </c>
      <c r="CE162" s="62">
        <f t="shared" si="148"/>
        <v>261.95434270986397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-6.2527760746888816E-13</v>
      </c>
      <c r="CU162" s="18">
        <f>CT162*VLOOKUP('Données projet'!$B$13,Paramètres!$A$1:$I$89,3,0)*VLOOKUP('Données projet'!$B$13,Paramètres!$A$1:$I$89,5,0)</f>
        <v>-2.9262992029543964E-13</v>
      </c>
      <c r="CV162" s="14" t="e">
        <f t="shared" si="173"/>
        <v>#NUM!</v>
      </c>
      <c r="CW162" s="22" t="e">
        <f t="shared" si="174"/>
        <v>#NUM!</v>
      </c>
      <c r="CX162" s="62" t="e">
        <f t="shared" si="122"/>
        <v>#NUM!</v>
      </c>
      <c r="CY162" s="62">
        <f ca="1">AVERAGE(OFFSET($CX$3,0,0,'Données projet'!$E$13+1,1))-AVERAGE(OFFSET($H$3,0,0,'Données projet'!$E$13+1,1))</f>
        <v>246.64907095367749</v>
      </c>
      <c r="CZ162" s="62">
        <f t="shared" si="150"/>
        <v>145.34368562171613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-5.6843418860808015E-14</v>
      </c>
      <c r="DP162" s="18">
        <f>DO162*VLOOKUP('Données projet'!$B$14,Paramètres!$A$1:$I$89,3,0)*VLOOKUP('Données projet'!$B$14,Paramètres!$A$1:$I$89,5,0)</f>
        <v>-4.5224624045658861E-14</v>
      </c>
      <c r="DQ162" s="14" t="e">
        <f t="shared" si="176"/>
        <v>#NUM!</v>
      </c>
      <c r="DR162" s="22" t="e">
        <f t="shared" si="177"/>
        <v>#NUM!</v>
      </c>
      <c r="DS162" s="62" t="e">
        <f t="shared" si="125"/>
        <v>#NUM!</v>
      </c>
      <c r="DT162" s="62">
        <f ca="1">AVERAGE(OFFSET($DS$3,0,0,'Données projet'!$E$14+1,1))-AVERAGE(OFFSET($H$3,0,0,'Données projet'!$E$14+1,1))</f>
        <v>370.38521334472284</v>
      </c>
      <c r="DU162" s="62">
        <f t="shared" si="152"/>
        <v>404.61777090709171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-1.1368683772161603E-13</v>
      </c>
      <c r="EK162" s="18">
        <f>EJ162*VLOOKUP('Données projet'!$B$15,Paramètres!$A$1:$I$89,3,0)*VLOOKUP('Données projet'!$B$15,Paramètres!$A$1:$I$89,5,0)</f>
        <v>-9.7543306765146564E-14</v>
      </c>
      <c r="EL162" s="14" t="e">
        <f t="shared" si="179"/>
        <v>#NUM!</v>
      </c>
      <c r="EM162" s="22" t="e">
        <f t="shared" si="180"/>
        <v>#NUM!</v>
      </c>
      <c r="EN162" s="62" t="e">
        <f t="shared" si="128"/>
        <v>#NUM!</v>
      </c>
      <c r="EO162" s="62">
        <f ca="1">AVERAGE(OFFSET($EN$3,0,0,'Données projet'!$E$15+1,1))-AVERAGE(OFFSET($H$3,0,0,'Données projet'!$E$15+1,1))</f>
        <v>445.81166342116865</v>
      </c>
      <c r="EP162" s="62">
        <f t="shared" si="154"/>
        <v>230.82970731138215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0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-4.5474735088646412E-13</v>
      </c>
      <c r="FF162" s="18">
        <f>FE162*VLOOKUP('Données projet'!$B$16,Paramètres!$A$1:$I$89,3,0)*VLOOKUP('Données projet'!$B$16,Paramètres!$A$1:$I$89,5,0)</f>
        <v>-4.3983163777738812E-13</v>
      </c>
      <c r="FG162" s="14" t="e">
        <f t="shared" si="182"/>
        <v>#NUM!</v>
      </c>
      <c r="FH162" s="22" t="e">
        <f t="shared" si="183"/>
        <v>#NUM!</v>
      </c>
      <c r="FI162" s="62" t="e">
        <f t="shared" si="131"/>
        <v>#NUM!</v>
      </c>
      <c r="FJ162" s="62">
        <f ca="1">AVERAGE(OFFSET($FI$3,0,0,'Données projet'!$E$16+1,1))-AVERAGE(OFFSET($H$3,0,0,'Données projet'!$E$16+1,1))</f>
        <v>541.66888676162716</v>
      </c>
      <c r="FK162" s="62">
        <f t="shared" si="156"/>
        <v>294.45557293177131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>
        <f>EXP(-LN(2)/35)*FQ161+(1-EXP(-LN(2)/35))/(LN(2)/35)*FM162*FN162*VLOOKUP('Données projet'!$B$16,Paramètres!$A$1:$I$89,3,0)*0.475*44/12</f>
        <v>0</v>
      </c>
      <c r="FR162" s="23">
        <f>EXP(-LN(2)/25)*FR161+(1-EXP(-LN(2)/25))/(LN(2)/25)*Calculateur!FM162*Calculateur!FO162*VLOOKUP('Données projet'!$B$16,Paramètres!$A$1:$I$89,3,0)*0.475*44/12</f>
        <v>0</v>
      </c>
      <c r="FS162" s="23">
        <f>EXP(-LN(2)/2)*FS161+(1-EXP(-LN(2)/2))/(LN(2)/2)*FM162*FP162*VLOOKUP('Données projet'!$B$16,Paramètres!$A$1:$I$89,3,0)*0.475*44/12</f>
        <v>0</v>
      </c>
      <c r="FT162" s="24">
        <f t="shared" si="184"/>
        <v>0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1.1368683772161603E-13</v>
      </c>
      <c r="GA162" s="18">
        <f>FZ162*VLOOKUP('Données projet'!$B$17,Paramètres!$A$1:$I$89,3,0)*VLOOKUP('Données projet'!$B$17,Paramètres!$A$1:$I$89,5,0)</f>
        <v>8.8675733422860506E-14</v>
      </c>
      <c r="GB162" s="14">
        <f t="shared" si="185"/>
        <v>1.3509285393066301E-12</v>
      </c>
      <c r="GC162" s="22">
        <f t="shared" si="186"/>
        <v>2.5073107750038623E-12</v>
      </c>
      <c r="GD162" s="62">
        <f t="shared" si="134"/>
        <v>293.33333333333582</v>
      </c>
      <c r="GE162" s="62">
        <f ca="1">AVERAGE(OFFSET($GD$3,0,0,'Données projet'!$E$17+1,1))-AVERAGE(OFFSET($H$3,0,0,'Données projet'!$E$17+1,1))</f>
        <v>292.57482726862594</v>
      </c>
      <c r="GF162" s="62">
        <f t="shared" si="158"/>
        <v>283.48738729114024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>
        <f>EXP(-LN(2)/35)*GL161+(1-EXP(-LN(2)/35))/(LN(2)/35)*GH162*GI162*VLOOKUP('Données projet'!$B$17,Paramètres!$A$1:$I$89,3,0)*0.475*44/12</f>
        <v>0</v>
      </c>
      <c r="GM162" s="23">
        <f>EXP(-LN(2)/25)*GM161+(1-EXP(-LN(2)/25))/(LN(2)/25)*Calculateur!GH162*Calculateur!GJ162*VLOOKUP('Données projet'!$B$17,Paramètres!$A$1:$I$89,3,0)*0.475*44/12</f>
        <v>0</v>
      </c>
      <c r="GN162" s="23">
        <f>EXP(-LN(2)/2)*GN161+(1-EXP(-LN(2)/2))/(LN(2)/2)*GH162*GK162*VLOOKUP('Données projet'!$B$17,Paramètres!$A$1:$I$89,3,0)*0.475*44/12</f>
        <v>0</v>
      </c>
      <c r="GO162" s="23">
        <f t="shared" si="187"/>
        <v>0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-2.2737367544323206E-13</v>
      </c>
      <c r="GV162" s="18">
        <f>GU162*VLOOKUP('Données projet'!$B$18,Paramètres!$A$1:$I$89,3,0)*VLOOKUP('Données projet'!$B$18,Paramètres!$A$1:$I$89,5,0)</f>
        <v>-1.5252226148732008E-13</v>
      </c>
      <c r="GW162" s="14" t="e">
        <f t="shared" si="188"/>
        <v>#NUM!</v>
      </c>
      <c r="GX162" s="22" t="e">
        <f t="shared" si="189"/>
        <v>#NUM!</v>
      </c>
      <c r="GY162" s="62" t="e">
        <f t="shared" si="137"/>
        <v>#NUM!</v>
      </c>
      <c r="GZ162" s="62">
        <f ca="1">AVERAGE(OFFSET($GY$3,0,0,'Données projet'!$E$18+1,1))-AVERAGE(OFFSET($H$3,0,0,'Données projet'!$E$18+1,1))</f>
        <v>410.20186800287411</v>
      </c>
      <c r="HA162" s="62">
        <f t="shared" si="160"/>
        <v>321.99347958016057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>
        <f>EXP(-LN(2)/35)*HG161+(1-EXP(-LN(2)/35))/(LN(2)/35)*HC162*HD162*VLOOKUP('Données projet'!$B$18,Paramètres!$A$1:$I$89,3,0)*0.475*44/12</f>
        <v>0</v>
      </c>
      <c r="HH162" s="23">
        <f>EXP(-LN(2)/25)*HH161+(1-EXP(-LN(2)/25))/(LN(2)/25)*Calculateur!HC162*Calculateur!HE162*VLOOKUP('Données projet'!$B$18,Paramètres!$A$1:$I$89,3,0)*0.475*44/12</f>
        <v>0</v>
      </c>
      <c r="HI162" s="23">
        <f>EXP(-LN(2)/2)*HI161+(1-EXP(-LN(2)/2))/(LN(2)/2)*HC162*HF162*VLOOKUP('Données projet'!$B$18,Paramètres!$A$1:$I$89,3,0)*0.475*44/12</f>
        <v>0</v>
      </c>
      <c r="HJ162" s="24">
        <f t="shared" si="190"/>
        <v>0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-4.5474735088646412E-13</v>
      </c>
      <c r="O163" s="14">
        <f>N163*VLOOKUP('Données projet'!$B$9,Paramètres!$A$1:$I$89,3,0)*VLOOKUP('Données projet'!$B$9,Paramètres!$A$1:$I$89,5,0)</f>
        <v>-4.1145540308207271E-13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509.56241660612449</v>
      </c>
      <c r="T163" s="62">
        <f t="shared" si="142"/>
        <v>278.21741231699929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-4.5474735088646412E-13</v>
      </c>
      <c r="AJ163" s="14">
        <f>AI163*VLOOKUP('Données projet'!$B$10,Paramètres!$A$1:$I$89,3,0)*VLOOKUP('Données projet'!$B$10,Paramètres!$A$1:$I$89,5,0)</f>
        <v>-4.6111381379887462E-13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565.72091871734051</v>
      </c>
      <c r="AO163" s="62">
        <f t="shared" si="144"/>
        <v>306.61893266146666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-5.6843418860808015E-14</v>
      </c>
      <c r="BE163" s="14">
        <f>BD163*VLOOKUP('Données projet'!$B$11,Paramètres!$A$1:$I$89,3,0)*VLOOKUP('Données projet'!$B$11,Paramètres!$A$1:$I$89,5,0)</f>
        <v>-4.1677594708744434E-14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344.26020118887629</v>
      </c>
      <c r="BJ163" s="62">
        <f t="shared" si="146"/>
        <v>376.41441893222185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-4.5474735088646412E-13</v>
      </c>
      <c r="BZ163" s="14">
        <f>BY163*VLOOKUP('Données projet'!$B$12,Paramètres!$A$1:$I$89,3,0)*VLOOKUP('Données projet'!$B$12,Paramètres!$A$1:$I$89,5,0)</f>
        <v>-3.8307916838675739E-13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477.4105367901771</v>
      </c>
      <c r="CE163" s="62">
        <f t="shared" si="148"/>
        <v>261.95434270986397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-6.2527760746888816E-13</v>
      </c>
      <c r="CU163" s="18">
        <f>CT163*VLOOKUP('Données projet'!$B$13,Paramètres!$A$1:$I$89,3,0)*VLOOKUP('Données projet'!$B$13,Paramètres!$A$1:$I$89,5,0)</f>
        <v>-2.9262992029543964E-13</v>
      </c>
      <c r="CV163" s="14" t="e">
        <f t="shared" si="173"/>
        <v>#NUM!</v>
      </c>
      <c r="CW163" s="22" t="e">
        <f t="shared" si="174"/>
        <v>#NUM!</v>
      </c>
      <c r="CX163" s="62" t="e">
        <f t="shared" si="122"/>
        <v>#NUM!</v>
      </c>
      <c r="CY163" s="62">
        <f ca="1">AVERAGE(OFFSET($CX$3,0,0,'Données projet'!$E$13+1,1))-AVERAGE(OFFSET($H$3,0,0,'Données projet'!$E$13+1,1))</f>
        <v>246.64907095367749</v>
      </c>
      <c r="CZ163" s="62">
        <f t="shared" si="150"/>
        <v>145.34368562171613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-5.6843418860808015E-14</v>
      </c>
      <c r="DP163" s="18">
        <f>DO163*VLOOKUP('Données projet'!$B$14,Paramètres!$A$1:$I$89,3,0)*VLOOKUP('Données projet'!$B$14,Paramètres!$A$1:$I$89,5,0)</f>
        <v>-4.5224624045658861E-14</v>
      </c>
      <c r="DQ163" s="14" t="e">
        <f t="shared" si="176"/>
        <v>#NUM!</v>
      </c>
      <c r="DR163" s="22" t="e">
        <f t="shared" si="177"/>
        <v>#NUM!</v>
      </c>
      <c r="DS163" s="62" t="e">
        <f t="shared" si="125"/>
        <v>#NUM!</v>
      </c>
      <c r="DT163" s="62">
        <f ca="1">AVERAGE(OFFSET($DS$3,0,0,'Données projet'!$E$14+1,1))-AVERAGE(OFFSET($H$3,0,0,'Données projet'!$E$14+1,1))</f>
        <v>370.38521334472284</v>
      </c>
      <c r="DU163" s="62">
        <f t="shared" si="152"/>
        <v>404.61777090709171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-1.1368683772161603E-13</v>
      </c>
      <c r="EK163" s="18">
        <f>EJ163*VLOOKUP('Données projet'!$B$15,Paramètres!$A$1:$I$89,3,0)*VLOOKUP('Données projet'!$B$15,Paramètres!$A$1:$I$89,5,0)</f>
        <v>-9.7543306765146564E-14</v>
      </c>
      <c r="EL163" s="14" t="e">
        <f t="shared" si="179"/>
        <v>#NUM!</v>
      </c>
      <c r="EM163" s="22" t="e">
        <f t="shared" si="180"/>
        <v>#NUM!</v>
      </c>
      <c r="EN163" s="62" t="e">
        <f t="shared" si="128"/>
        <v>#NUM!</v>
      </c>
      <c r="EO163" s="62">
        <f ca="1">AVERAGE(OFFSET($EN$3,0,0,'Données projet'!$E$15+1,1))-AVERAGE(OFFSET($H$3,0,0,'Données projet'!$E$15+1,1))</f>
        <v>445.81166342116865</v>
      </c>
      <c r="EP163" s="62">
        <f t="shared" si="154"/>
        <v>230.82970731138215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0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-4.5474735088646412E-13</v>
      </c>
      <c r="FF163" s="18">
        <f>FE163*VLOOKUP('Données projet'!$B$16,Paramètres!$A$1:$I$89,3,0)*VLOOKUP('Données projet'!$B$16,Paramètres!$A$1:$I$89,5,0)</f>
        <v>-4.3983163777738812E-13</v>
      </c>
      <c r="FG163" s="14" t="e">
        <f t="shared" si="182"/>
        <v>#NUM!</v>
      </c>
      <c r="FH163" s="22" t="e">
        <f t="shared" si="183"/>
        <v>#NUM!</v>
      </c>
      <c r="FI163" s="62" t="e">
        <f t="shared" si="131"/>
        <v>#NUM!</v>
      </c>
      <c r="FJ163" s="62">
        <f ca="1">AVERAGE(OFFSET($FI$3,0,0,'Données projet'!$E$16+1,1))-AVERAGE(OFFSET($H$3,0,0,'Données projet'!$E$16+1,1))</f>
        <v>541.66888676162716</v>
      </c>
      <c r="FK163" s="62">
        <f t="shared" si="156"/>
        <v>294.45557293177131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>
        <f>EXP(-LN(2)/35)*FQ162+(1-EXP(-LN(2)/35))/(LN(2)/35)*FM163*FN163*VLOOKUP('Données projet'!$B$16,Paramètres!$A$1:$I$89,3,0)*0.475*44/12</f>
        <v>0</v>
      </c>
      <c r="FR163" s="23">
        <f>EXP(-LN(2)/25)*FR162+(1-EXP(-LN(2)/25))/(LN(2)/25)*Calculateur!FM163*Calculateur!FO163*VLOOKUP('Données projet'!$B$16,Paramètres!$A$1:$I$89,3,0)*0.475*44/12</f>
        <v>0</v>
      </c>
      <c r="FS163" s="23">
        <f>EXP(-LN(2)/2)*FS162+(1-EXP(-LN(2)/2))/(LN(2)/2)*FM163*FP163*VLOOKUP('Données projet'!$B$16,Paramètres!$A$1:$I$89,3,0)*0.475*44/12</f>
        <v>0</v>
      </c>
      <c r="FT163" s="24">
        <f t="shared" si="184"/>
        <v>0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1.1368683772161603E-13</v>
      </c>
      <c r="GA163" s="18">
        <f>FZ163*VLOOKUP('Données projet'!$B$17,Paramètres!$A$1:$I$89,3,0)*VLOOKUP('Données projet'!$B$17,Paramètres!$A$1:$I$89,5,0)</f>
        <v>8.8675733422860506E-14</v>
      </c>
      <c r="GB163" s="14">
        <f t="shared" si="185"/>
        <v>1.3509285393066301E-12</v>
      </c>
      <c r="GC163" s="22">
        <f t="shared" si="186"/>
        <v>2.5073107750038623E-12</v>
      </c>
      <c r="GD163" s="62">
        <f t="shared" si="134"/>
        <v>293.33333333333582</v>
      </c>
      <c r="GE163" s="62">
        <f ca="1">AVERAGE(OFFSET($GD$3,0,0,'Données projet'!$E$17+1,1))-AVERAGE(OFFSET($H$3,0,0,'Données projet'!$E$17+1,1))</f>
        <v>292.57482726862594</v>
      </c>
      <c r="GF163" s="62">
        <f t="shared" si="158"/>
        <v>283.48738729114024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>
        <f>EXP(-LN(2)/35)*GL162+(1-EXP(-LN(2)/35))/(LN(2)/35)*GH163*GI163*VLOOKUP('Données projet'!$B$17,Paramètres!$A$1:$I$89,3,0)*0.475*44/12</f>
        <v>0</v>
      </c>
      <c r="GM163" s="23">
        <f>EXP(-LN(2)/25)*GM162+(1-EXP(-LN(2)/25))/(LN(2)/25)*Calculateur!GH163*Calculateur!GJ163*VLOOKUP('Données projet'!$B$17,Paramètres!$A$1:$I$89,3,0)*0.475*44/12</f>
        <v>0</v>
      </c>
      <c r="GN163" s="23">
        <f>EXP(-LN(2)/2)*GN162+(1-EXP(-LN(2)/2))/(LN(2)/2)*GH163*GK163*VLOOKUP('Données projet'!$B$17,Paramètres!$A$1:$I$89,3,0)*0.475*44/12</f>
        <v>0</v>
      </c>
      <c r="GO163" s="23">
        <f t="shared" si="187"/>
        <v>0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-2.2737367544323206E-13</v>
      </c>
      <c r="GV163" s="18">
        <f>GU163*VLOOKUP('Données projet'!$B$18,Paramètres!$A$1:$I$89,3,0)*VLOOKUP('Données projet'!$B$18,Paramètres!$A$1:$I$89,5,0)</f>
        <v>-1.5252226148732008E-13</v>
      </c>
      <c r="GW163" s="14" t="e">
        <f t="shared" si="188"/>
        <v>#NUM!</v>
      </c>
      <c r="GX163" s="22" t="e">
        <f t="shared" si="189"/>
        <v>#NUM!</v>
      </c>
      <c r="GY163" s="62" t="e">
        <f t="shared" si="137"/>
        <v>#NUM!</v>
      </c>
      <c r="GZ163" s="62">
        <f ca="1">AVERAGE(OFFSET($GY$3,0,0,'Données projet'!$E$18+1,1))-AVERAGE(OFFSET($H$3,0,0,'Données projet'!$E$18+1,1))</f>
        <v>410.20186800287411</v>
      </c>
      <c r="HA163" s="62">
        <f t="shared" si="160"/>
        <v>321.99347958016057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>
        <f>EXP(-LN(2)/35)*HG162+(1-EXP(-LN(2)/35))/(LN(2)/35)*HC163*HD163*VLOOKUP('Données projet'!$B$18,Paramètres!$A$1:$I$89,3,0)*0.475*44/12</f>
        <v>0</v>
      </c>
      <c r="HH163" s="23">
        <f>EXP(-LN(2)/25)*HH162+(1-EXP(-LN(2)/25))/(LN(2)/25)*Calculateur!HC163*Calculateur!HE163*VLOOKUP('Données projet'!$B$18,Paramètres!$A$1:$I$89,3,0)*0.475*44/12</f>
        <v>0</v>
      </c>
      <c r="HI163" s="23">
        <f>EXP(-LN(2)/2)*HI162+(1-EXP(-LN(2)/2))/(LN(2)/2)*HC163*HF163*VLOOKUP('Données projet'!$B$18,Paramètres!$A$1:$I$89,3,0)*0.475*44/12</f>
        <v>0</v>
      </c>
      <c r="HJ163" s="24">
        <f t="shared" si="190"/>
        <v>0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-4.5474735088646412E-13</v>
      </c>
      <c r="O164" s="14">
        <f>N164*VLOOKUP('Données projet'!$B$9,Paramètres!$A$1:$I$89,3,0)*VLOOKUP('Données projet'!$B$9,Paramètres!$A$1:$I$89,5,0)</f>
        <v>-4.1145540308207271E-13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509.56241660612449</v>
      </c>
      <c r="T164" s="62">
        <f t="shared" si="142"/>
        <v>278.21741231699929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-4.5474735088646412E-13</v>
      </c>
      <c r="AJ164" s="14">
        <f>AI164*VLOOKUP('Données projet'!$B$10,Paramètres!$A$1:$I$89,3,0)*VLOOKUP('Données projet'!$B$10,Paramètres!$A$1:$I$89,5,0)</f>
        <v>-4.6111381379887462E-13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565.72091871734051</v>
      </c>
      <c r="AO164" s="62">
        <f t="shared" si="144"/>
        <v>306.61893266146666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-5.6843418860808015E-14</v>
      </c>
      <c r="BE164" s="14">
        <f>BD164*VLOOKUP('Données projet'!$B$11,Paramètres!$A$1:$I$89,3,0)*VLOOKUP('Données projet'!$B$11,Paramètres!$A$1:$I$89,5,0)</f>
        <v>-4.1677594708744434E-14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344.26020118887629</v>
      </c>
      <c r="BJ164" s="62">
        <f t="shared" si="146"/>
        <v>376.41441893222185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-4.5474735088646412E-13</v>
      </c>
      <c r="BZ164" s="14">
        <f>BY164*VLOOKUP('Données projet'!$B$12,Paramètres!$A$1:$I$89,3,0)*VLOOKUP('Données projet'!$B$12,Paramètres!$A$1:$I$89,5,0)</f>
        <v>-3.8307916838675739E-13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477.4105367901771</v>
      </c>
      <c r="CE164" s="62">
        <f t="shared" si="148"/>
        <v>261.95434270986397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-6.2527760746888816E-13</v>
      </c>
      <c r="CU164" s="18">
        <f>CT164*VLOOKUP('Données projet'!$B$13,Paramètres!$A$1:$I$89,3,0)*VLOOKUP('Données projet'!$B$13,Paramètres!$A$1:$I$89,5,0)</f>
        <v>-2.9262992029543964E-13</v>
      </c>
      <c r="CV164" s="14" t="e">
        <f t="shared" si="173"/>
        <v>#NUM!</v>
      </c>
      <c r="CW164" s="22" t="e">
        <f t="shared" si="174"/>
        <v>#NUM!</v>
      </c>
      <c r="CX164" s="62" t="e">
        <f t="shared" si="122"/>
        <v>#NUM!</v>
      </c>
      <c r="CY164" s="62">
        <f ca="1">AVERAGE(OFFSET($CX$3,0,0,'Données projet'!$E$13+1,1))-AVERAGE(OFFSET($H$3,0,0,'Données projet'!$E$13+1,1))</f>
        <v>246.64907095367749</v>
      </c>
      <c r="CZ164" s="62">
        <f t="shared" si="150"/>
        <v>145.34368562171613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-5.6843418860808015E-14</v>
      </c>
      <c r="DP164" s="18">
        <f>DO164*VLOOKUP('Données projet'!$B$14,Paramètres!$A$1:$I$89,3,0)*VLOOKUP('Données projet'!$B$14,Paramètres!$A$1:$I$89,5,0)</f>
        <v>-4.5224624045658861E-14</v>
      </c>
      <c r="DQ164" s="14" t="e">
        <f t="shared" si="176"/>
        <v>#NUM!</v>
      </c>
      <c r="DR164" s="22" t="e">
        <f t="shared" si="177"/>
        <v>#NUM!</v>
      </c>
      <c r="DS164" s="62" t="e">
        <f t="shared" si="125"/>
        <v>#NUM!</v>
      </c>
      <c r="DT164" s="62">
        <f ca="1">AVERAGE(OFFSET($DS$3,0,0,'Données projet'!$E$14+1,1))-AVERAGE(OFFSET($H$3,0,0,'Données projet'!$E$14+1,1))</f>
        <v>370.38521334472284</v>
      </c>
      <c r="DU164" s="62">
        <f t="shared" si="152"/>
        <v>404.61777090709171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-1.1368683772161603E-13</v>
      </c>
      <c r="EK164" s="18">
        <f>EJ164*VLOOKUP('Données projet'!$B$15,Paramètres!$A$1:$I$89,3,0)*VLOOKUP('Données projet'!$B$15,Paramètres!$A$1:$I$89,5,0)</f>
        <v>-9.7543306765146564E-14</v>
      </c>
      <c r="EL164" s="14" t="e">
        <f t="shared" si="179"/>
        <v>#NUM!</v>
      </c>
      <c r="EM164" s="22" t="e">
        <f t="shared" si="180"/>
        <v>#NUM!</v>
      </c>
      <c r="EN164" s="62" t="e">
        <f t="shared" si="128"/>
        <v>#NUM!</v>
      </c>
      <c r="EO164" s="62">
        <f ca="1">AVERAGE(OFFSET($EN$3,0,0,'Données projet'!$E$15+1,1))-AVERAGE(OFFSET($H$3,0,0,'Données projet'!$E$15+1,1))</f>
        <v>445.81166342116865</v>
      </c>
      <c r="EP164" s="62">
        <f t="shared" si="154"/>
        <v>230.82970731138215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0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-4.5474735088646412E-13</v>
      </c>
      <c r="FF164" s="18">
        <f>FE164*VLOOKUP('Données projet'!$B$16,Paramètres!$A$1:$I$89,3,0)*VLOOKUP('Données projet'!$B$16,Paramètres!$A$1:$I$89,5,0)</f>
        <v>-4.3983163777738812E-13</v>
      </c>
      <c r="FG164" s="14" t="e">
        <f t="shared" si="182"/>
        <v>#NUM!</v>
      </c>
      <c r="FH164" s="22" t="e">
        <f t="shared" si="183"/>
        <v>#NUM!</v>
      </c>
      <c r="FI164" s="62" t="e">
        <f t="shared" si="131"/>
        <v>#NUM!</v>
      </c>
      <c r="FJ164" s="62">
        <f ca="1">AVERAGE(OFFSET($FI$3,0,0,'Données projet'!$E$16+1,1))-AVERAGE(OFFSET($H$3,0,0,'Données projet'!$E$16+1,1))</f>
        <v>541.66888676162716</v>
      </c>
      <c r="FK164" s="62">
        <f t="shared" si="156"/>
        <v>294.45557293177131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>
        <f>EXP(-LN(2)/35)*FQ163+(1-EXP(-LN(2)/35))/(LN(2)/35)*FM164*FN164*VLOOKUP('Données projet'!$B$16,Paramètres!$A$1:$I$89,3,0)*0.475*44/12</f>
        <v>0</v>
      </c>
      <c r="FR164" s="23">
        <f>EXP(-LN(2)/25)*FR163+(1-EXP(-LN(2)/25))/(LN(2)/25)*Calculateur!FM164*Calculateur!FO164*VLOOKUP('Données projet'!$B$16,Paramètres!$A$1:$I$89,3,0)*0.475*44/12</f>
        <v>0</v>
      </c>
      <c r="FS164" s="23">
        <f>EXP(-LN(2)/2)*FS163+(1-EXP(-LN(2)/2))/(LN(2)/2)*FM164*FP164*VLOOKUP('Données projet'!$B$16,Paramètres!$A$1:$I$89,3,0)*0.475*44/12</f>
        <v>0</v>
      </c>
      <c r="FT164" s="24">
        <f t="shared" si="184"/>
        <v>0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1.1368683772161603E-13</v>
      </c>
      <c r="GA164" s="18">
        <f>FZ164*VLOOKUP('Données projet'!$B$17,Paramètres!$A$1:$I$89,3,0)*VLOOKUP('Données projet'!$B$17,Paramètres!$A$1:$I$89,5,0)</f>
        <v>8.8675733422860506E-14</v>
      </c>
      <c r="GB164" s="14">
        <f t="shared" si="185"/>
        <v>1.3509285393066301E-12</v>
      </c>
      <c r="GC164" s="22">
        <f t="shared" si="186"/>
        <v>2.5073107750038623E-12</v>
      </c>
      <c r="GD164" s="62">
        <f t="shared" si="134"/>
        <v>293.33333333333582</v>
      </c>
      <c r="GE164" s="62">
        <f ca="1">AVERAGE(OFFSET($GD$3,0,0,'Données projet'!$E$17+1,1))-AVERAGE(OFFSET($H$3,0,0,'Données projet'!$E$17+1,1))</f>
        <v>292.57482726862594</v>
      </c>
      <c r="GF164" s="62">
        <f t="shared" si="158"/>
        <v>283.48738729114024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>
        <f>EXP(-LN(2)/35)*GL163+(1-EXP(-LN(2)/35))/(LN(2)/35)*GH164*GI164*VLOOKUP('Données projet'!$B$17,Paramètres!$A$1:$I$89,3,0)*0.475*44/12</f>
        <v>0</v>
      </c>
      <c r="GM164" s="23">
        <f>EXP(-LN(2)/25)*GM163+(1-EXP(-LN(2)/25))/(LN(2)/25)*Calculateur!GH164*Calculateur!GJ164*VLOOKUP('Données projet'!$B$17,Paramètres!$A$1:$I$89,3,0)*0.475*44/12</f>
        <v>0</v>
      </c>
      <c r="GN164" s="23">
        <f>EXP(-LN(2)/2)*GN163+(1-EXP(-LN(2)/2))/(LN(2)/2)*GH164*GK164*VLOOKUP('Données projet'!$B$17,Paramètres!$A$1:$I$89,3,0)*0.475*44/12</f>
        <v>0</v>
      </c>
      <c r="GO164" s="23">
        <f t="shared" si="187"/>
        <v>0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-2.2737367544323206E-13</v>
      </c>
      <c r="GV164" s="18">
        <f>GU164*VLOOKUP('Données projet'!$B$18,Paramètres!$A$1:$I$89,3,0)*VLOOKUP('Données projet'!$B$18,Paramètres!$A$1:$I$89,5,0)</f>
        <v>-1.5252226148732008E-13</v>
      </c>
      <c r="GW164" s="14" t="e">
        <f t="shared" si="188"/>
        <v>#NUM!</v>
      </c>
      <c r="GX164" s="22" t="e">
        <f t="shared" si="189"/>
        <v>#NUM!</v>
      </c>
      <c r="GY164" s="62" t="e">
        <f t="shared" si="137"/>
        <v>#NUM!</v>
      </c>
      <c r="GZ164" s="62">
        <f ca="1">AVERAGE(OFFSET($GY$3,0,0,'Données projet'!$E$18+1,1))-AVERAGE(OFFSET($H$3,0,0,'Données projet'!$E$18+1,1))</f>
        <v>410.20186800287411</v>
      </c>
      <c r="HA164" s="62">
        <f t="shared" si="160"/>
        <v>321.99347958016057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>
        <f>EXP(-LN(2)/35)*HG163+(1-EXP(-LN(2)/35))/(LN(2)/35)*HC164*HD164*VLOOKUP('Données projet'!$B$18,Paramètres!$A$1:$I$89,3,0)*0.475*44/12</f>
        <v>0</v>
      </c>
      <c r="HH164" s="23">
        <f>EXP(-LN(2)/25)*HH163+(1-EXP(-LN(2)/25))/(LN(2)/25)*Calculateur!HC164*Calculateur!HE164*VLOOKUP('Données projet'!$B$18,Paramètres!$A$1:$I$89,3,0)*0.475*44/12</f>
        <v>0</v>
      </c>
      <c r="HI164" s="23">
        <f>EXP(-LN(2)/2)*HI163+(1-EXP(-LN(2)/2))/(LN(2)/2)*HC164*HF164*VLOOKUP('Données projet'!$B$18,Paramètres!$A$1:$I$89,3,0)*0.475*44/12</f>
        <v>0</v>
      </c>
      <c r="HJ164" s="24">
        <f t="shared" si="190"/>
        <v>0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-4.5474735088646412E-13</v>
      </c>
      <c r="O165" s="14">
        <f>N165*VLOOKUP('Données projet'!$B$9,Paramètres!$A$1:$I$89,3,0)*VLOOKUP('Données projet'!$B$9,Paramètres!$A$1:$I$89,5,0)</f>
        <v>-4.1145540308207271E-13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509.56241660612449</v>
      </c>
      <c r="T165" s="62">
        <f t="shared" si="142"/>
        <v>278.21741231699929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-4.5474735088646412E-13</v>
      </c>
      <c r="AJ165" s="14">
        <f>AI165*VLOOKUP('Données projet'!$B$10,Paramètres!$A$1:$I$89,3,0)*VLOOKUP('Données projet'!$B$10,Paramètres!$A$1:$I$89,5,0)</f>
        <v>-4.6111381379887462E-13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565.72091871734051</v>
      </c>
      <c r="AO165" s="62">
        <f t="shared" si="144"/>
        <v>306.61893266146666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-5.6843418860808015E-14</v>
      </c>
      <c r="BE165" s="14">
        <f>BD165*VLOOKUP('Données projet'!$B$11,Paramètres!$A$1:$I$89,3,0)*VLOOKUP('Données projet'!$B$11,Paramètres!$A$1:$I$89,5,0)</f>
        <v>-4.1677594708744434E-14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344.26020118887629</v>
      </c>
      <c r="BJ165" s="62">
        <f t="shared" si="146"/>
        <v>376.41441893222185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-4.5474735088646412E-13</v>
      </c>
      <c r="BZ165" s="14">
        <f>BY165*VLOOKUP('Données projet'!$B$12,Paramètres!$A$1:$I$89,3,0)*VLOOKUP('Données projet'!$B$12,Paramètres!$A$1:$I$89,5,0)</f>
        <v>-3.8307916838675739E-13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477.4105367901771</v>
      </c>
      <c r="CE165" s="62">
        <f t="shared" si="148"/>
        <v>261.95434270986397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-6.2527760746888816E-13</v>
      </c>
      <c r="CU165" s="18">
        <f>CT165*VLOOKUP('Données projet'!$B$13,Paramètres!$A$1:$I$89,3,0)*VLOOKUP('Données projet'!$B$13,Paramètres!$A$1:$I$89,5,0)</f>
        <v>-2.9262992029543964E-13</v>
      </c>
      <c r="CV165" s="14" t="e">
        <f t="shared" si="173"/>
        <v>#NUM!</v>
      </c>
      <c r="CW165" s="22" t="e">
        <f t="shared" si="174"/>
        <v>#NUM!</v>
      </c>
      <c r="CX165" s="62" t="e">
        <f t="shared" si="122"/>
        <v>#NUM!</v>
      </c>
      <c r="CY165" s="62">
        <f ca="1">AVERAGE(OFFSET($CX$3,0,0,'Données projet'!$E$13+1,1))-AVERAGE(OFFSET($H$3,0,0,'Données projet'!$E$13+1,1))</f>
        <v>246.64907095367749</v>
      </c>
      <c r="CZ165" s="62">
        <f t="shared" si="150"/>
        <v>145.34368562171613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-5.6843418860808015E-14</v>
      </c>
      <c r="DP165" s="18">
        <f>DO165*VLOOKUP('Données projet'!$B$14,Paramètres!$A$1:$I$89,3,0)*VLOOKUP('Données projet'!$B$14,Paramètres!$A$1:$I$89,5,0)</f>
        <v>-4.5224624045658861E-14</v>
      </c>
      <c r="DQ165" s="14" t="e">
        <f t="shared" si="176"/>
        <v>#NUM!</v>
      </c>
      <c r="DR165" s="22" t="e">
        <f t="shared" si="177"/>
        <v>#NUM!</v>
      </c>
      <c r="DS165" s="62" t="e">
        <f t="shared" si="125"/>
        <v>#NUM!</v>
      </c>
      <c r="DT165" s="62">
        <f ca="1">AVERAGE(OFFSET($DS$3,0,0,'Données projet'!$E$14+1,1))-AVERAGE(OFFSET($H$3,0,0,'Données projet'!$E$14+1,1))</f>
        <v>370.38521334472284</v>
      </c>
      <c r="DU165" s="62">
        <f t="shared" si="152"/>
        <v>404.61777090709171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-1.1368683772161603E-13</v>
      </c>
      <c r="EK165" s="18">
        <f>EJ165*VLOOKUP('Données projet'!$B$15,Paramètres!$A$1:$I$89,3,0)*VLOOKUP('Données projet'!$B$15,Paramètres!$A$1:$I$89,5,0)</f>
        <v>-9.7543306765146564E-14</v>
      </c>
      <c r="EL165" s="14" t="e">
        <f t="shared" si="179"/>
        <v>#NUM!</v>
      </c>
      <c r="EM165" s="22" t="e">
        <f t="shared" si="180"/>
        <v>#NUM!</v>
      </c>
      <c r="EN165" s="62" t="e">
        <f t="shared" si="128"/>
        <v>#NUM!</v>
      </c>
      <c r="EO165" s="62">
        <f ca="1">AVERAGE(OFFSET($EN$3,0,0,'Données projet'!$E$15+1,1))-AVERAGE(OFFSET($H$3,0,0,'Données projet'!$E$15+1,1))</f>
        <v>445.81166342116865</v>
      </c>
      <c r="EP165" s="62">
        <f t="shared" si="154"/>
        <v>230.82970731138215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0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-4.5474735088646412E-13</v>
      </c>
      <c r="FF165" s="18">
        <f>FE165*VLOOKUP('Données projet'!$B$16,Paramètres!$A$1:$I$89,3,0)*VLOOKUP('Données projet'!$B$16,Paramètres!$A$1:$I$89,5,0)</f>
        <v>-4.3983163777738812E-13</v>
      </c>
      <c r="FG165" s="14" t="e">
        <f t="shared" si="182"/>
        <v>#NUM!</v>
      </c>
      <c r="FH165" s="22" t="e">
        <f t="shared" si="183"/>
        <v>#NUM!</v>
      </c>
      <c r="FI165" s="62" t="e">
        <f t="shared" si="131"/>
        <v>#NUM!</v>
      </c>
      <c r="FJ165" s="62">
        <f ca="1">AVERAGE(OFFSET($FI$3,0,0,'Données projet'!$E$16+1,1))-AVERAGE(OFFSET($H$3,0,0,'Données projet'!$E$16+1,1))</f>
        <v>541.66888676162716</v>
      </c>
      <c r="FK165" s="62">
        <f t="shared" si="156"/>
        <v>294.45557293177131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>
        <f>EXP(-LN(2)/35)*FQ164+(1-EXP(-LN(2)/35))/(LN(2)/35)*FM165*FN165*VLOOKUP('Données projet'!$B$16,Paramètres!$A$1:$I$89,3,0)*0.475*44/12</f>
        <v>0</v>
      </c>
      <c r="FR165" s="23">
        <f>EXP(-LN(2)/25)*FR164+(1-EXP(-LN(2)/25))/(LN(2)/25)*Calculateur!FM165*Calculateur!FO165*VLOOKUP('Données projet'!$B$16,Paramètres!$A$1:$I$89,3,0)*0.475*44/12</f>
        <v>0</v>
      </c>
      <c r="FS165" s="23">
        <f>EXP(-LN(2)/2)*FS164+(1-EXP(-LN(2)/2))/(LN(2)/2)*FM165*FP165*VLOOKUP('Données projet'!$B$16,Paramètres!$A$1:$I$89,3,0)*0.475*44/12</f>
        <v>0</v>
      </c>
      <c r="FT165" s="24">
        <f t="shared" si="184"/>
        <v>0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1.1368683772161603E-13</v>
      </c>
      <c r="GA165" s="18">
        <f>FZ165*VLOOKUP('Données projet'!$B$17,Paramètres!$A$1:$I$89,3,0)*VLOOKUP('Données projet'!$B$17,Paramètres!$A$1:$I$89,5,0)</f>
        <v>8.8675733422860506E-14</v>
      </c>
      <c r="GB165" s="14">
        <f t="shared" si="185"/>
        <v>1.3509285393066301E-12</v>
      </c>
      <c r="GC165" s="22">
        <f t="shared" si="186"/>
        <v>2.5073107750038623E-12</v>
      </c>
      <c r="GD165" s="62">
        <f t="shared" si="134"/>
        <v>293.33333333333582</v>
      </c>
      <c r="GE165" s="62">
        <f ca="1">AVERAGE(OFFSET($GD$3,0,0,'Données projet'!$E$17+1,1))-AVERAGE(OFFSET($H$3,0,0,'Données projet'!$E$17+1,1))</f>
        <v>292.57482726862594</v>
      </c>
      <c r="GF165" s="62">
        <f t="shared" si="158"/>
        <v>283.48738729114024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>
        <f>EXP(-LN(2)/35)*GL164+(1-EXP(-LN(2)/35))/(LN(2)/35)*GH165*GI165*VLOOKUP('Données projet'!$B$17,Paramètres!$A$1:$I$89,3,0)*0.475*44/12</f>
        <v>0</v>
      </c>
      <c r="GM165" s="23">
        <f>EXP(-LN(2)/25)*GM164+(1-EXP(-LN(2)/25))/(LN(2)/25)*Calculateur!GH165*Calculateur!GJ165*VLOOKUP('Données projet'!$B$17,Paramètres!$A$1:$I$89,3,0)*0.475*44/12</f>
        <v>0</v>
      </c>
      <c r="GN165" s="23">
        <f>EXP(-LN(2)/2)*GN164+(1-EXP(-LN(2)/2))/(LN(2)/2)*GH165*GK165*VLOOKUP('Données projet'!$B$17,Paramètres!$A$1:$I$89,3,0)*0.475*44/12</f>
        <v>0</v>
      </c>
      <c r="GO165" s="23">
        <f t="shared" si="187"/>
        <v>0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-2.2737367544323206E-13</v>
      </c>
      <c r="GV165" s="18">
        <f>GU165*VLOOKUP('Données projet'!$B$18,Paramètres!$A$1:$I$89,3,0)*VLOOKUP('Données projet'!$B$18,Paramètres!$A$1:$I$89,5,0)</f>
        <v>-1.5252226148732008E-13</v>
      </c>
      <c r="GW165" s="14" t="e">
        <f t="shared" si="188"/>
        <v>#NUM!</v>
      </c>
      <c r="GX165" s="22" t="e">
        <f t="shared" si="189"/>
        <v>#NUM!</v>
      </c>
      <c r="GY165" s="62" t="e">
        <f t="shared" si="137"/>
        <v>#NUM!</v>
      </c>
      <c r="GZ165" s="62">
        <f ca="1">AVERAGE(OFFSET($GY$3,0,0,'Données projet'!$E$18+1,1))-AVERAGE(OFFSET($H$3,0,0,'Données projet'!$E$18+1,1))</f>
        <v>410.20186800287411</v>
      </c>
      <c r="HA165" s="62">
        <f t="shared" si="160"/>
        <v>321.99347958016057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>
        <f>EXP(-LN(2)/35)*HG164+(1-EXP(-LN(2)/35))/(LN(2)/35)*HC165*HD165*VLOOKUP('Données projet'!$B$18,Paramètres!$A$1:$I$89,3,0)*0.475*44/12</f>
        <v>0</v>
      </c>
      <c r="HH165" s="23">
        <f>EXP(-LN(2)/25)*HH164+(1-EXP(-LN(2)/25))/(LN(2)/25)*Calculateur!HC165*Calculateur!HE165*VLOOKUP('Données projet'!$B$18,Paramètres!$A$1:$I$89,3,0)*0.475*44/12</f>
        <v>0</v>
      </c>
      <c r="HI165" s="23">
        <f>EXP(-LN(2)/2)*HI164+(1-EXP(-LN(2)/2))/(LN(2)/2)*HC165*HF165*VLOOKUP('Données projet'!$B$18,Paramètres!$A$1:$I$89,3,0)*0.475*44/12</f>
        <v>0</v>
      </c>
      <c r="HJ165" s="24">
        <f t="shared" si="190"/>
        <v>0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-4.5474735088646412E-13</v>
      </c>
      <c r="O166" s="14">
        <f>N166*VLOOKUP('Données projet'!$B$9,Paramètres!$A$1:$I$89,3,0)*VLOOKUP('Données projet'!$B$9,Paramètres!$A$1:$I$89,5,0)</f>
        <v>-4.1145540308207271E-13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509.56241660612449</v>
      </c>
      <c r="T166" s="62">
        <f t="shared" si="142"/>
        <v>278.21741231699929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-4.5474735088646412E-13</v>
      </c>
      <c r="AJ166" s="14">
        <f>AI166*VLOOKUP('Données projet'!$B$10,Paramètres!$A$1:$I$89,3,0)*VLOOKUP('Données projet'!$B$10,Paramètres!$A$1:$I$89,5,0)</f>
        <v>-4.6111381379887462E-13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565.72091871734051</v>
      </c>
      <c r="AO166" s="62">
        <f t="shared" si="144"/>
        <v>306.61893266146666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-5.6843418860808015E-14</v>
      </c>
      <c r="BE166" s="14">
        <f>BD166*VLOOKUP('Données projet'!$B$11,Paramètres!$A$1:$I$89,3,0)*VLOOKUP('Données projet'!$B$11,Paramètres!$A$1:$I$89,5,0)</f>
        <v>-4.1677594708744434E-14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344.26020118887629</v>
      </c>
      <c r="BJ166" s="62">
        <f t="shared" si="146"/>
        <v>376.41441893222185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-4.5474735088646412E-13</v>
      </c>
      <c r="BZ166" s="14">
        <f>BY166*VLOOKUP('Données projet'!$B$12,Paramètres!$A$1:$I$89,3,0)*VLOOKUP('Données projet'!$B$12,Paramètres!$A$1:$I$89,5,0)</f>
        <v>-3.8307916838675739E-13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477.4105367901771</v>
      </c>
      <c r="CE166" s="62">
        <f t="shared" si="148"/>
        <v>261.95434270986397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-6.2527760746888816E-13</v>
      </c>
      <c r="CU166" s="18">
        <f>CT166*VLOOKUP('Données projet'!$B$13,Paramètres!$A$1:$I$89,3,0)*VLOOKUP('Données projet'!$B$13,Paramètres!$A$1:$I$89,5,0)</f>
        <v>-2.9262992029543964E-13</v>
      </c>
      <c r="CV166" s="14" t="e">
        <f t="shared" si="173"/>
        <v>#NUM!</v>
      </c>
      <c r="CW166" s="22" t="e">
        <f t="shared" si="174"/>
        <v>#NUM!</v>
      </c>
      <c r="CX166" s="62" t="e">
        <f t="shared" si="122"/>
        <v>#NUM!</v>
      </c>
      <c r="CY166" s="62">
        <f ca="1">AVERAGE(OFFSET($CX$3,0,0,'Données projet'!$E$13+1,1))-AVERAGE(OFFSET($H$3,0,0,'Données projet'!$E$13+1,1))</f>
        <v>246.64907095367749</v>
      </c>
      <c r="CZ166" s="62">
        <f t="shared" si="150"/>
        <v>145.34368562171613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-5.6843418860808015E-14</v>
      </c>
      <c r="DP166" s="18">
        <f>DO166*VLOOKUP('Données projet'!$B$14,Paramètres!$A$1:$I$89,3,0)*VLOOKUP('Données projet'!$B$14,Paramètres!$A$1:$I$89,5,0)</f>
        <v>-4.5224624045658861E-14</v>
      </c>
      <c r="DQ166" s="14" t="e">
        <f t="shared" si="176"/>
        <v>#NUM!</v>
      </c>
      <c r="DR166" s="22" t="e">
        <f t="shared" si="177"/>
        <v>#NUM!</v>
      </c>
      <c r="DS166" s="62" t="e">
        <f t="shared" si="125"/>
        <v>#NUM!</v>
      </c>
      <c r="DT166" s="62">
        <f ca="1">AVERAGE(OFFSET($DS$3,0,0,'Données projet'!$E$14+1,1))-AVERAGE(OFFSET($H$3,0,0,'Données projet'!$E$14+1,1))</f>
        <v>370.38521334472284</v>
      </c>
      <c r="DU166" s="62">
        <f t="shared" si="152"/>
        <v>404.61777090709171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-1.1368683772161603E-13</v>
      </c>
      <c r="EK166" s="18">
        <f>EJ166*VLOOKUP('Données projet'!$B$15,Paramètres!$A$1:$I$89,3,0)*VLOOKUP('Données projet'!$B$15,Paramètres!$A$1:$I$89,5,0)</f>
        <v>-9.7543306765146564E-14</v>
      </c>
      <c r="EL166" s="14" t="e">
        <f t="shared" si="179"/>
        <v>#NUM!</v>
      </c>
      <c r="EM166" s="22" t="e">
        <f t="shared" si="180"/>
        <v>#NUM!</v>
      </c>
      <c r="EN166" s="62" t="e">
        <f t="shared" si="128"/>
        <v>#NUM!</v>
      </c>
      <c r="EO166" s="62">
        <f ca="1">AVERAGE(OFFSET($EN$3,0,0,'Données projet'!$E$15+1,1))-AVERAGE(OFFSET($H$3,0,0,'Données projet'!$E$15+1,1))</f>
        <v>445.81166342116865</v>
      </c>
      <c r="EP166" s="62">
        <f t="shared" si="154"/>
        <v>230.82970731138215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0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-4.5474735088646412E-13</v>
      </c>
      <c r="FF166" s="18">
        <f>FE166*VLOOKUP('Données projet'!$B$16,Paramètres!$A$1:$I$89,3,0)*VLOOKUP('Données projet'!$B$16,Paramètres!$A$1:$I$89,5,0)</f>
        <v>-4.3983163777738812E-13</v>
      </c>
      <c r="FG166" s="14" t="e">
        <f t="shared" si="182"/>
        <v>#NUM!</v>
      </c>
      <c r="FH166" s="22" t="e">
        <f t="shared" si="183"/>
        <v>#NUM!</v>
      </c>
      <c r="FI166" s="62" t="e">
        <f t="shared" si="131"/>
        <v>#NUM!</v>
      </c>
      <c r="FJ166" s="62">
        <f ca="1">AVERAGE(OFFSET($FI$3,0,0,'Données projet'!$E$16+1,1))-AVERAGE(OFFSET($H$3,0,0,'Données projet'!$E$16+1,1))</f>
        <v>541.66888676162716</v>
      </c>
      <c r="FK166" s="62">
        <f t="shared" si="156"/>
        <v>294.45557293177131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>
        <f>EXP(-LN(2)/35)*FQ165+(1-EXP(-LN(2)/35))/(LN(2)/35)*FM166*FN166*VLOOKUP('Données projet'!$B$16,Paramètres!$A$1:$I$89,3,0)*0.475*44/12</f>
        <v>0</v>
      </c>
      <c r="FR166" s="23">
        <f>EXP(-LN(2)/25)*FR165+(1-EXP(-LN(2)/25))/(LN(2)/25)*Calculateur!FM166*Calculateur!FO166*VLOOKUP('Données projet'!$B$16,Paramètres!$A$1:$I$89,3,0)*0.475*44/12</f>
        <v>0</v>
      </c>
      <c r="FS166" s="23">
        <f>EXP(-LN(2)/2)*FS165+(1-EXP(-LN(2)/2))/(LN(2)/2)*FM166*FP166*VLOOKUP('Données projet'!$B$16,Paramètres!$A$1:$I$89,3,0)*0.475*44/12</f>
        <v>0</v>
      </c>
      <c r="FT166" s="24">
        <f t="shared" si="184"/>
        <v>0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1.1368683772161603E-13</v>
      </c>
      <c r="GA166" s="18">
        <f>FZ166*VLOOKUP('Données projet'!$B$17,Paramètres!$A$1:$I$89,3,0)*VLOOKUP('Données projet'!$B$17,Paramètres!$A$1:$I$89,5,0)</f>
        <v>8.8675733422860506E-14</v>
      </c>
      <c r="GB166" s="14">
        <f t="shared" si="185"/>
        <v>1.3509285393066301E-12</v>
      </c>
      <c r="GC166" s="22">
        <f t="shared" si="186"/>
        <v>2.5073107750038623E-12</v>
      </c>
      <c r="GD166" s="62">
        <f t="shared" si="134"/>
        <v>293.33333333333582</v>
      </c>
      <c r="GE166" s="62">
        <f ca="1">AVERAGE(OFFSET($GD$3,0,0,'Données projet'!$E$17+1,1))-AVERAGE(OFFSET($H$3,0,0,'Données projet'!$E$17+1,1))</f>
        <v>292.57482726862594</v>
      </c>
      <c r="GF166" s="62">
        <f t="shared" si="158"/>
        <v>283.48738729114024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>
        <f>EXP(-LN(2)/35)*GL165+(1-EXP(-LN(2)/35))/(LN(2)/35)*GH166*GI166*VLOOKUP('Données projet'!$B$17,Paramètres!$A$1:$I$89,3,0)*0.475*44/12</f>
        <v>0</v>
      </c>
      <c r="GM166" s="23">
        <f>EXP(-LN(2)/25)*GM165+(1-EXP(-LN(2)/25))/(LN(2)/25)*Calculateur!GH166*Calculateur!GJ166*VLOOKUP('Données projet'!$B$17,Paramètres!$A$1:$I$89,3,0)*0.475*44/12</f>
        <v>0</v>
      </c>
      <c r="GN166" s="23">
        <f>EXP(-LN(2)/2)*GN165+(1-EXP(-LN(2)/2))/(LN(2)/2)*GH166*GK166*VLOOKUP('Données projet'!$B$17,Paramètres!$A$1:$I$89,3,0)*0.475*44/12</f>
        <v>0</v>
      </c>
      <c r="GO166" s="23">
        <f t="shared" si="187"/>
        <v>0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-2.2737367544323206E-13</v>
      </c>
      <c r="GV166" s="18">
        <f>GU166*VLOOKUP('Données projet'!$B$18,Paramètres!$A$1:$I$89,3,0)*VLOOKUP('Données projet'!$B$18,Paramètres!$A$1:$I$89,5,0)</f>
        <v>-1.5252226148732008E-13</v>
      </c>
      <c r="GW166" s="14" t="e">
        <f t="shared" si="188"/>
        <v>#NUM!</v>
      </c>
      <c r="GX166" s="22" t="e">
        <f t="shared" si="189"/>
        <v>#NUM!</v>
      </c>
      <c r="GY166" s="62" t="e">
        <f t="shared" si="137"/>
        <v>#NUM!</v>
      </c>
      <c r="GZ166" s="62">
        <f ca="1">AVERAGE(OFFSET($GY$3,0,0,'Données projet'!$E$18+1,1))-AVERAGE(OFFSET($H$3,0,0,'Données projet'!$E$18+1,1))</f>
        <v>410.20186800287411</v>
      </c>
      <c r="HA166" s="62">
        <f t="shared" si="160"/>
        <v>321.99347958016057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>
        <f>EXP(-LN(2)/35)*HG165+(1-EXP(-LN(2)/35))/(LN(2)/35)*HC166*HD166*VLOOKUP('Données projet'!$B$18,Paramètres!$A$1:$I$89,3,0)*0.475*44/12</f>
        <v>0</v>
      </c>
      <c r="HH166" s="23">
        <f>EXP(-LN(2)/25)*HH165+(1-EXP(-LN(2)/25))/(LN(2)/25)*Calculateur!HC166*Calculateur!HE166*VLOOKUP('Données projet'!$B$18,Paramètres!$A$1:$I$89,3,0)*0.475*44/12</f>
        <v>0</v>
      </c>
      <c r="HI166" s="23">
        <f>EXP(-LN(2)/2)*HI165+(1-EXP(-LN(2)/2))/(LN(2)/2)*HC166*HF166*VLOOKUP('Données projet'!$B$18,Paramètres!$A$1:$I$89,3,0)*0.475*44/12</f>
        <v>0</v>
      </c>
      <c r="HJ166" s="24">
        <f t="shared" si="190"/>
        <v>0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-4.5474735088646412E-13</v>
      </c>
      <c r="O167" s="14">
        <f>N167*VLOOKUP('Données projet'!$B$9,Paramètres!$A$1:$I$89,3,0)*VLOOKUP('Données projet'!$B$9,Paramètres!$A$1:$I$89,5,0)</f>
        <v>-4.1145540308207271E-13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509.56241660612449</v>
      </c>
      <c r="T167" s="62">
        <f t="shared" si="142"/>
        <v>278.21741231699929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-4.5474735088646412E-13</v>
      </c>
      <c r="AJ167" s="14">
        <f>AI167*VLOOKUP('Données projet'!$B$10,Paramètres!$A$1:$I$89,3,0)*VLOOKUP('Données projet'!$B$10,Paramètres!$A$1:$I$89,5,0)</f>
        <v>-4.6111381379887462E-13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565.72091871734051</v>
      </c>
      <c r="AO167" s="62">
        <f t="shared" si="144"/>
        <v>306.61893266146666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-5.6843418860808015E-14</v>
      </c>
      <c r="BE167" s="14">
        <f>BD167*VLOOKUP('Données projet'!$B$11,Paramètres!$A$1:$I$89,3,0)*VLOOKUP('Données projet'!$B$11,Paramètres!$A$1:$I$89,5,0)</f>
        <v>-4.1677594708744434E-14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344.26020118887629</v>
      </c>
      <c r="BJ167" s="62">
        <f t="shared" si="146"/>
        <v>376.41441893222185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-4.5474735088646412E-13</v>
      </c>
      <c r="BZ167" s="14">
        <f>BY167*VLOOKUP('Données projet'!$B$12,Paramètres!$A$1:$I$89,3,0)*VLOOKUP('Données projet'!$B$12,Paramètres!$A$1:$I$89,5,0)</f>
        <v>-3.8307916838675739E-13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477.4105367901771</v>
      </c>
      <c r="CE167" s="62">
        <f t="shared" si="148"/>
        <v>261.95434270986397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-6.2527760746888816E-13</v>
      </c>
      <c r="CU167" s="18">
        <f>CT167*VLOOKUP('Données projet'!$B$13,Paramètres!$A$1:$I$89,3,0)*VLOOKUP('Données projet'!$B$13,Paramètres!$A$1:$I$89,5,0)</f>
        <v>-2.9262992029543964E-13</v>
      </c>
      <c r="CV167" s="14" t="e">
        <f t="shared" si="173"/>
        <v>#NUM!</v>
      </c>
      <c r="CW167" s="22" t="e">
        <f t="shared" si="174"/>
        <v>#NUM!</v>
      </c>
      <c r="CX167" s="62" t="e">
        <f t="shared" si="122"/>
        <v>#NUM!</v>
      </c>
      <c r="CY167" s="62">
        <f ca="1">AVERAGE(OFFSET($CX$3,0,0,'Données projet'!$E$13+1,1))-AVERAGE(OFFSET($H$3,0,0,'Données projet'!$E$13+1,1))</f>
        <v>246.64907095367749</v>
      </c>
      <c r="CZ167" s="62">
        <f t="shared" si="150"/>
        <v>145.34368562171613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-5.6843418860808015E-14</v>
      </c>
      <c r="DP167" s="18">
        <f>DO167*VLOOKUP('Données projet'!$B$14,Paramètres!$A$1:$I$89,3,0)*VLOOKUP('Données projet'!$B$14,Paramètres!$A$1:$I$89,5,0)</f>
        <v>-4.5224624045658861E-14</v>
      </c>
      <c r="DQ167" s="14" t="e">
        <f t="shared" si="176"/>
        <v>#NUM!</v>
      </c>
      <c r="DR167" s="22" t="e">
        <f t="shared" si="177"/>
        <v>#NUM!</v>
      </c>
      <c r="DS167" s="62" t="e">
        <f t="shared" si="125"/>
        <v>#NUM!</v>
      </c>
      <c r="DT167" s="62">
        <f ca="1">AVERAGE(OFFSET($DS$3,0,0,'Données projet'!$E$14+1,1))-AVERAGE(OFFSET($H$3,0,0,'Données projet'!$E$14+1,1))</f>
        <v>370.38521334472284</v>
      </c>
      <c r="DU167" s="62">
        <f t="shared" si="152"/>
        <v>404.61777090709171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-1.1368683772161603E-13</v>
      </c>
      <c r="EK167" s="18">
        <f>EJ167*VLOOKUP('Données projet'!$B$15,Paramètres!$A$1:$I$89,3,0)*VLOOKUP('Données projet'!$B$15,Paramètres!$A$1:$I$89,5,0)</f>
        <v>-9.7543306765146564E-14</v>
      </c>
      <c r="EL167" s="14" t="e">
        <f t="shared" si="179"/>
        <v>#NUM!</v>
      </c>
      <c r="EM167" s="22" t="e">
        <f t="shared" si="180"/>
        <v>#NUM!</v>
      </c>
      <c r="EN167" s="62" t="e">
        <f t="shared" si="128"/>
        <v>#NUM!</v>
      </c>
      <c r="EO167" s="62">
        <f ca="1">AVERAGE(OFFSET($EN$3,0,0,'Données projet'!$E$15+1,1))-AVERAGE(OFFSET($H$3,0,0,'Données projet'!$E$15+1,1))</f>
        <v>445.81166342116865</v>
      </c>
      <c r="EP167" s="62">
        <f t="shared" si="154"/>
        <v>230.82970731138215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0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-4.5474735088646412E-13</v>
      </c>
      <c r="FF167" s="18">
        <f>FE167*VLOOKUP('Données projet'!$B$16,Paramètres!$A$1:$I$89,3,0)*VLOOKUP('Données projet'!$B$16,Paramètres!$A$1:$I$89,5,0)</f>
        <v>-4.3983163777738812E-13</v>
      </c>
      <c r="FG167" s="14" t="e">
        <f t="shared" si="182"/>
        <v>#NUM!</v>
      </c>
      <c r="FH167" s="22" t="e">
        <f t="shared" si="183"/>
        <v>#NUM!</v>
      </c>
      <c r="FI167" s="62" t="e">
        <f t="shared" si="131"/>
        <v>#NUM!</v>
      </c>
      <c r="FJ167" s="62">
        <f ca="1">AVERAGE(OFFSET($FI$3,0,0,'Données projet'!$E$16+1,1))-AVERAGE(OFFSET($H$3,0,0,'Données projet'!$E$16+1,1))</f>
        <v>541.66888676162716</v>
      </c>
      <c r="FK167" s="62">
        <f t="shared" si="156"/>
        <v>294.45557293177131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>
        <f>EXP(-LN(2)/35)*FQ166+(1-EXP(-LN(2)/35))/(LN(2)/35)*FM167*FN167*VLOOKUP('Données projet'!$B$16,Paramètres!$A$1:$I$89,3,0)*0.475*44/12</f>
        <v>0</v>
      </c>
      <c r="FR167" s="23">
        <f>EXP(-LN(2)/25)*FR166+(1-EXP(-LN(2)/25))/(LN(2)/25)*Calculateur!FM167*Calculateur!FO167*VLOOKUP('Données projet'!$B$16,Paramètres!$A$1:$I$89,3,0)*0.475*44/12</f>
        <v>0</v>
      </c>
      <c r="FS167" s="23">
        <f>EXP(-LN(2)/2)*FS166+(1-EXP(-LN(2)/2))/(LN(2)/2)*FM167*FP167*VLOOKUP('Données projet'!$B$16,Paramètres!$A$1:$I$89,3,0)*0.475*44/12</f>
        <v>0</v>
      </c>
      <c r="FT167" s="24">
        <f t="shared" si="184"/>
        <v>0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1.1368683772161603E-13</v>
      </c>
      <c r="GA167" s="18">
        <f>FZ167*VLOOKUP('Données projet'!$B$17,Paramètres!$A$1:$I$89,3,0)*VLOOKUP('Données projet'!$B$17,Paramètres!$A$1:$I$89,5,0)</f>
        <v>8.8675733422860506E-14</v>
      </c>
      <c r="GB167" s="14">
        <f t="shared" si="185"/>
        <v>1.3509285393066301E-12</v>
      </c>
      <c r="GC167" s="22">
        <f t="shared" si="186"/>
        <v>2.5073107750038623E-12</v>
      </c>
      <c r="GD167" s="62">
        <f t="shared" si="134"/>
        <v>293.33333333333582</v>
      </c>
      <c r="GE167" s="62">
        <f ca="1">AVERAGE(OFFSET($GD$3,0,0,'Données projet'!$E$17+1,1))-AVERAGE(OFFSET($H$3,0,0,'Données projet'!$E$17+1,1))</f>
        <v>292.57482726862594</v>
      </c>
      <c r="GF167" s="62">
        <f t="shared" si="158"/>
        <v>283.48738729114024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>
        <f>EXP(-LN(2)/35)*GL166+(1-EXP(-LN(2)/35))/(LN(2)/35)*GH167*GI167*VLOOKUP('Données projet'!$B$17,Paramètres!$A$1:$I$89,3,0)*0.475*44/12</f>
        <v>0</v>
      </c>
      <c r="GM167" s="23">
        <f>EXP(-LN(2)/25)*GM166+(1-EXP(-LN(2)/25))/(LN(2)/25)*Calculateur!GH167*Calculateur!GJ167*VLOOKUP('Données projet'!$B$17,Paramètres!$A$1:$I$89,3,0)*0.475*44/12</f>
        <v>0</v>
      </c>
      <c r="GN167" s="23">
        <f>EXP(-LN(2)/2)*GN166+(1-EXP(-LN(2)/2))/(LN(2)/2)*GH167*GK167*VLOOKUP('Données projet'!$B$17,Paramètres!$A$1:$I$89,3,0)*0.475*44/12</f>
        <v>0</v>
      </c>
      <c r="GO167" s="23">
        <f t="shared" si="187"/>
        <v>0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-2.2737367544323206E-13</v>
      </c>
      <c r="GV167" s="18">
        <f>GU167*VLOOKUP('Données projet'!$B$18,Paramètres!$A$1:$I$89,3,0)*VLOOKUP('Données projet'!$B$18,Paramètres!$A$1:$I$89,5,0)</f>
        <v>-1.5252226148732008E-13</v>
      </c>
      <c r="GW167" s="14" t="e">
        <f t="shared" si="188"/>
        <v>#NUM!</v>
      </c>
      <c r="GX167" s="22" t="e">
        <f t="shared" si="189"/>
        <v>#NUM!</v>
      </c>
      <c r="GY167" s="62" t="e">
        <f t="shared" si="137"/>
        <v>#NUM!</v>
      </c>
      <c r="GZ167" s="62">
        <f ca="1">AVERAGE(OFFSET($GY$3,0,0,'Données projet'!$E$18+1,1))-AVERAGE(OFFSET($H$3,0,0,'Données projet'!$E$18+1,1))</f>
        <v>410.20186800287411</v>
      </c>
      <c r="HA167" s="62">
        <f t="shared" si="160"/>
        <v>321.99347958016057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>
        <f>EXP(-LN(2)/35)*HG166+(1-EXP(-LN(2)/35))/(LN(2)/35)*HC167*HD167*VLOOKUP('Données projet'!$B$18,Paramètres!$A$1:$I$89,3,0)*0.475*44/12</f>
        <v>0</v>
      </c>
      <c r="HH167" s="23">
        <f>EXP(-LN(2)/25)*HH166+(1-EXP(-LN(2)/25))/(LN(2)/25)*Calculateur!HC167*Calculateur!HE167*VLOOKUP('Données projet'!$B$18,Paramètres!$A$1:$I$89,3,0)*0.475*44/12</f>
        <v>0</v>
      </c>
      <c r="HI167" s="23">
        <f>EXP(-LN(2)/2)*HI166+(1-EXP(-LN(2)/2))/(LN(2)/2)*HC167*HF167*VLOOKUP('Données projet'!$B$18,Paramètres!$A$1:$I$89,3,0)*0.475*44/12</f>
        <v>0</v>
      </c>
      <c r="HJ167" s="24">
        <f t="shared" si="190"/>
        <v>0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-4.5474735088646412E-13</v>
      </c>
      <c r="O168" s="14">
        <f>N168*VLOOKUP('Données projet'!$B$9,Paramètres!$A$1:$I$89,3,0)*VLOOKUP('Données projet'!$B$9,Paramètres!$A$1:$I$89,5,0)</f>
        <v>-4.1145540308207271E-13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509.56241660612449</v>
      </c>
      <c r="T168" s="62">
        <f t="shared" si="142"/>
        <v>278.21741231699929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-4.5474735088646412E-13</v>
      </c>
      <c r="AJ168" s="14">
        <f>AI168*VLOOKUP('Données projet'!$B$10,Paramètres!$A$1:$I$89,3,0)*VLOOKUP('Données projet'!$B$10,Paramètres!$A$1:$I$89,5,0)</f>
        <v>-4.6111381379887462E-13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565.72091871734051</v>
      </c>
      <c r="AO168" s="62">
        <f t="shared" si="144"/>
        <v>306.61893266146666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-5.6843418860808015E-14</v>
      </c>
      <c r="BE168" s="14">
        <f>BD168*VLOOKUP('Données projet'!$B$11,Paramètres!$A$1:$I$89,3,0)*VLOOKUP('Données projet'!$B$11,Paramètres!$A$1:$I$89,5,0)</f>
        <v>-4.1677594708744434E-14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344.26020118887629</v>
      </c>
      <c r="BJ168" s="62">
        <f t="shared" si="146"/>
        <v>376.41441893222185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-4.5474735088646412E-13</v>
      </c>
      <c r="BZ168" s="14">
        <f>BY168*VLOOKUP('Données projet'!$B$12,Paramètres!$A$1:$I$89,3,0)*VLOOKUP('Données projet'!$B$12,Paramètres!$A$1:$I$89,5,0)</f>
        <v>-3.8307916838675739E-13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477.4105367901771</v>
      </c>
      <c r="CE168" s="62">
        <f t="shared" si="148"/>
        <v>261.95434270986397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-6.2527760746888816E-13</v>
      </c>
      <c r="CU168" s="18">
        <f>CT168*VLOOKUP('Données projet'!$B$13,Paramètres!$A$1:$I$89,3,0)*VLOOKUP('Données projet'!$B$13,Paramètres!$A$1:$I$89,5,0)</f>
        <v>-2.9262992029543964E-13</v>
      </c>
      <c r="CV168" s="14" t="e">
        <f t="shared" si="173"/>
        <v>#NUM!</v>
      </c>
      <c r="CW168" s="22" t="e">
        <f t="shared" si="174"/>
        <v>#NUM!</v>
      </c>
      <c r="CX168" s="62" t="e">
        <f t="shared" si="122"/>
        <v>#NUM!</v>
      </c>
      <c r="CY168" s="62">
        <f ca="1">AVERAGE(OFFSET($CX$3,0,0,'Données projet'!$E$13+1,1))-AVERAGE(OFFSET($H$3,0,0,'Données projet'!$E$13+1,1))</f>
        <v>246.64907095367749</v>
      </c>
      <c r="CZ168" s="62">
        <f t="shared" si="150"/>
        <v>145.34368562171613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-5.6843418860808015E-14</v>
      </c>
      <c r="DP168" s="18">
        <f>DO168*VLOOKUP('Données projet'!$B$14,Paramètres!$A$1:$I$89,3,0)*VLOOKUP('Données projet'!$B$14,Paramètres!$A$1:$I$89,5,0)</f>
        <v>-4.5224624045658861E-14</v>
      </c>
      <c r="DQ168" s="14" t="e">
        <f t="shared" si="176"/>
        <v>#NUM!</v>
      </c>
      <c r="DR168" s="22" t="e">
        <f t="shared" si="177"/>
        <v>#NUM!</v>
      </c>
      <c r="DS168" s="62" t="e">
        <f t="shared" si="125"/>
        <v>#NUM!</v>
      </c>
      <c r="DT168" s="62">
        <f ca="1">AVERAGE(OFFSET($DS$3,0,0,'Données projet'!$E$14+1,1))-AVERAGE(OFFSET($H$3,0,0,'Données projet'!$E$14+1,1))</f>
        <v>370.38521334472284</v>
      </c>
      <c r="DU168" s="62">
        <f t="shared" si="152"/>
        <v>404.61777090709171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-1.1368683772161603E-13</v>
      </c>
      <c r="EK168" s="18">
        <f>EJ168*VLOOKUP('Données projet'!$B$15,Paramètres!$A$1:$I$89,3,0)*VLOOKUP('Données projet'!$B$15,Paramètres!$A$1:$I$89,5,0)</f>
        <v>-9.7543306765146564E-14</v>
      </c>
      <c r="EL168" s="14" t="e">
        <f t="shared" si="179"/>
        <v>#NUM!</v>
      </c>
      <c r="EM168" s="22" t="e">
        <f t="shared" si="180"/>
        <v>#NUM!</v>
      </c>
      <c r="EN168" s="62" t="e">
        <f t="shared" si="128"/>
        <v>#NUM!</v>
      </c>
      <c r="EO168" s="62">
        <f ca="1">AVERAGE(OFFSET($EN$3,0,0,'Données projet'!$E$15+1,1))-AVERAGE(OFFSET($H$3,0,0,'Données projet'!$E$15+1,1))</f>
        <v>445.81166342116865</v>
      </c>
      <c r="EP168" s="62">
        <f t="shared" si="154"/>
        <v>230.82970731138215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0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-4.5474735088646412E-13</v>
      </c>
      <c r="FF168" s="18">
        <f>FE168*VLOOKUP('Données projet'!$B$16,Paramètres!$A$1:$I$89,3,0)*VLOOKUP('Données projet'!$B$16,Paramètres!$A$1:$I$89,5,0)</f>
        <v>-4.3983163777738812E-13</v>
      </c>
      <c r="FG168" s="14" t="e">
        <f t="shared" si="182"/>
        <v>#NUM!</v>
      </c>
      <c r="FH168" s="22" t="e">
        <f t="shared" si="183"/>
        <v>#NUM!</v>
      </c>
      <c r="FI168" s="62" t="e">
        <f t="shared" si="131"/>
        <v>#NUM!</v>
      </c>
      <c r="FJ168" s="62">
        <f ca="1">AVERAGE(OFFSET($FI$3,0,0,'Données projet'!$E$16+1,1))-AVERAGE(OFFSET($H$3,0,0,'Données projet'!$E$16+1,1))</f>
        <v>541.66888676162716</v>
      </c>
      <c r="FK168" s="62">
        <f t="shared" si="156"/>
        <v>294.45557293177131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>
        <f>EXP(-LN(2)/35)*FQ167+(1-EXP(-LN(2)/35))/(LN(2)/35)*FM168*FN168*VLOOKUP('Données projet'!$B$16,Paramètres!$A$1:$I$89,3,0)*0.475*44/12</f>
        <v>0</v>
      </c>
      <c r="FR168" s="23">
        <f>EXP(-LN(2)/25)*FR167+(1-EXP(-LN(2)/25))/(LN(2)/25)*Calculateur!FM168*Calculateur!FO168*VLOOKUP('Données projet'!$B$16,Paramètres!$A$1:$I$89,3,0)*0.475*44/12</f>
        <v>0</v>
      </c>
      <c r="FS168" s="23">
        <f>EXP(-LN(2)/2)*FS167+(1-EXP(-LN(2)/2))/(LN(2)/2)*FM168*FP168*VLOOKUP('Données projet'!$B$16,Paramètres!$A$1:$I$89,3,0)*0.475*44/12</f>
        <v>0</v>
      </c>
      <c r="FT168" s="24">
        <f t="shared" si="184"/>
        <v>0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1.1368683772161603E-13</v>
      </c>
      <c r="GA168" s="18">
        <f>FZ168*VLOOKUP('Données projet'!$B$17,Paramètres!$A$1:$I$89,3,0)*VLOOKUP('Données projet'!$B$17,Paramètres!$A$1:$I$89,5,0)</f>
        <v>8.8675733422860506E-14</v>
      </c>
      <c r="GB168" s="14">
        <f t="shared" si="185"/>
        <v>1.3509285393066301E-12</v>
      </c>
      <c r="GC168" s="22">
        <f t="shared" si="186"/>
        <v>2.5073107750038623E-12</v>
      </c>
      <c r="GD168" s="62">
        <f t="shared" si="134"/>
        <v>293.33333333333582</v>
      </c>
      <c r="GE168" s="62">
        <f ca="1">AVERAGE(OFFSET($GD$3,0,0,'Données projet'!$E$17+1,1))-AVERAGE(OFFSET($H$3,0,0,'Données projet'!$E$17+1,1))</f>
        <v>292.57482726862594</v>
      </c>
      <c r="GF168" s="62">
        <f t="shared" si="158"/>
        <v>283.48738729114024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>
        <f>EXP(-LN(2)/35)*GL167+(1-EXP(-LN(2)/35))/(LN(2)/35)*GH168*GI168*VLOOKUP('Données projet'!$B$17,Paramètres!$A$1:$I$89,3,0)*0.475*44/12</f>
        <v>0</v>
      </c>
      <c r="GM168" s="23">
        <f>EXP(-LN(2)/25)*GM167+(1-EXP(-LN(2)/25))/(LN(2)/25)*Calculateur!GH168*Calculateur!GJ168*VLOOKUP('Données projet'!$B$17,Paramètres!$A$1:$I$89,3,0)*0.475*44/12</f>
        <v>0</v>
      </c>
      <c r="GN168" s="23">
        <f>EXP(-LN(2)/2)*GN167+(1-EXP(-LN(2)/2))/(LN(2)/2)*GH168*GK168*VLOOKUP('Données projet'!$B$17,Paramètres!$A$1:$I$89,3,0)*0.475*44/12</f>
        <v>0</v>
      </c>
      <c r="GO168" s="23">
        <f t="shared" si="187"/>
        <v>0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-2.2737367544323206E-13</v>
      </c>
      <c r="GV168" s="18">
        <f>GU168*VLOOKUP('Données projet'!$B$18,Paramètres!$A$1:$I$89,3,0)*VLOOKUP('Données projet'!$B$18,Paramètres!$A$1:$I$89,5,0)</f>
        <v>-1.5252226148732008E-13</v>
      </c>
      <c r="GW168" s="14" t="e">
        <f t="shared" si="188"/>
        <v>#NUM!</v>
      </c>
      <c r="GX168" s="22" t="e">
        <f t="shared" si="189"/>
        <v>#NUM!</v>
      </c>
      <c r="GY168" s="62" t="e">
        <f t="shared" si="137"/>
        <v>#NUM!</v>
      </c>
      <c r="GZ168" s="62">
        <f ca="1">AVERAGE(OFFSET($GY$3,0,0,'Données projet'!$E$18+1,1))-AVERAGE(OFFSET($H$3,0,0,'Données projet'!$E$18+1,1))</f>
        <v>410.20186800287411</v>
      </c>
      <c r="HA168" s="62">
        <f t="shared" si="160"/>
        <v>321.99347958016057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>
        <f>EXP(-LN(2)/35)*HG167+(1-EXP(-LN(2)/35))/(LN(2)/35)*HC168*HD168*VLOOKUP('Données projet'!$B$18,Paramètres!$A$1:$I$89,3,0)*0.475*44/12</f>
        <v>0</v>
      </c>
      <c r="HH168" s="23">
        <f>EXP(-LN(2)/25)*HH167+(1-EXP(-LN(2)/25))/(LN(2)/25)*Calculateur!HC168*Calculateur!HE168*VLOOKUP('Données projet'!$B$18,Paramètres!$A$1:$I$89,3,0)*0.475*44/12</f>
        <v>0</v>
      </c>
      <c r="HI168" s="23">
        <f>EXP(-LN(2)/2)*HI167+(1-EXP(-LN(2)/2))/(LN(2)/2)*HC168*HF168*VLOOKUP('Données projet'!$B$18,Paramètres!$A$1:$I$89,3,0)*0.475*44/12</f>
        <v>0</v>
      </c>
      <c r="HJ168" s="24">
        <f t="shared" si="190"/>
        <v>0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-4.5474735088646412E-13</v>
      </c>
      <c r="O169" s="14">
        <f>N169*VLOOKUP('Données projet'!$B$9,Paramètres!$A$1:$I$89,3,0)*VLOOKUP('Données projet'!$B$9,Paramètres!$A$1:$I$89,5,0)</f>
        <v>-4.1145540308207271E-13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509.56241660612449</v>
      </c>
      <c r="T169" s="62">
        <f t="shared" si="142"/>
        <v>278.21741231699929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-4.5474735088646412E-13</v>
      </c>
      <c r="AJ169" s="14">
        <f>AI169*VLOOKUP('Données projet'!$B$10,Paramètres!$A$1:$I$89,3,0)*VLOOKUP('Données projet'!$B$10,Paramètres!$A$1:$I$89,5,0)</f>
        <v>-4.6111381379887462E-13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565.72091871734051</v>
      </c>
      <c r="AO169" s="62">
        <f t="shared" si="144"/>
        <v>306.61893266146666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-5.6843418860808015E-14</v>
      </c>
      <c r="BE169" s="14">
        <f>BD169*VLOOKUP('Données projet'!$B$11,Paramètres!$A$1:$I$89,3,0)*VLOOKUP('Données projet'!$B$11,Paramètres!$A$1:$I$89,5,0)</f>
        <v>-4.1677594708744434E-14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344.26020118887629</v>
      </c>
      <c r="BJ169" s="62">
        <f t="shared" si="146"/>
        <v>376.41441893222185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-4.5474735088646412E-13</v>
      </c>
      <c r="BZ169" s="14">
        <f>BY169*VLOOKUP('Données projet'!$B$12,Paramètres!$A$1:$I$89,3,0)*VLOOKUP('Données projet'!$B$12,Paramètres!$A$1:$I$89,5,0)</f>
        <v>-3.8307916838675739E-13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477.4105367901771</v>
      </c>
      <c r="CE169" s="62">
        <f t="shared" si="148"/>
        <v>261.95434270986397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-6.2527760746888816E-13</v>
      </c>
      <c r="CU169" s="18">
        <f>CT169*VLOOKUP('Données projet'!$B$13,Paramètres!$A$1:$I$89,3,0)*VLOOKUP('Données projet'!$B$13,Paramètres!$A$1:$I$89,5,0)</f>
        <v>-2.9262992029543964E-13</v>
      </c>
      <c r="CV169" s="14" t="e">
        <f t="shared" si="173"/>
        <v>#NUM!</v>
      </c>
      <c r="CW169" s="22" t="e">
        <f t="shared" si="174"/>
        <v>#NUM!</v>
      </c>
      <c r="CX169" s="62" t="e">
        <f t="shared" si="122"/>
        <v>#NUM!</v>
      </c>
      <c r="CY169" s="62">
        <f ca="1">AVERAGE(OFFSET($CX$3,0,0,'Données projet'!$E$13+1,1))-AVERAGE(OFFSET($H$3,0,0,'Données projet'!$E$13+1,1))</f>
        <v>246.64907095367749</v>
      </c>
      <c r="CZ169" s="62">
        <f t="shared" si="150"/>
        <v>145.34368562171613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-5.6843418860808015E-14</v>
      </c>
      <c r="DP169" s="18">
        <f>DO169*VLOOKUP('Données projet'!$B$14,Paramètres!$A$1:$I$89,3,0)*VLOOKUP('Données projet'!$B$14,Paramètres!$A$1:$I$89,5,0)</f>
        <v>-4.5224624045658861E-14</v>
      </c>
      <c r="DQ169" s="14" t="e">
        <f t="shared" si="176"/>
        <v>#NUM!</v>
      </c>
      <c r="DR169" s="22" t="e">
        <f t="shared" si="177"/>
        <v>#NUM!</v>
      </c>
      <c r="DS169" s="62" t="e">
        <f t="shared" si="125"/>
        <v>#NUM!</v>
      </c>
      <c r="DT169" s="62">
        <f ca="1">AVERAGE(OFFSET($DS$3,0,0,'Données projet'!$E$14+1,1))-AVERAGE(OFFSET($H$3,0,0,'Données projet'!$E$14+1,1))</f>
        <v>370.38521334472284</v>
      </c>
      <c r="DU169" s="62">
        <f t="shared" si="152"/>
        <v>404.61777090709171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-1.1368683772161603E-13</v>
      </c>
      <c r="EK169" s="18">
        <f>EJ169*VLOOKUP('Données projet'!$B$15,Paramètres!$A$1:$I$89,3,0)*VLOOKUP('Données projet'!$B$15,Paramètres!$A$1:$I$89,5,0)</f>
        <v>-9.7543306765146564E-14</v>
      </c>
      <c r="EL169" s="14" t="e">
        <f t="shared" si="179"/>
        <v>#NUM!</v>
      </c>
      <c r="EM169" s="22" t="e">
        <f t="shared" si="180"/>
        <v>#NUM!</v>
      </c>
      <c r="EN169" s="62" t="e">
        <f t="shared" si="128"/>
        <v>#NUM!</v>
      </c>
      <c r="EO169" s="62">
        <f ca="1">AVERAGE(OFFSET($EN$3,0,0,'Données projet'!$E$15+1,1))-AVERAGE(OFFSET($H$3,0,0,'Données projet'!$E$15+1,1))</f>
        <v>445.81166342116865</v>
      </c>
      <c r="EP169" s="62">
        <f t="shared" si="154"/>
        <v>230.82970731138215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0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-4.5474735088646412E-13</v>
      </c>
      <c r="FF169" s="18">
        <f>FE169*VLOOKUP('Données projet'!$B$16,Paramètres!$A$1:$I$89,3,0)*VLOOKUP('Données projet'!$B$16,Paramètres!$A$1:$I$89,5,0)</f>
        <v>-4.3983163777738812E-13</v>
      </c>
      <c r="FG169" s="14" t="e">
        <f t="shared" si="182"/>
        <v>#NUM!</v>
      </c>
      <c r="FH169" s="22" t="e">
        <f t="shared" si="183"/>
        <v>#NUM!</v>
      </c>
      <c r="FI169" s="62" t="e">
        <f t="shared" si="131"/>
        <v>#NUM!</v>
      </c>
      <c r="FJ169" s="62">
        <f ca="1">AVERAGE(OFFSET($FI$3,0,0,'Données projet'!$E$16+1,1))-AVERAGE(OFFSET($H$3,0,0,'Données projet'!$E$16+1,1))</f>
        <v>541.66888676162716</v>
      </c>
      <c r="FK169" s="62">
        <f t="shared" si="156"/>
        <v>294.45557293177131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>
        <f>EXP(-LN(2)/35)*FQ168+(1-EXP(-LN(2)/35))/(LN(2)/35)*FM169*FN169*VLOOKUP('Données projet'!$B$16,Paramètres!$A$1:$I$89,3,0)*0.475*44/12</f>
        <v>0</v>
      </c>
      <c r="FR169" s="23">
        <f>EXP(-LN(2)/25)*FR168+(1-EXP(-LN(2)/25))/(LN(2)/25)*Calculateur!FM169*Calculateur!FO169*VLOOKUP('Données projet'!$B$16,Paramètres!$A$1:$I$89,3,0)*0.475*44/12</f>
        <v>0</v>
      </c>
      <c r="FS169" s="23">
        <f>EXP(-LN(2)/2)*FS168+(1-EXP(-LN(2)/2))/(LN(2)/2)*FM169*FP169*VLOOKUP('Données projet'!$B$16,Paramètres!$A$1:$I$89,3,0)*0.475*44/12</f>
        <v>0</v>
      </c>
      <c r="FT169" s="24">
        <f t="shared" si="184"/>
        <v>0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1.1368683772161603E-13</v>
      </c>
      <c r="GA169" s="18">
        <f>FZ169*VLOOKUP('Données projet'!$B$17,Paramètres!$A$1:$I$89,3,0)*VLOOKUP('Données projet'!$B$17,Paramètres!$A$1:$I$89,5,0)</f>
        <v>8.8675733422860506E-14</v>
      </c>
      <c r="GB169" s="14">
        <f t="shared" si="185"/>
        <v>1.3509285393066301E-12</v>
      </c>
      <c r="GC169" s="22">
        <f t="shared" si="186"/>
        <v>2.5073107750038623E-12</v>
      </c>
      <c r="GD169" s="62">
        <f t="shared" si="134"/>
        <v>293.33333333333582</v>
      </c>
      <c r="GE169" s="62">
        <f ca="1">AVERAGE(OFFSET($GD$3,0,0,'Données projet'!$E$17+1,1))-AVERAGE(OFFSET($H$3,0,0,'Données projet'!$E$17+1,1))</f>
        <v>292.57482726862594</v>
      </c>
      <c r="GF169" s="62">
        <f t="shared" si="158"/>
        <v>283.48738729114024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>
        <f>EXP(-LN(2)/35)*GL168+(1-EXP(-LN(2)/35))/(LN(2)/35)*GH169*GI169*VLOOKUP('Données projet'!$B$17,Paramètres!$A$1:$I$89,3,0)*0.475*44/12</f>
        <v>0</v>
      </c>
      <c r="GM169" s="23">
        <f>EXP(-LN(2)/25)*GM168+(1-EXP(-LN(2)/25))/(LN(2)/25)*Calculateur!GH169*Calculateur!GJ169*VLOOKUP('Données projet'!$B$17,Paramètres!$A$1:$I$89,3,0)*0.475*44/12</f>
        <v>0</v>
      </c>
      <c r="GN169" s="23">
        <f>EXP(-LN(2)/2)*GN168+(1-EXP(-LN(2)/2))/(LN(2)/2)*GH169*GK169*VLOOKUP('Données projet'!$B$17,Paramètres!$A$1:$I$89,3,0)*0.475*44/12</f>
        <v>0</v>
      </c>
      <c r="GO169" s="23">
        <f t="shared" si="187"/>
        <v>0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-2.2737367544323206E-13</v>
      </c>
      <c r="GV169" s="18">
        <f>GU169*VLOOKUP('Données projet'!$B$18,Paramètres!$A$1:$I$89,3,0)*VLOOKUP('Données projet'!$B$18,Paramètres!$A$1:$I$89,5,0)</f>
        <v>-1.5252226148732008E-13</v>
      </c>
      <c r="GW169" s="14" t="e">
        <f t="shared" si="188"/>
        <v>#NUM!</v>
      </c>
      <c r="GX169" s="22" t="e">
        <f t="shared" si="189"/>
        <v>#NUM!</v>
      </c>
      <c r="GY169" s="62" t="e">
        <f t="shared" si="137"/>
        <v>#NUM!</v>
      </c>
      <c r="GZ169" s="62">
        <f ca="1">AVERAGE(OFFSET($GY$3,0,0,'Données projet'!$E$18+1,1))-AVERAGE(OFFSET($H$3,0,0,'Données projet'!$E$18+1,1))</f>
        <v>410.20186800287411</v>
      </c>
      <c r="HA169" s="62">
        <f t="shared" si="160"/>
        <v>321.99347958016057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>
        <f>EXP(-LN(2)/35)*HG168+(1-EXP(-LN(2)/35))/(LN(2)/35)*HC169*HD169*VLOOKUP('Données projet'!$B$18,Paramètres!$A$1:$I$89,3,0)*0.475*44/12</f>
        <v>0</v>
      </c>
      <c r="HH169" s="23">
        <f>EXP(-LN(2)/25)*HH168+(1-EXP(-LN(2)/25))/(LN(2)/25)*Calculateur!HC169*Calculateur!HE169*VLOOKUP('Données projet'!$B$18,Paramètres!$A$1:$I$89,3,0)*0.475*44/12</f>
        <v>0</v>
      </c>
      <c r="HI169" s="23">
        <f>EXP(-LN(2)/2)*HI168+(1-EXP(-LN(2)/2))/(LN(2)/2)*HC169*HF169*VLOOKUP('Données projet'!$B$18,Paramètres!$A$1:$I$89,3,0)*0.475*44/12</f>
        <v>0</v>
      </c>
      <c r="HJ169" s="24">
        <f t="shared" si="190"/>
        <v>0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-4.5474735088646412E-13</v>
      </c>
      <c r="O170" s="14">
        <f>N170*VLOOKUP('Données projet'!$B$9,Paramètres!$A$1:$I$89,3,0)*VLOOKUP('Données projet'!$B$9,Paramètres!$A$1:$I$89,5,0)</f>
        <v>-4.1145540308207271E-13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509.56241660612449</v>
      </c>
      <c r="T170" s="62">
        <f t="shared" si="142"/>
        <v>278.21741231699929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-4.5474735088646412E-13</v>
      </c>
      <c r="AJ170" s="14">
        <f>AI170*VLOOKUP('Données projet'!$B$10,Paramètres!$A$1:$I$89,3,0)*VLOOKUP('Données projet'!$B$10,Paramètres!$A$1:$I$89,5,0)</f>
        <v>-4.6111381379887462E-13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565.72091871734051</v>
      </c>
      <c r="AO170" s="62">
        <f t="shared" si="144"/>
        <v>306.61893266146666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-5.6843418860808015E-14</v>
      </c>
      <c r="BE170" s="14">
        <f>BD170*VLOOKUP('Données projet'!$B$11,Paramètres!$A$1:$I$89,3,0)*VLOOKUP('Données projet'!$B$11,Paramètres!$A$1:$I$89,5,0)</f>
        <v>-4.1677594708744434E-14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344.26020118887629</v>
      </c>
      <c r="BJ170" s="62">
        <f t="shared" si="146"/>
        <v>376.41441893222185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-4.5474735088646412E-13</v>
      </c>
      <c r="BZ170" s="14">
        <f>BY170*VLOOKUP('Données projet'!$B$12,Paramètres!$A$1:$I$89,3,0)*VLOOKUP('Données projet'!$B$12,Paramètres!$A$1:$I$89,5,0)</f>
        <v>-3.8307916838675739E-13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477.4105367901771</v>
      </c>
      <c r="CE170" s="62">
        <f t="shared" si="148"/>
        <v>261.95434270986397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-6.2527760746888816E-13</v>
      </c>
      <c r="CU170" s="18">
        <f>CT170*VLOOKUP('Données projet'!$B$13,Paramètres!$A$1:$I$89,3,0)*VLOOKUP('Données projet'!$B$13,Paramètres!$A$1:$I$89,5,0)</f>
        <v>-2.9262992029543964E-13</v>
      </c>
      <c r="CV170" s="14" t="e">
        <f t="shared" si="173"/>
        <v>#NUM!</v>
      </c>
      <c r="CW170" s="22" t="e">
        <f t="shared" si="174"/>
        <v>#NUM!</v>
      </c>
      <c r="CX170" s="62" t="e">
        <f t="shared" si="122"/>
        <v>#NUM!</v>
      </c>
      <c r="CY170" s="62">
        <f ca="1">AVERAGE(OFFSET($CX$3,0,0,'Données projet'!$E$13+1,1))-AVERAGE(OFFSET($H$3,0,0,'Données projet'!$E$13+1,1))</f>
        <v>246.64907095367749</v>
      </c>
      <c r="CZ170" s="62">
        <f t="shared" si="150"/>
        <v>145.34368562171613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-5.6843418860808015E-14</v>
      </c>
      <c r="DP170" s="18">
        <f>DO170*VLOOKUP('Données projet'!$B$14,Paramètres!$A$1:$I$89,3,0)*VLOOKUP('Données projet'!$B$14,Paramètres!$A$1:$I$89,5,0)</f>
        <v>-4.5224624045658861E-14</v>
      </c>
      <c r="DQ170" s="14" t="e">
        <f t="shared" si="176"/>
        <v>#NUM!</v>
      </c>
      <c r="DR170" s="22" t="e">
        <f t="shared" si="177"/>
        <v>#NUM!</v>
      </c>
      <c r="DS170" s="62" t="e">
        <f t="shared" si="125"/>
        <v>#NUM!</v>
      </c>
      <c r="DT170" s="62">
        <f ca="1">AVERAGE(OFFSET($DS$3,0,0,'Données projet'!$E$14+1,1))-AVERAGE(OFFSET($H$3,0,0,'Données projet'!$E$14+1,1))</f>
        <v>370.38521334472284</v>
      </c>
      <c r="DU170" s="62">
        <f t="shared" si="152"/>
        <v>404.61777090709171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-1.1368683772161603E-13</v>
      </c>
      <c r="EK170" s="18">
        <f>EJ170*VLOOKUP('Données projet'!$B$15,Paramètres!$A$1:$I$89,3,0)*VLOOKUP('Données projet'!$B$15,Paramètres!$A$1:$I$89,5,0)</f>
        <v>-9.7543306765146564E-14</v>
      </c>
      <c r="EL170" s="14" t="e">
        <f t="shared" si="179"/>
        <v>#NUM!</v>
      </c>
      <c r="EM170" s="22" t="e">
        <f t="shared" si="180"/>
        <v>#NUM!</v>
      </c>
      <c r="EN170" s="62" t="e">
        <f t="shared" si="128"/>
        <v>#NUM!</v>
      </c>
      <c r="EO170" s="62">
        <f ca="1">AVERAGE(OFFSET($EN$3,0,0,'Données projet'!$E$15+1,1))-AVERAGE(OFFSET($H$3,0,0,'Données projet'!$E$15+1,1))</f>
        <v>445.81166342116865</v>
      </c>
      <c r="EP170" s="62">
        <f t="shared" si="154"/>
        <v>230.82970731138215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0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-4.5474735088646412E-13</v>
      </c>
      <c r="FF170" s="18">
        <f>FE170*VLOOKUP('Données projet'!$B$16,Paramètres!$A$1:$I$89,3,0)*VLOOKUP('Données projet'!$B$16,Paramètres!$A$1:$I$89,5,0)</f>
        <v>-4.3983163777738812E-13</v>
      </c>
      <c r="FG170" s="14" t="e">
        <f t="shared" si="182"/>
        <v>#NUM!</v>
      </c>
      <c r="FH170" s="22" t="e">
        <f t="shared" si="183"/>
        <v>#NUM!</v>
      </c>
      <c r="FI170" s="62" t="e">
        <f t="shared" si="131"/>
        <v>#NUM!</v>
      </c>
      <c r="FJ170" s="62">
        <f ca="1">AVERAGE(OFFSET($FI$3,0,0,'Données projet'!$E$16+1,1))-AVERAGE(OFFSET($H$3,0,0,'Données projet'!$E$16+1,1))</f>
        <v>541.66888676162716</v>
      </c>
      <c r="FK170" s="62">
        <f t="shared" si="156"/>
        <v>294.45557293177131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>
        <f>EXP(-LN(2)/35)*FQ169+(1-EXP(-LN(2)/35))/(LN(2)/35)*FM170*FN170*VLOOKUP('Données projet'!$B$16,Paramètres!$A$1:$I$89,3,0)*0.475*44/12</f>
        <v>0</v>
      </c>
      <c r="FR170" s="23">
        <f>EXP(-LN(2)/25)*FR169+(1-EXP(-LN(2)/25))/(LN(2)/25)*Calculateur!FM170*Calculateur!FO170*VLOOKUP('Données projet'!$B$16,Paramètres!$A$1:$I$89,3,0)*0.475*44/12</f>
        <v>0</v>
      </c>
      <c r="FS170" s="23">
        <f>EXP(-LN(2)/2)*FS169+(1-EXP(-LN(2)/2))/(LN(2)/2)*FM170*FP170*VLOOKUP('Données projet'!$B$16,Paramètres!$A$1:$I$89,3,0)*0.475*44/12</f>
        <v>0</v>
      </c>
      <c r="FT170" s="24">
        <f t="shared" si="184"/>
        <v>0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1.1368683772161603E-13</v>
      </c>
      <c r="GA170" s="18">
        <f>FZ170*VLOOKUP('Données projet'!$B$17,Paramètres!$A$1:$I$89,3,0)*VLOOKUP('Données projet'!$B$17,Paramètres!$A$1:$I$89,5,0)</f>
        <v>8.8675733422860506E-14</v>
      </c>
      <c r="GB170" s="14">
        <f t="shared" si="185"/>
        <v>1.3509285393066301E-12</v>
      </c>
      <c r="GC170" s="22">
        <f t="shared" si="186"/>
        <v>2.5073107750038623E-12</v>
      </c>
      <c r="GD170" s="62">
        <f t="shared" si="134"/>
        <v>293.33333333333582</v>
      </c>
      <c r="GE170" s="62">
        <f ca="1">AVERAGE(OFFSET($GD$3,0,0,'Données projet'!$E$17+1,1))-AVERAGE(OFFSET($H$3,0,0,'Données projet'!$E$17+1,1))</f>
        <v>292.57482726862594</v>
      </c>
      <c r="GF170" s="62">
        <f t="shared" si="158"/>
        <v>283.48738729114024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>
        <f>EXP(-LN(2)/35)*GL169+(1-EXP(-LN(2)/35))/(LN(2)/35)*GH170*GI170*VLOOKUP('Données projet'!$B$17,Paramètres!$A$1:$I$89,3,0)*0.475*44/12</f>
        <v>0</v>
      </c>
      <c r="GM170" s="23">
        <f>EXP(-LN(2)/25)*GM169+(1-EXP(-LN(2)/25))/(LN(2)/25)*Calculateur!GH170*Calculateur!GJ170*VLOOKUP('Données projet'!$B$17,Paramètres!$A$1:$I$89,3,0)*0.475*44/12</f>
        <v>0</v>
      </c>
      <c r="GN170" s="23">
        <f>EXP(-LN(2)/2)*GN169+(1-EXP(-LN(2)/2))/(LN(2)/2)*GH170*GK170*VLOOKUP('Données projet'!$B$17,Paramètres!$A$1:$I$89,3,0)*0.475*44/12</f>
        <v>0</v>
      </c>
      <c r="GO170" s="23">
        <f t="shared" si="187"/>
        <v>0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-2.2737367544323206E-13</v>
      </c>
      <c r="GV170" s="18">
        <f>GU170*VLOOKUP('Données projet'!$B$18,Paramètres!$A$1:$I$89,3,0)*VLOOKUP('Données projet'!$B$18,Paramètres!$A$1:$I$89,5,0)</f>
        <v>-1.5252226148732008E-13</v>
      </c>
      <c r="GW170" s="14" t="e">
        <f t="shared" si="188"/>
        <v>#NUM!</v>
      </c>
      <c r="GX170" s="22" t="e">
        <f t="shared" si="189"/>
        <v>#NUM!</v>
      </c>
      <c r="GY170" s="62" t="e">
        <f t="shared" si="137"/>
        <v>#NUM!</v>
      </c>
      <c r="GZ170" s="62">
        <f ca="1">AVERAGE(OFFSET($GY$3,0,0,'Données projet'!$E$18+1,1))-AVERAGE(OFFSET($H$3,0,0,'Données projet'!$E$18+1,1))</f>
        <v>410.20186800287411</v>
      </c>
      <c r="HA170" s="62">
        <f t="shared" si="160"/>
        <v>321.99347958016057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>
        <f>EXP(-LN(2)/35)*HG169+(1-EXP(-LN(2)/35))/(LN(2)/35)*HC170*HD170*VLOOKUP('Données projet'!$B$18,Paramètres!$A$1:$I$89,3,0)*0.475*44/12</f>
        <v>0</v>
      </c>
      <c r="HH170" s="23">
        <f>EXP(-LN(2)/25)*HH169+(1-EXP(-LN(2)/25))/(LN(2)/25)*Calculateur!HC170*Calculateur!HE170*VLOOKUP('Données projet'!$B$18,Paramètres!$A$1:$I$89,3,0)*0.475*44/12</f>
        <v>0</v>
      </c>
      <c r="HI170" s="23">
        <f>EXP(-LN(2)/2)*HI169+(1-EXP(-LN(2)/2))/(LN(2)/2)*HC170*HF170*VLOOKUP('Données projet'!$B$18,Paramètres!$A$1:$I$89,3,0)*0.475*44/12</f>
        <v>0</v>
      </c>
      <c r="HJ170" s="24">
        <f t="shared" si="190"/>
        <v>0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-4.5474735088646412E-13</v>
      </c>
      <c r="O171" s="14">
        <f>N171*VLOOKUP('Données projet'!$B$9,Paramètres!$A$1:$I$89,3,0)*VLOOKUP('Données projet'!$B$9,Paramètres!$A$1:$I$89,5,0)</f>
        <v>-4.1145540308207271E-13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509.56241660612449</v>
      </c>
      <c r="T171" s="62">
        <f t="shared" si="142"/>
        <v>278.21741231699929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-4.5474735088646412E-13</v>
      </c>
      <c r="AJ171" s="14">
        <f>AI171*VLOOKUP('Données projet'!$B$10,Paramètres!$A$1:$I$89,3,0)*VLOOKUP('Données projet'!$B$10,Paramètres!$A$1:$I$89,5,0)</f>
        <v>-4.6111381379887462E-13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565.72091871734051</v>
      </c>
      <c r="AO171" s="62">
        <f t="shared" si="144"/>
        <v>306.61893266146666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-5.6843418860808015E-14</v>
      </c>
      <c r="BE171" s="14">
        <f>BD171*VLOOKUP('Données projet'!$B$11,Paramètres!$A$1:$I$89,3,0)*VLOOKUP('Données projet'!$B$11,Paramètres!$A$1:$I$89,5,0)</f>
        <v>-4.1677594708744434E-14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344.26020118887629</v>
      </c>
      <c r="BJ171" s="62">
        <f t="shared" si="146"/>
        <v>376.41441893222185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-4.5474735088646412E-13</v>
      </c>
      <c r="BZ171" s="14">
        <f>BY171*VLOOKUP('Données projet'!$B$12,Paramètres!$A$1:$I$89,3,0)*VLOOKUP('Données projet'!$B$12,Paramètres!$A$1:$I$89,5,0)</f>
        <v>-3.8307916838675739E-13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477.4105367901771</v>
      </c>
      <c r="CE171" s="62">
        <f t="shared" si="148"/>
        <v>261.95434270986397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-6.2527760746888816E-13</v>
      </c>
      <c r="CU171" s="18">
        <f>CT171*VLOOKUP('Données projet'!$B$13,Paramètres!$A$1:$I$89,3,0)*VLOOKUP('Données projet'!$B$13,Paramètres!$A$1:$I$89,5,0)</f>
        <v>-2.9262992029543964E-13</v>
      </c>
      <c r="CV171" s="14" t="e">
        <f t="shared" si="173"/>
        <v>#NUM!</v>
      </c>
      <c r="CW171" s="22" t="e">
        <f t="shared" si="174"/>
        <v>#NUM!</v>
      </c>
      <c r="CX171" s="62" t="e">
        <f t="shared" si="122"/>
        <v>#NUM!</v>
      </c>
      <c r="CY171" s="62">
        <f ca="1">AVERAGE(OFFSET($CX$3,0,0,'Données projet'!$E$13+1,1))-AVERAGE(OFFSET($H$3,0,0,'Données projet'!$E$13+1,1))</f>
        <v>246.64907095367749</v>
      </c>
      <c r="CZ171" s="62">
        <f t="shared" si="150"/>
        <v>145.34368562171613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-5.6843418860808015E-14</v>
      </c>
      <c r="DP171" s="18">
        <f>DO171*VLOOKUP('Données projet'!$B$14,Paramètres!$A$1:$I$89,3,0)*VLOOKUP('Données projet'!$B$14,Paramètres!$A$1:$I$89,5,0)</f>
        <v>-4.5224624045658861E-14</v>
      </c>
      <c r="DQ171" s="14" t="e">
        <f t="shared" si="176"/>
        <v>#NUM!</v>
      </c>
      <c r="DR171" s="22" t="e">
        <f t="shared" si="177"/>
        <v>#NUM!</v>
      </c>
      <c r="DS171" s="62" t="e">
        <f t="shared" si="125"/>
        <v>#NUM!</v>
      </c>
      <c r="DT171" s="62">
        <f ca="1">AVERAGE(OFFSET($DS$3,0,0,'Données projet'!$E$14+1,1))-AVERAGE(OFFSET($H$3,0,0,'Données projet'!$E$14+1,1))</f>
        <v>370.38521334472284</v>
      </c>
      <c r="DU171" s="62">
        <f t="shared" si="152"/>
        <v>404.61777090709171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-1.1368683772161603E-13</v>
      </c>
      <c r="EK171" s="18">
        <f>EJ171*VLOOKUP('Données projet'!$B$15,Paramètres!$A$1:$I$89,3,0)*VLOOKUP('Données projet'!$B$15,Paramètres!$A$1:$I$89,5,0)</f>
        <v>-9.7543306765146564E-14</v>
      </c>
      <c r="EL171" s="14" t="e">
        <f t="shared" si="179"/>
        <v>#NUM!</v>
      </c>
      <c r="EM171" s="22" t="e">
        <f t="shared" si="180"/>
        <v>#NUM!</v>
      </c>
      <c r="EN171" s="62" t="e">
        <f t="shared" si="128"/>
        <v>#NUM!</v>
      </c>
      <c r="EO171" s="62">
        <f ca="1">AVERAGE(OFFSET($EN$3,0,0,'Données projet'!$E$15+1,1))-AVERAGE(OFFSET($H$3,0,0,'Données projet'!$E$15+1,1))</f>
        <v>445.81166342116865</v>
      </c>
      <c r="EP171" s="62">
        <f t="shared" si="154"/>
        <v>230.82970731138215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0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-4.5474735088646412E-13</v>
      </c>
      <c r="FF171" s="18">
        <f>FE171*VLOOKUP('Données projet'!$B$16,Paramètres!$A$1:$I$89,3,0)*VLOOKUP('Données projet'!$B$16,Paramètres!$A$1:$I$89,5,0)</f>
        <v>-4.3983163777738812E-13</v>
      </c>
      <c r="FG171" s="14" t="e">
        <f t="shared" si="182"/>
        <v>#NUM!</v>
      </c>
      <c r="FH171" s="22" t="e">
        <f t="shared" si="183"/>
        <v>#NUM!</v>
      </c>
      <c r="FI171" s="62" t="e">
        <f t="shared" si="131"/>
        <v>#NUM!</v>
      </c>
      <c r="FJ171" s="62">
        <f ca="1">AVERAGE(OFFSET($FI$3,0,0,'Données projet'!$E$16+1,1))-AVERAGE(OFFSET($H$3,0,0,'Données projet'!$E$16+1,1))</f>
        <v>541.66888676162716</v>
      </c>
      <c r="FK171" s="62">
        <f t="shared" si="156"/>
        <v>294.45557293177131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>
        <f>EXP(-LN(2)/35)*FQ170+(1-EXP(-LN(2)/35))/(LN(2)/35)*FM171*FN171*VLOOKUP('Données projet'!$B$16,Paramètres!$A$1:$I$89,3,0)*0.475*44/12</f>
        <v>0</v>
      </c>
      <c r="FR171" s="23">
        <f>EXP(-LN(2)/25)*FR170+(1-EXP(-LN(2)/25))/(LN(2)/25)*Calculateur!FM171*Calculateur!FO171*VLOOKUP('Données projet'!$B$16,Paramètres!$A$1:$I$89,3,0)*0.475*44/12</f>
        <v>0</v>
      </c>
      <c r="FS171" s="23">
        <f>EXP(-LN(2)/2)*FS170+(1-EXP(-LN(2)/2))/(LN(2)/2)*FM171*FP171*VLOOKUP('Données projet'!$B$16,Paramètres!$A$1:$I$89,3,0)*0.475*44/12</f>
        <v>0</v>
      </c>
      <c r="FT171" s="24">
        <f t="shared" si="184"/>
        <v>0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1.1368683772161603E-13</v>
      </c>
      <c r="GA171" s="18">
        <f>FZ171*VLOOKUP('Données projet'!$B$17,Paramètres!$A$1:$I$89,3,0)*VLOOKUP('Données projet'!$B$17,Paramètres!$A$1:$I$89,5,0)</f>
        <v>8.8675733422860506E-14</v>
      </c>
      <c r="GB171" s="14">
        <f t="shared" si="185"/>
        <v>1.3509285393066301E-12</v>
      </c>
      <c r="GC171" s="22">
        <f t="shared" si="186"/>
        <v>2.5073107750038623E-12</v>
      </c>
      <c r="GD171" s="62">
        <f t="shared" si="134"/>
        <v>293.33333333333582</v>
      </c>
      <c r="GE171" s="62">
        <f ca="1">AVERAGE(OFFSET($GD$3,0,0,'Données projet'!$E$17+1,1))-AVERAGE(OFFSET($H$3,0,0,'Données projet'!$E$17+1,1))</f>
        <v>292.57482726862594</v>
      </c>
      <c r="GF171" s="62">
        <f t="shared" si="158"/>
        <v>283.48738729114024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>
        <f>EXP(-LN(2)/35)*GL170+(1-EXP(-LN(2)/35))/(LN(2)/35)*GH171*GI171*VLOOKUP('Données projet'!$B$17,Paramètres!$A$1:$I$89,3,0)*0.475*44/12</f>
        <v>0</v>
      </c>
      <c r="GM171" s="23">
        <f>EXP(-LN(2)/25)*GM170+(1-EXP(-LN(2)/25))/(LN(2)/25)*Calculateur!GH171*Calculateur!GJ171*VLOOKUP('Données projet'!$B$17,Paramètres!$A$1:$I$89,3,0)*0.475*44/12</f>
        <v>0</v>
      </c>
      <c r="GN171" s="23">
        <f>EXP(-LN(2)/2)*GN170+(1-EXP(-LN(2)/2))/(LN(2)/2)*GH171*GK171*VLOOKUP('Données projet'!$B$17,Paramètres!$A$1:$I$89,3,0)*0.475*44/12</f>
        <v>0</v>
      </c>
      <c r="GO171" s="23">
        <f t="shared" si="187"/>
        <v>0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-2.2737367544323206E-13</v>
      </c>
      <c r="GV171" s="18">
        <f>GU171*VLOOKUP('Données projet'!$B$18,Paramètres!$A$1:$I$89,3,0)*VLOOKUP('Données projet'!$B$18,Paramètres!$A$1:$I$89,5,0)</f>
        <v>-1.5252226148732008E-13</v>
      </c>
      <c r="GW171" s="14" t="e">
        <f t="shared" si="188"/>
        <v>#NUM!</v>
      </c>
      <c r="GX171" s="22" t="e">
        <f t="shared" si="189"/>
        <v>#NUM!</v>
      </c>
      <c r="GY171" s="62" t="e">
        <f t="shared" si="137"/>
        <v>#NUM!</v>
      </c>
      <c r="GZ171" s="62">
        <f ca="1">AVERAGE(OFFSET($GY$3,0,0,'Données projet'!$E$18+1,1))-AVERAGE(OFFSET($H$3,0,0,'Données projet'!$E$18+1,1))</f>
        <v>410.20186800287411</v>
      </c>
      <c r="HA171" s="62">
        <f t="shared" si="160"/>
        <v>321.99347958016057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>
        <f>EXP(-LN(2)/35)*HG170+(1-EXP(-LN(2)/35))/(LN(2)/35)*HC171*HD171*VLOOKUP('Données projet'!$B$18,Paramètres!$A$1:$I$89,3,0)*0.475*44/12</f>
        <v>0</v>
      </c>
      <c r="HH171" s="23">
        <f>EXP(-LN(2)/25)*HH170+(1-EXP(-LN(2)/25))/(LN(2)/25)*Calculateur!HC171*Calculateur!HE171*VLOOKUP('Données projet'!$B$18,Paramètres!$A$1:$I$89,3,0)*0.475*44/12</f>
        <v>0</v>
      </c>
      <c r="HI171" s="23">
        <f>EXP(-LN(2)/2)*HI170+(1-EXP(-LN(2)/2))/(LN(2)/2)*HC171*HF171*VLOOKUP('Données projet'!$B$18,Paramètres!$A$1:$I$89,3,0)*0.475*44/12</f>
        <v>0</v>
      </c>
      <c r="HJ171" s="24">
        <f t="shared" si="190"/>
        <v>0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-4.5474735088646412E-13</v>
      </c>
      <c r="O172" s="14">
        <f>N172*VLOOKUP('Données projet'!$B$9,Paramètres!$A$1:$I$89,3,0)*VLOOKUP('Données projet'!$B$9,Paramètres!$A$1:$I$89,5,0)</f>
        <v>-4.1145540308207271E-13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509.56241660612449</v>
      </c>
      <c r="T172" s="62">
        <f t="shared" si="142"/>
        <v>278.21741231699929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-4.5474735088646412E-13</v>
      </c>
      <c r="AJ172" s="14">
        <f>AI172*VLOOKUP('Données projet'!$B$10,Paramètres!$A$1:$I$89,3,0)*VLOOKUP('Données projet'!$B$10,Paramètres!$A$1:$I$89,5,0)</f>
        <v>-4.6111381379887462E-13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565.72091871734051</v>
      </c>
      <c r="AO172" s="62">
        <f t="shared" si="144"/>
        <v>306.61893266146666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-5.6843418860808015E-14</v>
      </c>
      <c r="BE172" s="14">
        <f>BD172*VLOOKUP('Données projet'!$B$11,Paramètres!$A$1:$I$89,3,0)*VLOOKUP('Données projet'!$B$11,Paramètres!$A$1:$I$89,5,0)</f>
        <v>-4.1677594708744434E-14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344.26020118887629</v>
      </c>
      <c r="BJ172" s="62">
        <f t="shared" si="146"/>
        <v>376.41441893222185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-4.5474735088646412E-13</v>
      </c>
      <c r="BZ172" s="14">
        <f>BY172*VLOOKUP('Données projet'!$B$12,Paramètres!$A$1:$I$89,3,0)*VLOOKUP('Données projet'!$B$12,Paramètres!$A$1:$I$89,5,0)</f>
        <v>-3.8307916838675739E-13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477.4105367901771</v>
      </c>
      <c r="CE172" s="62">
        <f t="shared" si="148"/>
        <v>261.95434270986397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-6.2527760746888816E-13</v>
      </c>
      <c r="CU172" s="18">
        <f>CT172*VLOOKUP('Données projet'!$B$13,Paramètres!$A$1:$I$89,3,0)*VLOOKUP('Données projet'!$B$13,Paramètres!$A$1:$I$89,5,0)</f>
        <v>-2.9262992029543964E-13</v>
      </c>
      <c r="CV172" s="14" t="e">
        <f t="shared" si="173"/>
        <v>#NUM!</v>
      </c>
      <c r="CW172" s="22" t="e">
        <f t="shared" si="174"/>
        <v>#NUM!</v>
      </c>
      <c r="CX172" s="62" t="e">
        <f t="shared" si="122"/>
        <v>#NUM!</v>
      </c>
      <c r="CY172" s="62">
        <f ca="1">AVERAGE(OFFSET($CX$3,0,0,'Données projet'!$E$13+1,1))-AVERAGE(OFFSET($H$3,0,0,'Données projet'!$E$13+1,1))</f>
        <v>246.64907095367749</v>
      </c>
      <c r="CZ172" s="62">
        <f t="shared" si="150"/>
        <v>145.34368562171613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-5.6843418860808015E-14</v>
      </c>
      <c r="DP172" s="18">
        <f>DO172*VLOOKUP('Données projet'!$B$14,Paramètres!$A$1:$I$89,3,0)*VLOOKUP('Données projet'!$B$14,Paramètres!$A$1:$I$89,5,0)</f>
        <v>-4.5224624045658861E-14</v>
      </c>
      <c r="DQ172" s="14" t="e">
        <f t="shared" si="176"/>
        <v>#NUM!</v>
      </c>
      <c r="DR172" s="22" t="e">
        <f t="shared" si="177"/>
        <v>#NUM!</v>
      </c>
      <c r="DS172" s="62" t="e">
        <f t="shared" si="125"/>
        <v>#NUM!</v>
      </c>
      <c r="DT172" s="62">
        <f ca="1">AVERAGE(OFFSET($DS$3,0,0,'Données projet'!$E$14+1,1))-AVERAGE(OFFSET($H$3,0,0,'Données projet'!$E$14+1,1))</f>
        <v>370.38521334472284</v>
      </c>
      <c r="DU172" s="62">
        <f t="shared" si="152"/>
        <v>404.61777090709171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-1.1368683772161603E-13</v>
      </c>
      <c r="EK172" s="18">
        <f>EJ172*VLOOKUP('Données projet'!$B$15,Paramètres!$A$1:$I$89,3,0)*VLOOKUP('Données projet'!$B$15,Paramètres!$A$1:$I$89,5,0)</f>
        <v>-9.7543306765146564E-14</v>
      </c>
      <c r="EL172" s="14" t="e">
        <f t="shared" si="179"/>
        <v>#NUM!</v>
      </c>
      <c r="EM172" s="22" t="e">
        <f t="shared" si="180"/>
        <v>#NUM!</v>
      </c>
      <c r="EN172" s="62" t="e">
        <f t="shared" si="128"/>
        <v>#NUM!</v>
      </c>
      <c r="EO172" s="62">
        <f ca="1">AVERAGE(OFFSET($EN$3,0,0,'Données projet'!$E$15+1,1))-AVERAGE(OFFSET($H$3,0,0,'Données projet'!$E$15+1,1))</f>
        <v>445.81166342116865</v>
      </c>
      <c r="EP172" s="62">
        <f t="shared" si="154"/>
        <v>230.82970731138215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0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-4.5474735088646412E-13</v>
      </c>
      <c r="FF172" s="18">
        <f>FE172*VLOOKUP('Données projet'!$B$16,Paramètres!$A$1:$I$89,3,0)*VLOOKUP('Données projet'!$B$16,Paramètres!$A$1:$I$89,5,0)</f>
        <v>-4.3983163777738812E-13</v>
      </c>
      <c r="FG172" s="14" t="e">
        <f t="shared" si="182"/>
        <v>#NUM!</v>
      </c>
      <c r="FH172" s="22" t="e">
        <f t="shared" si="183"/>
        <v>#NUM!</v>
      </c>
      <c r="FI172" s="62" t="e">
        <f t="shared" si="131"/>
        <v>#NUM!</v>
      </c>
      <c r="FJ172" s="62">
        <f ca="1">AVERAGE(OFFSET($FI$3,0,0,'Données projet'!$E$16+1,1))-AVERAGE(OFFSET($H$3,0,0,'Données projet'!$E$16+1,1))</f>
        <v>541.66888676162716</v>
      </c>
      <c r="FK172" s="62">
        <f t="shared" si="156"/>
        <v>294.45557293177131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>
        <f>EXP(-LN(2)/35)*FQ171+(1-EXP(-LN(2)/35))/(LN(2)/35)*FM172*FN172*VLOOKUP('Données projet'!$B$16,Paramètres!$A$1:$I$89,3,0)*0.475*44/12</f>
        <v>0</v>
      </c>
      <c r="FR172" s="23">
        <f>EXP(-LN(2)/25)*FR171+(1-EXP(-LN(2)/25))/(LN(2)/25)*Calculateur!FM172*Calculateur!FO172*VLOOKUP('Données projet'!$B$16,Paramètres!$A$1:$I$89,3,0)*0.475*44/12</f>
        <v>0</v>
      </c>
      <c r="FS172" s="23">
        <f>EXP(-LN(2)/2)*FS171+(1-EXP(-LN(2)/2))/(LN(2)/2)*FM172*FP172*VLOOKUP('Données projet'!$B$16,Paramètres!$A$1:$I$89,3,0)*0.475*44/12</f>
        <v>0</v>
      </c>
      <c r="FT172" s="24">
        <f t="shared" si="184"/>
        <v>0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1.1368683772161603E-13</v>
      </c>
      <c r="GA172" s="18">
        <f>FZ172*VLOOKUP('Données projet'!$B$17,Paramètres!$A$1:$I$89,3,0)*VLOOKUP('Données projet'!$B$17,Paramètres!$A$1:$I$89,5,0)</f>
        <v>8.8675733422860506E-14</v>
      </c>
      <c r="GB172" s="14">
        <f t="shared" si="185"/>
        <v>1.3509285393066301E-12</v>
      </c>
      <c r="GC172" s="22">
        <f t="shared" si="186"/>
        <v>2.5073107750038623E-12</v>
      </c>
      <c r="GD172" s="62">
        <f t="shared" si="134"/>
        <v>293.33333333333582</v>
      </c>
      <c r="GE172" s="62">
        <f ca="1">AVERAGE(OFFSET($GD$3,0,0,'Données projet'!$E$17+1,1))-AVERAGE(OFFSET($H$3,0,0,'Données projet'!$E$17+1,1))</f>
        <v>292.57482726862594</v>
      </c>
      <c r="GF172" s="62">
        <f t="shared" si="158"/>
        <v>283.48738729114024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>
        <f>EXP(-LN(2)/35)*GL171+(1-EXP(-LN(2)/35))/(LN(2)/35)*GH172*GI172*VLOOKUP('Données projet'!$B$17,Paramètres!$A$1:$I$89,3,0)*0.475*44/12</f>
        <v>0</v>
      </c>
      <c r="GM172" s="23">
        <f>EXP(-LN(2)/25)*GM171+(1-EXP(-LN(2)/25))/(LN(2)/25)*Calculateur!GH172*Calculateur!GJ172*VLOOKUP('Données projet'!$B$17,Paramètres!$A$1:$I$89,3,0)*0.475*44/12</f>
        <v>0</v>
      </c>
      <c r="GN172" s="23">
        <f>EXP(-LN(2)/2)*GN171+(1-EXP(-LN(2)/2))/(LN(2)/2)*GH172*GK172*VLOOKUP('Données projet'!$B$17,Paramètres!$A$1:$I$89,3,0)*0.475*44/12</f>
        <v>0</v>
      </c>
      <c r="GO172" s="23">
        <f t="shared" si="187"/>
        <v>0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-2.2737367544323206E-13</v>
      </c>
      <c r="GV172" s="18">
        <f>GU172*VLOOKUP('Données projet'!$B$18,Paramètres!$A$1:$I$89,3,0)*VLOOKUP('Données projet'!$B$18,Paramètres!$A$1:$I$89,5,0)</f>
        <v>-1.5252226148732008E-13</v>
      </c>
      <c r="GW172" s="14" t="e">
        <f t="shared" si="188"/>
        <v>#NUM!</v>
      </c>
      <c r="GX172" s="22" t="e">
        <f t="shared" si="189"/>
        <v>#NUM!</v>
      </c>
      <c r="GY172" s="62" t="e">
        <f t="shared" si="137"/>
        <v>#NUM!</v>
      </c>
      <c r="GZ172" s="62">
        <f ca="1">AVERAGE(OFFSET($GY$3,0,0,'Données projet'!$E$18+1,1))-AVERAGE(OFFSET($H$3,0,0,'Données projet'!$E$18+1,1))</f>
        <v>410.20186800287411</v>
      </c>
      <c r="HA172" s="62">
        <f t="shared" si="160"/>
        <v>321.99347958016057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>
        <f>EXP(-LN(2)/35)*HG171+(1-EXP(-LN(2)/35))/(LN(2)/35)*HC172*HD172*VLOOKUP('Données projet'!$B$18,Paramètres!$A$1:$I$89,3,0)*0.475*44/12</f>
        <v>0</v>
      </c>
      <c r="HH172" s="23">
        <f>EXP(-LN(2)/25)*HH171+(1-EXP(-LN(2)/25))/(LN(2)/25)*Calculateur!HC172*Calculateur!HE172*VLOOKUP('Données projet'!$B$18,Paramètres!$A$1:$I$89,3,0)*0.475*44/12</f>
        <v>0</v>
      </c>
      <c r="HI172" s="23">
        <f>EXP(-LN(2)/2)*HI171+(1-EXP(-LN(2)/2))/(LN(2)/2)*HC172*HF172*VLOOKUP('Données projet'!$B$18,Paramètres!$A$1:$I$89,3,0)*0.475*44/12</f>
        <v>0</v>
      </c>
      <c r="HJ172" s="24">
        <f t="shared" si="190"/>
        <v>0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-4.5474735088646412E-13</v>
      </c>
      <c r="O173" s="14">
        <f>N173*VLOOKUP('Données projet'!$B$9,Paramètres!$A$1:$I$89,3,0)*VLOOKUP('Données projet'!$B$9,Paramètres!$A$1:$I$89,5,0)</f>
        <v>-4.1145540308207271E-13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509.56241660612449</v>
      </c>
      <c r="T173" s="62">
        <f t="shared" si="142"/>
        <v>278.21741231699929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-4.5474735088646412E-13</v>
      </c>
      <c r="AJ173" s="14">
        <f>AI173*VLOOKUP('Données projet'!$B$10,Paramètres!$A$1:$I$89,3,0)*VLOOKUP('Données projet'!$B$10,Paramètres!$A$1:$I$89,5,0)</f>
        <v>-4.6111381379887462E-13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565.72091871734051</v>
      </c>
      <c r="AO173" s="62">
        <f t="shared" si="144"/>
        <v>306.61893266146666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-5.6843418860808015E-14</v>
      </c>
      <c r="BE173" s="14">
        <f>BD173*VLOOKUP('Données projet'!$B$11,Paramètres!$A$1:$I$89,3,0)*VLOOKUP('Données projet'!$B$11,Paramètres!$A$1:$I$89,5,0)</f>
        <v>-4.1677594708744434E-14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344.26020118887629</v>
      </c>
      <c r="BJ173" s="62">
        <f t="shared" si="146"/>
        <v>376.41441893222185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-4.5474735088646412E-13</v>
      </c>
      <c r="BZ173" s="14">
        <f>BY173*VLOOKUP('Données projet'!$B$12,Paramètres!$A$1:$I$89,3,0)*VLOOKUP('Données projet'!$B$12,Paramètres!$A$1:$I$89,5,0)</f>
        <v>-3.8307916838675739E-13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477.4105367901771</v>
      </c>
      <c r="CE173" s="62">
        <f t="shared" si="148"/>
        <v>261.95434270986397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-6.2527760746888816E-13</v>
      </c>
      <c r="CU173" s="18">
        <f>CT173*VLOOKUP('Données projet'!$B$13,Paramètres!$A$1:$I$89,3,0)*VLOOKUP('Données projet'!$B$13,Paramètres!$A$1:$I$89,5,0)</f>
        <v>-2.9262992029543964E-13</v>
      </c>
      <c r="CV173" s="14" t="e">
        <f t="shared" si="173"/>
        <v>#NUM!</v>
      </c>
      <c r="CW173" s="22" t="e">
        <f t="shared" si="174"/>
        <v>#NUM!</v>
      </c>
      <c r="CX173" s="62" t="e">
        <f t="shared" si="122"/>
        <v>#NUM!</v>
      </c>
      <c r="CY173" s="62">
        <f ca="1">AVERAGE(OFFSET($CX$3,0,0,'Données projet'!$E$13+1,1))-AVERAGE(OFFSET($H$3,0,0,'Données projet'!$E$13+1,1))</f>
        <v>246.64907095367749</v>
      </c>
      <c r="CZ173" s="62">
        <f t="shared" si="150"/>
        <v>145.34368562171613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-5.6843418860808015E-14</v>
      </c>
      <c r="DP173" s="18">
        <f>DO173*VLOOKUP('Données projet'!$B$14,Paramètres!$A$1:$I$89,3,0)*VLOOKUP('Données projet'!$B$14,Paramètres!$A$1:$I$89,5,0)</f>
        <v>-4.5224624045658861E-14</v>
      </c>
      <c r="DQ173" s="14" t="e">
        <f t="shared" si="176"/>
        <v>#NUM!</v>
      </c>
      <c r="DR173" s="22" t="e">
        <f t="shared" si="177"/>
        <v>#NUM!</v>
      </c>
      <c r="DS173" s="62" t="e">
        <f t="shared" si="125"/>
        <v>#NUM!</v>
      </c>
      <c r="DT173" s="62">
        <f ca="1">AVERAGE(OFFSET($DS$3,0,0,'Données projet'!$E$14+1,1))-AVERAGE(OFFSET($H$3,0,0,'Données projet'!$E$14+1,1))</f>
        <v>370.38521334472284</v>
      </c>
      <c r="DU173" s="62">
        <f t="shared" si="152"/>
        <v>404.61777090709171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-1.1368683772161603E-13</v>
      </c>
      <c r="EK173" s="18">
        <f>EJ173*VLOOKUP('Données projet'!$B$15,Paramètres!$A$1:$I$89,3,0)*VLOOKUP('Données projet'!$B$15,Paramètres!$A$1:$I$89,5,0)</f>
        <v>-9.7543306765146564E-14</v>
      </c>
      <c r="EL173" s="14" t="e">
        <f t="shared" si="179"/>
        <v>#NUM!</v>
      </c>
      <c r="EM173" s="22" t="e">
        <f t="shared" si="180"/>
        <v>#NUM!</v>
      </c>
      <c r="EN173" s="62" t="e">
        <f t="shared" si="128"/>
        <v>#NUM!</v>
      </c>
      <c r="EO173" s="62">
        <f ca="1">AVERAGE(OFFSET($EN$3,0,0,'Données projet'!$E$15+1,1))-AVERAGE(OFFSET($H$3,0,0,'Données projet'!$E$15+1,1))</f>
        <v>445.81166342116865</v>
      </c>
      <c r="EP173" s="62">
        <f t="shared" si="154"/>
        <v>230.82970731138215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0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-4.5474735088646412E-13</v>
      </c>
      <c r="FF173" s="18">
        <f>FE173*VLOOKUP('Données projet'!$B$16,Paramètres!$A$1:$I$89,3,0)*VLOOKUP('Données projet'!$B$16,Paramètres!$A$1:$I$89,5,0)</f>
        <v>-4.3983163777738812E-13</v>
      </c>
      <c r="FG173" s="14" t="e">
        <f t="shared" si="182"/>
        <v>#NUM!</v>
      </c>
      <c r="FH173" s="22" t="e">
        <f t="shared" si="183"/>
        <v>#NUM!</v>
      </c>
      <c r="FI173" s="62" t="e">
        <f t="shared" si="131"/>
        <v>#NUM!</v>
      </c>
      <c r="FJ173" s="62">
        <f ca="1">AVERAGE(OFFSET($FI$3,0,0,'Données projet'!$E$16+1,1))-AVERAGE(OFFSET($H$3,0,0,'Données projet'!$E$16+1,1))</f>
        <v>541.66888676162716</v>
      </c>
      <c r="FK173" s="62">
        <f t="shared" si="156"/>
        <v>294.45557293177131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>
        <f>EXP(-LN(2)/35)*FQ172+(1-EXP(-LN(2)/35))/(LN(2)/35)*FM173*FN173*VLOOKUP('Données projet'!$B$16,Paramètres!$A$1:$I$89,3,0)*0.475*44/12</f>
        <v>0</v>
      </c>
      <c r="FR173" s="23">
        <f>EXP(-LN(2)/25)*FR172+(1-EXP(-LN(2)/25))/(LN(2)/25)*Calculateur!FM173*Calculateur!FO173*VLOOKUP('Données projet'!$B$16,Paramètres!$A$1:$I$89,3,0)*0.475*44/12</f>
        <v>0</v>
      </c>
      <c r="FS173" s="23">
        <f>EXP(-LN(2)/2)*FS172+(1-EXP(-LN(2)/2))/(LN(2)/2)*FM173*FP173*VLOOKUP('Données projet'!$B$16,Paramètres!$A$1:$I$89,3,0)*0.475*44/12</f>
        <v>0</v>
      </c>
      <c r="FT173" s="24">
        <f t="shared" si="184"/>
        <v>0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1.1368683772161603E-13</v>
      </c>
      <c r="GA173" s="18">
        <f>FZ173*VLOOKUP('Données projet'!$B$17,Paramètres!$A$1:$I$89,3,0)*VLOOKUP('Données projet'!$B$17,Paramètres!$A$1:$I$89,5,0)</f>
        <v>8.8675733422860506E-14</v>
      </c>
      <c r="GB173" s="14">
        <f t="shared" si="185"/>
        <v>1.3509285393066301E-12</v>
      </c>
      <c r="GC173" s="22">
        <f t="shared" si="186"/>
        <v>2.5073107750038623E-12</v>
      </c>
      <c r="GD173" s="62">
        <f t="shared" si="134"/>
        <v>293.33333333333582</v>
      </c>
      <c r="GE173" s="62">
        <f ca="1">AVERAGE(OFFSET($GD$3,0,0,'Données projet'!$E$17+1,1))-AVERAGE(OFFSET($H$3,0,0,'Données projet'!$E$17+1,1))</f>
        <v>292.57482726862594</v>
      </c>
      <c r="GF173" s="62">
        <f t="shared" si="158"/>
        <v>283.48738729114024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>
        <f>EXP(-LN(2)/35)*GL172+(1-EXP(-LN(2)/35))/(LN(2)/35)*GH173*GI173*VLOOKUP('Données projet'!$B$17,Paramètres!$A$1:$I$89,3,0)*0.475*44/12</f>
        <v>0</v>
      </c>
      <c r="GM173" s="23">
        <f>EXP(-LN(2)/25)*GM172+(1-EXP(-LN(2)/25))/(LN(2)/25)*Calculateur!GH173*Calculateur!GJ173*VLOOKUP('Données projet'!$B$17,Paramètres!$A$1:$I$89,3,0)*0.475*44/12</f>
        <v>0</v>
      </c>
      <c r="GN173" s="23">
        <f>EXP(-LN(2)/2)*GN172+(1-EXP(-LN(2)/2))/(LN(2)/2)*GH173*GK173*VLOOKUP('Données projet'!$B$17,Paramètres!$A$1:$I$89,3,0)*0.475*44/12</f>
        <v>0</v>
      </c>
      <c r="GO173" s="23">
        <f t="shared" si="187"/>
        <v>0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-2.2737367544323206E-13</v>
      </c>
      <c r="GV173" s="18">
        <f>GU173*VLOOKUP('Données projet'!$B$18,Paramètres!$A$1:$I$89,3,0)*VLOOKUP('Données projet'!$B$18,Paramètres!$A$1:$I$89,5,0)</f>
        <v>-1.5252226148732008E-13</v>
      </c>
      <c r="GW173" s="14" t="e">
        <f t="shared" si="188"/>
        <v>#NUM!</v>
      </c>
      <c r="GX173" s="22" t="e">
        <f t="shared" si="189"/>
        <v>#NUM!</v>
      </c>
      <c r="GY173" s="62" t="e">
        <f t="shared" si="137"/>
        <v>#NUM!</v>
      </c>
      <c r="GZ173" s="62">
        <f ca="1">AVERAGE(OFFSET($GY$3,0,0,'Données projet'!$E$18+1,1))-AVERAGE(OFFSET($H$3,0,0,'Données projet'!$E$18+1,1))</f>
        <v>410.20186800287411</v>
      </c>
      <c r="HA173" s="62">
        <f t="shared" si="160"/>
        <v>321.99347958016057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>
        <f>EXP(-LN(2)/35)*HG172+(1-EXP(-LN(2)/35))/(LN(2)/35)*HC173*HD173*VLOOKUP('Données projet'!$B$18,Paramètres!$A$1:$I$89,3,0)*0.475*44/12</f>
        <v>0</v>
      </c>
      <c r="HH173" s="23">
        <f>EXP(-LN(2)/25)*HH172+(1-EXP(-LN(2)/25))/(LN(2)/25)*Calculateur!HC173*Calculateur!HE173*VLOOKUP('Données projet'!$B$18,Paramètres!$A$1:$I$89,3,0)*0.475*44/12</f>
        <v>0</v>
      </c>
      <c r="HI173" s="23">
        <f>EXP(-LN(2)/2)*HI172+(1-EXP(-LN(2)/2))/(LN(2)/2)*HC173*HF173*VLOOKUP('Données projet'!$B$18,Paramètres!$A$1:$I$89,3,0)*0.475*44/12</f>
        <v>0</v>
      </c>
      <c r="HJ173" s="24">
        <f t="shared" si="190"/>
        <v>0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-4.5474735088646412E-13</v>
      </c>
      <c r="O174" s="14">
        <f>N174*VLOOKUP('Données projet'!$B$9,Paramètres!$A$1:$I$89,3,0)*VLOOKUP('Données projet'!$B$9,Paramètres!$A$1:$I$89,5,0)</f>
        <v>-4.1145540308207271E-13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509.56241660612449</v>
      </c>
      <c r="T174" s="62">
        <f t="shared" si="142"/>
        <v>278.21741231699929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-4.5474735088646412E-13</v>
      </c>
      <c r="AJ174" s="14">
        <f>AI174*VLOOKUP('Données projet'!$B$10,Paramètres!$A$1:$I$89,3,0)*VLOOKUP('Données projet'!$B$10,Paramètres!$A$1:$I$89,5,0)</f>
        <v>-4.6111381379887462E-13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565.72091871734051</v>
      </c>
      <c r="AO174" s="62">
        <f t="shared" si="144"/>
        <v>306.61893266146666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-5.6843418860808015E-14</v>
      </c>
      <c r="BE174" s="14">
        <f>BD174*VLOOKUP('Données projet'!$B$11,Paramètres!$A$1:$I$89,3,0)*VLOOKUP('Données projet'!$B$11,Paramètres!$A$1:$I$89,5,0)</f>
        <v>-4.1677594708744434E-14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344.26020118887629</v>
      </c>
      <c r="BJ174" s="62">
        <f t="shared" si="146"/>
        <v>376.41441893222185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-4.5474735088646412E-13</v>
      </c>
      <c r="BZ174" s="14">
        <f>BY174*VLOOKUP('Données projet'!$B$12,Paramètres!$A$1:$I$89,3,0)*VLOOKUP('Données projet'!$B$12,Paramètres!$A$1:$I$89,5,0)</f>
        <v>-3.8307916838675739E-13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477.4105367901771</v>
      </c>
      <c r="CE174" s="62">
        <f t="shared" si="148"/>
        <v>261.95434270986397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-6.2527760746888816E-13</v>
      </c>
      <c r="CU174" s="18">
        <f>CT174*VLOOKUP('Données projet'!$B$13,Paramètres!$A$1:$I$89,3,0)*VLOOKUP('Données projet'!$B$13,Paramètres!$A$1:$I$89,5,0)</f>
        <v>-2.9262992029543964E-13</v>
      </c>
      <c r="CV174" s="14" t="e">
        <f t="shared" si="173"/>
        <v>#NUM!</v>
      </c>
      <c r="CW174" s="22" t="e">
        <f t="shared" si="174"/>
        <v>#NUM!</v>
      </c>
      <c r="CX174" s="62" t="e">
        <f t="shared" si="122"/>
        <v>#NUM!</v>
      </c>
      <c r="CY174" s="62">
        <f ca="1">AVERAGE(OFFSET($CX$3,0,0,'Données projet'!$E$13+1,1))-AVERAGE(OFFSET($H$3,0,0,'Données projet'!$E$13+1,1))</f>
        <v>246.64907095367749</v>
      </c>
      <c r="CZ174" s="62">
        <f t="shared" si="150"/>
        <v>145.34368562171613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-5.6843418860808015E-14</v>
      </c>
      <c r="DP174" s="18">
        <f>DO174*VLOOKUP('Données projet'!$B$14,Paramètres!$A$1:$I$89,3,0)*VLOOKUP('Données projet'!$B$14,Paramètres!$A$1:$I$89,5,0)</f>
        <v>-4.5224624045658861E-14</v>
      </c>
      <c r="DQ174" s="14" t="e">
        <f t="shared" si="176"/>
        <v>#NUM!</v>
      </c>
      <c r="DR174" s="22" t="e">
        <f t="shared" si="177"/>
        <v>#NUM!</v>
      </c>
      <c r="DS174" s="62" t="e">
        <f t="shared" si="125"/>
        <v>#NUM!</v>
      </c>
      <c r="DT174" s="62">
        <f ca="1">AVERAGE(OFFSET($DS$3,0,0,'Données projet'!$E$14+1,1))-AVERAGE(OFFSET($H$3,0,0,'Données projet'!$E$14+1,1))</f>
        <v>370.38521334472284</v>
      </c>
      <c r="DU174" s="62">
        <f t="shared" si="152"/>
        <v>404.61777090709171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-1.1368683772161603E-13</v>
      </c>
      <c r="EK174" s="18">
        <f>EJ174*VLOOKUP('Données projet'!$B$15,Paramètres!$A$1:$I$89,3,0)*VLOOKUP('Données projet'!$B$15,Paramètres!$A$1:$I$89,5,0)</f>
        <v>-9.7543306765146564E-14</v>
      </c>
      <c r="EL174" s="14" t="e">
        <f t="shared" si="179"/>
        <v>#NUM!</v>
      </c>
      <c r="EM174" s="22" t="e">
        <f t="shared" si="180"/>
        <v>#NUM!</v>
      </c>
      <c r="EN174" s="62" t="e">
        <f t="shared" si="128"/>
        <v>#NUM!</v>
      </c>
      <c r="EO174" s="62">
        <f ca="1">AVERAGE(OFFSET($EN$3,0,0,'Données projet'!$E$15+1,1))-AVERAGE(OFFSET($H$3,0,0,'Données projet'!$E$15+1,1))</f>
        <v>445.81166342116865</v>
      </c>
      <c r="EP174" s="62">
        <f t="shared" si="154"/>
        <v>230.82970731138215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0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-4.5474735088646412E-13</v>
      </c>
      <c r="FF174" s="18">
        <f>FE174*VLOOKUP('Données projet'!$B$16,Paramètres!$A$1:$I$89,3,0)*VLOOKUP('Données projet'!$B$16,Paramètres!$A$1:$I$89,5,0)</f>
        <v>-4.3983163777738812E-13</v>
      </c>
      <c r="FG174" s="14" t="e">
        <f t="shared" si="182"/>
        <v>#NUM!</v>
      </c>
      <c r="FH174" s="22" t="e">
        <f t="shared" si="183"/>
        <v>#NUM!</v>
      </c>
      <c r="FI174" s="62" t="e">
        <f t="shared" si="131"/>
        <v>#NUM!</v>
      </c>
      <c r="FJ174" s="62">
        <f ca="1">AVERAGE(OFFSET($FI$3,0,0,'Données projet'!$E$16+1,1))-AVERAGE(OFFSET($H$3,0,0,'Données projet'!$E$16+1,1))</f>
        <v>541.66888676162716</v>
      </c>
      <c r="FK174" s="62">
        <f t="shared" si="156"/>
        <v>294.45557293177131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>
        <f>EXP(-LN(2)/35)*FQ173+(1-EXP(-LN(2)/35))/(LN(2)/35)*FM174*FN174*VLOOKUP('Données projet'!$B$16,Paramètres!$A$1:$I$89,3,0)*0.475*44/12</f>
        <v>0</v>
      </c>
      <c r="FR174" s="23">
        <f>EXP(-LN(2)/25)*FR173+(1-EXP(-LN(2)/25))/(LN(2)/25)*Calculateur!FM174*Calculateur!FO174*VLOOKUP('Données projet'!$B$16,Paramètres!$A$1:$I$89,3,0)*0.475*44/12</f>
        <v>0</v>
      </c>
      <c r="FS174" s="23">
        <f>EXP(-LN(2)/2)*FS173+(1-EXP(-LN(2)/2))/(LN(2)/2)*FM174*FP174*VLOOKUP('Données projet'!$B$16,Paramètres!$A$1:$I$89,3,0)*0.475*44/12</f>
        <v>0</v>
      </c>
      <c r="FT174" s="24">
        <f t="shared" si="184"/>
        <v>0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1.1368683772161603E-13</v>
      </c>
      <c r="GA174" s="18">
        <f>FZ174*VLOOKUP('Données projet'!$B$17,Paramètres!$A$1:$I$89,3,0)*VLOOKUP('Données projet'!$B$17,Paramètres!$A$1:$I$89,5,0)</f>
        <v>8.8675733422860506E-14</v>
      </c>
      <c r="GB174" s="14">
        <f t="shared" si="185"/>
        <v>1.3509285393066301E-12</v>
      </c>
      <c r="GC174" s="22">
        <f t="shared" si="186"/>
        <v>2.5073107750038623E-12</v>
      </c>
      <c r="GD174" s="62">
        <f t="shared" si="134"/>
        <v>293.33333333333582</v>
      </c>
      <c r="GE174" s="62">
        <f ca="1">AVERAGE(OFFSET($GD$3,0,0,'Données projet'!$E$17+1,1))-AVERAGE(OFFSET($H$3,0,0,'Données projet'!$E$17+1,1))</f>
        <v>292.57482726862594</v>
      </c>
      <c r="GF174" s="62">
        <f t="shared" si="158"/>
        <v>283.48738729114024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>
        <f>EXP(-LN(2)/35)*GL173+(1-EXP(-LN(2)/35))/(LN(2)/35)*GH174*GI174*VLOOKUP('Données projet'!$B$17,Paramètres!$A$1:$I$89,3,0)*0.475*44/12</f>
        <v>0</v>
      </c>
      <c r="GM174" s="23">
        <f>EXP(-LN(2)/25)*GM173+(1-EXP(-LN(2)/25))/(LN(2)/25)*Calculateur!GH174*Calculateur!GJ174*VLOOKUP('Données projet'!$B$17,Paramètres!$A$1:$I$89,3,0)*0.475*44/12</f>
        <v>0</v>
      </c>
      <c r="GN174" s="23">
        <f>EXP(-LN(2)/2)*GN173+(1-EXP(-LN(2)/2))/(LN(2)/2)*GH174*GK174*VLOOKUP('Données projet'!$B$17,Paramètres!$A$1:$I$89,3,0)*0.475*44/12</f>
        <v>0</v>
      </c>
      <c r="GO174" s="23">
        <f t="shared" si="187"/>
        <v>0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-2.2737367544323206E-13</v>
      </c>
      <c r="GV174" s="18">
        <f>GU174*VLOOKUP('Données projet'!$B$18,Paramètres!$A$1:$I$89,3,0)*VLOOKUP('Données projet'!$B$18,Paramètres!$A$1:$I$89,5,0)</f>
        <v>-1.5252226148732008E-13</v>
      </c>
      <c r="GW174" s="14" t="e">
        <f t="shared" si="188"/>
        <v>#NUM!</v>
      </c>
      <c r="GX174" s="22" t="e">
        <f t="shared" si="189"/>
        <v>#NUM!</v>
      </c>
      <c r="GY174" s="62" t="e">
        <f t="shared" si="137"/>
        <v>#NUM!</v>
      </c>
      <c r="GZ174" s="62">
        <f ca="1">AVERAGE(OFFSET($GY$3,0,0,'Données projet'!$E$18+1,1))-AVERAGE(OFFSET($H$3,0,0,'Données projet'!$E$18+1,1))</f>
        <v>410.20186800287411</v>
      </c>
      <c r="HA174" s="62">
        <f t="shared" si="160"/>
        <v>321.99347958016057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>
        <f>EXP(-LN(2)/35)*HG173+(1-EXP(-LN(2)/35))/(LN(2)/35)*HC174*HD174*VLOOKUP('Données projet'!$B$18,Paramètres!$A$1:$I$89,3,0)*0.475*44/12</f>
        <v>0</v>
      </c>
      <c r="HH174" s="23">
        <f>EXP(-LN(2)/25)*HH173+(1-EXP(-LN(2)/25))/(LN(2)/25)*Calculateur!HC174*Calculateur!HE174*VLOOKUP('Données projet'!$B$18,Paramètres!$A$1:$I$89,3,0)*0.475*44/12</f>
        <v>0</v>
      </c>
      <c r="HI174" s="23">
        <f>EXP(-LN(2)/2)*HI173+(1-EXP(-LN(2)/2))/(LN(2)/2)*HC174*HF174*VLOOKUP('Données projet'!$B$18,Paramètres!$A$1:$I$89,3,0)*0.475*44/12</f>
        <v>0</v>
      </c>
      <c r="HJ174" s="24">
        <f t="shared" si="190"/>
        <v>0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-4.5474735088646412E-13</v>
      </c>
      <c r="O175" s="14">
        <f>N175*VLOOKUP('Données projet'!$B$9,Paramètres!$A$1:$I$89,3,0)*VLOOKUP('Données projet'!$B$9,Paramètres!$A$1:$I$89,5,0)</f>
        <v>-4.1145540308207271E-13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509.56241660612449</v>
      </c>
      <c r="T175" s="62">
        <f t="shared" si="142"/>
        <v>278.21741231699929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-4.5474735088646412E-13</v>
      </c>
      <c r="AJ175" s="14">
        <f>AI175*VLOOKUP('Données projet'!$B$10,Paramètres!$A$1:$I$89,3,0)*VLOOKUP('Données projet'!$B$10,Paramètres!$A$1:$I$89,5,0)</f>
        <v>-4.6111381379887462E-13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565.72091871734051</v>
      </c>
      <c r="AO175" s="62">
        <f t="shared" si="144"/>
        <v>306.61893266146666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-5.6843418860808015E-14</v>
      </c>
      <c r="BE175" s="14">
        <f>BD175*VLOOKUP('Données projet'!$B$11,Paramètres!$A$1:$I$89,3,0)*VLOOKUP('Données projet'!$B$11,Paramètres!$A$1:$I$89,5,0)</f>
        <v>-4.1677594708744434E-14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344.26020118887629</v>
      </c>
      <c r="BJ175" s="62">
        <f t="shared" si="146"/>
        <v>376.41441893222185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-4.5474735088646412E-13</v>
      </c>
      <c r="BZ175" s="14">
        <f>BY175*VLOOKUP('Données projet'!$B$12,Paramètres!$A$1:$I$89,3,0)*VLOOKUP('Données projet'!$B$12,Paramètres!$A$1:$I$89,5,0)</f>
        <v>-3.8307916838675739E-13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477.4105367901771</v>
      </c>
      <c r="CE175" s="62">
        <f t="shared" si="148"/>
        <v>261.95434270986397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-6.2527760746888816E-13</v>
      </c>
      <c r="CU175" s="18">
        <f>CT175*VLOOKUP('Données projet'!$B$13,Paramètres!$A$1:$I$89,3,0)*VLOOKUP('Données projet'!$B$13,Paramètres!$A$1:$I$89,5,0)</f>
        <v>-2.9262992029543964E-13</v>
      </c>
      <c r="CV175" s="14" t="e">
        <f t="shared" si="173"/>
        <v>#NUM!</v>
      </c>
      <c r="CW175" s="22" t="e">
        <f t="shared" si="174"/>
        <v>#NUM!</v>
      </c>
      <c r="CX175" s="62" t="e">
        <f t="shared" si="122"/>
        <v>#NUM!</v>
      </c>
      <c r="CY175" s="62">
        <f ca="1">AVERAGE(OFFSET($CX$3,0,0,'Données projet'!$E$13+1,1))-AVERAGE(OFFSET($H$3,0,0,'Données projet'!$E$13+1,1))</f>
        <v>246.64907095367749</v>
      </c>
      <c r="CZ175" s="62">
        <f t="shared" si="150"/>
        <v>145.34368562171613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-5.6843418860808015E-14</v>
      </c>
      <c r="DP175" s="18">
        <f>DO175*VLOOKUP('Données projet'!$B$14,Paramètres!$A$1:$I$89,3,0)*VLOOKUP('Données projet'!$B$14,Paramètres!$A$1:$I$89,5,0)</f>
        <v>-4.5224624045658861E-14</v>
      </c>
      <c r="DQ175" s="14" t="e">
        <f t="shared" si="176"/>
        <v>#NUM!</v>
      </c>
      <c r="DR175" s="22" t="e">
        <f t="shared" si="177"/>
        <v>#NUM!</v>
      </c>
      <c r="DS175" s="62" t="e">
        <f t="shared" si="125"/>
        <v>#NUM!</v>
      </c>
      <c r="DT175" s="62">
        <f ca="1">AVERAGE(OFFSET($DS$3,0,0,'Données projet'!$E$14+1,1))-AVERAGE(OFFSET($H$3,0,0,'Données projet'!$E$14+1,1))</f>
        <v>370.38521334472284</v>
      </c>
      <c r="DU175" s="62">
        <f t="shared" si="152"/>
        <v>404.61777090709171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-1.1368683772161603E-13</v>
      </c>
      <c r="EK175" s="18">
        <f>EJ175*VLOOKUP('Données projet'!$B$15,Paramètres!$A$1:$I$89,3,0)*VLOOKUP('Données projet'!$B$15,Paramètres!$A$1:$I$89,5,0)</f>
        <v>-9.7543306765146564E-14</v>
      </c>
      <c r="EL175" s="14" t="e">
        <f t="shared" si="179"/>
        <v>#NUM!</v>
      </c>
      <c r="EM175" s="22" t="e">
        <f t="shared" si="180"/>
        <v>#NUM!</v>
      </c>
      <c r="EN175" s="62" t="e">
        <f t="shared" si="128"/>
        <v>#NUM!</v>
      </c>
      <c r="EO175" s="62">
        <f ca="1">AVERAGE(OFFSET($EN$3,0,0,'Données projet'!$E$15+1,1))-AVERAGE(OFFSET($H$3,0,0,'Données projet'!$E$15+1,1))</f>
        <v>445.81166342116865</v>
      </c>
      <c r="EP175" s="62">
        <f t="shared" si="154"/>
        <v>230.82970731138215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0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-4.5474735088646412E-13</v>
      </c>
      <c r="FF175" s="18">
        <f>FE175*VLOOKUP('Données projet'!$B$16,Paramètres!$A$1:$I$89,3,0)*VLOOKUP('Données projet'!$B$16,Paramètres!$A$1:$I$89,5,0)</f>
        <v>-4.3983163777738812E-13</v>
      </c>
      <c r="FG175" s="14" t="e">
        <f t="shared" si="182"/>
        <v>#NUM!</v>
      </c>
      <c r="FH175" s="22" t="e">
        <f t="shared" si="183"/>
        <v>#NUM!</v>
      </c>
      <c r="FI175" s="62" t="e">
        <f t="shared" si="131"/>
        <v>#NUM!</v>
      </c>
      <c r="FJ175" s="62">
        <f ca="1">AVERAGE(OFFSET($FI$3,0,0,'Données projet'!$E$16+1,1))-AVERAGE(OFFSET($H$3,0,0,'Données projet'!$E$16+1,1))</f>
        <v>541.66888676162716</v>
      </c>
      <c r="FK175" s="62">
        <f t="shared" si="156"/>
        <v>294.45557293177131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>
        <f>EXP(-LN(2)/35)*FQ174+(1-EXP(-LN(2)/35))/(LN(2)/35)*FM175*FN175*VLOOKUP('Données projet'!$B$16,Paramètres!$A$1:$I$89,3,0)*0.475*44/12</f>
        <v>0</v>
      </c>
      <c r="FR175" s="23">
        <f>EXP(-LN(2)/25)*FR174+(1-EXP(-LN(2)/25))/(LN(2)/25)*Calculateur!FM175*Calculateur!FO175*VLOOKUP('Données projet'!$B$16,Paramètres!$A$1:$I$89,3,0)*0.475*44/12</f>
        <v>0</v>
      </c>
      <c r="FS175" s="23">
        <f>EXP(-LN(2)/2)*FS174+(1-EXP(-LN(2)/2))/(LN(2)/2)*FM175*FP175*VLOOKUP('Données projet'!$B$16,Paramètres!$A$1:$I$89,3,0)*0.475*44/12</f>
        <v>0</v>
      </c>
      <c r="FT175" s="24">
        <f t="shared" si="184"/>
        <v>0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1.1368683772161603E-13</v>
      </c>
      <c r="GA175" s="18">
        <f>FZ175*VLOOKUP('Données projet'!$B$17,Paramètres!$A$1:$I$89,3,0)*VLOOKUP('Données projet'!$B$17,Paramètres!$A$1:$I$89,5,0)</f>
        <v>8.8675733422860506E-14</v>
      </c>
      <c r="GB175" s="14">
        <f t="shared" si="185"/>
        <v>1.3509285393066301E-12</v>
      </c>
      <c r="GC175" s="22">
        <f t="shared" si="186"/>
        <v>2.5073107750038623E-12</v>
      </c>
      <c r="GD175" s="62">
        <f t="shared" si="134"/>
        <v>293.33333333333582</v>
      </c>
      <c r="GE175" s="62">
        <f ca="1">AVERAGE(OFFSET($GD$3,0,0,'Données projet'!$E$17+1,1))-AVERAGE(OFFSET($H$3,0,0,'Données projet'!$E$17+1,1))</f>
        <v>292.57482726862594</v>
      </c>
      <c r="GF175" s="62">
        <f t="shared" si="158"/>
        <v>283.48738729114024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>
        <f>EXP(-LN(2)/35)*GL174+(1-EXP(-LN(2)/35))/(LN(2)/35)*GH175*GI175*VLOOKUP('Données projet'!$B$17,Paramètres!$A$1:$I$89,3,0)*0.475*44/12</f>
        <v>0</v>
      </c>
      <c r="GM175" s="23">
        <f>EXP(-LN(2)/25)*GM174+(1-EXP(-LN(2)/25))/(LN(2)/25)*Calculateur!GH175*Calculateur!GJ175*VLOOKUP('Données projet'!$B$17,Paramètres!$A$1:$I$89,3,0)*0.475*44/12</f>
        <v>0</v>
      </c>
      <c r="GN175" s="23">
        <f>EXP(-LN(2)/2)*GN174+(1-EXP(-LN(2)/2))/(LN(2)/2)*GH175*GK175*VLOOKUP('Données projet'!$B$17,Paramètres!$A$1:$I$89,3,0)*0.475*44/12</f>
        <v>0</v>
      </c>
      <c r="GO175" s="23">
        <f t="shared" si="187"/>
        <v>0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-2.2737367544323206E-13</v>
      </c>
      <c r="GV175" s="18">
        <f>GU175*VLOOKUP('Données projet'!$B$18,Paramètres!$A$1:$I$89,3,0)*VLOOKUP('Données projet'!$B$18,Paramètres!$A$1:$I$89,5,0)</f>
        <v>-1.5252226148732008E-13</v>
      </c>
      <c r="GW175" s="14" t="e">
        <f t="shared" si="188"/>
        <v>#NUM!</v>
      </c>
      <c r="GX175" s="22" t="e">
        <f t="shared" si="189"/>
        <v>#NUM!</v>
      </c>
      <c r="GY175" s="62" t="e">
        <f t="shared" si="137"/>
        <v>#NUM!</v>
      </c>
      <c r="GZ175" s="62">
        <f ca="1">AVERAGE(OFFSET($GY$3,0,0,'Données projet'!$E$18+1,1))-AVERAGE(OFFSET($H$3,0,0,'Données projet'!$E$18+1,1))</f>
        <v>410.20186800287411</v>
      </c>
      <c r="HA175" s="62">
        <f t="shared" si="160"/>
        <v>321.99347958016057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>
        <f>EXP(-LN(2)/35)*HG174+(1-EXP(-LN(2)/35))/(LN(2)/35)*HC175*HD175*VLOOKUP('Données projet'!$B$18,Paramètres!$A$1:$I$89,3,0)*0.475*44/12</f>
        <v>0</v>
      </c>
      <c r="HH175" s="23">
        <f>EXP(-LN(2)/25)*HH174+(1-EXP(-LN(2)/25))/(LN(2)/25)*Calculateur!HC175*Calculateur!HE175*VLOOKUP('Données projet'!$B$18,Paramètres!$A$1:$I$89,3,0)*0.475*44/12</f>
        <v>0</v>
      </c>
      <c r="HI175" s="23">
        <f>EXP(-LN(2)/2)*HI174+(1-EXP(-LN(2)/2))/(LN(2)/2)*HC175*HF175*VLOOKUP('Données projet'!$B$18,Paramètres!$A$1:$I$89,3,0)*0.475*44/12</f>
        <v>0</v>
      </c>
      <c r="HJ175" s="24">
        <f t="shared" si="190"/>
        <v>0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-4.5474735088646412E-13</v>
      </c>
      <c r="O176" s="14">
        <f>N176*VLOOKUP('Données projet'!$B$9,Paramètres!$A$1:$I$89,3,0)*VLOOKUP('Données projet'!$B$9,Paramètres!$A$1:$I$89,5,0)</f>
        <v>-4.1145540308207271E-13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509.56241660612449</v>
      </c>
      <c r="T176" s="62">
        <f t="shared" si="142"/>
        <v>278.21741231699929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-4.5474735088646412E-13</v>
      </c>
      <c r="AJ176" s="14">
        <f>AI176*VLOOKUP('Données projet'!$B$10,Paramètres!$A$1:$I$89,3,0)*VLOOKUP('Données projet'!$B$10,Paramètres!$A$1:$I$89,5,0)</f>
        <v>-4.6111381379887462E-13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565.72091871734051</v>
      </c>
      <c r="AO176" s="62">
        <f t="shared" si="144"/>
        <v>306.61893266146666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-5.6843418860808015E-14</v>
      </c>
      <c r="BE176" s="14">
        <f>BD176*VLOOKUP('Données projet'!$B$11,Paramètres!$A$1:$I$89,3,0)*VLOOKUP('Données projet'!$B$11,Paramètres!$A$1:$I$89,5,0)</f>
        <v>-4.1677594708744434E-14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344.26020118887629</v>
      </c>
      <c r="BJ176" s="62">
        <f t="shared" si="146"/>
        <v>376.41441893222185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-4.5474735088646412E-13</v>
      </c>
      <c r="BZ176" s="14">
        <f>BY176*VLOOKUP('Données projet'!$B$12,Paramètres!$A$1:$I$89,3,0)*VLOOKUP('Données projet'!$B$12,Paramètres!$A$1:$I$89,5,0)</f>
        <v>-3.8307916838675739E-13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477.4105367901771</v>
      </c>
      <c r="CE176" s="62">
        <f t="shared" si="148"/>
        <v>261.95434270986397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-6.2527760746888816E-13</v>
      </c>
      <c r="CU176" s="18">
        <f>CT176*VLOOKUP('Données projet'!$B$13,Paramètres!$A$1:$I$89,3,0)*VLOOKUP('Données projet'!$B$13,Paramètres!$A$1:$I$89,5,0)</f>
        <v>-2.9262992029543964E-13</v>
      </c>
      <c r="CV176" s="14" t="e">
        <f t="shared" si="173"/>
        <v>#NUM!</v>
      </c>
      <c r="CW176" s="22" t="e">
        <f t="shared" si="174"/>
        <v>#NUM!</v>
      </c>
      <c r="CX176" s="62" t="e">
        <f t="shared" si="122"/>
        <v>#NUM!</v>
      </c>
      <c r="CY176" s="62">
        <f ca="1">AVERAGE(OFFSET($CX$3,0,0,'Données projet'!$E$13+1,1))-AVERAGE(OFFSET($H$3,0,0,'Données projet'!$E$13+1,1))</f>
        <v>246.64907095367749</v>
      </c>
      <c r="CZ176" s="62">
        <f t="shared" si="150"/>
        <v>145.34368562171613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-5.6843418860808015E-14</v>
      </c>
      <c r="DP176" s="18">
        <f>DO176*VLOOKUP('Données projet'!$B$14,Paramètres!$A$1:$I$89,3,0)*VLOOKUP('Données projet'!$B$14,Paramètres!$A$1:$I$89,5,0)</f>
        <v>-4.5224624045658861E-14</v>
      </c>
      <c r="DQ176" s="14" t="e">
        <f t="shared" si="176"/>
        <v>#NUM!</v>
      </c>
      <c r="DR176" s="22" t="e">
        <f t="shared" si="177"/>
        <v>#NUM!</v>
      </c>
      <c r="DS176" s="62" t="e">
        <f t="shared" si="125"/>
        <v>#NUM!</v>
      </c>
      <c r="DT176" s="62">
        <f ca="1">AVERAGE(OFFSET($DS$3,0,0,'Données projet'!$E$14+1,1))-AVERAGE(OFFSET($H$3,0,0,'Données projet'!$E$14+1,1))</f>
        <v>370.38521334472284</v>
      </c>
      <c r="DU176" s="62">
        <f t="shared" si="152"/>
        <v>404.61777090709171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-1.1368683772161603E-13</v>
      </c>
      <c r="EK176" s="18">
        <f>EJ176*VLOOKUP('Données projet'!$B$15,Paramètres!$A$1:$I$89,3,0)*VLOOKUP('Données projet'!$B$15,Paramètres!$A$1:$I$89,5,0)</f>
        <v>-9.7543306765146564E-14</v>
      </c>
      <c r="EL176" s="14" t="e">
        <f t="shared" si="179"/>
        <v>#NUM!</v>
      </c>
      <c r="EM176" s="22" t="e">
        <f t="shared" si="180"/>
        <v>#NUM!</v>
      </c>
      <c r="EN176" s="62" t="e">
        <f t="shared" si="128"/>
        <v>#NUM!</v>
      </c>
      <c r="EO176" s="62">
        <f ca="1">AVERAGE(OFFSET($EN$3,0,0,'Données projet'!$E$15+1,1))-AVERAGE(OFFSET($H$3,0,0,'Données projet'!$E$15+1,1))</f>
        <v>445.81166342116865</v>
      </c>
      <c r="EP176" s="62">
        <f t="shared" si="154"/>
        <v>230.82970731138215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0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-4.5474735088646412E-13</v>
      </c>
      <c r="FF176" s="18">
        <f>FE176*VLOOKUP('Données projet'!$B$16,Paramètres!$A$1:$I$89,3,0)*VLOOKUP('Données projet'!$B$16,Paramètres!$A$1:$I$89,5,0)</f>
        <v>-4.3983163777738812E-13</v>
      </c>
      <c r="FG176" s="14" t="e">
        <f t="shared" si="182"/>
        <v>#NUM!</v>
      </c>
      <c r="FH176" s="22" t="e">
        <f t="shared" si="183"/>
        <v>#NUM!</v>
      </c>
      <c r="FI176" s="62" t="e">
        <f t="shared" si="131"/>
        <v>#NUM!</v>
      </c>
      <c r="FJ176" s="62">
        <f ca="1">AVERAGE(OFFSET($FI$3,0,0,'Données projet'!$E$16+1,1))-AVERAGE(OFFSET($H$3,0,0,'Données projet'!$E$16+1,1))</f>
        <v>541.66888676162716</v>
      </c>
      <c r="FK176" s="62">
        <f t="shared" si="156"/>
        <v>294.45557293177131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>
        <f>EXP(-LN(2)/35)*FQ175+(1-EXP(-LN(2)/35))/(LN(2)/35)*FM176*FN176*VLOOKUP('Données projet'!$B$16,Paramètres!$A$1:$I$89,3,0)*0.475*44/12</f>
        <v>0</v>
      </c>
      <c r="FR176" s="23">
        <f>EXP(-LN(2)/25)*FR175+(1-EXP(-LN(2)/25))/(LN(2)/25)*Calculateur!FM176*Calculateur!FO176*VLOOKUP('Données projet'!$B$16,Paramètres!$A$1:$I$89,3,0)*0.475*44/12</f>
        <v>0</v>
      </c>
      <c r="FS176" s="23">
        <f>EXP(-LN(2)/2)*FS175+(1-EXP(-LN(2)/2))/(LN(2)/2)*FM176*FP176*VLOOKUP('Données projet'!$B$16,Paramètres!$A$1:$I$89,3,0)*0.475*44/12</f>
        <v>0</v>
      </c>
      <c r="FT176" s="24">
        <f t="shared" si="184"/>
        <v>0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1.1368683772161603E-13</v>
      </c>
      <c r="GA176" s="18">
        <f>FZ176*VLOOKUP('Données projet'!$B$17,Paramètres!$A$1:$I$89,3,0)*VLOOKUP('Données projet'!$B$17,Paramètres!$A$1:$I$89,5,0)</f>
        <v>8.8675733422860506E-14</v>
      </c>
      <c r="GB176" s="14">
        <f t="shared" si="185"/>
        <v>1.3509285393066301E-12</v>
      </c>
      <c r="GC176" s="22">
        <f t="shared" si="186"/>
        <v>2.5073107750038623E-12</v>
      </c>
      <c r="GD176" s="62">
        <f t="shared" si="134"/>
        <v>293.33333333333582</v>
      </c>
      <c r="GE176" s="62">
        <f ca="1">AVERAGE(OFFSET($GD$3,0,0,'Données projet'!$E$17+1,1))-AVERAGE(OFFSET($H$3,0,0,'Données projet'!$E$17+1,1))</f>
        <v>292.57482726862594</v>
      </c>
      <c r="GF176" s="62">
        <f t="shared" si="158"/>
        <v>283.48738729114024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>
        <f>EXP(-LN(2)/35)*GL175+(1-EXP(-LN(2)/35))/(LN(2)/35)*GH176*GI176*VLOOKUP('Données projet'!$B$17,Paramètres!$A$1:$I$89,3,0)*0.475*44/12</f>
        <v>0</v>
      </c>
      <c r="GM176" s="23">
        <f>EXP(-LN(2)/25)*GM175+(1-EXP(-LN(2)/25))/(LN(2)/25)*Calculateur!GH176*Calculateur!GJ176*VLOOKUP('Données projet'!$B$17,Paramètres!$A$1:$I$89,3,0)*0.475*44/12</f>
        <v>0</v>
      </c>
      <c r="GN176" s="23">
        <f>EXP(-LN(2)/2)*GN175+(1-EXP(-LN(2)/2))/(LN(2)/2)*GH176*GK176*VLOOKUP('Données projet'!$B$17,Paramètres!$A$1:$I$89,3,0)*0.475*44/12</f>
        <v>0</v>
      </c>
      <c r="GO176" s="23">
        <f t="shared" si="187"/>
        <v>0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-2.2737367544323206E-13</v>
      </c>
      <c r="GV176" s="18">
        <f>GU176*VLOOKUP('Données projet'!$B$18,Paramètres!$A$1:$I$89,3,0)*VLOOKUP('Données projet'!$B$18,Paramètres!$A$1:$I$89,5,0)</f>
        <v>-1.5252226148732008E-13</v>
      </c>
      <c r="GW176" s="14" t="e">
        <f t="shared" si="188"/>
        <v>#NUM!</v>
      </c>
      <c r="GX176" s="22" t="e">
        <f t="shared" si="189"/>
        <v>#NUM!</v>
      </c>
      <c r="GY176" s="62" t="e">
        <f t="shared" si="137"/>
        <v>#NUM!</v>
      </c>
      <c r="GZ176" s="62">
        <f ca="1">AVERAGE(OFFSET($GY$3,0,0,'Données projet'!$E$18+1,1))-AVERAGE(OFFSET($H$3,0,0,'Données projet'!$E$18+1,1))</f>
        <v>410.20186800287411</v>
      </c>
      <c r="HA176" s="62">
        <f t="shared" si="160"/>
        <v>321.99347958016057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>
        <f>EXP(-LN(2)/35)*HG175+(1-EXP(-LN(2)/35))/(LN(2)/35)*HC176*HD176*VLOOKUP('Données projet'!$B$18,Paramètres!$A$1:$I$89,3,0)*0.475*44/12</f>
        <v>0</v>
      </c>
      <c r="HH176" s="23">
        <f>EXP(-LN(2)/25)*HH175+(1-EXP(-LN(2)/25))/(LN(2)/25)*Calculateur!HC176*Calculateur!HE176*VLOOKUP('Données projet'!$B$18,Paramètres!$A$1:$I$89,3,0)*0.475*44/12</f>
        <v>0</v>
      </c>
      <c r="HI176" s="23">
        <f>EXP(-LN(2)/2)*HI175+(1-EXP(-LN(2)/2))/(LN(2)/2)*HC176*HF176*VLOOKUP('Données projet'!$B$18,Paramètres!$A$1:$I$89,3,0)*0.475*44/12</f>
        <v>0</v>
      </c>
      <c r="HJ176" s="24">
        <f t="shared" si="190"/>
        <v>0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-4.5474735088646412E-13</v>
      </c>
      <c r="O177" s="14">
        <f>N177*VLOOKUP('Données projet'!$B$9,Paramètres!$A$1:$I$89,3,0)*VLOOKUP('Données projet'!$B$9,Paramètres!$A$1:$I$89,5,0)</f>
        <v>-4.1145540308207271E-13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509.56241660612449</v>
      </c>
      <c r="T177" s="62">
        <f t="shared" si="142"/>
        <v>278.21741231699929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-4.5474735088646412E-13</v>
      </c>
      <c r="AJ177" s="14">
        <f>AI177*VLOOKUP('Données projet'!$B$10,Paramètres!$A$1:$I$89,3,0)*VLOOKUP('Données projet'!$B$10,Paramètres!$A$1:$I$89,5,0)</f>
        <v>-4.6111381379887462E-13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565.72091871734051</v>
      </c>
      <c r="AO177" s="62">
        <f t="shared" si="144"/>
        <v>306.61893266146666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-5.6843418860808015E-14</v>
      </c>
      <c r="BE177" s="14">
        <f>BD177*VLOOKUP('Données projet'!$B$11,Paramètres!$A$1:$I$89,3,0)*VLOOKUP('Données projet'!$B$11,Paramètres!$A$1:$I$89,5,0)</f>
        <v>-4.1677594708744434E-14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344.26020118887629</v>
      </c>
      <c r="BJ177" s="62">
        <f t="shared" si="146"/>
        <v>376.41441893222185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-4.5474735088646412E-13</v>
      </c>
      <c r="BZ177" s="14">
        <f>BY177*VLOOKUP('Données projet'!$B$12,Paramètres!$A$1:$I$89,3,0)*VLOOKUP('Données projet'!$B$12,Paramètres!$A$1:$I$89,5,0)</f>
        <v>-3.8307916838675739E-13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477.4105367901771</v>
      </c>
      <c r="CE177" s="62">
        <f t="shared" si="148"/>
        <v>261.95434270986397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-6.2527760746888816E-13</v>
      </c>
      <c r="CU177" s="18">
        <f>CT177*VLOOKUP('Données projet'!$B$13,Paramètres!$A$1:$I$89,3,0)*VLOOKUP('Données projet'!$B$13,Paramètres!$A$1:$I$89,5,0)</f>
        <v>-2.9262992029543964E-13</v>
      </c>
      <c r="CV177" s="14" t="e">
        <f t="shared" si="173"/>
        <v>#NUM!</v>
      </c>
      <c r="CW177" s="22" t="e">
        <f t="shared" si="174"/>
        <v>#NUM!</v>
      </c>
      <c r="CX177" s="62" t="e">
        <f t="shared" si="122"/>
        <v>#NUM!</v>
      </c>
      <c r="CY177" s="62">
        <f ca="1">AVERAGE(OFFSET($CX$3,0,0,'Données projet'!$E$13+1,1))-AVERAGE(OFFSET($H$3,0,0,'Données projet'!$E$13+1,1))</f>
        <v>246.64907095367749</v>
      </c>
      <c r="CZ177" s="62">
        <f t="shared" si="150"/>
        <v>145.34368562171613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-5.6843418860808015E-14</v>
      </c>
      <c r="DP177" s="18">
        <f>DO177*VLOOKUP('Données projet'!$B$14,Paramètres!$A$1:$I$89,3,0)*VLOOKUP('Données projet'!$B$14,Paramètres!$A$1:$I$89,5,0)</f>
        <v>-4.5224624045658861E-14</v>
      </c>
      <c r="DQ177" s="14" t="e">
        <f t="shared" si="176"/>
        <v>#NUM!</v>
      </c>
      <c r="DR177" s="22" t="e">
        <f t="shared" si="177"/>
        <v>#NUM!</v>
      </c>
      <c r="DS177" s="62" t="e">
        <f t="shared" si="125"/>
        <v>#NUM!</v>
      </c>
      <c r="DT177" s="62">
        <f ca="1">AVERAGE(OFFSET($DS$3,0,0,'Données projet'!$E$14+1,1))-AVERAGE(OFFSET($H$3,0,0,'Données projet'!$E$14+1,1))</f>
        <v>370.38521334472284</v>
      </c>
      <c r="DU177" s="62">
        <f t="shared" si="152"/>
        <v>404.61777090709171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-1.1368683772161603E-13</v>
      </c>
      <c r="EK177" s="18">
        <f>EJ177*VLOOKUP('Données projet'!$B$15,Paramètres!$A$1:$I$89,3,0)*VLOOKUP('Données projet'!$B$15,Paramètres!$A$1:$I$89,5,0)</f>
        <v>-9.7543306765146564E-14</v>
      </c>
      <c r="EL177" s="14" t="e">
        <f t="shared" si="179"/>
        <v>#NUM!</v>
      </c>
      <c r="EM177" s="22" t="e">
        <f t="shared" si="180"/>
        <v>#NUM!</v>
      </c>
      <c r="EN177" s="62" t="e">
        <f t="shared" si="128"/>
        <v>#NUM!</v>
      </c>
      <c r="EO177" s="62">
        <f ca="1">AVERAGE(OFFSET($EN$3,0,0,'Données projet'!$E$15+1,1))-AVERAGE(OFFSET($H$3,0,0,'Données projet'!$E$15+1,1))</f>
        <v>445.81166342116865</v>
      </c>
      <c r="EP177" s="62">
        <f t="shared" si="154"/>
        <v>230.82970731138215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0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-4.5474735088646412E-13</v>
      </c>
      <c r="FF177" s="18">
        <f>FE177*VLOOKUP('Données projet'!$B$16,Paramètres!$A$1:$I$89,3,0)*VLOOKUP('Données projet'!$B$16,Paramètres!$A$1:$I$89,5,0)</f>
        <v>-4.3983163777738812E-13</v>
      </c>
      <c r="FG177" s="14" t="e">
        <f t="shared" si="182"/>
        <v>#NUM!</v>
      </c>
      <c r="FH177" s="22" t="e">
        <f t="shared" si="183"/>
        <v>#NUM!</v>
      </c>
      <c r="FI177" s="62" t="e">
        <f t="shared" si="131"/>
        <v>#NUM!</v>
      </c>
      <c r="FJ177" s="62">
        <f ca="1">AVERAGE(OFFSET($FI$3,0,0,'Données projet'!$E$16+1,1))-AVERAGE(OFFSET($H$3,0,0,'Données projet'!$E$16+1,1))</f>
        <v>541.66888676162716</v>
      </c>
      <c r="FK177" s="62">
        <f t="shared" si="156"/>
        <v>294.45557293177131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>
        <f>EXP(-LN(2)/35)*FQ176+(1-EXP(-LN(2)/35))/(LN(2)/35)*FM177*FN177*VLOOKUP('Données projet'!$B$16,Paramètres!$A$1:$I$89,3,0)*0.475*44/12</f>
        <v>0</v>
      </c>
      <c r="FR177" s="23">
        <f>EXP(-LN(2)/25)*FR176+(1-EXP(-LN(2)/25))/(LN(2)/25)*Calculateur!FM177*Calculateur!FO177*VLOOKUP('Données projet'!$B$16,Paramètres!$A$1:$I$89,3,0)*0.475*44/12</f>
        <v>0</v>
      </c>
      <c r="FS177" s="23">
        <f>EXP(-LN(2)/2)*FS176+(1-EXP(-LN(2)/2))/(LN(2)/2)*FM177*FP177*VLOOKUP('Données projet'!$B$16,Paramètres!$A$1:$I$89,3,0)*0.475*44/12</f>
        <v>0</v>
      </c>
      <c r="FT177" s="24">
        <f t="shared" si="184"/>
        <v>0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1.1368683772161603E-13</v>
      </c>
      <c r="GA177" s="18">
        <f>FZ177*VLOOKUP('Données projet'!$B$17,Paramètres!$A$1:$I$89,3,0)*VLOOKUP('Données projet'!$B$17,Paramètres!$A$1:$I$89,5,0)</f>
        <v>8.8675733422860506E-14</v>
      </c>
      <c r="GB177" s="14">
        <f t="shared" si="185"/>
        <v>1.3509285393066301E-12</v>
      </c>
      <c r="GC177" s="22">
        <f t="shared" si="186"/>
        <v>2.5073107750038623E-12</v>
      </c>
      <c r="GD177" s="62">
        <f t="shared" si="134"/>
        <v>293.33333333333582</v>
      </c>
      <c r="GE177" s="62">
        <f ca="1">AVERAGE(OFFSET($GD$3,0,0,'Données projet'!$E$17+1,1))-AVERAGE(OFFSET($H$3,0,0,'Données projet'!$E$17+1,1))</f>
        <v>292.57482726862594</v>
      </c>
      <c r="GF177" s="62">
        <f t="shared" si="158"/>
        <v>283.48738729114024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>
        <f>EXP(-LN(2)/35)*GL176+(1-EXP(-LN(2)/35))/(LN(2)/35)*GH177*GI177*VLOOKUP('Données projet'!$B$17,Paramètres!$A$1:$I$89,3,0)*0.475*44/12</f>
        <v>0</v>
      </c>
      <c r="GM177" s="23">
        <f>EXP(-LN(2)/25)*GM176+(1-EXP(-LN(2)/25))/(LN(2)/25)*Calculateur!GH177*Calculateur!GJ177*VLOOKUP('Données projet'!$B$17,Paramètres!$A$1:$I$89,3,0)*0.475*44/12</f>
        <v>0</v>
      </c>
      <c r="GN177" s="23">
        <f>EXP(-LN(2)/2)*GN176+(1-EXP(-LN(2)/2))/(LN(2)/2)*GH177*GK177*VLOOKUP('Données projet'!$B$17,Paramètres!$A$1:$I$89,3,0)*0.475*44/12</f>
        <v>0</v>
      </c>
      <c r="GO177" s="23">
        <f t="shared" si="187"/>
        <v>0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-2.2737367544323206E-13</v>
      </c>
      <c r="GV177" s="18">
        <f>GU177*VLOOKUP('Données projet'!$B$18,Paramètres!$A$1:$I$89,3,0)*VLOOKUP('Données projet'!$B$18,Paramètres!$A$1:$I$89,5,0)</f>
        <v>-1.5252226148732008E-13</v>
      </c>
      <c r="GW177" s="14" t="e">
        <f t="shared" si="188"/>
        <v>#NUM!</v>
      </c>
      <c r="GX177" s="22" t="e">
        <f t="shared" si="189"/>
        <v>#NUM!</v>
      </c>
      <c r="GY177" s="62" t="e">
        <f t="shared" si="137"/>
        <v>#NUM!</v>
      </c>
      <c r="GZ177" s="62">
        <f ca="1">AVERAGE(OFFSET($GY$3,0,0,'Données projet'!$E$18+1,1))-AVERAGE(OFFSET($H$3,0,0,'Données projet'!$E$18+1,1))</f>
        <v>410.20186800287411</v>
      </c>
      <c r="HA177" s="62">
        <f t="shared" si="160"/>
        <v>321.99347958016057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>
        <f>EXP(-LN(2)/35)*HG176+(1-EXP(-LN(2)/35))/(LN(2)/35)*HC177*HD177*VLOOKUP('Données projet'!$B$18,Paramètres!$A$1:$I$89,3,0)*0.475*44/12</f>
        <v>0</v>
      </c>
      <c r="HH177" s="23">
        <f>EXP(-LN(2)/25)*HH176+(1-EXP(-LN(2)/25))/(LN(2)/25)*Calculateur!HC177*Calculateur!HE177*VLOOKUP('Données projet'!$B$18,Paramètres!$A$1:$I$89,3,0)*0.475*44/12</f>
        <v>0</v>
      </c>
      <c r="HI177" s="23">
        <f>EXP(-LN(2)/2)*HI176+(1-EXP(-LN(2)/2))/(LN(2)/2)*HC177*HF177*VLOOKUP('Données projet'!$B$18,Paramètres!$A$1:$I$89,3,0)*0.475*44/12</f>
        <v>0</v>
      </c>
      <c r="HJ177" s="24">
        <f t="shared" si="190"/>
        <v>0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-4.5474735088646412E-13</v>
      </c>
      <c r="O178" s="14">
        <f>N178*VLOOKUP('Données projet'!$B$9,Paramètres!$A$1:$I$89,3,0)*VLOOKUP('Données projet'!$B$9,Paramètres!$A$1:$I$89,5,0)</f>
        <v>-4.1145540308207271E-13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509.56241660612449</v>
      </c>
      <c r="T178" s="62">
        <f t="shared" si="142"/>
        <v>278.21741231699929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-4.5474735088646412E-13</v>
      </c>
      <c r="AJ178" s="14">
        <f>AI178*VLOOKUP('Données projet'!$B$10,Paramètres!$A$1:$I$89,3,0)*VLOOKUP('Données projet'!$B$10,Paramètres!$A$1:$I$89,5,0)</f>
        <v>-4.6111381379887462E-13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565.72091871734051</v>
      </c>
      <c r="AO178" s="62">
        <f t="shared" si="144"/>
        <v>306.61893266146666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-5.6843418860808015E-14</v>
      </c>
      <c r="BE178" s="14">
        <f>BD178*VLOOKUP('Données projet'!$B$11,Paramètres!$A$1:$I$89,3,0)*VLOOKUP('Données projet'!$B$11,Paramètres!$A$1:$I$89,5,0)</f>
        <v>-4.1677594708744434E-14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344.26020118887629</v>
      </c>
      <c r="BJ178" s="62">
        <f t="shared" si="146"/>
        <v>376.41441893222185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-4.5474735088646412E-13</v>
      </c>
      <c r="BZ178" s="14">
        <f>BY178*VLOOKUP('Données projet'!$B$12,Paramètres!$A$1:$I$89,3,0)*VLOOKUP('Données projet'!$B$12,Paramètres!$A$1:$I$89,5,0)</f>
        <v>-3.8307916838675739E-13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477.4105367901771</v>
      </c>
      <c r="CE178" s="62">
        <f t="shared" si="148"/>
        <v>261.95434270986397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-6.2527760746888816E-13</v>
      </c>
      <c r="CU178" s="18">
        <f>CT178*VLOOKUP('Données projet'!$B$13,Paramètres!$A$1:$I$89,3,0)*VLOOKUP('Données projet'!$B$13,Paramètres!$A$1:$I$89,5,0)</f>
        <v>-2.9262992029543964E-13</v>
      </c>
      <c r="CV178" s="14" t="e">
        <f t="shared" si="173"/>
        <v>#NUM!</v>
      </c>
      <c r="CW178" s="22" t="e">
        <f t="shared" si="174"/>
        <v>#NUM!</v>
      </c>
      <c r="CX178" s="62" t="e">
        <f t="shared" si="122"/>
        <v>#NUM!</v>
      </c>
      <c r="CY178" s="62">
        <f ca="1">AVERAGE(OFFSET($CX$3,0,0,'Données projet'!$E$13+1,1))-AVERAGE(OFFSET($H$3,0,0,'Données projet'!$E$13+1,1))</f>
        <v>246.64907095367749</v>
      </c>
      <c r="CZ178" s="62">
        <f t="shared" si="150"/>
        <v>145.34368562171613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-5.6843418860808015E-14</v>
      </c>
      <c r="DP178" s="18">
        <f>DO178*VLOOKUP('Données projet'!$B$14,Paramètres!$A$1:$I$89,3,0)*VLOOKUP('Données projet'!$B$14,Paramètres!$A$1:$I$89,5,0)</f>
        <v>-4.5224624045658861E-14</v>
      </c>
      <c r="DQ178" s="14" t="e">
        <f t="shared" si="176"/>
        <v>#NUM!</v>
      </c>
      <c r="DR178" s="22" t="e">
        <f t="shared" si="177"/>
        <v>#NUM!</v>
      </c>
      <c r="DS178" s="62" t="e">
        <f t="shared" si="125"/>
        <v>#NUM!</v>
      </c>
      <c r="DT178" s="62">
        <f ca="1">AVERAGE(OFFSET($DS$3,0,0,'Données projet'!$E$14+1,1))-AVERAGE(OFFSET($H$3,0,0,'Données projet'!$E$14+1,1))</f>
        <v>370.38521334472284</v>
      </c>
      <c r="DU178" s="62">
        <f t="shared" si="152"/>
        <v>404.61777090709171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-1.1368683772161603E-13</v>
      </c>
      <c r="EK178" s="18">
        <f>EJ178*VLOOKUP('Données projet'!$B$15,Paramètres!$A$1:$I$89,3,0)*VLOOKUP('Données projet'!$B$15,Paramètres!$A$1:$I$89,5,0)</f>
        <v>-9.7543306765146564E-14</v>
      </c>
      <c r="EL178" s="14" t="e">
        <f t="shared" si="179"/>
        <v>#NUM!</v>
      </c>
      <c r="EM178" s="22" t="e">
        <f t="shared" si="180"/>
        <v>#NUM!</v>
      </c>
      <c r="EN178" s="62" t="e">
        <f t="shared" si="128"/>
        <v>#NUM!</v>
      </c>
      <c r="EO178" s="62">
        <f ca="1">AVERAGE(OFFSET($EN$3,0,0,'Données projet'!$E$15+1,1))-AVERAGE(OFFSET($H$3,0,0,'Données projet'!$E$15+1,1))</f>
        <v>445.81166342116865</v>
      </c>
      <c r="EP178" s="62">
        <f t="shared" si="154"/>
        <v>230.82970731138215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0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-4.5474735088646412E-13</v>
      </c>
      <c r="FF178" s="18">
        <f>FE178*VLOOKUP('Données projet'!$B$16,Paramètres!$A$1:$I$89,3,0)*VLOOKUP('Données projet'!$B$16,Paramètres!$A$1:$I$89,5,0)</f>
        <v>-4.3983163777738812E-13</v>
      </c>
      <c r="FG178" s="14" t="e">
        <f t="shared" si="182"/>
        <v>#NUM!</v>
      </c>
      <c r="FH178" s="22" t="e">
        <f t="shared" si="183"/>
        <v>#NUM!</v>
      </c>
      <c r="FI178" s="62" t="e">
        <f t="shared" si="131"/>
        <v>#NUM!</v>
      </c>
      <c r="FJ178" s="62">
        <f ca="1">AVERAGE(OFFSET($FI$3,0,0,'Données projet'!$E$16+1,1))-AVERAGE(OFFSET($H$3,0,0,'Données projet'!$E$16+1,1))</f>
        <v>541.66888676162716</v>
      </c>
      <c r="FK178" s="62">
        <f t="shared" si="156"/>
        <v>294.45557293177131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>
        <f>EXP(-LN(2)/35)*FQ177+(1-EXP(-LN(2)/35))/(LN(2)/35)*FM178*FN178*VLOOKUP('Données projet'!$B$16,Paramètres!$A$1:$I$89,3,0)*0.475*44/12</f>
        <v>0</v>
      </c>
      <c r="FR178" s="23">
        <f>EXP(-LN(2)/25)*FR177+(1-EXP(-LN(2)/25))/(LN(2)/25)*Calculateur!FM178*Calculateur!FO178*VLOOKUP('Données projet'!$B$16,Paramètres!$A$1:$I$89,3,0)*0.475*44/12</f>
        <v>0</v>
      </c>
      <c r="FS178" s="23">
        <f>EXP(-LN(2)/2)*FS177+(1-EXP(-LN(2)/2))/(LN(2)/2)*FM178*FP178*VLOOKUP('Données projet'!$B$16,Paramètres!$A$1:$I$89,3,0)*0.475*44/12</f>
        <v>0</v>
      </c>
      <c r="FT178" s="24">
        <f t="shared" si="184"/>
        <v>0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1.1368683772161603E-13</v>
      </c>
      <c r="GA178" s="18">
        <f>FZ178*VLOOKUP('Données projet'!$B$17,Paramètres!$A$1:$I$89,3,0)*VLOOKUP('Données projet'!$B$17,Paramètres!$A$1:$I$89,5,0)</f>
        <v>8.8675733422860506E-14</v>
      </c>
      <c r="GB178" s="14">
        <f t="shared" si="185"/>
        <v>1.3509285393066301E-12</v>
      </c>
      <c r="GC178" s="22">
        <f t="shared" si="186"/>
        <v>2.5073107750038623E-12</v>
      </c>
      <c r="GD178" s="62">
        <f t="shared" si="134"/>
        <v>293.33333333333582</v>
      </c>
      <c r="GE178" s="62">
        <f ca="1">AVERAGE(OFFSET($GD$3,0,0,'Données projet'!$E$17+1,1))-AVERAGE(OFFSET($H$3,0,0,'Données projet'!$E$17+1,1))</f>
        <v>292.57482726862594</v>
      </c>
      <c r="GF178" s="62">
        <f t="shared" si="158"/>
        <v>283.48738729114024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>
        <f>EXP(-LN(2)/35)*GL177+(1-EXP(-LN(2)/35))/(LN(2)/35)*GH178*GI178*VLOOKUP('Données projet'!$B$17,Paramètres!$A$1:$I$89,3,0)*0.475*44/12</f>
        <v>0</v>
      </c>
      <c r="GM178" s="23">
        <f>EXP(-LN(2)/25)*GM177+(1-EXP(-LN(2)/25))/(LN(2)/25)*Calculateur!GH178*Calculateur!GJ178*VLOOKUP('Données projet'!$B$17,Paramètres!$A$1:$I$89,3,0)*0.475*44/12</f>
        <v>0</v>
      </c>
      <c r="GN178" s="23">
        <f>EXP(-LN(2)/2)*GN177+(1-EXP(-LN(2)/2))/(LN(2)/2)*GH178*GK178*VLOOKUP('Données projet'!$B$17,Paramètres!$A$1:$I$89,3,0)*0.475*44/12</f>
        <v>0</v>
      </c>
      <c r="GO178" s="23">
        <f t="shared" si="187"/>
        <v>0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-2.2737367544323206E-13</v>
      </c>
      <c r="GV178" s="18">
        <f>GU178*VLOOKUP('Données projet'!$B$18,Paramètres!$A$1:$I$89,3,0)*VLOOKUP('Données projet'!$B$18,Paramètres!$A$1:$I$89,5,0)</f>
        <v>-1.5252226148732008E-13</v>
      </c>
      <c r="GW178" s="14" t="e">
        <f t="shared" si="188"/>
        <v>#NUM!</v>
      </c>
      <c r="GX178" s="22" t="e">
        <f t="shared" si="189"/>
        <v>#NUM!</v>
      </c>
      <c r="GY178" s="62" t="e">
        <f t="shared" si="137"/>
        <v>#NUM!</v>
      </c>
      <c r="GZ178" s="62">
        <f ca="1">AVERAGE(OFFSET($GY$3,0,0,'Données projet'!$E$18+1,1))-AVERAGE(OFFSET($H$3,0,0,'Données projet'!$E$18+1,1))</f>
        <v>410.20186800287411</v>
      </c>
      <c r="HA178" s="62">
        <f t="shared" si="160"/>
        <v>321.99347958016057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>
        <f>EXP(-LN(2)/35)*HG177+(1-EXP(-LN(2)/35))/(LN(2)/35)*HC178*HD178*VLOOKUP('Données projet'!$B$18,Paramètres!$A$1:$I$89,3,0)*0.475*44/12</f>
        <v>0</v>
      </c>
      <c r="HH178" s="23">
        <f>EXP(-LN(2)/25)*HH177+(1-EXP(-LN(2)/25))/(LN(2)/25)*Calculateur!HC178*Calculateur!HE178*VLOOKUP('Données projet'!$B$18,Paramètres!$A$1:$I$89,3,0)*0.475*44/12</f>
        <v>0</v>
      </c>
      <c r="HI178" s="23">
        <f>EXP(-LN(2)/2)*HI177+(1-EXP(-LN(2)/2))/(LN(2)/2)*HC178*HF178*VLOOKUP('Données projet'!$B$18,Paramètres!$A$1:$I$89,3,0)*0.475*44/12</f>
        <v>0</v>
      </c>
      <c r="HJ178" s="24">
        <f t="shared" si="190"/>
        <v>0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-4.5474735088646412E-13</v>
      </c>
      <c r="O179" s="14">
        <f>N179*VLOOKUP('Données projet'!$B$9,Paramètres!$A$1:$I$89,3,0)*VLOOKUP('Données projet'!$B$9,Paramètres!$A$1:$I$89,5,0)</f>
        <v>-4.1145540308207271E-13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509.56241660612449</v>
      </c>
      <c r="T179" s="62">
        <f t="shared" si="142"/>
        <v>278.21741231699929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-4.5474735088646412E-13</v>
      </c>
      <c r="AJ179" s="14">
        <f>AI179*VLOOKUP('Données projet'!$B$10,Paramètres!$A$1:$I$89,3,0)*VLOOKUP('Données projet'!$B$10,Paramètres!$A$1:$I$89,5,0)</f>
        <v>-4.6111381379887462E-13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565.72091871734051</v>
      </c>
      <c r="AO179" s="62">
        <f t="shared" si="144"/>
        <v>306.61893266146666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-5.6843418860808015E-14</v>
      </c>
      <c r="BE179" s="14">
        <f>BD179*VLOOKUP('Données projet'!$B$11,Paramètres!$A$1:$I$89,3,0)*VLOOKUP('Données projet'!$B$11,Paramètres!$A$1:$I$89,5,0)</f>
        <v>-4.1677594708744434E-14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344.26020118887629</v>
      </c>
      <c r="BJ179" s="62">
        <f t="shared" si="146"/>
        <v>376.41441893222185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-4.5474735088646412E-13</v>
      </c>
      <c r="BZ179" s="14">
        <f>BY179*VLOOKUP('Données projet'!$B$12,Paramètres!$A$1:$I$89,3,0)*VLOOKUP('Données projet'!$B$12,Paramètres!$A$1:$I$89,5,0)</f>
        <v>-3.8307916838675739E-13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477.4105367901771</v>
      </c>
      <c r="CE179" s="62">
        <f t="shared" si="148"/>
        <v>261.95434270986397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-6.2527760746888816E-13</v>
      </c>
      <c r="CU179" s="18">
        <f>CT179*VLOOKUP('Données projet'!$B$13,Paramètres!$A$1:$I$89,3,0)*VLOOKUP('Données projet'!$B$13,Paramètres!$A$1:$I$89,5,0)</f>
        <v>-2.9262992029543964E-13</v>
      </c>
      <c r="CV179" s="14" t="e">
        <f t="shared" si="173"/>
        <v>#NUM!</v>
      </c>
      <c r="CW179" s="22" t="e">
        <f t="shared" si="174"/>
        <v>#NUM!</v>
      </c>
      <c r="CX179" s="62" t="e">
        <f t="shared" si="122"/>
        <v>#NUM!</v>
      </c>
      <c r="CY179" s="62">
        <f ca="1">AVERAGE(OFFSET($CX$3,0,0,'Données projet'!$E$13+1,1))-AVERAGE(OFFSET($H$3,0,0,'Données projet'!$E$13+1,1))</f>
        <v>246.64907095367749</v>
      </c>
      <c r="CZ179" s="62">
        <f t="shared" si="150"/>
        <v>145.34368562171613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-5.6843418860808015E-14</v>
      </c>
      <c r="DP179" s="18">
        <f>DO179*VLOOKUP('Données projet'!$B$14,Paramètres!$A$1:$I$89,3,0)*VLOOKUP('Données projet'!$B$14,Paramètres!$A$1:$I$89,5,0)</f>
        <v>-4.5224624045658861E-14</v>
      </c>
      <c r="DQ179" s="14" t="e">
        <f t="shared" si="176"/>
        <v>#NUM!</v>
      </c>
      <c r="DR179" s="22" t="e">
        <f t="shared" si="177"/>
        <v>#NUM!</v>
      </c>
      <c r="DS179" s="62" t="e">
        <f t="shared" si="125"/>
        <v>#NUM!</v>
      </c>
      <c r="DT179" s="62">
        <f ca="1">AVERAGE(OFFSET($DS$3,0,0,'Données projet'!$E$14+1,1))-AVERAGE(OFFSET($H$3,0,0,'Données projet'!$E$14+1,1))</f>
        <v>370.38521334472284</v>
      </c>
      <c r="DU179" s="62">
        <f t="shared" si="152"/>
        <v>404.61777090709171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-1.1368683772161603E-13</v>
      </c>
      <c r="EK179" s="18">
        <f>EJ179*VLOOKUP('Données projet'!$B$15,Paramètres!$A$1:$I$89,3,0)*VLOOKUP('Données projet'!$B$15,Paramètres!$A$1:$I$89,5,0)</f>
        <v>-9.7543306765146564E-14</v>
      </c>
      <c r="EL179" s="14" t="e">
        <f t="shared" si="179"/>
        <v>#NUM!</v>
      </c>
      <c r="EM179" s="22" t="e">
        <f t="shared" si="180"/>
        <v>#NUM!</v>
      </c>
      <c r="EN179" s="62" t="e">
        <f t="shared" si="128"/>
        <v>#NUM!</v>
      </c>
      <c r="EO179" s="62">
        <f ca="1">AVERAGE(OFFSET($EN$3,0,0,'Données projet'!$E$15+1,1))-AVERAGE(OFFSET($H$3,0,0,'Données projet'!$E$15+1,1))</f>
        <v>445.81166342116865</v>
      </c>
      <c r="EP179" s="62">
        <f t="shared" si="154"/>
        <v>230.82970731138215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0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-4.5474735088646412E-13</v>
      </c>
      <c r="FF179" s="18">
        <f>FE179*VLOOKUP('Données projet'!$B$16,Paramètres!$A$1:$I$89,3,0)*VLOOKUP('Données projet'!$B$16,Paramètres!$A$1:$I$89,5,0)</f>
        <v>-4.3983163777738812E-13</v>
      </c>
      <c r="FG179" s="14" t="e">
        <f t="shared" si="182"/>
        <v>#NUM!</v>
      </c>
      <c r="FH179" s="22" t="e">
        <f t="shared" si="183"/>
        <v>#NUM!</v>
      </c>
      <c r="FI179" s="62" t="e">
        <f t="shared" si="131"/>
        <v>#NUM!</v>
      </c>
      <c r="FJ179" s="62">
        <f ca="1">AVERAGE(OFFSET($FI$3,0,0,'Données projet'!$E$16+1,1))-AVERAGE(OFFSET($H$3,0,0,'Données projet'!$E$16+1,1))</f>
        <v>541.66888676162716</v>
      </c>
      <c r="FK179" s="62">
        <f t="shared" si="156"/>
        <v>294.45557293177131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>
        <f>EXP(-LN(2)/35)*FQ178+(1-EXP(-LN(2)/35))/(LN(2)/35)*FM179*FN179*VLOOKUP('Données projet'!$B$16,Paramètres!$A$1:$I$89,3,0)*0.475*44/12</f>
        <v>0</v>
      </c>
      <c r="FR179" s="23">
        <f>EXP(-LN(2)/25)*FR178+(1-EXP(-LN(2)/25))/(LN(2)/25)*Calculateur!FM179*Calculateur!FO179*VLOOKUP('Données projet'!$B$16,Paramètres!$A$1:$I$89,3,0)*0.475*44/12</f>
        <v>0</v>
      </c>
      <c r="FS179" s="23">
        <f>EXP(-LN(2)/2)*FS178+(1-EXP(-LN(2)/2))/(LN(2)/2)*FM179*FP179*VLOOKUP('Données projet'!$B$16,Paramètres!$A$1:$I$89,3,0)*0.475*44/12</f>
        <v>0</v>
      </c>
      <c r="FT179" s="24">
        <f t="shared" si="184"/>
        <v>0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1.1368683772161603E-13</v>
      </c>
      <c r="GA179" s="18">
        <f>FZ179*VLOOKUP('Données projet'!$B$17,Paramètres!$A$1:$I$89,3,0)*VLOOKUP('Données projet'!$B$17,Paramètres!$A$1:$I$89,5,0)</f>
        <v>8.8675733422860506E-14</v>
      </c>
      <c r="GB179" s="14">
        <f t="shared" si="185"/>
        <v>1.3509285393066301E-12</v>
      </c>
      <c r="GC179" s="22">
        <f t="shared" si="186"/>
        <v>2.5073107750038623E-12</v>
      </c>
      <c r="GD179" s="62">
        <f t="shared" si="134"/>
        <v>293.33333333333582</v>
      </c>
      <c r="GE179" s="62">
        <f ca="1">AVERAGE(OFFSET($GD$3,0,0,'Données projet'!$E$17+1,1))-AVERAGE(OFFSET($H$3,0,0,'Données projet'!$E$17+1,1))</f>
        <v>292.57482726862594</v>
      </c>
      <c r="GF179" s="62">
        <f t="shared" si="158"/>
        <v>283.48738729114024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>
        <f>EXP(-LN(2)/35)*GL178+(1-EXP(-LN(2)/35))/(LN(2)/35)*GH179*GI179*VLOOKUP('Données projet'!$B$17,Paramètres!$A$1:$I$89,3,0)*0.475*44/12</f>
        <v>0</v>
      </c>
      <c r="GM179" s="23">
        <f>EXP(-LN(2)/25)*GM178+(1-EXP(-LN(2)/25))/(LN(2)/25)*Calculateur!GH179*Calculateur!GJ179*VLOOKUP('Données projet'!$B$17,Paramètres!$A$1:$I$89,3,0)*0.475*44/12</f>
        <v>0</v>
      </c>
      <c r="GN179" s="23">
        <f>EXP(-LN(2)/2)*GN178+(1-EXP(-LN(2)/2))/(LN(2)/2)*GH179*GK179*VLOOKUP('Données projet'!$B$17,Paramètres!$A$1:$I$89,3,0)*0.475*44/12</f>
        <v>0</v>
      </c>
      <c r="GO179" s="23">
        <f t="shared" si="187"/>
        <v>0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-2.2737367544323206E-13</v>
      </c>
      <c r="GV179" s="18">
        <f>GU179*VLOOKUP('Données projet'!$B$18,Paramètres!$A$1:$I$89,3,0)*VLOOKUP('Données projet'!$B$18,Paramètres!$A$1:$I$89,5,0)</f>
        <v>-1.5252226148732008E-13</v>
      </c>
      <c r="GW179" s="14" t="e">
        <f t="shared" si="188"/>
        <v>#NUM!</v>
      </c>
      <c r="GX179" s="22" t="e">
        <f t="shared" si="189"/>
        <v>#NUM!</v>
      </c>
      <c r="GY179" s="62" t="e">
        <f t="shared" si="137"/>
        <v>#NUM!</v>
      </c>
      <c r="GZ179" s="62">
        <f ca="1">AVERAGE(OFFSET($GY$3,0,0,'Données projet'!$E$18+1,1))-AVERAGE(OFFSET($H$3,0,0,'Données projet'!$E$18+1,1))</f>
        <v>410.20186800287411</v>
      </c>
      <c r="HA179" s="62">
        <f t="shared" si="160"/>
        <v>321.99347958016057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>
        <f>EXP(-LN(2)/35)*HG178+(1-EXP(-LN(2)/35))/(LN(2)/35)*HC179*HD179*VLOOKUP('Données projet'!$B$18,Paramètres!$A$1:$I$89,3,0)*0.475*44/12</f>
        <v>0</v>
      </c>
      <c r="HH179" s="23">
        <f>EXP(-LN(2)/25)*HH178+(1-EXP(-LN(2)/25))/(LN(2)/25)*Calculateur!HC179*Calculateur!HE179*VLOOKUP('Données projet'!$B$18,Paramètres!$A$1:$I$89,3,0)*0.475*44/12</f>
        <v>0</v>
      </c>
      <c r="HI179" s="23">
        <f>EXP(-LN(2)/2)*HI178+(1-EXP(-LN(2)/2))/(LN(2)/2)*HC179*HF179*VLOOKUP('Données projet'!$B$18,Paramètres!$A$1:$I$89,3,0)*0.475*44/12</f>
        <v>0</v>
      </c>
      <c r="HJ179" s="24">
        <f t="shared" si="190"/>
        <v>0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-4.5474735088646412E-13</v>
      </c>
      <c r="O180" s="14">
        <f>N180*VLOOKUP('Données projet'!$B$9,Paramètres!$A$1:$I$89,3,0)*VLOOKUP('Données projet'!$B$9,Paramètres!$A$1:$I$89,5,0)</f>
        <v>-4.1145540308207271E-13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509.56241660612449</v>
      </c>
      <c r="T180" s="62">
        <f t="shared" si="142"/>
        <v>278.21741231699929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-4.5474735088646412E-13</v>
      </c>
      <c r="AJ180" s="14">
        <f>AI180*VLOOKUP('Données projet'!$B$10,Paramètres!$A$1:$I$89,3,0)*VLOOKUP('Données projet'!$B$10,Paramètres!$A$1:$I$89,5,0)</f>
        <v>-4.6111381379887462E-13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565.72091871734051</v>
      </c>
      <c r="AO180" s="62">
        <f t="shared" si="144"/>
        <v>306.61893266146666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-5.6843418860808015E-14</v>
      </c>
      <c r="BE180" s="14">
        <f>BD180*VLOOKUP('Données projet'!$B$11,Paramètres!$A$1:$I$89,3,0)*VLOOKUP('Données projet'!$B$11,Paramètres!$A$1:$I$89,5,0)</f>
        <v>-4.1677594708744434E-14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344.26020118887629</v>
      </c>
      <c r="BJ180" s="62">
        <f t="shared" si="146"/>
        <v>376.41441893222185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-4.5474735088646412E-13</v>
      </c>
      <c r="BZ180" s="14">
        <f>BY180*VLOOKUP('Données projet'!$B$12,Paramètres!$A$1:$I$89,3,0)*VLOOKUP('Données projet'!$B$12,Paramètres!$A$1:$I$89,5,0)</f>
        <v>-3.8307916838675739E-13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477.4105367901771</v>
      </c>
      <c r="CE180" s="62">
        <f t="shared" si="148"/>
        <v>261.95434270986397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-6.2527760746888816E-13</v>
      </c>
      <c r="CU180" s="18">
        <f>CT180*VLOOKUP('Données projet'!$B$13,Paramètres!$A$1:$I$89,3,0)*VLOOKUP('Données projet'!$B$13,Paramètres!$A$1:$I$89,5,0)</f>
        <v>-2.9262992029543964E-13</v>
      </c>
      <c r="CV180" s="14" t="e">
        <f t="shared" si="173"/>
        <v>#NUM!</v>
      </c>
      <c r="CW180" s="22" t="e">
        <f t="shared" si="174"/>
        <v>#NUM!</v>
      </c>
      <c r="CX180" s="62" t="e">
        <f t="shared" si="122"/>
        <v>#NUM!</v>
      </c>
      <c r="CY180" s="62">
        <f ca="1">AVERAGE(OFFSET($CX$3,0,0,'Données projet'!$E$13+1,1))-AVERAGE(OFFSET($H$3,0,0,'Données projet'!$E$13+1,1))</f>
        <v>246.64907095367749</v>
      </c>
      <c r="CZ180" s="62">
        <f t="shared" si="150"/>
        <v>145.34368562171613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-5.6843418860808015E-14</v>
      </c>
      <c r="DP180" s="18">
        <f>DO180*VLOOKUP('Données projet'!$B$14,Paramètres!$A$1:$I$89,3,0)*VLOOKUP('Données projet'!$B$14,Paramètres!$A$1:$I$89,5,0)</f>
        <v>-4.5224624045658861E-14</v>
      </c>
      <c r="DQ180" s="14" t="e">
        <f t="shared" si="176"/>
        <v>#NUM!</v>
      </c>
      <c r="DR180" s="22" t="e">
        <f t="shared" si="177"/>
        <v>#NUM!</v>
      </c>
      <c r="DS180" s="62" t="e">
        <f t="shared" si="125"/>
        <v>#NUM!</v>
      </c>
      <c r="DT180" s="62">
        <f ca="1">AVERAGE(OFFSET($DS$3,0,0,'Données projet'!$E$14+1,1))-AVERAGE(OFFSET($H$3,0,0,'Données projet'!$E$14+1,1))</f>
        <v>370.38521334472284</v>
      </c>
      <c r="DU180" s="62">
        <f t="shared" si="152"/>
        <v>404.61777090709171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-1.1368683772161603E-13</v>
      </c>
      <c r="EK180" s="18">
        <f>EJ180*VLOOKUP('Données projet'!$B$15,Paramètres!$A$1:$I$89,3,0)*VLOOKUP('Données projet'!$B$15,Paramètres!$A$1:$I$89,5,0)</f>
        <v>-9.7543306765146564E-14</v>
      </c>
      <c r="EL180" s="14" t="e">
        <f t="shared" si="179"/>
        <v>#NUM!</v>
      </c>
      <c r="EM180" s="22" t="e">
        <f t="shared" si="180"/>
        <v>#NUM!</v>
      </c>
      <c r="EN180" s="62" t="e">
        <f t="shared" si="128"/>
        <v>#NUM!</v>
      </c>
      <c r="EO180" s="62">
        <f ca="1">AVERAGE(OFFSET($EN$3,0,0,'Données projet'!$E$15+1,1))-AVERAGE(OFFSET($H$3,0,0,'Données projet'!$E$15+1,1))</f>
        <v>445.81166342116865</v>
      </c>
      <c r="EP180" s="62">
        <f t="shared" si="154"/>
        <v>230.82970731138215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0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-4.5474735088646412E-13</v>
      </c>
      <c r="FF180" s="18">
        <f>FE180*VLOOKUP('Données projet'!$B$16,Paramètres!$A$1:$I$89,3,0)*VLOOKUP('Données projet'!$B$16,Paramètres!$A$1:$I$89,5,0)</f>
        <v>-4.3983163777738812E-13</v>
      </c>
      <c r="FG180" s="14" t="e">
        <f t="shared" si="182"/>
        <v>#NUM!</v>
      </c>
      <c r="FH180" s="22" t="e">
        <f t="shared" si="183"/>
        <v>#NUM!</v>
      </c>
      <c r="FI180" s="62" t="e">
        <f t="shared" si="131"/>
        <v>#NUM!</v>
      </c>
      <c r="FJ180" s="62">
        <f ca="1">AVERAGE(OFFSET($FI$3,0,0,'Données projet'!$E$16+1,1))-AVERAGE(OFFSET($H$3,0,0,'Données projet'!$E$16+1,1))</f>
        <v>541.66888676162716</v>
      </c>
      <c r="FK180" s="62">
        <f t="shared" si="156"/>
        <v>294.45557293177131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>
        <f>EXP(-LN(2)/35)*FQ179+(1-EXP(-LN(2)/35))/(LN(2)/35)*FM180*FN180*VLOOKUP('Données projet'!$B$16,Paramètres!$A$1:$I$89,3,0)*0.475*44/12</f>
        <v>0</v>
      </c>
      <c r="FR180" s="23">
        <f>EXP(-LN(2)/25)*FR179+(1-EXP(-LN(2)/25))/(LN(2)/25)*Calculateur!FM180*Calculateur!FO180*VLOOKUP('Données projet'!$B$16,Paramètres!$A$1:$I$89,3,0)*0.475*44/12</f>
        <v>0</v>
      </c>
      <c r="FS180" s="23">
        <f>EXP(-LN(2)/2)*FS179+(1-EXP(-LN(2)/2))/(LN(2)/2)*FM180*FP180*VLOOKUP('Données projet'!$B$16,Paramètres!$A$1:$I$89,3,0)*0.475*44/12</f>
        <v>0</v>
      </c>
      <c r="FT180" s="24">
        <f t="shared" si="184"/>
        <v>0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1.1368683772161603E-13</v>
      </c>
      <c r="GA180" s="18">
        <f>FZ180*VLOOKUP('Données projet'!$B$17,Paramètres!$A$1:$I$89,3,0)*VLOOKUP('Données projet'!$B$17,Paramètres!$A$1:$I$89,5,0)</f>
        <v>8.8675733422860506E-14</v>
      </c>
      <c r="GB180" s="14">
        <f t="shared" si="185"/>
        <v>1.3509285393066301E-12</v>
      </c>
      <c r="GC180" s="22">
        <f t="shared" si="186"/>
        <v>2.5073107750038623E-12</v>
      </c>
      <c r="GD180" s="62">
        <f t="shared" si="134"/>
        <v>293.33333333333582</v>
      </c>
      <c r="GE180" s="62">
        <f ca="1">AVERAGE(OFFSET($GD$3,0,0,'Données projet'!$E$17+1,1))-AVERAGE(OFFSET($H$3,0,0,'Données projet'!$E$17+1,1))</f>
        <v>292.57482726862594</v>
      </c>
      <c r="GF180" s="62">
        <f t="shared" si="158"/>
        <v>283.48738729114024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>
        <f>EXP(-LN(2)/35)*GL179+(1-EXP(-LN(2)/35))/(LN(2)/35)*GH180*GI180*VLOOKUP('Données projet'!$B$17,Paramètres!$A$1:$I$89,3,0)*0.475*44/12</f>
        <v>0</v>
      </c>
      <c r="GM180" s="23">
        <f>EXP(-LN(2)/25)*GM179+(1-EXP(-LN(2)/25))/(LN(2)/25)*Calculateur!GH180*Calculateur!GJ180*VLOOKUP('Données projet'!$B$17,Paramètres!$A$1:$I$89,3,0)*0.475*44/12</f>
        <v>0</v>
      </c>
      <c r="GN180" s="23">
        <f>EXP(-LN(2)/2)*GN179+(1-EXP(-LN(2)/2))/(LN(2)/2)*GH180*GK180*VLOOKUP('Données projet'!$B$17,Paramètres!$A$1:$I$89,3,0)*0.475*44/12</f>
        <v>0</v>
      </c>
      <c r="GO180" s="23">
        <f t="shared" si="187"/>
        <v>0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-2.2737367544323206E-13</v>
      </c>
      <c r="GV180" s="18">
        <f>GU180*VLOOKUP('Données projet'!$B$18,Paramètres!$A$1:$I$89,3,0)*VLOOKUP('Données projet'!$B$18,Paramètres!$A$1:$I$89,5,0)</f>
        <v>-1.5252226148732008E-13</v>
      </c>
      <c r="GW180" s="14" t="e">
        <f t="shared" si="188"/>
        <v>#NUM!</v>
      </c>
      <c r="GX180" s="22" t="e">
        <f t="shared" si="189"/>
        <v>#NUM!</v>
      </c>
      <c r="GY180" s="62" t="e">
        <f t="shared" si="137"/>
        <v>#NUM!</v>
      </c>
      <c r="GZ180" s="62">
        <f ca="1">AVERAGE(OFFSET($GY$3,0,0,'Données projet'!$E$18+1,1))-AVERAGE(OFFSET($H$3,0,0,'Données projet'!$E$18+1,1))</f>
        <v>410.20186800287411</v>
      </c>
      <c r="HA180" s="62">
        <f t="shared" si="160"/>
        <v>321.99347958016057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>
        <f>EXP(-LN(2)/35)*HG179+(1-EXP(-LN(2)/35))/(LN(2)/35)*HC180*HD180*VLOOKUP('Données projet'!$B$18,Paramètres!$A$1:$I$89,3,0)*0.475*44/12</f>
        <v>0</v>
      </c>
      <c r="HH180" s="23">
        <f>EXP(-LN(2)/25)*HH179+(1-EXP(-LN(2)/25))/(LN(2)/25)*Calculateur!HC180*Calculateur!HE180*VLOOKUP('Données projet'!$B$18,Paramètres!$A$1:$I$89,3,0)*0.475*44/12</f>
        <v>0</v>
      </c>
      <c r="HI180" s="23">
        <f>EXP(-LN(2)/2)*HI179+(1-EXP(-LN(2)/2))/(LN(2)/2)*HC180*HF180*VLOOKUP('Données projet'!$B$18,Paramètres!$A$1:$I$89,3,0)*0.475*44/12</f>
        <v>0</v>
      </c>
      <c r="HJ180" s="24">
        <f t="shared" si="190"/>
        <v>0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-4.5474735088646412E-13</v>
      </c>
      <c r="O181" s="14">
        <f>N181*VLOOKUP('Données projet'!$B$9,Paramètres!$A$1:$I$89,3,0)*VLOOKUP('Données projet'!$B$9,Paramètres!$A$1:$I$89,5,0)</f>
        <v>-4.1145540308207271E-13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509.56241660612449</v>
      </c>
      <c r="T181" s="62">
        <f t="shared" si="142"/>
        <v>278.21741231699929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-4.5474735088646412E-13</v>
      </c>
      <c r="AJ181" s="14">
        <f>AI181*VLOOKUP('Données projet'!$B$10,Paramètres!$A$1:$I$89,3,0)*VLOOKUP('Données projet'!$B$10,Paramètres!$A$1:$I$89,5,0)</f>
        <v>-4.6111381379887462E-13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565.72091871734051</v>
      </c>
      <c r="AO181" s="62">
        <f t="shared" si="144"/>
        <v>306.61893266146666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-5.6843418860808015E-14</v>
      </c>
      <c r="BE181" s="14">
        <f>BD181*VLOOKUP('Données projet'!$B$11,Paramètres!$A$1:$I$89,3,0)*VLOOKUP('Données projet'!$B$11,Paramètres!$A$1:$I$89,5,0)</f>
        <v>-4.1677594708744434E-14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344.26020118887629</v>
      </c>
      <c r="BJ181" s="62">
        <f t="shared" si="146"/>
        <v>376.41441893222185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-4.5474735088646412E-13</v>
      </c>
      <c r="BZ181" s="14">
        <f>BY181*VLOOKUP('Données projet'!$B$12,Paramètres!$A$1:$I$89,3,0)*VLOOKUP('Données projet'!$B$12,Paramètres!$A$1:$I$89,5,0)</f>
        <v>-3.8307916838675739E-13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477.4105367901771</v>
      </c>
      <c r="CE181" s="62">
        <f t="shared" si="148"/>
        <v>261.95434270986397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-6.2527760746888816E-13</v>
      </c>
      <c r="CU181" s="18">
        <f>CT181*VLOOKUP('Données projet'!$B$13,Paramètres!$A$1:$I$89,3,0)*VLOOKUP('Données projet'!$B$13,Paramètres!$A$1:$I$89,5,0)</f>
        <v>-2.9262992029543964E-13</v>
      </c>
      <c r="CV181" s="14" t="e">
        <f t="shared" si="173"/>
        <v>#NUM!</v>
      </c>
      <c r="CW181" s="22" t="e">
        <f t="shared" si="174"/>
        <v>#NUM!</v>
      </c>
      <c r="CX181" s="62" t="e">
        <f t="shared" si="122"/>
        <v>#NUM!</v>
      </c>
      <c r="CY181" s="62">
        <f ca="1">AVERAGE(OFFSET($CX$3,0,0,'Données projet'!$E$13+1,1))-AVERAGE(OFFSET($H$3,0,0,'Données projet'!$E$13+1,1))</f>
        <v>246.64907095367749</v>
      </c>
      <c r="CZ181" s="62">
        <f t="shared" si="150"/>
        <v>145.34368562171613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-5.6843418860808015E-14</v>
      </c>
      <c r="DP181" s="18">
        <f>DO181*VLOOKUP('Données projet'!$B$14,Paramètres!$A$1:$I$89,3,0)*VLOOKUP('Données projet'!$B$14,Paramètres!$A$1:$I$89,5,0)</f>
        <v>-4.5224624045658861E-14</v>
      </c>
      <c r="DQ181" s="14" t="e">
        <f t="shared" si="176"/>
        <v>#NUM!</v>
      </c>
      <c r="DR181" s="22" t="e">
        <f t="shared" si="177"/>
        <v>#NUM!</v>
      </c>
      <c r="DS181" s="62" t="e">
        <f t="shared" si="125"/>
        <v>#NUM!</v>
      </c>
      <c r="DT181" s="62">
        <f ca="1">AVERAGE(OFFSET($DS$3,0,0,'Données projet'!$E$14+1,1))-AVERAGE(OFFSET($H$3,0,0,'Données projet'!$E$14+1,1))</f>
        <v>370.38521334472284</v>
      </c>
      <c r="DU181" s="62">
        <f t="shared" si="152"/>
        <v>404.61777090709171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-1.1368683772161603E-13</v>
      </c>
      <c r="EK181" s="18">
        <f>EJ181*VLOOKUP('Données projet'!$B$15,Paramètres!$A$1:$I$89,3,0)*VLOOKUP('Données projet'!$B$15,Paramètres!$A$1:$I$89,5,0)</f>
        <v>-9.7543306765146564E-14</v>
      </c>
      <c r="EL181" s="14" t="e">
        <f t="shared" si="179"/>
        <v>#NUM!</v>
      </c>
      <c r="EM181" s="22" t="e">
        <f t="shared" si="180"/>
        <v>#NUM!</v>
      </c>
      <c r="EN181" s="62" t="e">
        <f t="shared" si="128"/>
        <v>#NUM!</v>
      </c>
      <c r="EO181" s="62">
        <f ca="1">AVERAGE(OFFSET($EN$3,0,0,'Données projet'!$E$15+1,1))-AVERAGE(OFFSET($H$3,0,0,'Données projet'!$E$15+1,1))</f>
        <v>445.81166342116865</v>
      </c>
      <c r="EP181" s="62">
        <f t="shared" si="154"/>
        <v>230.82970731138215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0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-4.5474735088646412E-13</v>
      </c>
      <c r="FF181" s="18">
        <f>FE181*VLOOKUP('Données projet'!$B$16,Paramètres!$A$1:$I$89,3,0)*VLOOKUP('Données projet'!$B$16,Paramètres!$A$1:$I$89,5,0)</f>
        <v>-4.3983163777738812E-13</v>
      </c>
      <c r="FG181" s="14" t="e">
        <f t="shared" si="182"/>
        <v>#NUM!</v>
      </c>
      <c r="FH181" s="22" t="e">
        <f t="shared" si="183"/>
        <v>#NUM!</v>
      </c>
      <c r="FI181" s="62" t="e">
        <f t="shared" si="131"/>
        <v>#NUM!</v>
      </c>
      <c r="FJ181" s="62">
        <f ca="1">AVERAGE(OFFSET($FI$3,0,0,'Données projet'!$E$16+1,1))-AVERAGE(OFFSET($H$3,0,0,'Données projet'!$E$16+1,1))</f>
        <v>541.66888676162716</v>
      </c>
      <c r="FK181" s="62">
        <f t="shared" si="156"/>
        <v>294.45557293177131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>
        <f>EXP(-LN(2)/35)*FQ180+(1-EXP(-LN(2)/35))/(LN(2)/35)*FM181*FN181*VLOOKUP('Données projet'!$B$16,Paramètres!$A$1:$I$89,3,0)*0.475*44/12</f>
        <v>0</v>
      </c>
      <c r="FR181" s="23">
        <f>EXP(-LN(2)/25)*FR180+(1-EXP(-LN(2)/25))/(LN(2)/25)*Calculateur!FM181*Calculateur!FO181*VLOOKUP('Données projet'!$B$16,Paramètres!$A$1:$I$89,3,0)*0.475*44/12</f>
        <v>0</v>
      </c>
      <c r="FS181" s="23">
        <f>EXP(-LN(2)/2)*FS180+(1-EXP(-LN(2)/2))/(LN(2)/2)*FM181*FP181*VLOOKUP('Données projet'!$B$16,Paramètres!$A$1:$I$89,3,0)*0.475*44/12</f>
        <v>0</v>
      </c>
      <c r="FT181" s="24">
        <f t="shared" si="184"/>
        <v>0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1.1368683772161603E-13</v>
      </c>
      <c r="GA181" s="18">
        <f>FZ181*VLOOKUP('Données projet'!$B$17,Paramètres!$A$1:$I$89,3,0)*VLOOKUP('Données projet'!$B$17,Paramètres!$A$1:$I$89,5,0)</f>
        <v>8.8675733422860506E-14</v>
      </c>
      <c r="GB181" s="14">
        <f t="shared" si="185"/>
        <v>1.3509285393066301E-12</v>
      </c>
      <c r="GC181" s="22">
        <f t="shared" si="186"/>
        <v>2.5073107750038623E-12</v>
      </c>
      <c r="GD181" s="62">
        <f t="shared" si="134"/>
        <v>293.33333333333582</v>
      </c>
      <c r="GE181" s="62">
        <f ca="1">AVERAGE(OFFSET($GD$3,0,0,'Données projet'!$E$17+1,1))-AVERAGE(OFFSET($H$3,0,0,'Données projet'!$E$17+1,1))</f>
        <v>292.57482726862594</v>
      </c>
      <c r="GF181" s="62">
        <f t="shared" si="158"/>
        <v>283.48738729114024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>
        <f>EXP(-LN(2)/35)*GL180+(1-EXP(-LN(2)/35))/(LN(2)/35)*GH181*GI181*VLOOKUP('Données projet'!$B$17,Paramètres!$A$1:$I$89,3,0)*0.475*44/12</f>
        <v>0</v>
      </c>
      <c r="GM181" s="23">
        <f>EXP(-LN(2)/25)*GM180+(1-EXP(-LN(2)/25))/(LN(2)/25)*Calculateur!GH181*Calculateur!GJ181*VLOOKUP('Données projet'!$B$17,Paramètres!$A$1:$I$89,3,0)*0.475*44/12</f>
        <v>0</v>
      </c>
      <c r="GN181" s="23">
        <f>EXP(-LN(2)/2)*GN180+(1-EXP(-LN(2)/2))/(LN(2)/2)*GH181*GK181*VLOOKUP('Données projet'!$B$17,Paramètres!$A$1:$I$89,3,0)*0.475*44/12</f>
        <v>0</v>
      </c>
      <c r="GO181" s="23">
        <f t="shared" si="187"/>
        <v>0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-2.2737367544323206E-13</v>
      </c>
      <c r="GV181" s="18">
        <f>GU181*VLOOKUP('Données projet'!$B$18,Paramètres!$A$1:$I$89,3,0)*VLOOKUP('Données projet'!$B$18,Paramètres!$A$1:$I$89,5,0)</f>
        <v>-1.5252226148732008E-13</v>
      </c>
      <c r="GW181" s="14" t="e">
        <f t="shared" si="188"/>
        <v>#NUM!</v>
      </c>
      <c r="GX181" s="22" t="e">
        <f t="shared" si="189"/>
        <v>#NUM!</v>
      </c>
      <c r="GY181" s="62" t="e">
        <f t="shared" si="137"/>
        <v>#NUM!</v>
      </c>
      <c r="GZ181" s="62">
        <f ca="1">AVERAGE(OFFSET($GY$3,0,0,'Données projet'!$E$18+1,1))-AVERAGE(OFFSET($H$3,0,0,'Données projet'!$E$18+1,1))</f>
        <v>410.20186800287411</v>
      </c>
      <c r="HA181" s="62">
        <f t="shared" si="160"/>
        <v>321.99347958016057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>
        <f>EXP(-LN(2)/35)*HG180+(1-EXP(-LN(2)/35))/(LN(2)/35)*HC181*HD181*VLOOKUP('Données projet'!$B$18,Paramètres!$A$1:$I$89,3,0)*0.475*44/12</f>
        <v>0</v>
      </c>
      <c r="HH181" s="23">
        <f>EXP(-LN(2)/25)*HH180+(1-EXP(-LN(2)/25))/(LN(2)/25)*Calculateur!HC181*Calculateur!HE181*VLOOKUP('Données projet'!$B$18,Paramètres!$A$1:$I$89,3,0)*0.475*44/12</f>
        <v>0</v>
      </c>
      <c r="HI181" s="23">
        <f>EXP(-LN(2)/2)*HI180+(1-EXP(-LN(2)/2))/(LN(2)/2)*HC181*HF181*VLOOKUP('Données projet'!$B$18,Paramètres!$A$1:$I$89,3,0)*0.475*44/12</f>
        <v>0</v>
      </c>
      <c r="HJ181" s="24">
        <f t="shared" si="190"/>
        <v>0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-4.5474735088646412E-13</v>
      </c>
      <c r="O182" s="14">
        <f>N182*VLOOKUP('Données projet'!$B$9,Paramètres!$A$1:$I$89,3,0)*VLOOKUP('Données projet'!$B$9,Paramètres!$A$1:$I$89,5,0)</f>
        <v>-4.1145540308207271E-13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509.56241660612449</v>
      </c>
      <c r="T182" s="62">
        <f t="shared" si="142"/>
        <v>278.21741231699929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-4.5474735088646412E-13</v>
      </c>
      <c r="AJ182" s="14">
        <f>AI182*VLOOKUP('Données projet'!$B$10,Paramètres!$A$1:$I$89,3,0)*VLOOKUP('Données projet'!$B$10,Paramètres!$A$1:$I$89,5,0)</f>
        <v>-4.6111381379887462E-13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565.72091871734051</v>
      </c>
      <c r="AO182" s="62">
        <f t="shared" si="144"/>
        <v>306.61893266146666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-5.6843418860808015E-14</v>
      </c>
      <c r="BE182" s="14">
        <f>BD182*VLOOKUP('Données projet'!$B$11,Paramètres!$A$1:$I$89,3,0)*VLOOKUP('Données projet'!$B$11,Paramètres!$A$1:$I$89,5,0)</f>
        <v>-4.1677594708744434E-14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344.26020118887629</v>
      </c>
      <c r="BJ182" s="62">
        <f t="shared" si="146"/>
        <v>376.41441893222185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-4.5474735088646412E-13</v>
      </c>
      <c r="BZ182" s="14">
        <f>BY182*VLOOKUP('Données projet'!$B$12,Paramètres!$A$1:$I$89,3,0)*VLOOKUP('Données projet'!$B$12,Paramètres!$A$1:$I$89,5,0)</f>
        <v>-3.8307916838675739E-13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477.4105367901771</v>
      </c>
      <c r="CE182" s="62">
        <f t="shared" si="148"/>
        <v>261.95434270986397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-6.2527760746888816E-13</v>
      </c>
      <c r="CU182" s="18">
        <f>CT182*VLOOKUP('Données projet'!$B$13,Paramètres!$A$1:$I$89,3,0)*VLOOKUP('Données projet'!$B$13,Paramètres!$A$1:$I$89,5,0)</f>
        <v>-2.9262992029543964E-13</v>
      </c>
      <c r="CV182" s="14" t="e">
        <f t="shared" si="173"/>
        <v>#NUM!</v>
      </c>
      <c r="CW182" s="22" t="e">
        <f t="shared" si="174"/>
        <v>#NUM!</v>
      </c>
      <c r="CX182" s="62" t="e">
        <f t="shared" si="122"/>
        <v>#NUM!</v>
      </c>
      <c r="CY182" s="62">
        <f ca="1">AVERAGE(OFFSET($CX$3,0,0,'Données projet'!$E$13+1,1))-AVERAGE(OFFSET($H$3,0,0,'Données projet'!$E$13+1,1))</f>
        <v>246.64907095367749</v>
      </c>
      <c r="CZ182" s="62">
        <f t="shared" si="150"/>
        <v>145.34368562171613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-5.6843418860808015E-14</v>
      </c>
      <c r="DP182" s="18">
        <f>DO182*VLOOKUP('Données projet'!$B$14,Paramètres!$A$1:$I$89,3,0)*VLOOKUP('Données projet'!$B$14,Paramètres!$A$1:$I$89,5,0)</f>
        <v>-4.5224624045658861E-14</v>
      </c>
      <c r="DQ182" s="14" t="e">
        <f t="shared" si="176"/>
        <v>#NUM!</v>
      </c>
      <c r="DR182" s="22" t="e">
        <f t="shared" si="177"/>
        <v>#NUM!</v>
      </c>
      <c r="DS182" s="62" t="e">
        <f t="shared" si="125"/>
        <v>#NUM!</v>
      </c>
      <c r="DT182" s="62">
        <f ca="1">AVERAGE(OFFSET($DS$3,0,0,'Données projet'!$E$14+1,1))-AVERAGE(OFFSET($H$3,0,0,'Données projet'!$E$14+1,1))</f>
        <v>370.38521334472284</v>
      </c>
      <c r="DU182" s="62">
        <f t="shared" si="152"/>
        <v>404.61777090709171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-1.1368683772161603E-13</v>
      </c>
      <c r="EK182" s="18">
        <f>EJ182*VLOOKUP('Données projet'!$B$15,Paramètres!$A$1:$I$89,3,0)*VLOOKUP('Données projet'!$B$15,Paramètres!$A$1:$I$89,5,0)</f>
        <v>-9.7543306765146564E-14</v>
      </c>
      <c r="EL182" s="14" t="e">
        <f t="shared" si="179"/>
        <v>#NUM!</v>
      </c>
      <c r="EM182" s="22" t="e">
        <f t="shared" si="180"/>
        <v>#NUM!</v>
      </c>
      <c r="EN182" s="62" t="e">
        <f t="shared" si="128"/>
        <v>#NUM!</v>
      </c>
      <c r="EO182" s="62">
        <f ca="1">AVERAGE(OFFSET($EN$3,0,0,'Données projet'!$E$15+1,1))-AVERAGE(OFFSET($H$3,0,0,'Données projet'!$E$15+1,1))</f>
        <v>445.81166342116865</v>
      </c>
      <c r="EP182" s="62">
        <f t="shared" si="154"/>
        <v>230.82970731138215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0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-4.5474735088646412E-13</v>
      </c>
      <c r="FF182" s="18">
        <f>FE182*VLOOKUP('Données projet'!$B$16,Paramètres!$A$1:$I$89,3,0)*VLOOKUP('Données projet'!$B$16,Paramètres!$A$1:$I$89,5,0)</f>
        <v>-4.3983163777738812E-13</v>
      </c>
      <c r="FG182" s="14" t="e">
        <f t="shared" si="182"/>
        <v>#NUM!</v>
      </c>
      <c r="FH182" s="22" t="e">
        <f t="shared" si="183"/>
        <v>#NUM!</v>
      </c>
      <c r="FI182" s="62" t="e">
        <f t="shared" si="131"/>
        <v>#NUM!</v>
      </c>
      <c r="FJ182" s="62">
        <f ca="1">AVERAGE(OFFSET($FI$3,0,0,'Données projet'!$E$16+1,1))-AVERAGE(OFFSET($H$3,0,0,'Données projet'!$E$16+1,1))</f>
        <v>541.66888676162716</v>
      </c>
      <c r="FK182" s="62">
        <f t="shared" si="156"/>
        <v>294.45557293177131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>
        <f>EXP(-LN(2)/35)*FQ181+(1-EXP(-LN(2)/35))/(LN(2)/35)*FM182*FN182*VLOOKUP('Données projet'!$B$16,Paramètres!$A$1:$I$89,3,0)*0.475*44/12</f>
        <v>0</v>
      </c>
      <c r="FR182" s="23">
        <f>EXP(-LN(2)/25)*FR181+(1-EXP(-LN(2)/25))/(LN(2)/25)*Calculateur!FM182*Calculateur!FO182*VLOOKUP('Données projet'!$B$16,Paramètres!$A$1:$I$89,3,0)*0.475*44/12</f>
        <v>0</v>
      </c>
      <c r="FS182" s="23">
        <f>EXP(-LN(2)/2)*FS181+(1-EXP(-LN(2)/2))/(LN(2)/2)*FM182*FP182*VLOOKUP('Données projet'!$B$16,Paramètres!$A$1:$I$89,3,0)*0.475*44/12</f>
        <v>0</v>
      </c>
      <c r="FT182" s="24">
        <f t="shared" si="184"/>
        <v>0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1.1368683772161603E-13</v>
      </c>
      <c r="GA182" s="18">
        <f>FZ182*VLOOKUP('Données projet'!$B$17,Paramètres!$A$1:$I$89,3,0)*VLOOKUP('Données projet'!$B$17,Paramètres!$A$1:$I$89,5,0)</f>
        <v>8.8675733422860506E-14</v>
      </c>
      <c r="GB182" s="14">
        <f t="shared" si="185"/>
        <v>1.3509285393066301E-12</v>
      </c>
      <c r="GC182" s="22">
        <f t="shared" si="186"/>
        <v>2.5073107750038623E-12</v>
      </c>
      <c r="GD182" s="62">
        <f t="shared" si="134"/>
        <v>293.33333333333582</v>
      </c>
      <c r="GE182" s="62">
        <f ca="1">AVERAGE(OFFSET($GD$3,0,0,'Données projet'!$E$17+1,1))-AVERAGE(OFFSET($H$3,0,0,'Données projet'!$E$17+1,1))</f>
        <v>292.57482726862594</v>
      </c>
      <c r="GF182" s="62">
        <f t="shared" si="158"/>
        <v>283.48738729114024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>
        <f>EXP(-LN(2)/35)*GL181+(1-EXP(-LN(2)/35))/(LN(2)/35)*GH182*GI182*VLOOKUP('Données projet'!$B$17,Paramètres!$A$1:$I$89,3,0)*0.475*44/12</f>
        <v>0</v>
      </c>
      <c r="GM182" s="23">
        <f>EXP(-LN(2)/25)*GM181+(1-EXP(-LN(2)/25))/(LN(2)/25)*Calculateur!GH182*Calculateur!GJ182*VLOOKUP('Données projet'!$B$17,Paramètres!$A$1:$I$89,3,0)*0.475*44/12</f>
        <v>0</v>
      </c>
      <c r="GN182" s="23">
        <f>EXP(-LN(2)/2)*GN181+(1-EXP(-LN(2)/2))/(LN(2)/2)*GH182*GK182*VLOOKUP('Données projet'!$B$17,Paramètres!$A$1:$I$89,3,0)*0.475*44/12</f>
        <v>0</v>
      </c>
      <c r="GO182" s="23">
        <f t="shared" si="187"/>
        <v>0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-2.2737367544323206E-13</v>
      </c>
      <c r="GV182" s="18">
        <f>GU182*VLOOKUP('Données projet'!$B$18,Paramètres!$A$1:$I$89,3,0)*VLOOKUP('Données projet'!$B$18,Paramètres!$A$1:$I$89,5,0)</f>
        <v>-1.5252226148732008E-13</v>
      </c>
      <c r="GW182" s="14" t="e">
        <f t="shared" si="188"/>
        <v>#NUM!</v>
      </c>
      <c r="GX182" s="22" t="e">
        <f t="shared" si="189"/>
        <v>#NUM!</v>
      </c>
      <c r="GY182" s="62" t="e">
        <f t="shared" si="137"/>
        <v>#NUM!</v>
      </c>
      <c r="GZ182" s="62">
        <f ca="1">AVERAGE(OFFSET($GY$3,0,0,'Données projet'!$E$18+1,1))-AVERAGE(OFFSET($H$3,0,0,'Données projet'!$E$18+1,1))</f>
        <v>410.20186800287411</v>
      </c>
      <c r="HA182" s="62">
        <f t="shared" si="160"/>
        <v>321.99347958016057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>
        <f>EXP(-LN(2)/35)*HG181+(1-EXP(-LN(2)/35))/(LN(2)/35)*HC182*HD182*VLOOKUP('Données projet'!$B$18,Paramètres!$A$1:$I$89,3,0)*0.475*44/12</f>
        <v>0</v>
      </c>
      <c r="HH182" s="23">
        <f>EXP(-LN(2)/25)*HH181+(1-EXP(-LN(2)/25))/(LN(2)/25)*Calculateur!HC182*Calculateur!HE182*VLOOKUP('Données projet'!$B$18,Paramètres!$A$1:$I$89,3,0)*0.475*44/12</f>
        <v>0</v>
      </c>
      <c r="HI182" s="23">
        <f>EXP(-LN(2)/2)*HI181+(1-EXP(-LN(2)/2))/(LN(2)/2)*HC182*HF182*VLOOKUP('Données projet'!$B$18,Paramètres!$A$1:$I$89,3,0)*0.475*44/12</f>
        <v>0</v>
      </c>
      <c r="HJ182" s="24">
        <f t="shared" si="190"/>
        <v>0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-4.5474735088646412E-13</v>
      </c>
      <c r="O183" s="14">
        <f>N183*VLOOKUP('Données projet'!$B$9,Paramètres!$A$1:$I$89,3,0)*VLOOKUP('Données projet'!$B$9,Paramètres!$A$1:$I$89,5,0)</f>
        <v>-4.1145540308207271E-13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509.56241660612449</v>
      </c>
      <c r="T183" s="62">
        <f t="shared" si="142"/>
        <v>278.21741231699929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-4.5474735088646412E-13</v>
      </c>
      <c r="AJ183" s="14">
        <f>AI183*VLOOKUP('Données projet'!$B$10,Paramètres!$A$1:$I$89,3,0)*VLOOKUP('Données projet'!$B$10,Paramètres!$A$1:$I$89,5,0)</f>
        <v>-4.6111381379887462E-13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565.72091871734051</v>
      </c>
      <c r="AO183" s="62">
        <f t="shared" si="144"/>
        <v>306.61893266146666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-5.6843418860808015E-14</v>
      </c>
      <c r="BE183" s="14">
        <f>BD183*VLOOKUP('Données projet'!$B$11,Paramètres!$A$1:$I$89,3,0)*VLOOKUP('Données projet'!$B$11,Paramètres!$A$1:$I$89,5,0)</f>
        <v>-4.1677594708744434E-14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344.26020118887629</v>
      </c>
      <c r="BJ183" s="62">
        <f t="shared" si="146"/>
        <v>376.41441893222185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-4.5474735088646412E-13</v>
      </c>
      <c r="BZ183" s="14">
        <f>BY183*VLOOKUP('Données projet'!$B$12,Paramètres!$A$1:$I$89,3,0)*VLOOKUP('Données projet'!$B$12,Paramètres!$A$1:$I$89,5,0)</f>
        <v>-3.8307916838675739E-13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477.4105367901771</v>
      </c>
      <c r="CE183" s="62">
        <f t="shared" si="148"/>
        <v>261.95434270986397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-6.2527760746888816E-13</v>
      </c>
      <c r="CU183" s="18">
        <f>CT183*VLOOKUP('Données projet'!$B$13,Paramètres!$A$1:$I$89,3,0)*VLOOKUP('Données projet'!$B$13,Paramètres!$A$1:$I$89,5,0)</f>
        <v>-2.9262992029543964E-13</v>
      </c>
      <c r="CV183" s="14" t="e">
        <f t="shared" si="173"/>
        <v>#NUM!</v>
      </c>
      <c r="CW183" s="22" t="e">
        <f t="shared" si="174"/>
        <v>#NUM!</v>
      </c>
      <c r="CX183" s="62" t="e">
        <f t="shared" si="122"/>
        <v>#NUM!</v>
      </c>
      <c r="CY183" s="62">
        <f ca="1">AVERAGE(OFFSET($CX$3,0,0,'Données projet'!$E$13+1,1))-AVERAGE(OFFSET($H$3,0,0,'Données projet'!$E$13+1,1))</f>
        <v>246.64907095367749</v>
      </c>
      <c r="CZ183" s="62">
        <f t="shared" si="150"/>
        <v>145.34368562171613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-5.6843418860808015E-14</v>
      </c>
      <c r="DP183" s="18">
        <f>DO183*VLOOKUP('Données projet'!$B$14,Paramètres!$A$1:$I$89,3,0)*VLOOKUP('Données projet'!$B$14,Paramètres!$A$1:$I$89,5,0)</f>
        <v>-4.5224624045658861E-14</v>
      </c>
      <c r="DQ183" s="14" t="e">
        <f t="shared" si="176"/>
        <v>#NUM!</v>
      </c>
      <c r="DR183" s="22" t="e">
        <f t="shared" si="177"/>
        <v>#NUM!</v>
      </c>
      <c r="DS183" s="62" t="e">
        <f t="shared" si="125"/>
        <v>#NUM!</v>
      </c>
      <c r="DT183" s="62">
        <f ca="1">AVERAGE(OFFSET($DS$3,0,0,'Données projet'!$E$14+1,1))-AVERAGE(OFFSET($H$3,0,0,'Données projet'!$E$14+1,1))</f>
        <v>370.38521334472284</v>
      </c>
      <c r="DU183" s="62">
        <f t="shared" si="152"/>
        <v>404.61777090709171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-1.1368683772161603E-13</v>
      </c>
      <c r="EK183" s="18">
        <f>EJ183*VLOOKUP('Données projet'!$B$15,Paramètres!$A$1:$I$89,3,0)*VLOOKUP('Données projet'!$B$15,Paramètres!$A$1:$I$89,5,0)</f>
        <v>-9.7543306765146564E-14</v>
      </c>
      <c r="EL183" s="14" t="e">
        <f t="shared" si="179"/>
        <v>#NUM!</v>
      </c>
      <c r="EM183" s="22" t="e">
        <f t="shared" si="180"/>
        <v>#NUM!</v>
      </c>
      <c r="EN183" s="62" t="e">
        <f t="shared" si="128"/>
        <v>#NUM!</v>
      </c>
      <c r="EO183" s="62">
        <f ca="1">AVERAGE(OFFSET($EN$3,0,0,'Données projet'!$E$15+1,1))-AVERAGE(OFFSET($H$3,0,0,'Données projet'!$E$15+1,1))</f>
        <v>445.81166342116865</v>
      </c>
      <c r="EP183" s="62">
        <f t="shared" si="154"/>
        <v>230.82970731138215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0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-4.5474735088646412E-13</v>
      </c>
      <c r="FF183" s="18">
        <f>FE183*VLOOKUP('Données projet'!$B$16,Paramètres!$A$1:$I$89,3,0)*VLOOKUP('Données projet'!$B$16,Paramètres!$A$1:$I$89,5,0)</f>
        <v>-4.3983163777738812E-13</v>
      </c>
      <c r="FG183" s="14" t="e">
        <f t="shared" si="182"/>
        <v>#NUM!</v>
      </c>
      <c r="FH183" s="22" t="e">
        <f t="shared" si="183"/>
        <v>#NUM!</v>
      </c>
      <c r="FI183" s="62" t="e">
        <f t="shared" si="131"/>
        <v>#NUM!</v>
      </c>
      <c r="FJ183" s="62">
        <f ca="1">AVERAGE(OFFSET($FI$3,0,0,'Données projet'!$E$16+1,1))-AVERAGE(OFFSET($H$3,0,0,'Données projet'!$E$16+1,1))</f>
        <v>541.66888676162716</v>
      </c>
      <c r="FK183" s="62">
        <f t="shared" si="156"/>
        <v>294.45557293177131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>
        <f>EXP(-LN(2)/35)*FQ182+(1-EXP(-LN(2)/35))/(LN(2)/35)*FM183*FN183*VLOOKUP('Données projet'!$B$16,Paramètres!$A$1:$I$89,3,0)*0.475*44/12</f>
        <v>0</v>
      </c>
      <c r="FR183" s="23">
        <f>EXP(-LN(2)/25)*FR182+(1-EXP(-LN(2)/25))/(LN(2)/25)*Calculateur!FM183*Calculateur!FO183*VLOOKUP('Données projet'!$B$16,Paramètres!$A$1:$I$89,3,0)*0.475*44/12</f>
        <v>0</v>
      </c>
      <c r="FS183" s="23">
        <f>EXP(-LN(2)/2)*FS182+(1-EXP(-LN(2)/2))/(LN(2)/2)*FM183*FP183*VLOOKUP('Données projet'!$B$16,Paramètres!$A$1:$I$89,3,0)*0.475*44/12</f>
        <v>0</v>
      </c>
      <c r="FT183" s="24">
        <f t="shared" si="184"/>
        <v>0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1.1368683772161603E-13</v>
      </c>
      <c r="GA183" s="18">
        <f>FZ183*VLOOKUP('Données projet'!$B$17,Paramètres!$A$1:$I$89,3,0)*VLOOKUP('Données projet'!$B$17,Paramètres!$A$1:$I$89,5,0)</f>
        <v>8.8675733422860506E-14</v>
      </c>
      <c r="GB183" s="14">
        <f t="shared" si="185"/>
        <v>1.3509285393066301E-12</v>
      </c>
      <c r="GC183" s="22">
        <f t="shared" si="186"/>
        <v>2.5073107750038623E-12</v>
      </c>
      <c r="GD183" s="62">
        <f t="shared" si="134"/>
        <v>293.33333333333582</v>
      </c>
      <c r="GE183" s="62">
        <f ca="1">AVERAGE(OFFSET($GD$3,0,0,'Données projet'!$E$17+1,1))-AVERAGE(OFFSET($H$3,0,0,'Données projet'!$E$17+1,1))</f>
        <v>292.57482726862594</v>
      </c>
      <c r="GF183" s="62">
        <f t="shared" si="158"/>
        <v>283.48738729114024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>
        <f>EXP(-LN(2)/35)*GL182+(1-EXP(-LN(2)/35))/(LN(2)/35)*GH183*GI183*VLOOKUP('Données projet'!$B$17,Paramètres!$A$1:$I$89,3,0)*0.475*44/12</f>
        <v>0</v>
      </c>
      <c r="GM183" s="23">
        <f>EXP(-LN(2)/25)*GM182+(1-EXP(-LN(2)/25))/(LN(2)/25)*Calculateur!GH183*Calculateur!GJ183*VLOOKUP('Données projet'!$B$17,Paramètres!$A$1:$I$89,3,0)*0.475*44/12</f>
        <v>0</v>
      </c>
      <c r="GN183" s="23">
        <f>EXP(-LN(2)/2)*GN182+(1-EXP(-LN(2)/2))/(LN(2)/2)*GH183*GK183*VLOOKUP('Données projet'!$B$17,Paramètres!$A$1:$I$89,3,0)*0.475*44/12</f>
        <v>0</v>
      </c>
      <c r="GO183" s="23">
        <f t="shared" si="187"/>
        <v>0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-2.2737367544323206E-13</v>
      </c>
      <c r="GV183" s="18">
        <f>GU183*VLOOKUP('Données projet'!$B$18,Paramètres!$A$1:$I$89,3,0)*VLOOKUP('Données projet'!$B$18,Paramètres!$A$1:$I$89,5,0)</f>
        <v>-1.5252226148732008E-13</v>
      </c>
      <c r="GW183" s="14" t="e">
        <f t="shared" si="188"/>
        <v>#NUM!</v>
      </c>
      <c r="GX183" s="22" t="e">
        <f t="shared" si="189"/>
        <v>#NUM!</v>
      </c>
      <c r="GY183" s="62" t="e">
        <f t="shared" si="137"/>
        <v>#NUM!</v>
      </c>
      <c r="GZ183" s="62">
        <f ca="1">AVERAGE(OFFSET($GY$3,0,0,'Données projet'!$E$18+1,1))-AVERAGE(OFFSET($H$3,0,0,'Données projet'!$E$18+1,1))</f>
        <v>410.20186800287411</v>
      </c>
      <c r="HA183" s="62">
        <f t="shared" si="160"/>
        <v>321.99347958016057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>
        <f>EXP(-LN(2)/35)*HG182+(1-EXP(-LN(2)/35))/(LN(2)/35)*HC183*HD183*VLOOKUP('Données projet'!$B$18,Paramètres!$A$1:$I$89,3,0)*0.475*44/12</f>
        <v>0</v>
      </c>
      <c r="HH183" s="23">
        <f>EXP(-LN(2)/25)*HH182+(1-EXP(-LN(2)/25))/(LN(2)/25)*Calculateur!HC183*Calculateur!HE183*VLOOKUP('Données projet'!$B$18,Paramètres!$A$1:$I$89,3,0)*0.475*44/12</f>
        <v>0</v>
      </c>
      <c r="HI183" s="23">
        <f>EXP(-LN(2)/2)*HI182+(1-EXP(-LN(2)/2))/(LN(2)/2)*HC183*HF183*VLOOKUP('Données projet'!$B$18,Paramètres!$A$1:$I$89,3,0)*0.475*44/12</f>
        <v>0</v>
      </c>
      <c r="HJ183" s="24">
        <f t="shared" si="190"/>
        <v>0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-4.5474735088646412E-13</v>
      </c>
      <c r="O184" s="14">
        <f>N184*VLOOKUP('Données projet'!$B$9,Paramètres!$A$1:$I$89,3,0)*VLOOKUP('Données projet'!$B$9,Paramètres!$A$1:$I$89,5,0)</f>
        <v>-4.1145540308207271E-13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509.56241660612449</v>
      </c>
      <c r="T184" s="62">
        <f t="shared" si="142"/>
        <v>278.21741231699929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-4.5474735088646412E-13</v>
      </c>
      <c r="AJ184" s="14">
        <f>AI184*VLOOKUP('Données projet'!$B$10,Paramètres!$A$1:$I$89,3,0)*VLOOKUP('Données projet'!$B$10,Paramètres!$A$1:$I$89,5,0)</f>
        <v>-4.6111381379887462E-13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565.72091871734051</v>
      </c>
      <c r="AO184" s="62">
        <f t="shared" si="144"/>
        <v>306.61893266146666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-5.6843418860808015E-14</v>
      </c>
      <c r="BE184" s="14">
        <f>BD184*VLOOKUP('Données projet'!$B$11,Paramètres!$A$1:$I$89,3,0)*VLOOKUP('Données projet'!$B$11,Paramètres!$A$1:$I$89,5,0)</f>
        <v>-4.1677594708744434E-14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344.26020118887629</v>
      </c>
      <c r="BJ184" s="62">
        <f t="shared" si="146"/>
        <v>376.41441893222185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-4.5474735088646412E-13</v>
      </c>
      <c r="BZ184" s="14">
        <f>BY184*VLOOKUP('Données projet'!$B$12,Paramètres!$A$1:$I$89,3,0)*VLOOKUP('Données projet'!$B$12,Paramètres!$A$1:$I$89,5,0)</f>
        <v>-3.8307916838675739E-13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477.4105367901771</v>
      </c>
      <c r="CE184" s="62">
        <f t="shared" si="148"/>
        <v>261.95434270986397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-6.2527760746888816E-13</v>
      </c>
      <c r="CU184" s="18">
        <f>CT184*VLOOKUP('Données projet'!$B$13,Paramètres!$A$1:$I$89,3,0)*VLOOKUP('Données projet'!$B$13,Paramètres!$A$1:$I$89,5,0)</f>
        <v>-2.9262992029543964E-13</v>
      </c>
      <c r="CV184" s="14" t="e">
        <f t="shared" si="173"/>
        <v>#NUM!</v>
      </c>
      <c r="CW184" s="22" t="e">
        <f t="shared" si="174"/>
        <v>#NUM!</v>
      </c>
      <c r="CX184" s="62" t="e">
        <f t="shared" si="122"/>
        <v>#NUM!</v>
      </c>
      <c r="CY184" s="62">
        <f ca="1">AVERAGE(OFFSET($CX$3,0,0,'Données projet'!$E$13+1,1))-AVERAGE(OFFSET($H$3,0,0,'Données projet'!$E$13+1,1))</f>
        <v>246.64907095367749</v>
      </c>
      <c r="CZ184" s="62">
        <f t="shared" si="150"/>
        <v>145.34368562171613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-5.6843418860808015E-14</v>
      </c>
      <c r="DP184" s="18">
        <f>DO184*VLOOKUP('Données projet'!$B$14,Paramètres!$A$1:$I$89,3,0)*VLOOKUP('Données projet'!$B$14,Paramètres!$A$1:$I$89,5,0)</f>
        <v>-4.5224624045658861E-14</v>
      </c>
      <c r="DQ184" s="14" t="e">
        <f t="shared" si="176"/>
        <v>#NUM!</v>
      </c>
      <c r="DR184" s="22" t="e">
        <f t="shared" si="177"/>
        <v>#NUM!</v>
      </c>
      <c r="DS184" s="62" t="e">
        <f t="shared" si="125"/>
        <v>#NUM!</v>
      </c>
      <c r="DT184" s="62">
        <f ca="1">AVERAGE(OFFSET($DS$3,0,0,'Données projet'!$E$14+1,1))-AVERAGE(OFFSET($H$3,0,0,'Données projet'!$E$14+1,1))</f>
        <v>370.38521334472284</v>
      </c>
      <c r="DU184" s="62">
        <f t="shared" si="152"/>
        <v>404.61777090709171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-1.1368683772161603E-13</v>
      </c>
      <c r="EK184" s="18">
        <f>EJ184*VLOOKUP('Données projet'!$B$15,Paramètres!$A$1:$I$89,3,0)*VLOOKUP('Données projet'!$B$15,Paramètres!$A$1:$I$89,5,0)</f>
        <v>-9.7543306765146564E-14</v>
      </c>
      <c r="EL184" s="14" t="e">
        <f t="shared" si="179"/>
        <v>#NUM!</v>
      </c>
      <c r="EM184" s="22" t="e">
        <f t="shared" si="180"/>
        <v>#NUM!</v>
      </c>
      <c r="EN184" s="62" t="e">
        <f t="shared" si="128"/>
        <v>#NUM!</v>
      </c>
      <c r="EO184" s="62">
        <f ca="1">AVERAGE(OFFSET($EN$3,0,0,'Données projet'!$E$15+1,1))-AVERAGE(OFFSET($H$3,0,0,'Données projet'!$E$15+1,1))</f>
        <v>445.81166342116865</v>
      </c>
      <c r="EP184" s="62">
        <f t="shared" si="154"/>
        <v>230.82970731138215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0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-4.5474735088646412E-13</v>
      </c>
      <c r="FF184" s="18">
        <f>FE184*VLOOKUP('Données projet'!$B$16,Paramètres!$A$1:$I$89,3,0)*VLOOKUP('Données projet'!$B$16,Paramètres!$A$1:$I$89,5,0)</f>
        <v>-4.3983163777738812E-13</v>
      </c>
      <c r="FG184" s="14" t="e">
        <f t="shared" si="182"/>
        <v>#NUM!</v>
      </c>
      <c r="FH184" s="22" t="e">
        <f t="shared" si="183"/>
        <v>#NUM!</v>
      </c>
      <c r="FI184" s="62" t="e">
        <f t="shared" si="131"/>
        <v>#NUM!</v>
      </c>
      <c r="FJ184" s="62">
        <f ca="1">AVERAGE(OFFSET($FI$3,0,0,'Données projet'!$E$16+1,1))-AVERAGE(OFFSET($H$3,0,0,'Données projet'!$E$16+1,1))</f>
        <v>541.66888676162716</v>
      </c>
      <c r="FK184" s="62">
        <f t="shared" si="156"/>
        <v>294.45557293177131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>
        <f>EXP(-LN(2)/35)*FQ183+(1-EXP(-LN(2)/35))/(LN(2)/35)*FM184*FN184*VLOOKUP('Données projet'!$B$16,Paramètres!$A$1:$I$89,3,0)*0.475*44/12</f>
        <v>0</v>
      </c>
      <c r="FR184" s="23">
        <f>EXP(-LN(2)/25)*FR183+(1-EXP(-LN(2)/25))/(LN(2)/25)*Calculateur!FM184*Calculateur!FO184*VLOOKUP('Données projet'!$B$16,Paramètres!$A$1:$I$89,3,0)*0.475*44/12</f>
        <v>0</v>
      </c>
      <c r="FS184" s="23">
        <f>EXP(-LN(2)/2)*FS183+(1-EXP(-LN(2)/2))/(LN(2)/2)*FM184*FP184*VLOOKUP('Données projet'!$B$16,Paramètres!$A$1:$I$89,3,0)*0.475*44/12</f>
        <v>0</v>
      </c>
      <c r="FT184" s="24">
        <f t="shared" si="184"/>
        <v>0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1.1368683772161603E-13</v>
      </c>
      <c r="GA184" s="18">
        <f>FZ184*VLOOKUP('Données projet'!$B$17,Paramètres!$A$1:$I$89,3,0)*VLOOKUP('Données projet'!$B$17,Paramètres!$A$1:$I$89,5,0)</f>
        <v>8.8675733422860506E-14</v>
      </c>
      <c r="GB184" s="14">
        <f t="shared" si="185"/>
        <v>1.3509285393066301E-12</v>
      </c>
      <c r="GC184" s="22">
        <f t="shared" si="186"/>
        <v>2.5073107750038623E-12</v>
      </c>
      <c r="GD184" s="62">
        <f t="shared" si="134"/>
        <v>293.33333333333582</v>
      </c>
      <c r="GE184" s="62">
        <f ca="1">AVERAGE(OFFSET($GD$3,0,0,'Données projet'!$E$17+1,1))-AVERAGE(OFFSET($H$3,0,0,'Données projet'!$E$17+1,1))</f>
        <v>292.57482726862594</v>
      </c>
      <c r="GF184" s="62">
        <f t="shared" si="158"/>
        <v>283.48738729114024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>
        <f>EXP(-LN(2)/35)*GL183+(1-EXP(-LN(2)/35))/(LN(2)/35)*GH184*GI184*VLOOKUP('Données projet'!$B$17,Paramètres!$A$1:$I$89,3,0)*0.475*44/12</f>
        <v>0</v>
      </c>
      <c r="GM184" s="23">
        <f>EXP(-LN(2)/25)*GM183+(1-EXP(-LN(2)/25))/(LN(2)/25)*Calculateur!GH184*Calculateur!GJ184*VLOOKUP('Données projet'!$B$17,Paramètres!$A$1:$I$89,3,0)*0.475*44/12</f>
        <v>0</v>
      </c>
      <c r="GN184" s="23">
        <f>EXP(-LN(2)/2)*GN183+(1-EXP(-LN(2)/2))/(LN(2)/2)*GH184*GK184*VLOOKUP('Données projet'!$B$17,Paramètres!$A$1:$I$89,3,0)*0.475*44/12</f>
        <v>0</v>
      </c>
      <c r="GO184" s="23">
        <f t="shared" si="187"/>
        <v>0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-2.2737367544323206E-13</v>
      </c>
      <c r="GV184" s="18">
        <f>GU184*VLOOKUP('Données projet'!$B$18,Paramètres!$A$1:$I$89,3,0)*VLOOKUP('Données projet'!$B$18,Paramètres!$A$1:$I$89,5,0)</f>
        <v>-1.5252226148732008E-13</v>
      </c>
      <c r="GW184" s="14" t="e">
        <f t="shared" si="188"/>
        <v>#NUM!</v>
      </c>
      <c r="GX184" s="22" t="e">
        <f t="shared" si="189"/>
        <v>#NUM!</v>
      </c>
      <c r="GY184" s="62" t="e">
        <f t="shared" si="137"/>
        <v>#NUM!</v>
      </c>
      <c r="GZ184" s="62">
        <f ca="1">AVERAGE(OFFSET($GY$3,0,0,'Données projet'!$E$18+1,1))-AVERAGE(OFFSET($H$3,0,0,'Données projet'!$E$18+1,1))</f>
        <v>410.20186800287411</v>
      </c>
      <c r="HA184" s="62">
        <f t="shared" si="160"/>
        <v>321.99347958016057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>
        <f>EXP(-LN(2)/35)*HG183+(1-EXP(-LN(2)/35))/(LN(2)/35)*HC184*HD184*VLOOKUP('Données projet'!$B$18,Paramètres!$A$1:$I$89,3,0)*0.475*44/12</f>
        <v>0</v>
      </c>
      <c r="HH184" s="23">
        <f>EXP(-LN(2)/25)*HH183+(1-EXP(-LN(2)/25))/(LN(2)/25)*Calculateur!HC184*Calculateur!HE184*VLOOKUP('Données projet'!$B$18,Paramètres!$A$1:$I$89,3,0)*0.475*44/12</f>
        <v>0</v>
      </c>
      <c r="HI184" s="23">
        <f>EXP(-LN(2)/2)*HI183+(1-EXP(-LN(2)/2))/(LN(2)/2)*HC184*HF184*VLOOKUP('Données projet'!$B$18,Paramètres!$A$1:$I$89,3,0)*0.475*44/12</f>
        <v>0</v>
      </c>
      <c r="HJ184" s="24">
        <f t="shared" si="190"/>
        <v>0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-4.5474735088646412E-13</v>
      </c>
      <c r="O185" s="14">
        <f>N185*VLOOKUP('Données projet'!$B$9,Paramètres!$A$1:$I$89,3,0)*VLOOKUP('Données projet'!$B$9,Paramètres!$A$1:$I$89,5,0)</f>
        <v>-4.1145540308207271E-13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509.56241660612449</v>
      </c>
      <c r="T185" s="62">
        <f t="shared" si="142"/>
        <v>278.21741231699929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-4.5474735088646412E-13</v>
      </c>
      <c r="AJ185" s="14">
        <f>AI185*VLOOKUP('Données projet'!$B$10,Paramètres!$A$1:$I$89,3,0)*VLOOKUP('Données projet'!$B$10,Paramètres!$A$1:$I$89,5,0)</f>
        <v>-4.6111381379887462E-13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565.72091871734051</v>
      </c>
      <c r="AO185" s="62">
        <f t="shared" si="144"/>
        <v>306.61893266146666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-5.6843418860808015E-14</v>
      </c>
      <c r="BE185" s="14">
        <f>BD185*VLOOKUP('Données projet'!$B$11,Paramètres!$A$1:$I$89,3,0)*VLOOKUP('Données projet'!$B$11,Paramètres!$A$1:$I$89,5,0)</f>
        <v>-4.1677594708744434E-14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344.26020118887629</v>
      </c>
      <c r="BJ185" s="62">
        <f t="shared" si="146"/>
        <v>376.41441893222185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-4.5474735088646412E-13</v>
      </c>
      <c r="BZ185" s="14">
        <f>BY185*VLOOKUP('Données projet'!$B$12,Paramètres!$A$1:$I$89,3,0)*VLOOKUP('Données projet'!$B$12,Paramètres!$A$1:$I$89,5,0)</f>
        <v>-3.8307916838675739E-13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477.4105367901771</v>
      </c>
      <c r="CE185" s="62">
        <f t="shared" si="148"/>
        <v>261.95434270986397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-6.2527760746888816E-13</v>
      </c>
      <c r="CU185" s="18">
        <f>CT185*VLOOKUP('Données projet'!$B$13,Paramètres!$A$1:$I$89,3,0)*VLOOKUP('Données projet'!$B$13,Paramètres!$A$1:$I$89,5,0)</f>
        <v>-2.9262992029543964E-13</v>
      </c>
      <c r="CV185" s="14" t="e">
        <f t="shared" si="173"/>
        <v>#NUM!</v>
      </c>
      <c r="CW185" s="22" t="e">
        <f t="shared" si="174"/>
        <v>#NUM!</v>
      </c>
      <c r="CX185" s="62" t="e">
        <f t="shared" si="122"/>
        <v>#NUM!</v>
      </c>
      <c r="CY185" s="62">
        <f ca="1">AVERAGE(OFFSET($CX$3,0,0,'Données projet'!$E$13+1,1))-AVERAGE(OFFSET($H$3,0,0,'Données projet'!$E$13+1,1))</f>
        <v>246.64907095367749</v>
      </c>
      <c r="CZ185" s="62">
        <f t="shared" si="150"/>
        <v>145.34368562171613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-5.6843418860808015E-14</v>
      </c>
      <c r="DP185" s="18">
        <f>DO185*VLOOKUP('Données projet'!$B$14,Paramètres!$A$1:$I$89,3,0)*VLOOKUP('Données projet'!$B$14,Paramètres!$A$1:$I$89,5,0)</f>
        <v>-4.5224624045658861E-14</v>
      </c>
      <c r="DQ185" s="14" t="e">
        <f t="shared" si="176"/>
        <v>#NUM!</v>
      </c>
      <c r="DR185" s="22" t="e">
        <f t="shared" si="177"/>
        <v>#NUM!</v>
      </c>
      <c r="DS185" s="62" t="e">
        <f t="shared" si="125"/>
        <v>#NUM!</v>
      </c>
      <c r="DT185" s="62">
        <f ca="1">AVERAGE(OFFSET($DS$3,0,0,'Données projet'!$E$14+1,1))-AVERAGE(OFFSET($H$3,0,0,'Données projet'!$E$14+1,1))</f>
        <v>370.38521334472284</v>
      </c>
      <c r="DU185" s="62">
        <f t="shared" si="152"/>
        <v>404.61777090709171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-1.1368683772161603E-13</v>
      </c>
      <c r="EK185" s="18">
        <f>EJ185*VLOOKUP('Données projet'!$B$15,Paramètres!$A$1:$I$89,3,0)*VLOOKUP('Données projet'!$B$15,Paramètres!$A$1:$I$89,5,0)</f>
        <v>-9.7543306765146564E-14</v>
      </c>
      <c r="EL185" s="14" t="e">
        <f t="shared" si="179"/>
        <v>#NUM!</v>
      </c>
      <c r="EM185" s="22" t="e">
        <f t="shared" si="180"/>
        <v>#NUM!</v>
      </c>
      <c r="EN185" s="62" t="e">
        <f t="shared" si="128"/>
        <v>#NUM!</v>
      </c>
      <c r="EO185" s="62">
        <f ca="1">AVERAGE(OFFSET($EN$3,0,0,'Données projet'!$E$15+1,1))-AVERAGE(OFFSET($H$3,0,0,'Données projet'!$E$15+1,1))</f>
        <v>445.81166342116865</v>
      </c>
      <c r="EP185" s="62">
        <f t="shared" si="154"/>
        <v>230.82970731138215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0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-4.5474735088646412E-13</v>
      </c>
      <c r="FF185" s="18">
        <f>FE185*VLOOKUP('Données projet'!$B$16,Paramètres!$A$1:$I$89,3,0)*VLOOKUP('Données projet'!$B$16,Paramètres!$A$1:$I$89,5,0)</f>
        <v>-4.3983163777738812E-13</v>
      </c>
      <c r="FG185" s="14" t="e">
        <f t="shared" si="182"/>
        <v>#NUM!</v>
      </c>
      <c r="FH185" s="22" t="e">
        <f t="shared" si="183"/>
        <v>#NUM!</v>
      </c>
      <c r="FI185" s="62" t="e">
        <f t="shared" si="131"/>
        <v>#NUM!</v>
      </c>
      <c r="FJ185" s="62">
        <f ca="1">AVERAGE(OFFSET($FI$3,0,0,'Données projet'!$E$16+1,1))-AVERAGE(OFFSET($H$3,0,0,'Données projet'!$E$16+1,1))</f>
        <v>541.66888676162716</v>
      </c>
      <c r="FK185" s="62">
        <f t="shared" si="156"/>
        <v>294.45557293177131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>
        <f>EXP(-LN(2)/35)*FQ184+(1-EXP(-LN(2)/35))/(LN(2)/35)*FM185*FN185*VLOOKUP('Données projet'!$B$16,Paramètres!$A$1:$I$89,3,0)*0.475*44/12</f>
        <v>0</v>
      </c>
      <c r="FR185" s="23">
        <f>EXP(-LN(2)/25)*FR184+(1-EXP(-LN(2)/25))/(LN(2)/25)*Calculateur!FM185*Calculateur!FO185*VLOOKUP('Données projet'!$B$16,Paramètres!$A$1:$I$89,3,0)*0.475*44/12</f>
        <v>0</v>
      </c>
      <c r="FS185" s="23">
        <f>EXP(-LN(2)/2)*FS184+(1-EXP(-LN(2)/2))/(LN(2)/2)*FM185*FP185*VLOOKUP('Données projet'!$B$16,Paramètres!$A$1:$I$89,3,0)*0.475*44/12</f>
        <v>0</v>
      </c>
      <c r="FT185" s="24">
        <f t="shared" si="184"/>
        <v>0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1.1368683772161603E-13</v>
      </c>
      <c r="GA185" s="18">
        <f>FZ185*VLOOKUP('Données projet'!$B$17,Paramètres!$A$1:$I$89,3,0)*VLOOKUP('Données projet'!$B$17,Paramètres!$A$1:$I$89,5,0)</f>
        <v>8.8675733422860506E-14</v>
      </c>
      <c r="GB185" s="14">
        <f t="shared" si="185"/>
        <v>1.3509285393066301E-12</v>
      </c>
      <c r="GC185" s="22">
        <f t="shared" si="186"/>
        <v>2.5073107750038623E-12</v>
      </c>
      <c r="GD185" s="62">
        <f t="shared" si="134"/>
        <v>293.33333333333582</v>
      </c>
      <c r="GE185" s="62">
        <f ca="1">AVERAGE(OFFSET($GD$3,0,0,'Données projet'!$E$17+1,1))-AVERAGE(OFFSET($H$3,0,0,'Données projet'!$E$17+1,1))</f>
        <v>292.57482726862594</v>
      </c>
      <c r="GF185" s="62">
        <f t="shared" si="158"/>
        <v>283.48738729114024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>
        <f>EXP(-LN(2)/35)*GL184+(1-EXP(-LN(2)/35))/(LN(2)/35)*GH185*GI185*VLOOKUP('Données projet'!$B$17,Paramètres!$A$1:$I$89,3,0)*0.475*44/12</f>
        <v>0</v>
      </c>
      <c r="GM185" s="23">
        <f>EXP(-LN(2)/25)*GM184+(1-EXP(-LN(2)/25))/(LN(2)/25)*Calculateur!GH185*Calculateur!GJ185*VLOOKUP('Données projet'!$B$17,Paramètres!$A$1:$I$89,3,0)*0.475*44/12</f>
        <v>0</v>
      </c>
      <c r="GN185" s="23">
        <f>EXP(-LN(2)/2)*GN184+(1-EXP(-LN(2)/2))/(LN(2)/2)*GH185*GK185*VLOOKUP('Données projet'!$B$17,Paramètres!$A$1:$I$89,3,0)*0.475*44/12</f>
        <v>0</v>
      </c>
      <c r="GO185" s="23">
        <f t="shared" si="187"/>
        <v>0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-2.2737367544323206E-13</v>
      </c>
      <c r="GV185" s="18">
        <f>GU185*VLOOKUP('Données projet'!$B$18,Paramètres!$A$1:$I$89,3,0)*VLOOKUP('Données projet'!$B$18,Paramètres!$A$1:$I$89,5,0)</f>
        <v>-1.5252226148732008E-13</v>
      </c>
      <c r="GW185" s="14" t="e">
        <f t="shared" si="188"/>
        <v>#NUM!</v>
      </c>
      <c r="GX185" s="22" t="e">
        <f t="shared" si="189"/>
        <v>#NUM!</v>
      </c>
      <c r="GY185" s="62" t="e">
        <f t="shared" si="137"/>
        <v>#NUM!</v>
      </c>
      <c r="GZ185" s="62">
        <f ca="1">AVERAGE(OFFSET($GY$3,0,0,'Données projet'!$E$18+1,1))-AVERAGE(OFFSET($H$3,0,0,'Données projet'!$E$18+1,1))</f>
        <v>410.20186800287411</v>
      </c>
      <c r="HA185" s="62">
        <f t="shared" si="160"/>
        <v>321.99347958016057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>
        <f>EXP(-LN(2)/35)*HG184+(1-EXP(-LN(2)/35))/(LN(2)/35)*HC185*HD185*VLOOKUP('Données projet'!$B$18,Paramètres!$A$1:$I$89,3,0)*0.475*44/12</f>
        <v>0</v>
      </c>
      <c r="HH185" s="23">
        <f>EXP(-LN(2)/25)*HH184+(1-EXP(-LN(2)/25))/(LN(2)/25)*Calculateur!HC185*Calculateur!HE185*VLOOKUP('Données projet'!$B$18,Paramètres!$A$1:$I$89,3,0)*0.475*44/12</f>
        <v>0</v>
      </c>
      <c r="HI185" s="23">
        <f>EXP(-LN(2)/2)*HI184+(1-EXP(-LN(2)/2))/(LN(2)/2)*HC185*HF185*VLOOKUP('Données projet'!$B$18,Paramètres!$A$1:$I$89,3,0)*0.475*44/12</f>
        <v>0</v>
      </c>
      <c r="HJ185" s="24">
        <f t="shared" si="190"/>
        <v>0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-4.5474735088646412E-13</v>
      </c>
      <c r="O186" s="14">
        <f>N186*VLOOKUP('Données projet'!$B$9,Paramètres!$A$1:$I$89,3,0)*VLOOKUP('Données projet'!$B$9,Paramètres!$A$1:$I$89,5,0)</f>
        <v>-4.1145540308207271E-13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509.56241660612449</v>
      </c>
      <c r="T186" s="62">
        <f t="shared" si="142"/>
        <v>278.21741231699929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-4.5474735088646412E-13</v>
      </c>
      <c r="AJ186" s="14">
        <f>AI186*VLOOKUP('Données projet'!$B$10,Paramètres!$A$1:$I$89,3,0)*VLOOKUP('Données projet'!$B$10,Paramètres!$A$1:$I$89,5,0)</f>
        <v>-4.6111381379887462E-13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565.72091871734051</v>
      </c>
      <c r="AO186" s="62">
        <f t="shared" si="144"/>
        <v>306.61893266146666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-5.6843418860808015E-14</v>
      </c>
      <c r="BE186" s="14">
        <f>BD186*VLOOKUP('Données projet'!$B$11,Paramètres!$A$1:$I$89,3,0)*VLOOKUP('Données projet'!$B$11,Paramètres!$A$1:$I$89,5,0)</f>
        <v>-4.1677594708744434E-14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344.26020118887629</v>
      </c>
      <c r="BJ186" s="62">
        <f t="shared" si="146"/>
        <v>376.41441893222185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-4.5474735088646412E-13</v>
      </c>
      <c r="BZ186" s="14">
        <f>BY186*VLOOKUP('Données projet'!$B$12,Paramètres!$A$1:$I$89,3,0)*VLOOKUP('Données projet'!$B$12,Paramètres!$A$1:$I$89,5,0)</f>
        <v>-3.8307916838675739E-13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477.4105367901771</v>
      </c>
      <c r="CE186" s="62">
        <f t="shared" si="148"/>
        <v>261.95434270986397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-6.2527760746888816E-13</v>
      </c>
      <c r="CU186" s="18">
        <f>CT186*VLOOKUP('Données projet'!$B$13,Paramètres!$A$1:$I$89,3,0)*VLOOKUP('Données projet'!$B$13,Paramètres!$A$1:$I$89,5,0)</f>
        <v>-2.9262992029543964E-13</v>
      </c>
      <c r="CV186" s="14" t="e">
        <f t="shared" si="173"/>
        <v>#NUM!</v>
      </c>
      <c r="CW186" s="22" t="e">
        <f t="shared" si="174"/>
        <v>#NUM!</v>
      </c>
      <c r="CX186" s="62" t="e">
        <f t="shared" si="122"/>
        <v>#NUM!</v>
      </c>
      <c r="CY186" s="62">
        <f ca="1">AVERAGE(OFFSET($CX$3,0,0,'Données projet'!$E$13+1,1))-AVERAGE(OFFSET($H$3,0,0,'Données projet'!$E$13+1,1))</f>
        <v>246.64907095367749</v>
      </c>
      <c r="CZ186" s="62">
        <f t="shared" si="150"/>
        <v>145.34368562171613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-5.6843418860808015E-14</v>
      </c>
      <c r="DP186" s="18">
        <f>DO186*VLOOKUP('Données projet'!$B$14,Paramètres!$A$1:$I$89,3,0)*VLOOKUP('Données projet'!$B$14,Paramètres!$A$1:$I$89,5,0)</f>
        <v>-4.5224624045658861E-14</v>
      </c>
      <c r="DQ186" s="14" t="e">
        <f t="shared" si="176"/>
        <v>#NUM!</v>
      </c>
      <c r="DR186" s="22" t="e">
        <f t="shared" si="177"/>
        <v>#NUM!</v>
      </c>
      <c r="DS186" s="62" t="e">
        <f t="shared" si="125"/>
        <v>#NUM!</v>
      </c>
      <c r="DT186" s="62">
        <f ca="1">AVERAGE(OFFSET($DS$3,0,0,'Données projet'!$E$14+1,1))-AVERAGE(OFFSET($H$3,0,0,'Données projet'!$E$14+1,1))</f>
        <v>370.38521334472284</v>
      </c>
      <c r="DU186" s="62">
        <f t="shared" si="152"/>
        <v>404.61777090709171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-1.1368683772161603E-13</v>
      </c>
      <c r="EK186" s="18">
        <f>EJ186*VLOOKUP('Données projet'!$B$15,Paramètres!$A$1:$I$89,3,0)*VLOOKUP('Données projet'!$B$15,Paramètres!$A$1:$I$89,5,0)</f>
        <v>-9.7543306765146564E-14</v>
      </c>
      <c r="EL186" s="14" t="e">
        <f t="shared" si="179"/>
        <v>#NUM!</v>
      </c>
      <c r="EM186" s="22" t="e">
        <f t="shared" si="180"/>
        <v>#NUM!</v>
      </c>
      <c r="EN186" s="62" t="e">
        <f t="shared" si="128"/>
        <v>#NUM!</v>
      </c>
      <c r="EO186" s="62">
        <f ca="1">AVERAGE(OFFSET($EN$3,0,0,'Données projet'!$E$15+1,1))-AVERAGE(OFFSET($H$3,0,0,'Données projet'!$E$15+1,1))</f>
        <v>445.81166342116865</v>
      </c>
      <c r="EP186" s="62">
        <f t="shared" si="154"/>
        <v>230.82970731138215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0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-4.5474735088646412E-13</v>
      </c>
      <c r="FF186" s="18">
        <f>FE186*VLOOKUP('Données projet'!$B$16,Paramètres!$A$1:$I$89,3,0)*VLOOKUP('Données projet'!$B$16,Paramètres!$A$1:$I$89,5,0)</f>
        <v>-4.3983163777738812E-13</v>
      </c>
      <c r="FG186" s="14" t="e">
        <f t="shared" si="182"/>
        <v>#NUM!</v>
      </c>
      <c r="FH186" s="22" t="e">
        <f t="shared" si="183"/>
        <v>#NUM!</v>
      </c>
      <c r="FI186" s="62" t="e">
        <f t="shared" si="131"/>
        <v>#NUM!</v>
      </c>
      <c r="FJ186" s="62">
        <f ca="1">AVERAGE(OFFSET($FI$3,0,0,'Données projet'!$E$16+1,1))-AVERAGE(OFFSET($H$3,0,0,'Données projet'!$E$16+1,1))</f>
        <v>541.66888676162716</v>
      </c>
      <c r="FK186" s="62">
        <f t="shared" si="156"/>
        <v>294.45557293177131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>
        <f>EXP(-LN(2)/35)*FQ185+(1-EXP(-LN(2)/35))/(LN(2)/35)*FM186*FN186*VLOOKUP('Données projet'!$B$16,Paramètres!$A$1:$I$89,3,0)*0.475*44/12</f>
        <v>0</v>
      </c>
      <c r="FR186" s="23">
        <f>EXP(-LN(2)/25)*FR185+(1-EXP(-LN(2)/25))/(LN(2)/25)*Calculateur!FM186*Calculateur!FO186*VLOOKUP('Données projet'!$B$16,Paramètres!$A$1:$I$89,3,0)*0.475*44/12</f>
        <v>0</v>
      </c>
      <c r="FS186" s="23">
        <f>EXP(-LN(2)/2)*FS185+(1-EXP(-LN(2)/2))/(LN(2)/2)*FM186*FP186*VLOOKUP('Données projet'!$B$16,Paramètres!$A$1:$I$89,3,0)*0.475*44/12</f>
        <v>0</v>
      </c>
      <c r="FT186" s="24">
        <f t="shared" si="184"/>
        <v>0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1.1368683772161603E-13</v>
      </c>
      <c r="GA186" s="18">
        <f>FZ186*VLOOKUP('Données projet'!$B$17,Paramètres!$A$1:$I$89,3,0)*VLOOKUP('Données projet'!$B$17,Paramètres!$A$1:$I$89,5,0)</f>
        <v>8.8675733422860506E-14</v>
      </c>
      <c r="GB186" s="14">
        <f t="shared" si="185"/>
        <v>1.3509285393066301E-12</v>
      </c>
      <c r="GC186" s="22">
        <f t="shared" si="186"/>
        <v>2.5073107750038623E-12</v>
      </c>
      <c r="GD186" s="62">
        <f t="shared" si="134"/>
        <v>293.33333333333582</v>
      </c>
      <c r="GE186" s="62">
        <f ca="1">AVERAGE(OFFSET($GD$3,0,0,'Données projet'!$E$17+1,1))-AVERAGE(OFFSET($H$3,0,0,'Données projet'!$E$17+1,1))</f>
        <v>292.57482726862594</v>
      </c>
      <c r="GF186" s="62">
        <f t="shared" si="158"/>
        <v>283.48738729114024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>
        <f>EXP(-LN(2)/35)*GL185+(1-EXP(-LN(2)/35))/(LN(2)/35)*GH186*GI186*VLOOKUP('Données projet'!$B$17,Paramètres!$A$1:$I$89,3,0)*0.475*44/12</f>
        <v>0</v>
      </c>
      <c r="GM186" s="23">
        <f>EXP(-LN(2)/25)*GM185+(1-EXP(-LN(2)/25))/(LN(2)/25)*Calculateur!GH186*Calculateur!GJ186*VLOOKUP('Données projet'!$B$17,Paramètres!$A$1:$I$89,3,0)*0.475*44/12</f>
        <v>0</v>
      </c>
      <c r="GN186" s="23">
        <f>EXP(-LN(2)/2)*GN185+(1-EXP(-LN(2)/2))/(LN(2)/2)*GH186*GK186*VLOOKUP('Données projet'!$B$17,Paramètres!$A$1:$I$89,3,0)*0.475*44/12</f>
        <v>0</v>
      </c>
      <c r="GO186" s="23">
        <f t="shared" si="187"/>
        <v>0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-2.2737367544323206E-13</v>
      </c>
      <c r="GV186" s="18">
        <f>GU186*VLOOKUP('Données projet'!$B$18,Paramètres!$A$1:$I$89,3,0)*VLOOKUP('Données projet'!$B$18,Paramètres!$A$1:$I$89,5,0)</f>
        <v>-1.5252226148732008E-13</v>
      </c>
      <c r="GW186" s="14" t="e">
        <f t="shared" si="188"/>
        <v>#NUM!</v>
      </c>
      <c r="GX186" s="22" t="e">
        <f t="shared" si="189"/>
        <v>#NUM!</v>
      </c>
      <c r="GY186" s="62" t="e">
        <f t="shared" si="137"/>
        <v>#NUM!</v>
      </c>
      <c r="GZ186" s="62">
        <f ca="1">AVERAGE(OFFSET($GY$3,0,0,'Données projet'!$E$18+1,1))-AVERAGE(OFFSET($H$3,0,0,'Données projet'!$E$18+1,1))</f>
        <v>410.20186800287411</v>
      </c>
      <c r="HA186" s="62">
        <f t="shared" si="160"/>
        <v>321.99347958016057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>
        <f>EXP(-LN(2)/35)*HG185+(1-EXP(-LN(2)/35))/(LN(2)/35)*HC186*HD186*VLOOKUP('Données projet'!$B$18,Paramètres!$A$1:$I$89,3,0)*0.475*44/12</f>
        <v>0</v>
      </c>
      <c r="HH186" s="23">
        <f>EXP(-LN(2)/25)*HH185+(1-EXP(-LN(2)/25))/(LN(2)/25)*Calculateur!HC186*Calculateur!HE186*VLOOKUP('Données projet'!$B$18,Paramètres!$A$1:$I$89,3,0)*0.475*44/12</f>
        <v>0</v>
      </c>
      <c r="HI186" s="23">
        <f>EXP(-LN(2)/2)*HI185+(1-EXP(-LN(2)/2))/(LN(2)/2)*HC186*HF186*VLOOKUP('Données projet'!$B$18,Paramètres!$A$1:$I$89,3,0)*0.475*44/12</f>
        <v>0</v>
      </c>
      <c r="HJ186" s="24">
        <f t="shared" si="190"/>
        <v>0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-4.5474735088646412E-13</v>
      </c>
      <c r="O187" s="14">
        <f>N187*VLOOKUP('Données projet'!$B$9,Paramètres!$A$1:$I$89,3,0)*VLOOKUP('Données projet'!$B$9,Paramètres!$A$1:$I$89,5,0)</f>
        <v>-4.1145540308207271E-13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509.56241660612449</v>
      </c>
      <c r="T187" s="62">
        <f t="shared" si="142"/>
        <v>278.21741231699929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-4.5474735088646412E-13</v>
      </c>
      <c r="AJ187" s="14">
        <f>AI187*VLOOKUP('Données projet'!$B$10,Paramètres!$A$1:$I$89,3,0)*VLOOKUP('Données projet'!$B$10,Paramètres!$A$1:$I$89,5,0)</f>
        <v>-4.6111381379887462E-13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565.72091871734051</v>
      </c>
      <c r="AO187" s="62">
        <f t="shared" si="144"/>
        <v>306.61893266146666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-5.6843418860808015E-14</v>
      </c>
      <c r="BE187" s="14">
        <f>BD187*VLOOKUP('Données projet'!$B$11,Paramètres!$A$1:$I$89,3,0)*VLOOKUP('Données projet'!$B$11,Paramètres!$A$1:$I$89,5,0)</f>
        <v>-4.1677594708744434E-14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344.26020118887629</v>
      </c>
      <c r="BJ187" s="62">
        <f t="shared" si="146"/>
        <v>376.41441893222185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-4.5474735088646412E-13</v>
      </c>
      <c r="BZ187" s="14">
        <f>BY187*VLOOKUP('Données projet'!$B$12,Paramètres!$A$1:$I$89,3,0)*VLOOKUP('Données projet'!$B$12,Paramètres!$A$1:$I$89,5,0)</f>
        <v>-3.8307916838675739E-13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477.4105367901771</v>
      </c>
      <c r="CE187" s="62">
        <f t="shared" si="148"/>
        <v>261.95434270986397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-6.2527760746888816E-13</v>
      </c>
      <c r="CU187" s="18">
        <f>CT187*VLOOKUP('Données projet'!$B$13,Paramètres!$A$1:$I$89,3,0)*VLOOKUP('Données projet'!$B$13,Paramètres!$A$1:$I$89,5,0)</f>
        <v>-2.9262992029543964E-13</v>
      </c>
      <c r="CV187" s="14" t="e">
        <f t="shared" si="173"/>
        <v>#NUM!</v>
      </c>
      <c r="CW187" s="22" t="e">
        <f t="shared" si="174"/>
        <v>#NUM!</v>
      </c>
      <c r="CX187" s="62" t="e">
        <f t="shared" si="122"/>
        <v>#NUM!</v>
      </c>
      <c r="CY187" s="62">
        <f ca="1">AVERAGE(OFFSET($CX$3,0,0,'Données projet'!$E$13+1,1))-AVERAGE(OFFSET($H$3,0,0,'Données projet'!$E$13+1,1))</f>
        <v>246.64907095367749</v>
      </c>
      <c r="CZ187" s="62">
        <f t="shared" si="150"/>
        <v>145.34368562171613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-5.6843418860808015E-14</v>
      </c>
      <c r="DP187" s="18">
        <f>DO187*VLOOKUP('Données projet'!$B$14,Paramètres!$A$1:$I$89,3,0)*VLOOKUP('Données projet'!$B$14,Paramètres!$A$1:$I$89,5,0)</f>
        <v>-4.5224624045658861E-14</v>
      </c>
      <c r="DQ187" s="14" t="e">
        <f t="shared" si="176"/>
        <v>#NUM!</v>
      </c>
      <c r="DR187" s="22" t="e">
        <f t="shared" si="177"/>
        <v>#NUM!</v>
      </c>
      <c r="DS187" s="62" t="e">
        <f t="shared" si="125"/>
        <v>#NUM!</v>
      </c>
      <c r="DT187" s="62">
        <f ca="1">AVERAGE(OFFSET($DS$3,0,0,'Données projet'!$E$14+1,1))-AVERAGE(OFFSET($H$3,0,0,'Données projet'!$E$14+1,1))</f>
        <v>370.38521334472284</v>
      </c>
      <c r="DU187" s="62">
        <f t="shared" si="152"/>
        <v>404.61777090709171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-1.1368683772161603E-13</v>
      </c>
      <c r="EK187" s="18">
        <f>EJ187*VLOOKUP('Données projet'!$B$15,Paramètres!$A$1:$I$89,3,0)*VLOOKUP('Données projet'!$B$15,Paramètres!$A$1:$I$89,5,0)</f>
        <v>-9.7543306765146564E-14</v>
      </c>
      <c r="EL187" s="14" t="e">
        <f t="shared" si="179"/>
        <v>#NUM!</v>
      </c>
      <c r="EM187" s="22" t="e">
        <f t="shared" si="180"/>
        <v>#NUM!</v>
      </c>
      <c r="EN187" s="62" t="e">
        <f t="shared" si="128"/>
        <v>#NUM!</v>
      </c>
      <c r="EO187" s="62">
        <f ca="1">AVERAGE(OFFSET($EN$3,0,0,'Données projet'!$E$15+1,1))-AVERAGE(OFFSET($H$3,0,0,'Données projet'!$E$15+1,1))</f>
        <v>445.81166342116865</v>
      </c>
      <c r="EP187" s="62">
        <f t="shared" si="154"/>
        <v>230.82970731138215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0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-4.5474735088646412E-13</v>
      </c>
      <c r="FF187" s="18">
        <f>FE187*VLOOKUP('Données projet'!$B$16,Paramètres!$A$1:$I$89,3,0)*VLOOKUP('Données projet'!$B$16,Paramètres!$A$1:$I$89,5,0)</f>
        <v>-4.3983163777738812E-13</v>
      </c>
      <c r="FG187" s="14" t="e">
        <f t="shared" si="182"/>
        <v>#NUM!</v>
      </c>
      <c r="FH187" s="22" t="e">
        <f t="shared" si="183"/>
        <v>#NUM!</v>
      </c>
      <c r="FI187" s="62" t="e">
        <f t="shared" si="131"/>
        <v>#NUM!</v>
      </c>
      <c r="FJ187" s="62">
        <f ca="1">AVERAGE(OFFSET($FI$3,0,0,'Données projet'!$E$16+1,1))-AVERAGE(OFFSET($H$3,0,0,'Données projet'!$E$16+1,1))</f>
        <v>541.66888676162716</v>
      </c>
      <c r="FK187" s="62">
        <f t="shared" si="156"/>
        <v>294.45557293177131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>
        <f>EXP(-LN(2)/35)*FQ186+(1-EXP(-LN(2)/35))/(LN(2)/35)*FM187*FN187*VLOOKUP('Données projet'!$B$16,Paramètres!$A$1:$I$89,3,0)*0.475*44/12</f>
        <v>0</v>
      </c>
      <c r="FR187" s="23">
        <f>EXP(-LN(2)/25)*FR186+(1-EXP(-LN(2)/25))/(LN(2)/25)*Calculateur!FM187*Calculateur!FO187*VLOOKUP('Données projet'!$B$16,Paramètres!$A$1:$I$89,3,0)*0.475*44/12</f>
        <v>0</v>
      </c>
      <c r="FS187" s="23">
        <f>EXP(-LN(2)/2)*FS186+(1-EXP(-LN(2)/2))/(LN(2)/2)*FM187*FP187*VLOOKUP('Données projet'!$B$16,Paramètres!$A$1:$I$89,3,0)*0.475*44/12</f>
        <v>0</v>
      </c>
      <c r="FT187" s="24">
        <f t="shared" si="184"/>
        <v>0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1.1368683772161603E-13</v>
      </c>
      <c r="GA187" s="18">
        <f>FZ187*VLOOKUP('Données projet'!$B$17,Paramètres!$A$1:$I$89,3,0)*VLOOKUP('Données projet'!$B$17,Paramètres!$A$1:$I$89,5,0)</f>
        <v>8.8675733422860506E-14</v>
      </c>
      <c r="GB187" s="14">
        <f t="shared" si="185"/>
        <v>1.3509285393066301E-12</v>
      </c>
      <c r="GC187" s="22">
        <f t="shared" si="186"/>
        <v>2.5073107750038623E-12</v>
      </c>
      <c r="GD187" s="62">
        <f t="shared" si="134"/>
        <v>293.33333333333582</v>
      </c>
      <c r="GE187" s="62">
        <f ca="1">AVERAGE(OFFSET($GD$3,0,0,'Données projet'!$E$17+1,1))-AVERAGE(OFFSET($H$3,0,0,'Données projet'!$E$17+1,1))</f>
        <v>292.57482726862594</v>
      </c>
      <c r="GF187" s="62">
        <f t="shared" si="158"/>
        <v>283.48738729114024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>
        <f>EXP(-LN(2)/35)*GL186+(1-EXP(-LN(2)/35))/(LN(2)/35)*GH187*GI187*VLOOKUP('Données projet'!$B$17,Paramètres!$A$1:$I$89,3,0)*0.475*44/12</f>
        <v>0</v>
      </c>
      <c r="GM187" s="23">
        <f>EXP(-LN(2)/25)*GM186+(1-EXP(-LN(2)/25))/(LN(2)/25)*Calculateur!GH187*Calculateur!GJ187*VLOOKUP('Données projet'!$B$17,Paramètres!$A$1:$I$89,3,0)*0.475*44/12</f>
        <v>0</v>
      </c>
      <c r="GN187" s="23">
        <f>EXP(-LN(2)/2)*GN186+(1-EXP(-LN(2)/2))/(LN(2)/2)*GH187*GK187*VLOOKUP('Données projet'!$B$17,Paramètres!$A$1:$I$89,3,0)*0.475*44/12</f>
        <v>0</v>
      </c>
      <c r="GO187" s="23">
        <f t="shared" si="187"/>
        <v>0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-2.2737367544323206E-13</v>
      </c>
      <c r="GV187" s="18">
        <f>GU187*VLOOKUP('Données projet'!$B$18,Paramètres!$A$1:$I$89,3,0)*VLOOKUP('Données projet'!$B$18,Paramètres!$A$1:$I$89,5,0)</f>
        <v>-1.5252226148732008E-13</v>
      </c>
      <c r="GW187" s="14" t="e">
        <f t="shared" si="188"/>
        <v>#NUM!</v>
      </c>
      <c r="GX187" s="22" t="e">
        <f t="shared" si="189"/>
        <v>#NUM!</v>
      </c>
      <c r="GY187" s="62" t="e">
        <f t="shared" si="137"/>
        <v>#NUM!</v>
      </c>
      <c r="GZ187" s="62">
        <f ca="1">AVERAGE(OFFSET($GY$3,0,0,'Données projet'!$E$18+1,1))-AVERAGE(OFFSET($H$3,0,0,'Données projet'!$E$18+1,1))</f>
        <v>410.20186800287411</v>
      </c>
      <c r="HA187" s="62">
        <f t="shared" si="160"/>
        <v>321.99347958016057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>
        <f>EXP(-LN(2)/35)*HG186+(1-EXP(-LN(2)/35))/(LN(2)/35)*HC187*HD187*VLOOKUP('Données projet'!$B$18,Paramètres!$A$1:$I$89,3,0)*0.475*44/12</f>
        <v>0</v>
      </c>
      <c r="HH187" s="23">
        <f>EXP(-LN(2)/25)*HH186+(1-EXP(-LN(2)/25))/(LN(2)/25)*Calculateur!HC187*Calculateur!HE187*VLOOKUP('Données projet'!$B$18,Paramètres!$A$1:$I$89,3,0)*0.475*44/12</f>
        <v>0</v>
      </c>
      <c r="HI187" s="23">
        <f>EXP(-LN(2)/2)*HI186+(1-EXP(-LN(2)/2))/(LN(2)/2)*HC187*HF187*VLOOKUP('Données projet'!$B$18,Paramètres!$A$1:$I$89,3,0)*0.475*44/12</f>
        <v>0</v>
      </c>
      <c r="HJ187" s="24">
        <f t="shared" si="190"/>
        <v>0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-4.5474735088646412E-13</v>
      </c>
      <c r="O188" s="14">
        <f>N188*VLOOKUP('Données projet'!$B$9,Paramètres!$A$1:$I$89,3,0)*VLOOKUP('Données projet'!$B$9,Paramètres!$A$1:$I$89,5,0)</f>
        <v>-4.1145540308207271E-13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509.56241660612449</v>
      </c>
      <c r="T188" s="62">
        <f t="shared" si="142"/>
        <v>278.21741231699929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-4.5474735088646412E-13</v>
      </c>
      <c r="AJ188" s="14">
        <f>AI188*VLOOKUP('Données projet'!$B$10,Paramètres!$A$1:$I$89,3,0)*VLOOKUP('Données projet'!$B$10,Paramètres!$A$1:$I$89,5,0)</f>
        <v>-4.6111381379887462E-13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565.72091871734051</v>
      </c>
      <c r="AO188" s="62">
        <f t="shared" si="144"/>
        <v>306.61893266146666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-5.6843418860808015E-14</v>
      </c>
      <c r="BE188" s="14">
        <f>BD188*VLOOKUP('Données projet'!$B$11,Paramètres!$A$1:$I$89,3,0)*VLOOKUP('Données projet'!$B$11,Paramètres!$A$1:$I$89,5,0)</f>
        <v>-4.1677594708744434E-14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344.26020118887629</v>
      </c>
      <c r="BJ188" s="62">
        <f t="shared" si="146"/>
        <v>376.41441893222185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-4.5474735088646412E-13</v>
      </c>
      <c r="BZ188" s="14">
        <f>BY188*VLOOKUP('Données projet'!$B$12,Paramètres!$A$1:$I$89,3,0)*VLOOKUP('Données projet'!$B$12,Paramètres!$A$1:$I$89,5,0)</f>
        <v>-3.8307916838675739E-13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477.4105367901771</v>
      </c>
      <c r="CE188" s="62">
        <f t="shared" si="148"/>
        <v>261.95434270986397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-6.2527760746888816E-13</v>
      </c>
      <c r="CU188" s="18">
        <f>CT188*VLOOKUP('Données projet'!$B$13,Paramètres!$A$1:$I$89,3,0)*VLOOKUP('Données projet'!$B$13,Paramètres!$A$1:$I$89,5,0)</f>
        <v>-2.9262992029543964E-13</v>
      </c>
      <c r="CV188" s="14" t="e">
        <f t="shared" si="173"/>
        <v>#NUM!</v>
      </c>
      <c r="CW188" s="22" t="e">
        <f t="shared" si="174"/>
        <v>#NUM!</v>
      </c>
      <c r="CX188" s="62" t="e">
        <f t="shared" si="122"/>
        <v>#NUM!</v>
      </c>
      <c r="CY188" s="62">
        <f ca="1">AVERAGE(OFFSET($CX$3,0,0,'Données projet'!$E$13+1,1))-AVERAGE(OFFSET($H$3,0,0,'Données projet'!$E$13+1,1))</f>
        <v>246.64907095367749</v>
      </c>
      <c r="CZ188" s="62">
        <f t="shared" si="150"/>
        <v>145.34368562171613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-5.6843418860808015E-14</v>
      </c>
      <c r="DP188" s="18">
        <f>DO188*VLOOKUP('Données projet'!$B$14,Paramètres!$A$1:$I$89,3,0)*VLOOKUP('Données projet'!$B$14,Paramètres!$A$1:$I$89,5,0)</f>
        <v>-4.5224624045658861E-14</v>
      </c>
      <c r="DQ188" s="14" t="e">
        <f t="shared" si="176"/>
        <v>#NUM!</v>
      </c>
      <c r="DR188" s="22" t="e">
        <f t="shared" si="177"/>
        <v>#NUM!</v>
      </c>
      <c r="DS188" s="62" t="e">
        <f t="shared" si="125"/>
        <v>#NUM!</v>
      </c>
      <c r="DT188" s="62">
        <f ca="1">AVERAGE(OFFSET($DS$3,0,0,'Données projet'!$E$14+1,1))-AVERAGE(OFFSET($H$3,0,0,'Données projet'!$E$14+1,1))</f>
        <v>370.38521334472284</v>
      </c>
      <c r="DU188" s="62">
        <f t="shared" si="152"/>
        <v>404.61777090709171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-1.1368683772161603E-13</v>
      </c>
      <c r="EK188" s="18">
        <f>EJ188*VLOOKUP('Données projet'!$B$15,Paramètres!$A$1:$I$89,3,0)*VLOOKUP('Données projet'!$B$15,Paramètres!$A$1:$I$89,5,0)</f>
        <v>-9.7543306765146564E-14</v>
      </c>
      <c r="EL188" s="14" t="e">
        <f t="shared" si="179"/>
        <v>#NUM!</v>
      </c>
      <c r="EM188" s="22" t="e">
        <f t="shared" si="180"/>
        <v>#NUM!</v>
      </c>
      <c r="EN188" s="62" t="e">
        <f t="shared" si="128"/>
        <v>#NUM!</v>
      </c>
      <c r="EO188" s="62">
        <f ca="1">AVERAGE(OFFSET($EN$3,0,0,'Données projet'!$E$15+1,1))-AVERAGE(OFFSET($H$3,0,0,'Données projet'!$E$15+1,1))</f>
        <v>445.81166342116865</v>
      </c>
      <c r="EP188" s="62">
        <f t="shared" si="154"/>
        <v>230.82970731138215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0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-4.5474735088646412E-13</v>
      </c>
      <c r="FF188" s="18">
        <f>FE188*VLOOKUP('Données projet'!$B$16,Paramètres!$A$1:$I$89,3,0)*VLOOKUP('Données projet'!$B$16,Paramètres!$A$1:$I$89,5,0)</f>
        <v>-4.3983163777738812E-13</v>
      </c>
      <c r="FG188" s="14" t="e">
        <f t="shared" si="182"/>
        <v>#NUM!</v>
      </c>
      <c r="FH188" s="22" t="e">
        <f t="shared" si="183"/>
        <v>#NUM!</v>
      </c>
      <c r="FI188" s="62" t="e">
        <f t="shared" si="131"/>
        <v>#NUM!</v>
      </c>
      <c r="FJ188" s="62">
        <f ca="1">AVERAGE(OFFSET($FI$3,0,0,'Données projet'!$E$16+1,1))-AVERAGE(OFFSET($H$3,0,0,'Données projet'!$E$16+1,1))</f>
        <v>541.66888676162716</v>
      </c>
      <c r="FK188" s="62">
        <f t="shared" si="156"/>
        <v>294.45557293177131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>
        <f>EXP(-LN(2)/35)*FQ187+(1-EXP(-LN(2)/35))/(LN(2)/35)*FM188*FN188*VLOOKUP('Données projet'!$B$16,Paramètres!$A$1:$I$89,3,0)*0.475*44/12</f>
        <v>0</v>
      </c>
      <c r="FR188" s="23">
        <f>EXP(-LN(2)/25)*FR187+(1-EXP(-LN(2)/25))/(LN(2)/25)*Calculateur!FM188*Calculateur!FO188*VLOOKUP('Données projet'!$B$16,Paramètres!$A$1:$I$89,3,0)*0.475*44/12</f>
        <v>0</v>
      </c>
      <c r="FS188" s="23">
        <f>EXP(-LN(2)/2)*FS187+(1-EXP(-LN(2)/2))/(LN(2)/2)*FM188*FP188*VLOOKUP('Données projet'!$B$16,Paramètres!$A$1:$I$89,3,0)*0.475*44/12</f>
        <v>0</v>
      </c>
      <c r="FT188" s="24">
        <f t="shared" si="184"/>
        <v>0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1.1368683772161603E-13</v>
      </c>
      <c r="GA188" s="18">
        <f>FZ188*VLOOKUP('Données projet'!$B$17,Paramètres!$A$1:$I$89,3,0)*VLOOKUP('Données projet'!$B$17,Paramètres!$A$1:$I$89,5,0)</f>
        <v>8.8675733422860506E-14</v>
      </c>
      <c r="GB188" s="14">
        <f t="shared" si="185"/>
        <v>1.3509285393066301E-12</v>
      </c>
      <c r="GC188" s="22">
        <f t="shared" si="186"/>
        <v>2.5073107750038623E-12</v>
      </c>
      <c r="GD188" s="62">
        <f t="shared" si="134"/>
        <v>293.33333333333582</v>
      </c>
      <c r="GE188" s="62">
        <f ca="1">AVERAGE(OFFSET($GD$3,0,0,'Données projet'!$E$17+1,1))-AVERAGE(OFFSET($H$3,0,0,'Données projet'!$E$17+1,1))</f>
        <v>292.57482726862594</v>
      </c>
      <c r="GF188" s="62">
        <f t="shared" si="158"/>
        <v>283.48738729114024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>
        <f>EXP(-LN(2)/35)*GL187+(1-EXP(-LN(2)/35))/(LN(2)/35)*GH188*GI188*VLOOKUP('Données projet'!$B$17,Paramètres!$A$1:$I$89,3,0)*0.475*44/12</f>
        <v>0</v>
      </c>
      <c r="GM188" s="23">
        <f>EXP(-LN(2)/25)*GM187+(1-EXP(-LN(2)/25))/(LN(2)/25)*Calculateur!GH188*Calculateur!GJ188*VLOOKUP('Données projet'!$B$17,Paramètres!$A$1:$I$89,3,0)*0.475*44/12</f>
        <v>0</v>
      </c>
      <c r="GN188" s="23">
        <f>EXP(-LN(2)/2)*GN187+(1-EXP(-LN(2)/2))/(LN(2)/2)*GH188*GK188*VLOOKUP('Données projet'!$B$17,Paramètres!$A$1:$I$89,3,0)*0.475*44/12</f>
        <v>0</v>
      </c>
      <c r="GO188" s="23">
        <f t="shared" si="187"/>
        <v>0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-2.2737367544323206E-13</v>
      </c>
      <c r="GV188" s="18">
        <f>GU188*VLOOKUP('Données projet'!$B$18,Paramètres!$A$1:$I$89,3,0)*VLOOKUP('Données projet'!$B$18,Paramètres!$A$1:$I$89,5,0)</f>
        <v>-1.5252226148732008E-13</v>
      </c>
      <c r="GW188" s="14" t="e">
        <f t="shared" si="188"/>
        <v>#NUM!</v>
      </c>
      <c r="GX188" s="22" t="e">
        <f t="shared" si="189"/>
        <v>#NUM!</v>
      </c>
      <c r="GY188" s="62" t="e">
        <f t="shared" si="137"/>
        <v>#NUM!</v>
      </c>
      <c r="GZ188" s="62">
        <f ca="1">AVERAGE(OFFSET($GY$3,0,0,'Données projet'!$E$18+1,1))-AVERAGE(OFFSET($H$3,0,0,'Données projet'!$E$18+1,1))</f>
        <v>410.20186800287411</v>
      </c>
      <c r="HA188" s="62">
        <f t="shared" si="160"/>
        <v>321.99347958016057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>
        <f>EXP(-LN(2)/35)*HG187+(1-EXP(-LN(2)/35))/(LN(2)/35)*HC188*HD188*VLOOKUP('Données projet'!$B$18,Paramètres!$A$1:$I$89,3,0)*0.475*44/12</f>
        <v>0</v>
      </c>
      <c r="HH188" s="23">
        <f>EXP(-LN(2)/25)*HH187+(1-EXP(-LN(2)/25))/(LN(2)/25)*Calculateur!HC188*Calculateur!HE188*VLOOKUP('Données projet'!$B$18,Paramètres!$A$1:$I$89,3,0)*0.475*44/12</f>
        <v>0</v>
      </c>
      <c r="HI188" s="23">
        <f>EXP(-LN(2)/2)*HI187+(1-EXP(-LN(2)/2))/(LN(2)/2)*HC188*HF188*VLOOKUP('Données projet'!$B$18,Paramètres!$A$1:$I$89,3,0)*0.475*44/12</f>
        <v>0</v>
      </c>
      <c r="HJ188" s="24">
        <f t="shared" si="190"/>
        <v>0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-4.5474735088646412E-13</v>
      </c>
      <c r="O189" s="14">
        <f>N189*VLOOKUP('Données projet'!$B$9,Paramètres!$A$1:$I$89,3,0)*VLOOKUP('Données projet'!$B$9,Paramètres!$A$1:$I$89,5,0)</f>
        <v>-4.1145540308207271E-13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509.56241660612449</v>
      </c>
      <c r="T189" s="62">
        <f t="shared" si="142"/>
        <v>278.21741231699929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-4.5474735088646412E-13</v>
      </c>
      <c r="AJ189" s="14">
        <f>AI189*VLOOKUP('Données projet'!$B$10,Paramètres!$A$1:$I$89,3,0)*VLOOKUP('Données projet'!$B$10,Paramètres!$A$1:$I$89,5,0)</f>
        <v>-4.6111381379887462E-13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565.72091871734051</v>
      </c>
      <c r="AO189" s="62">
        <f t="shared" si="144"/>
        <v>306.61893266146666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-5.6843418860808015E-14</v>
      </c>
      <c r="BE189" s="14">
        <f>BD189*VLOOKUP('Données projet'!$B$11,Paramètres!$A$1:$I$89,3,0)*VLOOKUP('Données projet'!$B$11,Paramètres!$A$1:$I$89,5,0)</f>
        <v>-4.1677594708744434E-14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344.26020118887629</v>
      </c>
      <c r="BJ189" s="62">
        <f t="shared" si="146"/>
        <v>376.41441893222185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-4.5474735088646412E-13</v>
      </c>
      <c r="BZ189" s="14">
        <f>BY189*VLOOKUP('Données projet'!$B$12,Paramètres!$A$1:$I$89,3,0)*VLOOKUP('Données projet'!$B$12,Paramètres!$A$1:$I$89,5,0)</f>
        <v>-3.8307916838675739E-13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477.4105367901771</v>
      </c>
      <c r="CE189" s="62">
        <f t="shared" si="148"/>
        <v>261.95434270986397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-6.2527760746888816E-13</v>
      </c>
      <c r="CU189" s="18">
        <f>CT189*VLOOKUP('Données projet'!$B$13,Paramètres!$A$1:$I$89,3,0)*VLOOKUP('Données projet'!$B$13,Paramètres!$A$1:$I$89,5,0)</f>
        <v>-2.9262992029543964E-13</v>
      </c>
      <c r="CV189" s="14" t="e">
        <f t="shared" si="173"/>
        <v>#NUM!</v>
      </c>
      <c r="CW189" s="22" t="e">
        <f t="shared" si="174"/>
        <v>#NUM!</v>
      </c>
      <c r="CX189" s="62" t="e">
        <f t="shared" si="122"/>
        <v>#NUM!</v>
      </c>
      <c r="CY189" s="62">
        <f ca="1">AVERAGE(OFFSET($CX$3,0,0,'Données projet'!$E$13+1,1))-AVERAGE(OFFSET($H$3,0,0,'Données projet'!$E$13+1,1))</f>
        <v>246.64907095367749</v>
      </c>
      <c r="CZ189" s="62">
        <f t="shared" si="150"/>
        <v>145.34368562171613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-5.6843418860808015E-14</v>
      </c>
      <c r="DP189" s="18">
        <f>DO189*VLOOKUP('Données projet'!$B$14,Paramètres!$A$1:$I$89,3,0)*VLOOKUP('Données projet'!$B$14,Paramètres!$A$1:$I$89,5,0)</f>
        <v>-4.5224624045658861E-14</v>
      </c>
      <c r="DQ189" s="14" t="e">
        <f t="shared" si="176"/>
        <v>#NUM!</v>
      </c>
      <c r="DR189" s="22" t="e">
        <f t="shared" si="177"/>
        <v>#NUM!</v>
      </c>
      <c r="DS189" s="62" t="e">
        <f t="shared" si="125"/>
        <v>#NUM!</v>
      </c>
      <c r="DT189" s="62">
        <f ca="1">AVERAGE(OFFSET($DS$3,0,0,'Données projet'!$E$14+1,1))-AVERAGE(OFFSET($H$3,0,0,'Données projet'!$E$14+1,1))</f>
        <v>370.38521334472284</v>
      </c>
      <c r="DU189" s="62">
        <f t="shared" si="152"/>
        <v>404.61777090709171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-1.1368683772161603E-13</v>
      </c>
      <c r="EK189" s="18">
        <f>EJ189*VLOOKUP('Données projet'!$B$15,Paramètres!$A$1:$I$89,3,0)*VLOOKUP('Données projet'!$B$15,Paramètres!$A$1:$I$89,5,0)</f>
        <v>-9.7543306765146564E-14</v>
      </c>
      <c r="EL189" s="14" t="e">
        <f t="shared" si="179"/>
        <v>#NUM!</v>
      </c>
      <c r="EM189" s="22" t="e">
        <f t="shared" si="180"/>
        <v>#NUM!</v>
      </c>
      <c r="EN189" s="62" t="e">
        <f t="shared" si="128"/>
        <v>#NUM!</v>
      </c>
      <c r="EO189" s="62">
        <f ca="1">AVERAGE(OFFSET($EN$3,0,0,'Données projet'!$E$15+1,1))-AVERAGE(OFFSET($H$3,0,0,'Données projet'!$E$15+1,1))</f>
        <v>445.81166342116865</v>
      </c>
      <c r="EP189" s="62">
        <f t="shared" si="154"/>
        <v>230.82970731138215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0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-4.5474735088646412E-13</v>
      </c>
      <c r="FF189" s="18">
        <f>FE189*VLOOKUP('Données projet'!$B$16,Paramètres!$A$1:$I$89,3,0)*VLOOKUP('Données projet'!$B$16,Paramètres!$A$1:$I$89,5,0)</f>
        <v>-4.3983163777738812E-13</v>
      </c>
      <c r="FG189" s="14" t="e">
        <f t="shared" si="182"/>
        <v>#NUM!</v>
      </c>
      <c r="FH189" s="22" t="e">
        <f t="shared" si="183"/>
        <v>#NUM!</v>
      </c>
      <c r="FI189" s="62" t="e">
        <f t="shared" si="131"/>
        <v>#NUM!</v>
      </c>
      <c r="FJ189" s="62">
        <f ca="1">AVERAGE(OFFSET($FI$3,0,0,'Données projet'!$E$16+1,1))-AVERAGE(OFFSET($H$3,0,0,'Données projet'!$E$16+1,1))</f>
        <v>541.66888676162716</v>
      </c>
      <c r="FK189" s="62">
        <f t="shared" si="156"/>
        <v>294.45557293177131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>
        <f>EXP(-LN(2)/35)*FQ188+(1-EXP(-LN(2)/35))/(LN(2)/35)*FM189*FN189*VLOOKUP('Données projet'!$B$16,Paramètres!$A$1:$I$89,3,0)*0.475*44/12</f>
        <v>0</v>
      </c>
      <c r="FR189" s="23">
        <f>EXP(-LN(2)/25)*FR188+(1-EXP(-LN(2)/25))/(LN(2)/25)*Calculateur!FM189*Calculateur!FO189*VLOOKUP('Données projet'!$B$16,Paramètres!$A$1:$I$89,3,0)*0.475*44/12</f>
        <v>0</v>
      </c>
      <c r="FS189" s="23">
        <f>EXP(-LN(2)/2)*FS188+(1-EXP(-LN(2)/2))/(LN(2)/2)*FM189*FP189*VLOOKUP('Données projet'!$B$16,Paramètres!$A$1:$I$89,3,0)*0.475*44/12</f>
        <v>0</v>
      </c>
      <c r="FT189" s="24">
        <f t="shared" si="184"/>
        <v>0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1.1368683772161603E-13</v>
      </c>
      <c r="GA189" s="18">
        <f>FZ189*VLOOKUP('Données projet'!$B$17,Paramètres!$A$1:$I$89,3,0)*VLOOKUP('Données projet'!$B$17,Paramètres!$A$1:$I$89,5,0)</f>
        <v>8.8675733422860506E-14</v>
      </c>
      <c r="GB189" s="14">
        <f t="shared" si="185"/>
        <v>1.3509285393066301E-12</v>
      </c>
      <c r="GC189" s="22">
        <f t="shared" si="186"/>
        <v>2.5073107750038623E-12</v>
      </c>
      <c r="GD189" s="62">
        <f t="shared" si="134"/>
        <v>293.33333333333582</v>
      </c>
      <c r="GE189" s="62">
        <f ca="1">AVERAGE(OFFSET($GD$3,0,0,'Données projet'!$E$17+1,1))-AVERAGE(OFFSET($H$3,0,0,'Données projet'!$E$17+1,1))</f>
        <v>292.57482726862594</v>
      </c>
      <c r="GF189" s="62">
        <f t="shared" si="158"/>
        <v>283.48738729114024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>
        <f>EXP(-LN(2)/35)*GL188+(1-EXP(-LN(2)/35))/(LN(2)/35)*GH189*GI189*VLOOKUP('Données projet'!$B$17,Paramètres!$A$1:$I$89,3,0)*0.475*44/12</f>
        <v>0</v>
      </c>
      <c r="GM189" s="23">
        <f>EXP(-LN(2)/25)*GM188+(1-EXP(-LN(2)/25))/(LN(2)/25)*Calculateur!GH189*Calculateur!GJ189*VLOOKUP('Données projet'!$B$17,Paramètres!$A$1:$I$89,3,0)*0.475*44/12</f>
        <v>0</v>
      </c>
      <c r="GN189" s="23">
        <f>EXP(-LN(2)/2)*GN188+(1-EXP(-LN(2)/2))/(LN(2)/2)*GH189*GK189*VLOOKUP('Données projet'!$B$17,Paramètres!$A$1:$I$89,3,0)*0.475*44/12</f>
        <v>0</v>
      </c>
      <c r="GO189" s="23">
        <f t="shared" si="187"/>
        <v>0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-2.2737367544323206E-13</v>
      </c>
      <c r="GV189" s="18">
        <f>GU189*VLOOKUP('Données projet'!$B$18,Paramètres!$A$1:$I$89,3,0)*VLOOKUP('Données projet'!$B$18,Paramètres!$A$1:$I$89,5,0)</f>
        <v>-1.5252226148732008E-13</v>
      </c>
      <c r="GW189" s="14" t="e">
        <f t="shared" si="188"/>
        <v>#NUM!</v>
      </c>
      <c r="GX189" s="22" t="e">
        <f t="shared" si="189"/>
        <v>#NUM!</v>
      </c>
      <c r="GY189" s="62" t="e">
        <f t="shared" si="137"/>
        <v>#NUM!</v>
      </c>
      <c r="GZ189" s="62">
        <f ca="1">AVERAGE(OFFSET($GY$3,0,0,'Données projet'!$E$18+1,1))-AVERAGE(OFFSET($H$3,0,0,'Données projet'!$E$18+1,1))</f>
        <v>410.20186800287411</v>
      </c>
      <c r="HA189" s="62">
        <f t="shared" si="160"/>
        <v>321.99347958016057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>
        <f>EXP(-LN(2)/35)*HG188+(1-EXP(-LN(2)/35))/(LN(2)/35)*HC189*HD189*VLOOKUP('Données projet'!$B$18,Paramètres!$A$1:$I$89,3,0)*0.475*44/12</f>
        <v>0</v>
      </c>
      <c r="HH189" s="23">
        <f>EXP(-LN(2)/25)*HH188+(1-EXP(-LN(2)/25))/(LN(2)/25)*Calculateur!HC189*Calculateur!HE189*VLOOKUP('Données projet'!$B$18,Paramètres!$A$1:$I$89,3,0)*0.475*44/12</f>
        <v>0</v>
      </c>
      <c r="HI189" s="23">
        <f>EXP(-LN(2)/2)*HI188+(1-EXP(-LN(2)/2))/(LN(2)/2)*HC189*HF189*VLOOKUP('Données projet'!$B$18,Paramètres!$A$1:$I$89,3,0)*0.475*44/12</f>
        <v>0</v>
      </c>
      <c r="HJ189" s="24">
        <f t="shared" si="190"/>
        <v>0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-4.5474735088646412E-13</v>
      </c>
      <c r="O190" s="14">
        <f>N190*VLOOKUP('Données projet'!$B$9,Paramètres!$A$1:$I$89,3,0)*VLOOKUP('Données projet'!$B$9,Paramètres!$A$1:$I$89,5,0)</f>
        <v>-4.1145540308207271E-13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509.56241660612449</v>
      </c>
      <c r="T190" s="62">
        <f t="shared" si="142"/>
        <v>278.21741231699929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-4.5474735088646412E-13</v>
      </c>
      <c r="AJ190" s="14">
        <f>AI190*VLOOKUP('Données projet'!$B$10,Paramètres!$A$1:$I$89,3,0)*VLOOKUP('Données projet'!$B$10,Paramètres!$A$1:$I$89,5,0)</f>
        <v>-4.6111381379887462E-13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565.72091871734051</v>
      </c>
      <c r="AO190" s="62">
        <f t="shared" si="144"/>
        <v>306.61893266146666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-5.6843418860808015E-14</v>
      </c>
      <c r="BE190" s="14">
        <f>BD190*VLOOKUP('Données projet'!$B$11,Paramètres!$A$1:$I$89,3,0)*VLOOKUP('Données projet'!$B$11,Paramètres!$A$1:$I$89,5,0)</f>
        <v>-4.1677594708744434E-14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344.26020118887629</v>
      </c>
      <c r="BJ190" s="62">
        <f t="shared" si="146"/>
        <v>376.41441893222185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-4.5474735088646412E-13</v>
      </c>
      <c r="BZ190" s="14">
        <f>BY190*VLOOKUP('Données projet'!$B$12,Paramètres!$A$1:$I$89,3,0)*VLOOKUP('Données projet'!$B$12,Paramètres!$A$1:$I$89,5,0)</f>
        <v>-3.8307916838675739E-13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477.4105367901771</v>
      </c>
      <c r="CE190" s="62">
        <f t="shared" si="148"/>
        <v>261.95434270986397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-6.2527760746888816E-13</v>
      </c>
      <c r="CU190" s="18">
        <f>CT190*VLOOKUP('Données projet'!$B$13,Paramètres!$A$1:$I$89,3,0)*VLOOKUP('Données projet'!$B$13,Paramètres!$A$1:$I$89,5,0)</f>
        <v>-2.9262992029543964E-13</v>
      </c>
      <c r="CV190" s="14" t="e">
        <f t="shared" si="173"/>
        <v>#NUM!</v>
      </c>
      <c r="CW190" s="22" t="e">
        <f t="shared" si="174"/>
        <v>#NUM!</v>
      </c>
      <c r="CX190" s="62" t="e">
        <f t="shared" si="122"/>
        <v>#NUM!</v>
      </c>
      <c r="CY190" s="62">
        <f ca="1">AVERAGE(OFFSET($CX$3,0,0,'Données projet'!$E$13+1,1))-AVERAGE(OFFSET($H$3,0,0,'Données projet'!$E$13+1,1))</f>
        <v>246.64907095367749</v>
      </c>
      <c r="CZ190" s="62">
        <f t="shared" si="150"/>
        <v>145.34368562171613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-5.6843418860808015E-14</v>
      </c>
      <c r="DP190" s="18">
        <f>DO190*VLOOKUP('Données projet'!$B$14,Paramètres!$A$1:$I$89,3,0)*VLOOKUP('Données projet'!$B$14,Paramètres!$A$1:$I$89,5,0)</f>
        <v>-4.5224624045658861E-14</v>
      </c>
      <c r="DQ190" s="14" t="e">
        <f t="shared" si="176"/>
        <v>#NUM!</v>
      </c>
      <c r="DR190" s="22" t="e">
        <f t="shared" si="177"/>
        <v>#NUM!</v>
      </c>
      <c r="DS190" s="62" t="e">
        <f t="shared" si="125"/>
        <v>#NUM!</v>
      </c>
      <c r="DT190" s="62">
        <f ca="1">AVERAGE(OFFSET($DS$3,0,0,'Données projet'!$E$14+1,1))-AVERAGE(OFFSET($H$3,0,0,'Données projet'!$E$14+1,1))</f>
        <v>370.38521334472284</v>
      </c>
      <c r="DU190" s="62">
        <f t="shared" si="152"/>
        <v>404.61777090709171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-1.1368683772161603E-13</v>
      </c>
      <c r="EK190" s="18">
        <f>EJ190*VLOOKUP('Données projet'!$B$15,Paramètres!$A$1:$I$89,3,0)*VLOOKUP('Données projet'!$B$15,Paramètres!$A$1:$I$89,5,0)</f>
        <v>-9.7543306765146564E-14</v>
      </c>
      <c r="EL190" s="14" t="e">
        <f t="shared" si="179"/>
        <v>#NUM!</v>
      </c>
      <c r="EM190" s="22" t="e">
        <f t="shared" si="180"/>
        <v>#NUM!</v>
      </c>
      <c r="EN190" s="62" t="e">
        <f t="shared" si="128"/>
        <v>#NUM!</v>
      </c>
      <c r="EO190" s="62">
        <f ca="1">AVERAGE(OFFSET($EN$3,0,0,'Données projet'!$E$15+1,1))-AVERAGE(OFFSET($H$3,0,0,'Données projet'!$E$15+1,1))</f>
        <v>445.81166342116865</v>
      </c>
      <c r="EP190" s="62">
        <f t="shared" si="154"/>
        <v>230.82970731138215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0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-4.5474735088646412E-13</v>
      </c>
      <c r="FF190" s="18">
        <f>FE190*VLOOKUP('Données projet'!$B$16,Paramètres!$A$1:$I$89,3,0)*VLOOKUP('Données projet'!$B$16,Paramètres!$A$1:$I$89,5,0)</f>
        <v>-4.3983163777738812E-13</v>
      </c>
      <c r="FG190" s="14" t="e">
        <f t="shared" si="182"/>
        <v>#NUM!</v>
      </c>
      <c r="FH190" s="22" t="e">
        <f t="shared" si="183"/>
        <v>#NUM!</v>
      </c>
      <c r="FI190" s="62" t="e">
        <f t="shared" si="131"/>
        <v>#NUM!</v>
      </c>
      <c r="FJ190" s="62">
        <f ca="1">AVERAGE(OFFSET($FI$3,0,0,'Données projet'!$E$16+1,1))-AVERAGE(OFFSET($H$3,0,0,'Données projet'!$E$16+1,1))</f>
        <v>541.66888676162716</v>
      </c>
      <c r="FK190" s="62">
        <f t="shared" si="156"/>
        <v>294.45557293177131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>
        <f>EXP(-LN(2)/35)*FQ189+(1-EXP(-LN(2)/35))/(LN(2)/35)*FM190*FN190*VLOOKUP('Données projet'!$B$16,Paramètres!$A$1:$I$89,3,0)*0.475*44/12</f>
        <v>0</v>
      </c>
      <c r="FR190" s="23">
        <f>EXP(-LN(2)/25)*FR189+(1-EXP(-LN(2)/25))/(LN(2)/25)*Calculateur!FM190*Calculateur!FO190*VLOOKUP('Données projet'!$B$16,Paramètres!$A$1:$I$89,3,0)*0.475*44/12</f>
        <v>0</v>
      </c>
      <c r="FS190" s="23">
        <f>EXP(-LN(2)/2)*FS189+(1-EXP(-LN(2)/2))/(LN(2)/2)*FM190*FP190*VLOOKUP('Données projet'!$B$16,Paramètres!$A$1:$I$89,3,0)*0.475*44/12</f>
        <v>0</v>
      </c>
      <c r="FT190" s="24">
        <f t="shared" si="184"/>
        <v>0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1.1368683772161603E-13</v>
      </c>
      <c r="GA190" s="18">
        <f>FZ190*VLOOKUP('Données projet'!$B$17,Paramètres!$A$1:$I$89,3,0)*VLOOKUP('Données projet'!$B$17,Paramètres!$A$1:$I$89,5,0)</f>
        <v>8.8675733422860506E-14</v>
      </c>
      <c r="GB190" s="14">
        <f t="shared" si="185"/>
        <v>1.3509285393066301E-12</v>
      </c>
      <c r="GC190" s="22">
        <f t="shared" si="186"/>
        <v>2.5073107750038623E-12</v>
      </c>
      <c r="GD190" s="62">
        <f t="shared" si="134"/>
        <v>293.33333333333582</v>
      </c>
      <c r="GE190" s="62">
        <f ca="1">AVERAGE(OFFSET($GD$3,0,0,'Données projet'!$E$17+1,1))-AVERAGE(OFFSET($H$3,0,0,'Données projet'!$E$17+1,1))</f>
        <v>292.57482726862594</v>
      </c>
      <c r="GF190" s="62">
        <f t="shared" si="158"/>
        <v>283.48738729114024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>
        <f>EXP(-LN(2)/35)*GL189+(1-EXP(-LN(2)/35))/(LN(2)/35)*GH190*GI190*VLOOKUP('Données projet'!$B$17,Paramètres!$A$1:$I$89,3,0)*0.475*44/12</f>
        <v>0</v>
      </c>
      <c r="GM190" s="23">
        <f>EXP(-LN(2)/25)*GM189+(1-EXP(-LN(2)/25))/(LN(2)/25)*Calculateur!GH190*Calculateur!GJ190*VLOOKUP('Données projet'!$B$17,Paramètres!$A$1:$I$89,3,0)*0.475*44/12</f>
        <v>0</v>
      </c>
      <c r="GN190" s="23">
        <f>EXP(-LN(2)/2)*GN189+(1-EXP(-LN(2)/2))/(LN(2)/2)*GH190*GK190*VLOOKUP('Données projet'!$B$17,Paramètres!$A$1:$I$89,3,0)*0.475*44/12</f>
        <v>0</v>
      </c>
      <c r="GO190" s="23">
        <f t="shared" si="187"/>
        <v>0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-2.2737367544323206E-13</v>
      </c>
      <c r="GV190" s="18">
        <f>GU190*VLOOKUP('Données projet'!$B$18,Paramètres!$A$1:$I$89,3,0)*VLOOKUP('Données projet'!$B$18,Paramètres!$A$1:$I$89,5,0)</f>
        <v>-1.5252226148732008E-13</v>
      </c>
      <c r="GW190" s="14" t="e">
        <f t="shared" si="188"/>
        <v>#NUM!</v>
      </c>
      <c r="GX190" s="22" t="e">
        <f t="shared" si="189"/>
        <v>#NUM!</v>
      </c>
      <c r="GY190" s="62" t="e">
        <f t="shared" si="137"/>
        <v>#NUM!</v>
      </c>
      <c r="GZ190" s="62">
        <f ca="1">AVERAGE(OFFSET($GY$3,0,0,'Données projet'!$E$18+1,1))-AVERAGE(OFFSET($H$3,0,0,'Données projet'!$E$18+1,1))</f>
        <v>410.20186800287411</v>
      </c>
      <c r="HA190" s="62">
        <f t="shared" si="160"/>
        <v>321.99347958016057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>
        <f>EXP(-LN(2)/35)*HG189+(1-EXP(-LN(2)/35))/(LN(2)/35)*HC190*HD190*VLOOKUP('Données projet'!$B$18,Paramètres!$A$1:$I$89,3,0)*0.475*44/12</f>
        <v>0</v>
      </c>
      <c r="HH190" s="23">
        <f>EXP(-LN(2)/25)*HH189+(1-EXP(-LN(2)/25))/(LN(2)/25)*Calculateur!HC190*Calculateur!HE190*VLOOKUP('Données projet'!$B$18,Paramètres!$A$1:$I$89,3,0)*0.475*44/12</f>
        <v>0</v>
      </c>
      <c r="HI190" s="23">
        <f>EXP(-LN(2)/2)*HI189+(1-EXP(-LN(2)/2))/(LN(2)/2)*HC190*HF190*VLOOKUP('Données projet'!$B$18,Paramètres!$A$1:$I$89,3,0)*0.475*44/12</f>
        <v>0</v>
      </c>
      <c r="HJ190" s="24">
        <f t="shared" si="190"/>
        <v>0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-4.5474735088646412E-13</v>
      </c>
      <c r="O191" s="14">
        <f>N191*VLOOKUP('Données projet'!$B$9,Paramètres!$A$1:$I$89,3,0)*VLOOKUP('Données projet'!$B$9,Paramètres!$A$1:$I$89,5,0)</f>
        <v>-4.1145540308207271E-13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509.56241660612449</v>
      </c>
      <c r="T191" s="62">
        <f t="shared" si="142"/>
        <v>278.21741231699929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-4.5474735088646412E-13</v>
      </c>
      <c r="AJ191" s="14">
        <f>AI191*VLOOKUP('Données projet'!$B$10,Paramètres!$A$1:$I$89,3,0)*VLOOKUP('Données projet'!$B$10,Paramètres!$A$1:$I$89,5,0)</f>
        <v>-4.6111381379887462E-13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565.72091871734051</v>
      </c>
      <c r="AO191" s="62">
        <f t="shared" si="144"/>
        <v>306.61893266146666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-5.6843418860808015E-14</v>
      </c>
      <c r="BE191" s="14">
        <f>BD191*VLOOKUP('Données projet'!$B$11,Paramètres!$A$1:$I$89,3,0)*VLOOKUP('Données projet'!$B$11,Paramètres!$A$1:$I$89,5,0)</f>
        <v>-4.1677594708744434E-14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344.26020118887629</v>
      </c>
      <c r="BJ191" s="62">
        <f t="shared" si="146"/>
        <v>376.41441893222185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-4.5474735088646412E-13</v>
      </c>
      <c r="BZ191" s="14">
        <f>BY191*VLOOKUP('Données projet'!$B$12,Paramètres!$A$1:$I$89,3,0)*VLOOKUP('Données projet'!$B$12,Paramètres!$A$1:$I$89,5,0)</f>
        <v>-3.8307916838675739E-13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477.4105367901771</v>
      </c>
      <c r="CE191" s="62">
        <f t="shared" si="148"/>
        <v>261.95434270986397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-6.2527760746888816E-13</v>
      </c>
      <c r="CU191" s="18">
        <f>CT191*VLOOKUP('Données projet'!$B$13,Paramètres!$A$1:$I$89,3,0)*VLOOKUP('Données projet'!$B$13,Paramètres!$A$1:$I$89,5,0)</f>
        <v>-2.9262992029543964E-13</v>
      </c>
      <c r="CV191" s="14" t="e">
        <f t="shared" si="173"/>
        <v>#NUM!</v>
      </c>
      <c r="CW191" s="22" t="e">
        <f t="shared" si="174"/>
        <v>#NUM!</v>
      </c>
      <c r="CX191" s="62" t="e">
        <f t="shared" si="122"/>
        <v>#NUM!</v>
      </c>
      <c r="CY191" s="62">
        <f ca="1">AVERAGE(OFFSET($CX$3,0,0,'Données projet'!$E$13+1,1))-AVERAGE(OFFSET($H$3,0,0,'Données projet'!$E$13+1,1))</f>
        <v>246.64907095367749</v>
      </c>
      <c r="CZ191" s="62">
        <f t="shared" si="150"/>
        <v>145.34368562171613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-5.6843418860808015E-14</v>
      </c>
      <c r="DP191" s="18">
        <f>DO191*VLOOKUP('Données projet'!$B$14,Paramètres!$A$1:$I$89,3,0)*VLOOKUP('Données projet'!$B$14,Paramètres!$A$1:$I$89,5,0)</f>
        <v>-4.5224624045658861E-14</v>
      </c>
      <c r="DQ191" s="14" t="e">
        <f t="shared" si="176"/>
        <v>#NUM!</v>
      </c>
      <c r="DR191" s="22" t="e">
        <f t="shared" si="177"/>
        <v>#NUM!</v>
      </c>
      <c r="DS191" s="62" t="e">
        <f t="shared" si="125"/>
        <v>#NUM!</v>
      </c>
      <c r="DT191" s="62">
        <f ca="1">AVERAGE(OFFSET($DS$3,0,0,'Données projet'!$E$14+1,1))-AVERAGE(OFFSET($H$3,0,0,'Données projet'!$E$14+1,1))</f>
        <v>370.38521334472284</v>
      </c>
      <c r="DU191" s="62">
        <f t="shared" si="152"/>
        <v>404.61777090709171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-1.1368683772161603E-13</v>
      </c>
      <c r="EK191" s="18">
        <f>EJ191*VLOOKUP('Données projet'!$B$15,Paramètres!$A$1:$I$89,3,0)*VLOOKUP('Données projet'!$B$15,Paramètres!$A$1:$I$89,5,0)</f>
        <v>-9.7543306765146564E-14</v>
      </c>
      <c r="EL191" s="14" t="e">
        <f t="shared" si="179"/>
        <v>#NUM!</v>
      </c>
      <c r="EM191" s="22" t="e">
        <f t="shared" si="180"/>
        <v>#NUM!</v>
      </c>
      <c r="EN191" s="62" t="e">
        <f t="shared" si="128"/>
        <v>#NUM!</v>
      </c>
      <c r="EO191" s="62">
        <f ca="1">AVERAGE(OFFSET($EN$3,0,0,'Données projet'!$E$15+1,1))-AVERAGE(OFFSET($H$3,0,0,'Données projet'!$E$15+1,1))</f>
        <v>445.81166342116865</v>
      </c>
      <c r="EP191" s="62">
        <f t="shared" si="154"/>
        <v>230.82970731138215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0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-4.5474735088646412E-13</v>
      </c>
      <c r="FF191" s="18">
        <f>FE191*VLOOKUP('Données projet'!$B$16,Paramètres!$A$1:$I$89,3,0)*VLOOKUP('Données projet'!$B$16,Paramètres!$A$1:$I$89,5,0)</f>
        <v>-4.3983163777738812E-13</v>
      </c>
      <c r="FG191" s="14" t="e">
        <f t="shared" si="182"/>
        <v>#NUM!</v>
      </c>
      <c r="FH191" s="22" t="e">
        <f t="shared" si="183"/>
        <v>#NUM!</v>
      </c>
      <c r="FI191" s="62" t="e">
        <f t="shared" si="131"/>
        <v>#NUM!</v>
      </c>
      <c r="FJ191" s="62">
        <f ca="1">AVERAGE(OFFSET($FI$3,0,0,'Données projet'!$E$16+1,1))-AVERAGE(OFFSET($H$3,0,0,'Données projet'!$E$16+1,1))</f>
        <v>541.66888676162716</v>
      </c>
      <c r="FK191" s="62">
        <f t="shared" si="156"/>
        <v>294.45557293177131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>
        <f>EXP(-LN(2)/35)*FQ190+(1-EXP(-LN(2)/35))/(LN(2)/35)*FM191*FN191*VLOOKUP('Données projet'!$B$16,Paramètres!$A$1:$I$89,3,0)*0.475*44/12</f>
        <v>0</v>
      </c>
      <c r="FR191" s="23">
        <f>EXP(-LN(2)/25)*FR190+(1-EXP(-LN(2)/25))/(LN(2)/25)*Calculateur!FM191*Calculateur!FO191*VLOOKUP('Données projet'!$B$16,Paramètres!$A$1:$I$89,3,0)*0.475*44/12</f>
        <v>0</v>
      </c>
      <c r="FS191" s="23">
        <f>EXP(-LN(2)/2)*FS190+(1-EXP(-LN(2)/2))/(LN(2)/2)*FM191*FP191*VLOOKUP('Données projet'!$B$16,Paramètres!$A$1:$I$89,3,0)*0.475*44/12</f>
        <v>0</v>
      </c>
      <c r="FT191" s="24">
        <f t="shared" si="184"/>
        <v>0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1.1368683772161603E-13</v>
      </c>
      <c r="GA191" s="18">
        <f>FZ191*VLOOKUP('Données projet'!$B$17,Paramètres!$A$1:$I$89,3,0)*VLOOKUP('Données projet'!$B$17,Paramètres!$A$1:$I$89,5,0)</f>
        <v>8.8675733422860506E-14</v>
      </c>
      <c r="GB191" s="14">
        <f t="shared" si="185"/>
        <v>1.3509285393066301E-12</v>
      </c>
      <c r="GC191" s="22">
        <f t="shared" si="186"/>
        <v>2.5073107750038623E-12</v>
      </c>
      <c r="GD191" s="62">
        <f t="shared" si="134"/>
        <v>293.33333333333582</v>
      </c>
      <c r="GE191" s="62">
        <f ca="1">AVERAGE(OFFSET($GD$3,0,0,'Données projet'!$E$17+1,1))-AVERAGE(OFFSET($H$3,0,0,'Données projet'!$E$17+1,1))</f>
        <v>292.57482726862594</v>
      </c>
      <c r="GF191" s="62">
        <f t="shared" si="158"/>
        <v>283.48738729114024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>
        <f>EXP(-LN(2)/35)*GL190+(1-EXP(-LN(2)/35))/(LN(2)/35)*GH191*GI191*VLOOKUP('Données projet'!$B$17,Paramètres!$A$1:$I$89,3,0)*0.475*44/12</f>
        <v>0</v>
      </c>
      <c r="GM191" s="23">
        <f>EXP(-LN(2)/25)*GM190+(1-EXP(-LN(2)/25))/(LN(2)/25)*Calculateur!GH191*Calculateur!GJ191*VLOOKUP('Données projet'!$B$17,Paramètres!$A$1:$I$89,3,0)*0.475*44/12</f>
        <v>0</v>
      </c>
      <c r="GN191" s="23">
        <f>EXP(-LN(2)/2)*GN190+(1-EXP(-LN(2)/2))/(LN(2)/2)*GH191*GK191*VLOOKUP('Données projet'!$B$17,Paramètres!$A$1:$I$89,3,0)*0.475*44/12</f>
        <v>0</v>
      </c>
      <c r="GO191" s="23">
        <f t="shared" si="187"/>
        <v>0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-2.2737367544323206E-13</v>
      </c>
      <c r="GV191" s="18">
        <f>GU191*VLOOKUP('Données projet'!$B$18,Paramètres!$A$1:$I$89,3,0)*VLOOKUP('Données projet'!$B$18,Paramètres!$A$1:$I$89,5,0)</f>
        <v>-1.5252226148732008E-13</v>
      </c>
      <c r="GW191" s="14" t="e">
        <f t="shared" si="188"/>
        <v>#NUM!</v>
      </c>
      <c r="GX191" s="22" t="e">
        <f t="shared" si="189"/>
        <v>#NUM!</v>
      </c>
      <c r="GY191" s="62" t="e">
        <f t="shared" si="137"/>
        <v>#NUM!</v>
      </c>
      <c r="GZ191" s="62">
        <f ca="1">AVERAGE(OFFSET($GY$3,0,0,'Données projet'!$E$18+1,1))-AVERAGE(OFFSET($H$3,0,0,'Données projet'!$E$18+1,1))</f>
        <v>410.20186800287411</v>
      </c>
      <c r="HA191" s="62">
        <f t="shared" si="160"/>
        <v>321.99347958016057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>
        <f>EXP(-LN(2)/35)*HG190+(1-EXP(-LN(2)/35))/(LN(2)/35)*HC191*HD191*VLOOKUP('Données projet'!$B$18,Paramètres!$A$1:$I$89,3,0)*0.475*44/12</f>
        <v>0</v>
      </c>
      <c r="HH191" s="23">
        <f>EXP(-LN(2)/25)*HH190+(1-EXP(-LN(2)/25))/(LN(2)/25)*Calculateur!HC191*Calculateur!HE191*VLOOKUP('Données projet'!$B$18,Paramètres!$A$1:$I$89,3,0)*0.475*44/12</f>
        <v>0</v>
      </c>
      <c r="HI191" s="23">
        <f>EXP(-LN(2)/2)*HI190+(1-EXP(-LN(2)/2))/(LN(2)/2)*HC191*HF191*VLOOKUP('Données projet'!$B$18,Paramètres!$A$1:$I$89,3,0)*0.475*44/12</f>
        <v>0</v>
      </c>
      <c r="HJ191" s="24">
        <f t="shared" si="190"/>
        <v>0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-4.5474735088646412E-13</v>
      </c>
      <c r="O192" s="14">
        <f>N192*VLOOKUP('Données projet'!$B$9,Paramètres!$A$1:$I$89,3,0)*VLOOKUP('Données projet'!$B$9,Paramètres!$A$1:$I$89,5,0)</f>
        <v>-4.1145540308207271E-13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509.56241660612449</v>
      </c>
      <c r="T192" s="62">
        <f t="shared" si="142"/>
        <v>278.21741231699929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-4.5474735088646412E-13</v>
      </c>
      <c r="AJ192" s="14">
        <f>AI192*VLOOKUP('Données projet'!$B$10,Paramètres!$A$1:$I$89,3,0)*VLOOKUP('Données projet'!$B$10,Paramètres!$A$1:$I$89,5,0)</f>
        <v>-4.6111381379887462E-13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565.72091871734051</v>
      </c>
      <c r="AO192" s="62">
        <f t="shared" si="144"/>
        <v>306.61893266146666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-5.6843418860808015E-14</v>
      </c>
      <c r="BE192" s="14">
        <f>BD192*VLOOKUP('Données projet'!$B$11,Paramètres!$A$1:$I$89,3,0)*VLOOKUP('Données projet'!$B$11,Paramètres!$A$1:$I$89,5,0)</f>
        <v>-4.1677594708744434E-14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344.26020118887629</v>
      </c>
      <c r="BJ192" s="62">
        <f t="shared" si="146"/>
        <v>376.41441893222185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-4.5474735088646412E-13</v>
      </c>
      <c r="BZ192" s="14">
        <f>BY192*VLOOKUP('Données projet'!$B$12,Paramètres!$A$1:$I$89,3,0)*VLOOKUP('Données projet'!$B$12,Paramètres!$A$1:$I$89,5,0)</f>
        <v>-3.8307916838675739E-13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477.4105367901771</v>
      </c>
      <c r="CE192" s="62">
        <f t="shared" si="148"/>
        <v>261.95434270986397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-6.2527760746888816E-13</v>
      </c>
      <c r="CU192" s="18">
        <f>CT192*VLOOKUP('Données projet'!$B$13,Paramètres!$A$1:$I$89,3,0)*VLOOKUP('Données projet'!$B$13,Paramètres!$A$1:$I$89,5,0)</f>
        <v>-2.9262992029543964E-13</v>
      </c>
      <c r="CV192" s="14" t="e">
        <f t="shared" si="173"/>
        <v>#NUM!</v>
      </c>
      <c r="CW192" s="22" t="e">
        <f t="shared" si="174"/>
        <v>#NUM!</v>
      </c>
      <c r="CX192" s="62" t="e">
        <f t="shared" si="122"/>
        <v>#NUM!</v>
      </c>
      <c r="CY192" s="62">
        <f ca="1">AVERAGE(OFFSET($CX$3,0,0,'Données projet'!$E$13+1,1))-AVERAGE(OFFSET($H$3,0,0,'Données projet'!$E$13+1,1))</f>
        <v>246.64907095367749</v>
      </c>
      <c r="CZ192" s="62">
        <f t="shared" si="150"/>
        <v>145.34368562171613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-5.6843418860808015E-14</v>
      </c>
      <c r="DP192" s="18">
        <f>DO192*VLOOKUP('Données projet'!$B$14,Paramètres!$A$1:$I$89,3,0)*VLOOKUP('Données projet'!$B$14,Paramètres!$A$1:$I$89,5,0)</f>
        <v>-4.5224624045658861E-14</v>
      </c>
      <c r="DQ192" s="14" t="e">
        <f t="shared" si="176"/>
        <v>#NUM!</v>
      </c>
      <c r="DR192" s="22" t="e">
        <f t="shared" si="177"/>
        <v>#NUM!</v>
      </c>
      <c r="DS192" s="62" t="e">
        <f t="shared" si="125"/>
        <v>#NUM!</v>
      </c>
      <c r="DT192" s="62">
        <f ca="1">AVERAGE(OFFSET($DS$3,0,0,'Données projet'!$E$14+1,1))-AVERAGE(OFFSET($H$3,0,0,'Données projet'!$E$14+1,1))</f>
        <v>370.38521334472284</v>
      </c>
      <c r="DU192" s="62">
        <f t="shared" si="152"/>
        <v>404.61777090709171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-1.1368683772161603E-13</v>
      </c>
      <c r="EK192" s="18">
        <f>EJ192*VLOOKUP('Données projet'!$B$15,Paramètres!$A$1:$I$89,3,0)*VLOOKUP('Données projet'!$B$15,Paramètres!$A$1:$I$89,5,0)</f>
        <v>-9.7543306765146564E-14</v>
      </c>
      <c r="EL192" s="14" t="e">
        <f t="shared" si="179"/>
        <v>#NUM!</v>
      </c>
      <c r="EM192" s="22" t="e">
        <f t="shared" si="180"/>
        <v>#NUM!</v>
      </c>
      <c r="EN192" s="62" t="e">
        <f t="shared" si="128"/>
        <v>#NUM!</v>
      </c>
      <c r="EO192" s="62">
        <f ca="1">AVERAGE(OFFSET($EN$3,0,0,'Données projet'!$E$15+1,1))-AVERAGE(OFFSET($H$3,0,0,'Données projet'!$E$15+1,1))</f>
        <v>445.81166342116865</v>
      </c>
      <c r="EP192" s="62">
        <f t="shared" si="154"/>
        <v>230.82970731138215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0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-4.5474735088646412E-13</v>
      </c>
      <c r="FF192" s="18">
        <f>FE192*VLOOKUP('Données projet'!$B$16,Paramètres!$A$1:$I$89,3,0)*VLOOKUP('Données projet'!$B$16,Paramètres!$A$1:$I$89,5,0)</f>
        <v>-4.3983163777738812E-13</v>
      </c>
      <c r="FG192" s="14" t="e">
        <f t="shared" si="182"/>
        <v>#NUM!</v>
      </c>
      <c r="FH192" s="22" t="e">
        <f t="shared" si="183"/>
        <v>#NUM!</v>
      </c>
      <c r="FI192" s="62" t="e">
        <f t="shared" si="131"/>
        <v>#NUM!</v>
      </c>
      <c r="FJ192" s="62">
        <f ca="1">AVERAGE(OFFSET($FI$3,0,0,'Données projet'!$E$16+1,1))-AVERAGE(OFFSET($H$3,0,0,'Données projet'!$E$16+1,1))</f>
        <v>541.66888676162716</v>
      </c>
      <c r="FK192" s="62">
        <f t="shared" si="156"/>
        <v>294.45557293177131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>
        <f>EXP(-LN(2)/35)*FQ191+(1-EXP(-LN(2)/35))/(LN(2)/35)*FM192*FN192*VLOOKUP('Données projet'!$B$16,Paramètres!$A$1:$I$89,3,0)*0.475*44/12</f>
        <v>0</v>
      </c>
      <c r="FR192" s="23">
        <f>EXP(-LN(2)/25)*FR191+(1-EXP(-LN(2)/25))/(LN(2)/25)*Calculateur!FM192*Calculateur!FO192*VLOOKUP('Données projet'!$B$16,Paramètres!$A$1:$I$89,3,0)*0.475*44/12</f>
        <v>0</v>
      </c>
      <c r="FS192" s="23">
        <f>EXP(-LN(2)/2)*FS191+(1-EXP(-LN(2)/2))/(LN(2)/2)*FM192*FP192*VLOOKUP('Données projet'!$B$16,Paramètres!$A$1:$I$89,3,0)*0.475*44/12</f>
        <v>0</v>
      </c>
      <c r="FT192" s="24">
        <f t="shared" si="184"/>
        <v>0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1.1368683772161603E-13</v>
      </c>
      <c r="GA192" s="18">
        <f>FZ192*VLOOKUP('Données projet'!$B$17,Paramètres!$A$1:$I$89,3,0)*VLOOKUP('Données projet'!$B$17,Paramètres!$A$1:$I$89,5,0)</f>
        <v>8.8675733422860506E-14</v>
      </c>
      <c r="GB192" s="14">
        <f t="shared" si="185"/>
        <v>1.3509285393066301E-12</v>
      </c>
      <c r="GC192" s="22">
        <f t="shared" si="186"/>
        <v>2.5073107750038623E-12</v>
      </c>
      <c r="GD192" s="62">
        <f t="shared" si="134"/>
        <v>293.33333333333582</v>
      </c>
      <c r="GE192" s="62">
        <f ca="1">AVERAGE(OFFSET($GD$3,0,0,'Données projet'!$E$17+1,1))-AVERAGE(OFFSET($H$3,0,0,'Données projet'!$E$17+1,1))</f>
        <v>292.57482726862594</v>
      </c>
      <c r="GF192" s="62">
        <f t="shared" si="158"/>
        <v>283.48738729114024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>
        <f>EXP(-LN(2)/35)*GL191+(1-EXP(-LN(2)/35))/(LN(2)/35)*GH192*GI192*VLOOKUP('Données projet'!$B$17,Paramètres!$A$1:$I$89,3,0)*0.475*44/12</f>
        <v>0</v>
      </c>
      <c r="GM192" s="23">
        <f>EXP(-LN(2)/25)*GM191+(1-EXP(-LN(2)/25))/(LN(2)/25)*Calculateur!GH192*Calculateur!GJ192*VLOOKUP('Données projet'!$B$17,Paramètres!$A$1:$I$89,3,0)*0.475*44/12</f>
        <v>0</v>
      </c>
      <c r="GN192" s="23">
        <f>EXP(-LN(2)/2)*GN191+(1-EXP(-LN(2)/2))/(LN(2)/2)*GH192*GK192*VLOOKUP('Données projet'!$B$17,Paramètres!$A$1:$I$89,3,0)*0.475*44/12</f>
        <v>0</v>
      </c>
      <c r="GO192" s="23">
        <f t="shared" si="187"/>
        <v>0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-2.2737367544323206E-13</v>
      </c>
      <c r="GV192" s="18">
        <f>GU192*VLOOKUP('Données projet'!$B$18,Paramètres!$A$1:$I$89,3,0)*VLOOKUP('Données projet'!$B$18,Paramètres!$A$1:$I$89,5,0)</f>
        <v>-1.5252226148732008E-13</v>
      </c>
      <c r="GW192" s="14" t="e">
        <f t="shared" si="188"/>
        <v>#NUM!</v>
      </c>
      <c r="GX192" s="22" t="e">
        <f t="shared" si="189"/>
        <v>#NUM!</v>
      </c>
      <c r="GY192" s="62" t="e">
        <f t="shared" si="137"/>
        <v>#NUM!</v>
      </c>
      <c r="GZ192" s="62">
        <f ca="1">AVERAGE(OFFSET($GY$3,0,0,'Données projet'!$E$18+1,1))-AVERAGE(OFFSET($H$3,0,0,'Données projet'!$E$18+1,1))</f>
        <v>410.20186800287411</v>
      </c>
      <c r="HA192" s="62">
        <f t="shared" si="160"/>
        <v>321.99347958016057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>
        <f>EXP(-LN(2)/35)*HG191+(1-EXP(-LN(2)/35))/(LN(2)/35)*HC192*HD192*VLOOKUP('Données projet'!$B$18,Paramètres!$A$1:$I$89,3,0)*0.475*44/12</f>
        <v>0</v>
      </c>
      <c r="HH192" s="23">
        <f>EXP(-LN(2)/25)*HH191+(1-EXP(-LN(2)/25))/(LN(2)/25)*Calculateur!HC192*Calculateur!HE192*VLOOKUP('Données projet'!$B$18,Paramètres!$A$1:$I$89,3,0)*0.475*44/12</f>
        <v>0</v>
      </c>
      <c r="HI192" s="23">
        <f>EXP(-LN(2)/2)*HI191+(1-EXP(-LN(2)/2))/(LN(2)/2)*HC192*HF192*VLOOKUP('Données projet'!$B$18,Paramètres!$A$1:$I$89,3,0)*0.475*44/12</f>
        <v>0</v>
      </c>
      <c r="HJ192" s="24">
        <f t="shared" si="190"/>
        <v>0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-4.5474735088646412E-13</v>
      </c>
      <c r="O193" s="14">
        <f>N193*VLOOKUP('Données projet'!$B$9,Paramètres!$A$1:$I$89,3,0)*VLOOKUP('Données projet'!$B$9,Paramètres!$A$1:$I$89,5,0)</f>
        <v>-4.1145540308207271E-13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509.56241660612449</v>
      </c>
      <c r="T193" s="62">
        <f t="shared" si="142"/>
        <v>278.21741231699929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-4.5474735088646412E-13</v>
      </c>
      <c r="AJ193" s="14">
        <f>AI193*VLOOKUP('Données projet'!$B$10,Paramètres!$A$1:$I$89,3,0)*VLOOKUP('Données projet'!$B$10,Paramètres!$A$1:$I$89,5,0)</f>
        <v>-4.6111381379887462E-13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565.72091871734051</v>
      </c>
      <c r="AO193" s="62">
        <f t="shared" si="144"/>
        <v>306.61893266146666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-5.6843418860808015E-14</v>
      </c>
      <c r="BE193" s="14">
        <f>BD193*VLOOKUP('Données projet'!$B$11,Paramètres!$A$1:$I$89,3,0)*VLOOKUP('Données projet'!$B$11,Paramètres!$A$1:$I$89,5,0)</f>
        <v>-4.1677594708744434E-14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344.26020118887629</v>
      </c>
      <c r="BJ193" s="62">
        <f t="shared" si="146"/>
        <v>376.41441893222185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-4.5474735088646412E-13</v>
      </c>
      <c r="BZ193" s="14">
        <f>BY193*VLOOKUP('Données projet'!$B$12,Paramètres!$A$1:$I$89,3,0)*VLOOKUP('Données projet'!$B$12,Paramètres!$A$1:$I$89,5,0)</f>
        <v>-3.8307916838675739E-13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477.4105367901771</v>
      </c>
      <c r="CE193" s="62">
        <f t="shared" si="148"/>
        <v>261.95434270986397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-6.2527760746888816E-13</v>
      </c>
      <c r="CU193" s="18">
        <f>CT193*VLOOKUP('Données projet'!$B$13,Paramètres!$A$1:$I$89,3,0)*VLOOKUP('Données projet'!$B$13,Paramètres!$A$1:$I$89,5,0)</f>
        <v>-2.9262992029543964E-13</v>
      </c>
      <c r="CV193" s="14" t="e">
        <f t="shared" si="173"/>
        <v>#NUM!</v>
      </c>
      <c r="CW193" s="22" t="e">
        <f t="shared" si="174"/>
        <v>#NUM!</v>
      </c>
      <c r="CX193" s="62" t="e">
        <f t="shared" si="122"/>
        <v>#NUM!</v>
      </c>
      <c r="CY193" s="62">
        <f ca="1">AVERAGE(OFFSET($CX$3,0,0,'Données projet'!$E$13+1,1))-AVERAGE(OFFSET($H$3,0,0,'Données projet'!$E$13+1,1))</f>
        <v>246.64907095367749</v>
      </c>
      <c r="CZ193" s="62">
        <f t="shared" si="150"/>
        <v>145.34368562171613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-5.6843418860808015E-14</v>
      </c>
      <c r="DP193" s="18">
        <f>DO193*VLOOKUP('Données projet'!$B$14,Paramètres!$A$1:$I$89,3,0)*VLOOKUP('Données projet'!$B$14,Paramètres!$A$1:$I$89,5,0)</f>
        <v>-4.5224624045658861E-14</v>
      </c>
      <c r="DQ193" s="14" t="e">
        <f t="shared" si="176"/>
        <v>#NUM!</v>
      </c>
      <c r="DR193" s="22" t="e">
        <f t="shared" si="177"/>
        <v>#NUM!</v>
      </c>
      <c r="DS193" s="62" t="e">
        <f t="shared" si="125"/>
        <v>#NUM!</v>
      </c>
      <c r="DT193" s="62">
        <f ca="1">AVERAGE(OFFSET($DS$3,0,0,'Données projet'!$E$14+1,1))-AVERAGE(OFFSET($H$3,0,0,'Données projet'!$E$14+1,1))</f>
        <v>370.38521334472284</v>
      </c>
      <c r="DU193" s="62">
        <f t="shared" si="152"/>
        <v>404.61777090709171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-1.1368683772161603E-13</v>
      </c>
      <c r="EK193" s="18">
        <f>EJ193*VLOOKUP('Données projet'!$B$15,Paramètres!$A$1:$I$89,3,0)*VLOOKUP('Données projet'!$B$15,Paramètres!$A$1:$I$89,5,0)</f>
        <v>-9.7543306765146564E-14</v>
      </c>
      <c r="EL193" s="14" t="e">
        <f t="shared" si="179"/>
        <v>#NUM!</v>
      </c>
      <c r="EM193" s="22" t="e">
        <f t="shared" si="180"/>
        <v>#NUM!</v>
      </c>
      <c r="EN193" s="62" t="e">
        <f t="shared" si="128"/>
        <v>#NUM!</v>
      </c>
      <c r="EO193" s="62">
        <f ca="1">AVERAGE(OFFSET($EN$3,0,0,'Données projet'!$E$15+1,1))-AVERAGE(OFFSET($H$3,0,0,'Données projet'!$E$15+1,1))</f>
        <v>445.81166342116865</v>
      </c>
      <c r="EP193" s="62">
        <f t="shared" si="154"/>
        <v>230.82970731138215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0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-4.5474735088646412E-13</v>
      </c>
      <c r="FF193" s="18">
        <f>FE193*VLOOKUP('Données projet'!$B$16,Paramètres!$A$1:$I$89,3,0)*VLOOKUP('Données projet'!$B$16,Paramètres!$A$1:$I$89,5,0)</f>
        <v>-4.3983163777738812E-13</v>
      </c>
      <c r="FG193" s="14" t="e">
        <f t="shared" si="182"/>
        <v>#NUM!</v>
      </c>
      <c r="FH193" s="22" t="e">
        <f t="shared" si="183"/>
        <v>#NUM!</v>
      </c>
      <c r="FI193" s="62" t="e">
        <f t="shared" si="131"/>
        <v>#NUM!</v>
      </c>
      <c r="FJ193" s="62">
        <f ca="1">AVERAGE(OFFSET($FI$3,0,0,'Données projet'!$E$16+1,1))-AVERAGE(OFFSET($H$3,0,0,'Données projet'!$E$16+1,1))</f>
        <v>541.66888676162716</v>
      </c>
      <c r="FK193" s="62">
        <f t="shared" si="156"/>
        <v>294.45557293177131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>
        <f>EXP(-LN(2)/35)*FQ192+(1-EXP(-LN(2)/35))/(LN(2)/35)*FM193*FN193*VLOOKUP('Données projet'!$B$16,Paramètres!$A$1:$I$89,3,0)*0.475*44/12</f>
        <v>0</v>
      </c>
      <c r="FR193" s="23">
        <f>EXP(-LN(2)/25)*FR192+(1-EXP(-LN(2)/25))/(LN(2)/25)*Calculateur!FM193*Calculateur!FO193*VLOOKUP('Données projet'!$B$16,Paramètres!$A$1:$I$89,3,0)*0.475*44/12</f>
        <v>0</v>
      </c>
      <c r="FS193" s="23">
        <f>EXP(-LN(2)/2)*FS192+(1-EXP(-LN(2)/2))/(LN(2)/2)*FM193*FP193*VLOOKUP('Données projet'!$B$16,Paramètres!$A$1:$I$89,3,0)*0.475*44/12</f>
        <v>0</v>
      </c>
      <c r="FT193" s="24">
        <f t="shared" si="184"/>
        <v>0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1.1368683772161603E-13</v>
      </c>
      <c r="GA193" s="18">
        <f>FZ193*VLOOKUP('Données projet'!$B$17,Paramètres!$A$1:$I$89,3,0)*VLOOKUP('Données projet'!$B$17,Paramètres!$A$1:$I$89,5,0)</f>
        <v>8.8675733422860506E-14</v>
      </c>
      <c r="GB193" s="14">
        <f t="shared" si="185"/>
        <v>1.3509285393066301E-12</v>
      </c>
      <c r="GC193" s="22">
        <f t="shared" si="186"/>
        <v>2.5073107750038623E-12</v>
      </c>
      <c r="GD193" s="62">
        <f t="shared" si="134"/>
        <v>293.33333333333582</v>
      </c>
      <c r="GE193" s="62">
        <f ca="1">AVERAGE(OFFSET($GD$3,0,0,'Données projet'!$E$17+1,1))-AVERAGE(OFFSET($H$3,0,0,'Données projet'!$E$17+1,1))</f>
        <v>292.57482726862594</v>
      </c>
      <c r="GF193" s="62">
        <f t="shared" si="158"/>
        <v>283.48738729114024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>
        <f>EXP(-LN(2)/35)*GL192+(1-EXP(-LN(2)/35))/(LN(2)/35)*GH193*GI193*VLOOKUP('Données projet'!$B$17,Paramètres!$A$1:$I$89,3,0)*0.475*44/12</f>
        <v>0</v>
      </c>
      <c r="GM193" s="23">
        <f>EXP(-LN(2)/25)*GM192+(1-EXP(-LN(2)/25))/(LN(2)/25)*Calculateur!GH193*Calculateur!GJ193*VLOOKUP('Données projet'!$B$17,Paramètres!$A$1:$I$89,3,0)*0.475*44/12</f>
        <v>0</v>
      </c>
      <c r="GN193" s="23">
        <f>EXP(-LN(2)/2)*GN192+(1-EXP(-LN(2)/2))/(LN(2)/2)*GH193*GK193*VLOOKUP('Données projet'!$B$17,Paramètres!$A$1:$I$89,3,0)*0.475*44/12</f>
        <v>0</v>
      </c>
      <c r="GO193" s="23">
        <f t="shared" si="187"/>
        <v>0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-2.2737367544323206E-13</v>
      </c>
      <c r="GV193" s="18">
        <f>GU193*VLOOKUP('Données projet'!$B$18,Paramètres!$A$1:$I$89,3,0)*VLOOKUP('Données projet'!$B$18,Paramètres!$A$1:$I$89,5,0)</f>
        <v>-1.5252226148732008E-13</v>
      </c>
      <c r="GW193" s="14" t="e">
        <f t="shared" si="188"/>
        <v>#NUM!</v>
      </c>
      <c r="GX193" s="22" t="e">
        <f t="shared" si="189"/>
        <v>#NUM!</v>
      </c>
      <c r="GY193" s="62" t="e">
        <f t="shared" si="137"/>
        <v>#NUM!</v>
      </c>
      <c r="GZ193" s="62">
        <f ca="1">AVERAGE(OFFSET($GY$3,0,0,'Données projet'!$E$18+1,1))-AVERAGE(OFFSET($H$3,0,0,'Données projet'!$E$18+1,1))</f>
        <v>410.20186800287411</v>
      </c>
      <c r="HA193" s="62">
        <f t="shared" si="160"/>
        <v>321.99347958016057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>
        <f>EXP(-LN(2)/35)*HG192+(1-EXP(-LN(2)/35))/(LN(2)/35)*HC193*HD193*VLOOKUP('Données projet'!$B$18,Paramètres!$A$1:$I$89,3,0)*0.475*44/12</f>
        <v>0</v>
      </c>
      <c r="HH193" s="23">
        <f>EXP(-LN(2)/25)*HH192+(1-EXP(-LN(2)/25))/(LN(2)/25)*Calculateur!HC193*Calculateur!HE193*VLOOKUP('Données projet'!$B$18,Paramètres!$A$1:$I$89,3,0)*0.475*44/12</f>
        <v>0</v>
      </c>
      <c r="HI193" s="23">
        <f>EXP(-LN(2)/2)*HI192+(1-EXP(-LN(2)/2))/(LN(2)/2)*HC193*HF193*VLOOKUP('Données projet'!$B$18,Paramètres!$A$1:$I$89,3,0)*0.475*44/12</f>
        <v>0</v>
      </c>
      <c r="HJ193" s="24">
        <f t="shared" si="190"/>
        <v>0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-4.5474735088646412E-13</v>
      </c>
      <c r="O194" s="14">
        <f>N194*VLOOKUP('Données projet'!$B$9,Paramètres!$A$1:$I$89,3,0)*VLOOKUP('Données projet'!$B$9,Paramètres!$A$1:$I$89,5,0)</f>
        <v>-4.1145540308207271E-13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509.56241660612449</v>
      </c>
      <c r="T194" s="62">
        <f t="shared" si="142"/>
        <v>278.21741231699929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-4.5474735088646412E-13</v>
      </c>
      <c r="AJ194" s="14">
        <f>AI194*VLOOKUP('Données projet'!$B$10,Paramètres!$A$1:$I$89,3,0)*VLOOKUP('Données projet'!$B$10,Paramètres!$A$1:$I$89,5,0)</f>
        <v>-4.6111381379887462E-13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565.72091871734051</v>
      </c>
      <c r="AO194" s="62">
        <f t="shared" si="144"/>
        <v>306.61893266146666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-5.6843418860808015E-14</v>
      </c>
      <c r="BE194" s="14">
        <f>BD194*VLOOKUP('Données projet'!$B$11,Paramètres!$A$1:$I$89,3,0)*VLOOKUP('Données projet'!$B$11,Paramètres!$A$1:$I$89,5,0)</f>
        <v>-4.1677594708744434E-14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344.26020118887629</v>
      </c>
      <c r="BJ194" s="62">
        <f t="shared" si="146"/>
        <v>376.41441893222185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-4.5474735088646412E-13</v>
      </c>
      <c r="BZ194" s="14">
        <f>BY194*VLOOKUP('Données projet'!$B$12,Paramètres!$A$1:$I$89,3,0)*VLOOKUP('Données projet'!$B$12,Paramètres!$A$1:$I$89,5,0)</f>
        <v>-3.8307916838675739E-13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477.4105367901771</v>
      </c>
      <c r="CE194" s="62">
        <f t="shared" si="148"/>
        <v>261.95434270986397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-6.2527760746888816E-13</v>
      </c>
      <c r="CU194" s="18">
        <f>CT194*VLOOKUP('Données projet'!$B$13,Paramètres!$A$1:$I$89,3,0)*VLOOKUP('Données projet'!$B$13,Paramètres!$A$1:$I$89,5,0)</f>
        <v>-2.9262992029543964E-13</v>
      </c>
      <c r="CV194" s="14" t="e">
        <f t="shared" si="173"/>
        <v>#NUM!</v>
      </c>
      <c r="CW194" s="22" t="e">
        <f t="shared" si="174"/>
        <v>#NUM!</v>
      </c>
      <c r="CX194" s="62" t="e">
        <f t="shared" si="122"/>
        <v>#NUM!</v>
      </c>
      <c r="CY194" s="62">
        <f ca="1">AVERAGE(OFFSET($CX$3,0,0,'Données projet'!$E$13+1,1))-AVERAGE(OFFSET($H$3,0,0,'Données projet'!$E$13+1,1))</f>
        <v>246.64907095367749</v>
      </c>
      <c r="CZ194" s="62">
        <f t="shared" si="150"/>
        <v>145.34368562171613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-5.6843418860808015E-14</v>
      </c>
      <c r="DP194" s="18">
        <f>DO194*VLOOKUP('Données projet'!$B$14,Paramètres!$A$1:$I$89,3,0)*VLOOKUP('Données projet'!$B$14,Paramètres!$A$1:$I$89,5,0)</f>
        <v>-4.5224624045658861E-14</v>
      </c>
      <c r="DQ194" s="14" t="e">
        <f t="shared" si="176"/>
        <v>#NUM!</v>
      </c>
      <c r="DR194" s="22" t="e">
        <f t="shared" si="177"/>
        <v>#NUM!</v>
      </c>
      <c r="DS194" s="62" t="e">
        <f t="shared" si="125"/>
        <v>#NUM!</v>
      </c>
      <c r="DT194" s="62">
        <f ca="1">AVERAGE(OFFSET($DS$3,0,0,'Données projet'!$E$14+1,1))-AVERAGE(OFFSET($H$3,0,0,'Données projet'!$E$14+1,1))</f>
        <v>370.38521334472284</v>
      </c>
      <c r="DU194" s="62">
        <f t="shared" si="152"/>
        <v>404.61777090709171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-1.1368683772161603E-13</v>
      </c>
      <c r="EK194" s="18">
        <f>EJ194*VLOOKUP('Données projet'!$B$15,Paramètres!$A$1:$I$89,3,0)*VLOOKUP('Données projet'!$B$15,Paramètres!$A$1:$I$89,5,0)</f>
        <v>-9.7543306765146564E-14</v>
      </c>
      <c r="EL194" s="14" t="e">
        <f t="shared" si="179"/>
        <v>#NUM!</v>
      </c>
      <c r="EM194" s="22" t="e">
        <f t="shared" si="180"/>
        <v>#NUM!</v>
      </c>
      <c r="EN194" s="62" t="e">
        <f t="shared" si="128"/>
        <v>#NUM!</v>
      </c>
      <c r="EO194" s="62">
        <f ca="1">AVERAGE(OFFSET($EN$3,0,0,'Données projet'!$E$15+1,1))-AVERAGE(OFFSET($H$3,0,0,'Données projet'!$E$15+1,1))</f>
        <v>445.81166342116865</v>
      </c>
      <c r="EP194" s="62">
        <f t="shared" si="154"/>
        <v>230.82970731138215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0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-4.5474735088646412E-13</v>
      </c>
      <c r="FF194" s="18">
        <f>FE194*VLOOKUP('Données projet'!$B$16,Paramètres!$A$1:$I$89,3,0)*VLOOKUP('Données projet'!$B$16,Paramètres!$A$1:$I$89,5,0)</f>
        <v>-4.3983163777738812E-13</v>
      </c>
      <c r="FG194" s="14" t="e">
        <f t="shared" si="182"/>
        <v>#NUM!</v>
      </c>
      <c r="FH194" s="22" t="e">
        <f t="shared" si="183"/>
        <v>#NUM!</v>
      </c>
      <c r="FI194" s="62" t="e">
        <f t="shared" si="131"/>
        <v>#NUM!</v>
      </c>
      <c r="FJ194" s="62">
        <f ca="1">AVERAGE(OFFSET($FI$3,0,0,'Données projet'!$E$16+1,1))-AVERAGE(OFFSET($H$3,0,0,'Données projet'!$E$16+1,1))</f>
        <v>541.66888676162716</v>
      </c>
      <c r="FK194" s="62">
        <f t="shared" si="156"/>
        <v>294.45557293177131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>
        <f>EXP(-LN(2)/35)*FQ193+(1-EXP(-LN(2)/35))/(LN(2)/35)*FM194*FN194*VLOOKUP('Données projet'!$B$16,Paramètres!$A$1:$I$89,3,0)*0.475*44/12</f>
        <v>0</v>
      </c>
      <c r="FR194" s="23">
        <f>EXP(-LN(2)/25)*FR193+(1-EXP(-LN(2)/25))/(LN(2)/25)*Calculateur!FM194*Calculateur!FO194*VLOOKUP('Données projet'!$B$16,Paramètres!$A$1:$I$89,3,0)*0.475*44/12</f>
        <v>0</v>
      </c>
      <c r="FS194" s="23">
        <f>EXP(-LN(2)/2)*FS193+(1-EXP(-LN(2)/2))/(LN(2)/2)*FM194*FP194*VLOOKUP('Données projet'!$B$16,Paramètres!$A$1:$I$89,3,0)*0.475*44/12</f>
        <v>0</v>
      </c>
      <c r="FT194" s="24">
        <f t="shared" si="184"/>
        <v>0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1.1368683772161603E-13</v>
      </c>
      <c r="GA194" s="18">
        <f>FZ194*VLOOKUP('Données projet'!$B$17,Paramètres!$A$1:$I$89,3,0)*VLOOKUP('Données projet'!$B$17,Paramètres!$A$1:$I$89,5,0)</f>
        <v>8.8675733422860506E-14</v>
      </c>
      <c r="GB194" s="14">
        <f t="shared" si="185"/>
        <v>1.3509285393066301E-12</v>
      </c>
      <c r="GC194" s="22">
        <f t="shared" si="186"/>
        <v>2.5073107750038623E-12</v>
      </c>
      <c r="GD194" s="62">
        <f t="shared" si="134"/>
        <v>293.33333333333582</v>
      </c>
      <c r="GE194" s="62">
        <f ca="1">AVERAGE(OFFSET($GD$3,0,0,'Données projet'!$E$17+1,1))-AVERAGE(OFFSET($H$3,0,0,'Données projet'!$E$17+1,1))</f>
        <v>292.57482726862594</v>
      </c>
      <c r="GF194" s="62">
        <f t="shared" si="158"/>
        <v>283.48738729114024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>
        <f>EXP(-LN(2)/35)*GL193+(1-EXP(-LN(2)/35))/(LN(2)/35)*GH194*GI194*VLOOKUP('Données projet'!$B$17,Paramètres!$A$1:$I$89,3,0)*0.475*44/12</f>
        <v>0</v>
      </c>
      <c r="GM194" s="23">
        <f>EXP(-LN(2)/25)*GM193+(1-EXP(-LN(2)/25))/(LN(2)/25)*Calculateur!GH194*Calculateur!GJ194*VLOOKUP('Données projet'!$B$17,Paramètres!$A$1:$I$89,3,0)*0.475*44/12</f>
        <v>0</v>
      </c>
      <c r="GN194" s="23">
        <f>EXP(-LN(2)/2)*GN193+(1-EXP(-LN(2)/2))/(LN(2)/2)*GH194*GK194*VLOOKUP('Données projet'!$B$17,Paramètres!$A$1:$I$89,3,0)*0.475*44/12</f>
        <v>0</v>
      </c>
      <c r="GO194" s="23">
        <f t="shared" si="187"/>
        <v>0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-2.2737367544323206E-13</v>
      </c>
      <c r="GV194" s="18">
        <f>GU194*VLOOKUP('Données projet'!$B$18,Paramètres!$A$1:$I$89,3,0)*VLOOKUP('Données projet'!$B$18,Paramètres!$A$1:$I$89,5,0)</f>
        <v>-1.5252226148732008E-13</v>
      </c>
      <c r="GW194" s="14" t="e">
        <f t="shared" si="188"/>
        <v>#NUM!</v>
      </c>
      <c r="GX194" s="22" t="e">
        <f t="shared" si="189"/>
        <v>#NUM!</v>
      </c>
      <c r="GY194" s="62" t="e">
        <f t="shared" si="137"/>
        <v>#NUM!</v>
      </c>
      <c r="GZ194" s="62">
        <f ca="1">AVERAGE(OFFSET($GY$3,0,0,'Données projet'!$E$18+1,1))-AVERAGE(OFFSET($H$3,0,0,'Données projet'!$E$18+1,1))</f>
        <v>410.20186800287411</v>
      </c>
      <c r="HA194" s="62">
        <f t="shared" si="160"/>
        <v>321.99347958016057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>
        <f>EXP(-LN(2)/35)*HG193+(1-EXP(-LN(2)/35))/(LN(2)/35)*HC194*HD194*VLOOKUP('Données projet'!$B$18,Paramètres!$A$1:$I$89,3,0)*0.475*44/12</f>
        <v>0</v>
      </c>
      <c r="HH194" s="23">
        <f>EXP(-LN(2)/25)*HH193+(1-EXP(-LN(2)/25))/(LN(2)/25)*Calculateur!HC194*Calculateur!HE194*VLOOKUP('Données projet'!$B$18,Paramètres!$A$1:$I$89,3,0)*0.475*44/12</f>
        <v>0</v>
      </c>
      <c r="HI194" s="23">
        <f>EXP(-LN(2)/2)*HI193+(1-EXP(-LN(2)/2))/(LN(2)/2)*HC194*HF194*VLOOKUP('Données projet'!$B$18,Paramètres!$A$1:$I$89,3,0)*0.475*44/12</f>
        <v>0</v>
      </c>
      <c r="HJ194" s="24">
        <f t="shared" si="190"/>
        <v>0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-4.5474735088646412E-13</v>
      </c>
      <c r="O195" s="14">
        <f>N195*VLOOKUP('Données projet'!$B$9,Paramètres!$A$1:$I$89,3,0)*VLOOKUP('Données projet'!$B$9,Paramètres!$A$1:$I$89,5,0)</f>
        <v>-4.1145540308207271E-13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509.56241660612449</v>
      </c>
      <c r="T195" s="62">
        <f t="shared" si="142"/>
        <v>278.21741231699929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-4.5474735088646412E-13</v>
      </c>
      <c r="AJ195" s="14">
        <f>AI195*VLOOKUP('Données projet'!$B$10,Paramètres!$A$1:$I$89,3,0)*VLOOKUP('Données projet'!$B$10,Paramètres!$A$1:$I$89,5,0)</f>
        <v>-4.6111381379887462E-13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565.72091871734051</v>
      </c>
      <c r="AO195" s="62">
        <f t="shared" si="144"/>
        <v>306.61893266146666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-5.6843418860808015E-14</v>
      </c>
      <c r="BE195" s="14">
        <f>BD195*VLOOKUP('Données projet'!$B$11,Paramètres!$A$1:$I$89,3,0)*VLOOKUP('Données projet'!$B$11,Paramètres!$A$1:$I$89,5,0)</f>
        <v>-4.1677594708744434E-14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344.26020118887629</v>
      </c>
      <c r="BJ195" s="62">
        <f t="shared" si="146"/>
        <v>376.41441893222185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-4.5474735088646412E-13</v>
      </c>
      <c r="BZ195" s="14">
        <f>BY195*VLOOKUP('Données projet'!$B$12,Paramètres!$A$1:$I$89,3,0)*VLOOKUP('Données projet'!$B$12,Paramètres!$A$1:$I$89,5,0)</f>
        <v>-3.8307916838675739E-13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477.4105367901771</v>
      </c>
      <c r="CE195" s="62">
        <f t="shared" si="148"/>
        <v>261.95434270986397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-6.2527760746888816E-13</v>
      </c>
      <c r="CU195" s="18">
        <f>CT195*VLOOKUP('Données projet'!$B$13,Paramètres!$A$1:$I$89,3,0)*VLOOKUP('Données projet'!$B$13,Paramètres!$A$1:$I$89,5,0)</f>
        <v>-2.9262992029543964E-13</v>
      </c>
      <c r="CV195" s="14" t="e">
        <f t="shared" si="173"/>
        <v>#NUM!</v>
      </c>
      <c r="CW195" s="22" t="e">
        <f t="shared" si="174"/>
        <v>#NUM!</v>
      </c>
      <c r="CX195" s="62" t="e">
        <f t="shared" si="122"/>
        <v>#NUM!</v>
      </c>
      <c r="CY195" s="62">
        <f ca="1">AVERAGE(OFFSET($CX$3,0,0,'Données projet'!$E$13+1,1))-AVERAGE(OFFSET($H$3,0,0,'Données projet'!$E$13+1,1))</f>
        <v>246.64907095367749</v>
      </c>
      <c r="CZ195" s="62">
        <f t="shared" si="150"/>
        <v>145.34368562171613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-5.6843418860808015E-14</v>
      </c>
      <c r="DP195" s="18">
        <f>DO195*VLOOKUP('Données projet'!$B$14,Paramètres!$A$1:$I$89,3,0)*VLOOKUP('Données projet'!$B$14,Paramètres!$A$1:$I$89,5,0)</f>
        <v>-4.5224624045658861E-14</v>
      </c>
      <c r="DQ195" s="14" t="e">
        <f t="shared" si="176"/>
        <v>#NUM!</v>
      </c>
      <c r="DR195" s="22" t="e">
        <f t="shared" si="177"/>
        <v>#NUM!</v>
      </c>
      <c r="DS195" s="62" t="e">
        <f t="shared" si="125"/>
        <v>#NUM!</v>
      </c>
      <c r="DT195" s="62">
        <f ca="1">AVERAGE(OFFSET($DS$3,0,0,'Données projet'!$E$14+1,1))-AVERAGE(OFFSET($H$3,0,0,'Données projet'!$E$14+1,1))</f>
        <v>370.38521334472284</v>
      </c>
      <c r="DU195" s="62">
        <f t="shared" si="152"/>
        <v>404.61777090709171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-1.1368683772161603E-13</v>
      </c>
      <c r="EK195" s="18">
        <f>EJ195*VLOOKUP('Données projet'!$B$15,Paramètres!$A$1:$I$89,3,0)*VLOOKUP('Données projet'!$B$15,Paramètres!$A$1:$I$89,5,0)</f>
        <v>-9.7543306765146564E-14</v>
      </c>
      <c r="EL195" s="14" t="e">
        <f t="shared" si="179"/>
        <v>#NUM!</v>
      </c>
      <c r="EM195" s="22" t="e">
        <f t="shared" si="180"/>
        <v>#NUM!</v>
      </c>
      <c r="EN195" s="62" t="e">
        <f t="shared" si="128"/>
        <v>#NUM!</v>
      </c>
      <c r="EO195" s="62">
        <f ca="1">AVERAGE(OFFSET($EN$3,0,0,'Données projet'!$E$15+1,1))-AVERAGE(OFFSET($H$3,0,0,'Données projet'!$E$15+1,1))</f>
        <v>445.81166342116865</v>
      </c>
      <c r="EP195" s="62">
        <f t="shared" si="154"/>
        <v>230.82970731138215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0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-4.5474735088646412E-13</v>
      </c>
      <c r="FF195" s="18">
        <f>FE195*VLOOKUP('Données projet'!$B$16,Paramètres!$A$1:$I$89,3,0)*VLOOKUP('Données projet'!$B$16,Paramètres!$A$1:$I$89,5,0)</f>
        <v>-4.3983163777738812E-13</v>
      </c>
      <c r="FG195" s="14" t="e">
        <f t="shared" si="182"/>
        <v>#NUM!</v>
      </c>
      <c r="FH195" s="22" t="e">
        <f t="shared" si="183"/>
        <v>#NUM!</v>
      </c>
      <c r="FI195" s="62" t="e">
        <f t="shared" si="131"/>
        <v>#NUM!</v>
      </c>
      <c r="FJ195" s="62">
        <f ca="1">AVERAGE(OFFSET($FI$3,0,0,'Données projet'!$E$16+1,1))-AVERAGE(OFFSET($H$3,0,0,'Données projet'!$E$16+1,1))</f>
        <v>541.66888676162716</v>
      </c>
      <c r="FK195" s="62">
        <f t="shared" si="156"/>
        <v>294.45557293177131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>
        <f>EXP(-LN(2)/35)*FQ194+(1-EXP(-LN(2)/35))/(LN(2)/35)*FM195*FN195*VLOOKUP('Données projet'!$B$16,Paramètres!$A$1:$I$89,3,0)*0.475*44/12</f>
        <v>0</v>
      </c>
      <c r="FR195" s="23">
        <f>EXP(-LN(2)/25)*FR194+(1-EXP(-LN(2)/25))/(LN(2)/25)*Calculateur!FM195*Calculateur!FO195*VLOOKUP('Données projet'!$B$16,Paramètres!$A$1:$I$89,3,0)*0.475*44/12</f>
        <v>0</v>
      </c>
      <c r="FS195" s="23">
        <f>EXP(-LN(2)/2)*FS194+(1-EXP(-LN(2)/2))/(LN(2)/2)*FM195*FP195*VLOOKUP('Données projet'!$B$16,Paramètres!$A$1:$I$89,3,0)*0.475*44/12</f>
        <v>0</v>
      </c>
      <c r="FT195" s="24">
        <f t="shared" si="184"/>
        <v>0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1.1368683772161603E-13</v>
      </c>
      <c r="GA195" s="18">
        <f>FZ195*VLOOKUP('Données projet'!$B$17,Paramètres!$A$1:$I$89,3,0)*VLOOKUP('Données projet'!$B$17,Paramètres!$A$1:$I$89,5,0)</f>
        <v>8.8675733422860506E-14</v>
      </c>
      <c r="GB195" s="14">
        <f t="shared" si="185"/>
        <v>1.3509285393066301E-12</v>
      </c>
      <c r="GC195" s="22">
        <f t="shared" si="186"/>
        <v>2.5073107750038623E-12</v>
      </c>
      <c r="GD195" s="62">
        <f t="shared" si="134"/>
        <v>293.33333333333582</v>
      </c>
      <c r="GE195" s="62">
        <f ca="1">AVERAGE(OFFSET($GD$3,0,0,'Données projet'!$E$17+1,1))-AVERAGE(OFFSET($H$3,0,0,'Données projet'!$E$17+1,1))</f>
        <v>292.57482726862594</v>
      </c>
      <c r="GF195" s="62">
        <f t="shared" si="158"/>
        <v>283.48738729114024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>
        <f>EXP(-LN(2)/35)*GL194+(1-EXP(-LN(2)/35))/(LN(2)/35)*GH195*GI195*VLOOKUP('Données projet'!$B$17,Paramètres!$A$1:$I$89,3,0)*0.475*44/12</f>
        <v>0</v>
      </c>
      <c r="GM195" s="23">
        <f>EXP(-LN(2)/25)*GM194+(1-EXP(-LN(2)/25))/(LN(2)/25)*Calculateur!GH195*Calculateur!GJ195*VLOOKUP('Données projet'!$B$17,Paramètres!$A$1:$I$89,3,0)*0.475*44/12</f>
        <v>0</v>
      </c>
      <c r="GN195" s="23">
        <f>EXP(-LN(2)/2)*GN194+(1-EXP(-LN(2)/2))/(LN(2)/2)*GH195*GK195*VLOOKUP('Données projet'!$B$17,Paramètres!$A$1:$I$89,3,0)*0.475*44/12</f>
        <v>0</v>
      </c>
      <c r="GO195" s="23">
        <f t="shared" si="187"/>
        <v>0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-2.2737367544323206E-13</v>
      </c>
      <c r="GV195" s="18">
        <f>GU195*VLOOKUP('Données projet'!$B$18,Paramètres!$A$1:$I$89,3,0)*VLOOKUP('Données projet'!$B$18,Paramètres!$A$1:$I$89,5,0)</f>
        <v>-1.5252226148732008E-13</v>
      </c>
      <c r="GW195" s="14" t="e">
        <f t="shared" si="188"/>
        <v>#NUM!</v>
      </c>
      <c r="GX195" s="22" t="e">
        <f t="shared" si="189"/>
        <v>#NUM!</v>
      </c>
      <c r="GY195" s="62" t="e">
        <f t="shared" si="137"/>
        <v>#NUM!</v>
      </c>
      <c r="GZ195" s="62">
        <f ca="1">AVERAGE(OFFSET($GY$3,0,0,'Données projet'!$E$18+1,1))-AVERAGE(OFFSET($H$3,0,0,'Données projet'!$E$18+1,1))</f>
        <v>410.20186800287411</v>
      </c>
      <c r="HA195" s="62">
        <f t="shared" si="160"/>
        <v>321.99347958016057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>
        <f>EXP(-LN(2)/35)*HG194+(1-EXP(-LN(2)/35))/(LN(2)/35)*HC195*HD195*VLOOKUP('Données projet'!$B$18,Paramètres!$A$1:$I$89,3,0)*0.475*44/12</f>
        <v>0</v>
      </c>
      <c r="HH195" s="23">
        <f>EXP(-LN(2)/25)*HH194+(1-EXP(-LN(2)/25))/(LN(2)/25)*Calculateur!HC195*Calculateur!HE195*VLOOKUP('Données projet'!$B$18,Paramètres!$A$1:$I$89,3,0)*0.475*44/12</f>
        <v>0</v>
      </c>
      <c r="HI195" s="23">
        <f>EXP(-LN(2)/2)*HI194+(1-EXP(-LN(2)/2))/(LN(2)/2)*HC195*HF195*VLOOKUP('Données projet'!$B$18,Paramètres!$A$1:$I$89,3,0)*0.475*44/12</f>
        <v>0</v>
      </c>
      <c r="HJ195" s="24">
        <f t="shared" si="190"/>
        <v>0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-4.5474735088646412E-13</v>
      </c>
      <c r="O196" s="14">
        <f>N196*VLOOKUP('Données projet'!$B$9,Paramètres!$A$1:$I$89,3,0)*VLOOKUP('Données projet'!$B$9,Paramètres!$A$1:$I$89,5,0)</f>
        <v>-4.1145540308207271E-13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509.56241660612449</v>
      </c>
      <c r="T196" s="62">
        <f t="shared" si="142"/>
        <v>278.21741231699929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-4.5474735088646412E-13</v>
      </c>
      <c r="AJ196" s="14">
        <f>AI196*VLOOKUP('Données projet'!$B$10,Paramètres!$A$1:$I$89,3,0)*VLOOKUP('Données projet'!$B$10,Paramètres!$A$1:$I$89,5,0)</f>
        <v>-4.6111381379887462E-13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565.72091871734051</v>
      </c>
      <c r="AO196" s="62">
        <f t="shared" si="144"/>
        <v>306.61893266146666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-5.6843418860808015E-14</v>
      </c>
      <c r="BE196" s="14">
        <f>BD196*VLOOKUP('Données projet'!$B$11,Paramètres!$A$1:$I$89,3,0)*VLOOKUP('Données projet'!$B$11,Paramètres!$A$1:$I$89,5,0)</f>
        <v>-4.1677594708744434E-14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344.26020118887629</v>
      </c>
      <c r="BJ196" s="62">
        <f t="shared" si="146"/>
        <v>376.41441893222185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-4.5474735088646412E-13</v>
      </c>
      <c r="BZ196" s="14">
        <f>BY196*VLOOKUP('Données projet'!$B$12,Paramètres!$A$1:$I$89,3,0)*VLOOKUP('Données projet'!$B$12,Paramètres!$A$1:$I$89,5,0)</f>
        <v>-3.8307916838675739E-13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477.4105367901771</v>
      </c>
      <c r="CE196" s="62">
        <f t="shared" si="148"/>
        <v>261.95434270986397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-6.2527760746888816E-13</v>
      </c>
      <c r="CU196" s="18">
        <f>CT196*VLOOKUP('Données projet'!$B$13,Paramètres!$A$1:$I$89,3,0)*VLOOKUP('Données projet'!$B$13,Paramètres!$A$1:$I$89,5,0)</f>
        <v>-2.9262992029543964E-13</v>
      </c>
      <c r="CV196" s="14" t="e">
        <f t="shared" si="173"/>
        <v>#NUM!</v>
      </c>
      <c r="CW196" s="22" t="e">
        <f t="shared" si="174"/>
        <v>#NUM!</v>
      </c>
      <c r="CX196" s="62" t="e">
        <f t="shared" ref="CX196:CX203" si="196">CW196+(CO196+CP196)*44/12</f>
        <v>#NUM!</v>
      </c>
      <c r="CY196" s="62">
        <f ca="1">AVERAGE(OFFSET($CX$3,0,0,'Données projet'!$E$13+1,1))-AVERAGE(OFFSET($H$3,0,0,'Données projet'!$E$13+1,1))</f>
        <v>246.64907095367749</v>
      </c>
      <c r="CZ196" s="62">
        <f t="shared" si="150"/>
        <v>145.34368562171613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-5.6843418860808015E-14</v>
      </c>
      <c r="DP196" s="18">
        <f>DO196*VLOOKUP('Données projet'!$B$14,Paramètres!$A$1:$I$89,3,0)*VLOOKUP('Données projet'!$B$14,Paramètres!$A$1:$I$89,5,0)</f>
        <v>-4.5224624045658861E-14</v>
      </c>
      <c r="DQ196" s="14" t="e">
        <f t="shared" si="176"/>
        <v>#NUM!</v>
      </c>
      <c r="DR196" s="22" t="e">
        <f t="shared" si="177"/>
        <v>#NUM!</v>
      </c>
      <c r="DS196" s="62" t="e">
        <f t="shared" ref="DS196:DS203" si="197">DR196+(DJ196+DK196)*44/12</f>
        <v>#NUM!</v>
      </c>
      <c r="DT196" s="62">
        <f ca="1">AVERAGE(OFFSET($DS$3,0,0,'Données projet'!$E$14+1,1))-AVERAGE(OFFSET($H$3,0,0,'Données projet'!$E$14+1,1))</f>
        <v>370.38521334472284</v>
      </c>
      <c r="DU196" s="62">
        <f t="shared" si="152"/>
        <v>404.61777090709171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-1.1368683772161603E-13</v>
      </c>
      <c r="EK196" s="18">
        <f>EJ196*VLOOKUP('Données projet'!$B$15,Paramètres!$A$1:$I$89,3,0)*VLOOKUP('Données projet'!$B$15,Paramètres!$A$1:$I$89,5,0)</f>
        <v>-9.7543306765146564E-14</v>
      </c>
      <c r="EL196" s="14" t="e">
        <f t="shared" si="179"/>
        <v>#NUM!</v>
      </c>
      <c r="EM196" s="22" t="e">
        <f t="shared" si="180"/>
        <v>#NUM!</v>
      </c>
      <c r="EN196" s="62" t="e">
        <f t="shared" ref="EN196:EN203" si="198">EM196+(EE196+EF196)*44/12</f>
        <v>#NUM!</v>
      </c>
      <c r="EO196" s="62">
        <f ca="1">AVERAGE(OFFSET($EN$3,0,0,'Données projet'!$E$15+1,1))-AVERAGE(OFFSET($H$3,0,0,'Données projet'!$E$15+1,1))</f>
        <v>445.81166342116865</v>
      </c>
      <c r="EP196" s="62">
        <f t="shared" si="154"/>
        <v>230.82970731138215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0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-4.5474735088646412E-13</v>
      </c>
      <c r="FF196" s="18">
        <f>FE196*VLOOKUP('Données projet'!$B$16,Paramètres!$A$1:$I$89,3,0)*VLOOKUP('Données projet'!$B$16,Paramètres!$A$1:$I$89,5,0)</f>
        <v>-4.3983163777738812E-13</v>
      </c>
      <c r="FG196" s="14" t="e">
        <f t="shared" si="182"/>
        <v>#NUM!</v>
      </c>
      <c r="FH196" s="22" t="e">
        <f t="shared" si="183"/>
        <v>#NUM!</v>
      </c>
      <c r="FI196" s="62" t="e">
        <f t="shared" ref="FI196:FI203" si="199">FH196+(EZ196+FA196)*44/12</f>
        <v>#NUM!</v>
      </c>
      <c r="FJ196" s="62">
        <f ca="1">AVERAGE(OFFSET($FI$3,0,0,'Données projet'!$E$16+1,1))-AVERAGE(OFFSET($H$3,0,0,'Données projet'!$E$16+1,1))</f>
        <v>541.66888676162716</v>
      </c>
      <c r="FK196" s="62">
        <f t="shared" si="156"/>
        <v>294.45557293177131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>
        <f>EXP(-LN(2)/35)*FQ195+(1-EXP(-LN(2)/35))/(LN(2)/35)*FM196*FN196*VLOOKUP('Données projet'!$B$16,Paramètres!$A$1:$I$89,3,0)*0.475*44/12</f>
        <v>0</v>
      </c>
      <c r="FR196" s="23">
        <f>EXP(-LN(2)/25)*FR195+(1-EXP(-LN(2)/25))/(LN(2)/25)*Calculateur!FM196*Calculateur!FO196*VLOOKUP('Données projet'!$B$16,Paramètres!$A$1:$I$89,3,0)*0.475*44/12</f>
        <v>0</v>
      </c>
      <c r="FS196" s="23">
        <f>EXP(-LN(2)/2)*FS195+(1-EXP(-LN(2)/2))/(LN(2)/2)*FM196*FP196*VLOOKUP('Données projet'!$B$16,Paramètres!$A$1:$I$89,3,0)*0.475*44/12</f>
        <v>0</v>
      </c>
      <c r="FT196" s="24">
        <f t="shared" si="184"/>
        <v>0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1.1368683772161603E-13</v>
      </c>
      <c r="GA196" s="18">
        <f>FZ196*VLOOKUP('Données projet'!$B$17,Paramètres!$A$1:$I$89,3,0)*VLOOKUP('Données projet'!$B$17,Paramètres!$A$1:$I$89,5,0)</f>
        <v>8.8675733422860506E-14</v>
      </c>
      <c r="GB196" s="14">
        <f t="shared" si="185"/>
        <v>1.3509285393066301E-12</v>
      </c>
      <c r="GC196" s="22">
        <f t="shared" si="186"/>
        <v>2.5073107750038623E-12</v>
      </c>
      <c r="GD196" s="62">
        <f t="shared" ref="GD196:GD203" si="200">GC196+(FU196+FV196)*44/12</f>
        <v>293.33333333333582</v>
      </c>
      <c r="GE196" s="62">
        <f ca="1">AVERAGE(OFFSET($GD$3,0,0,'Données projet'!$E$17+1,1))-AVERAGE(OFFSET($H$3,0,0,'Données projet'!$E$17+1,1))</f>
        <v>292.57482726862594</v>
      </c>
      <c r="GF196" s="62">
        <f t="shared" si="158"/>
        <v>283.48738729114024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>
        <f>EXP(-LN(2)/35)*GL195+(1-EXP(-LN(2)/35))/(LN(2)/35)*GH196*GI196*VLOOKUP('Données projet'!$B$17,Paramètres!$A$1:$I$89,3,0)*0.475*44/12</f>
        <v>0</v>
      </c>
      <c r="GM196" s="23">
        <f>EXP(-LN(2)/25)*GM195+(1-EXP(-LN(2)/25))/(LN(2)/25)*Calculateur!GH196*Calculateur!GJ196*VLOOKUP('Données projet'!$B$17,Paramètres!$A$1:$I$89,3,0)*0.475*44/12</f>
        <v>0</v>
      </c>
      <c r="GN196" s="23">
        <f>EXP(-LN(2)/2)*GN195+(1-EXP(-LN(2)/2))/(LN(2)/2)*GH196*GK196*VLOOKUP('Données projet'!$B$17,Paramètres!$A$1:$I$89,3,0)*0.475*44/12</f>
        <v>0</v>
      </c>
      <c r="GO196" s="23">
        <f t="shared" si="187"/>
        <v>0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-2.2737367544323206E-13</v>
      </c>
      <c r="GV196" s="18">
        <f>GU196*VLOOKUP('Données projet'!$B$18,Paramètres!$A$1:$I$89,3,0)*VLOOKUP('Données projet'!$B$18,Paramètres!$A$1:$I$89,5,0)</f>
        <v>-1.5252226148732008E-13</v>
      </c>
      <c r="GW196" s="14" t="e">
        <f t="shared" si="188"/>
        <v>#NUM!</v>
      </c>
      <c r="GX196" s="22" t="e">
        <f t="shared" si="189"/>
        <v>#NUM!</v>
      </c>
      <c r="GY196" s="62" t="e">
        <f t="shared" ref="GY196:GY203" si="201">GX196+(GP196+GQ196)*44/12</f>
        <v>#NUM!</v>
      </c>
      <c r="GZ196" s="62">
        <f ca="1">AVERAGE(OFFSET($GY$3,0,0,'Données projet'!$E$18+1,1))-AVERAGE(OFFSET($H$3,0,0,'Données projet'!$E$18+1,1))</f>
        <v>410.20186800287411</v>
      </c>
      <c r="HA196" s="62">
        <f t="shared" si="160"/>
        <v>321.99347958016057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>
        <f>EXP(-LN(2)/35)*HG195+(1-EXP(-LN(2)/35))/(LN(2)/35)*HC196*HD196*VLOOKUP('Données projet'!$B$18,Paramètres!$A$1:$I$89,3,0)*0.475*44/12</f>
        <v>0</v>
      </c>
      <c r="HH196" s="23">
        <f>EXP(-LN(2)/25)*HH195+(1-EXP(-LN(2)/25))/(LN(2)/25)*Calculateur!HC196*Calculateur!HE196*VLOOKUP('Données projet'!$B$18,Paramètres!$A$1:$I$89,3,0)*0.475*44/12</f>
        <v>0</v>
      </c>
      <c r="HI196" s="23">
        <f>EXP(-LN(2)/2)*HI195+(1-EXP(-LN(2)/2))/(LN(2)/2)*HC196*HF196*VLOOKUP('Données projet'!$B$18,Paramètres!$A$1:$I$89,3,0)*0.475*44/12</f>
        <v>0</v>
      </c>
      <c r="HJ196" s="24">
        <f t="shared" si="190"/>
        <v>0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-4.5474735088646412E-13</v>
      </c>
      <c r="O197" s="14">
        <f>N197*VLOOKUP('Données projet'!$B$9,Paramètres!$A$1:$I$89,3,0)*VLOOKUP('Données projet'!$B$9,Paramètres!$A$1:$I$89,5,0)</f>
        <v>-4.1145540308207271E-13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509.56241660612449</v>
      </c>
      <c r="T197" s="62">
        <f t="shared" ref="T197:T203" si="204">$T$3</f>
        <v>278.21741231699929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-4.5474735088646412E-13</v>
      </c>
      <c r="AJ197" s="14">
        <f>AI197*VLOOKUP('Données projet'!$B$10,Paramètres!$A$1:$I$89,3,0)*VLOOKUP('Données projet'!$B$10,Paramètres!$A$1:$I$89,5,0)</f>
        <v>-4.6111381379887462E-13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565.72091871734051</v>
      </c>
      <c r="AO197" s="62">
        <f t="shared" ref="AO197:AO203" si="205">$AO$3</f>
        <v>306.61893266146666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-5.6843418860808015E-14</v>
      </c>
      <c r="BE197" s="14">
        <f>BD197*VLOOKUP('Données projet'!$B$11,Paramètres!$A$1:$I$89,3,0)*VLOOKUP('Données projet'!$B$11,Paramètres!$A$1:$I$89,5,0)</f>
        <v>-4.1677594708744434E-14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344.26020118887629</v>
      </c>
      <c r="BJ197" s="62">
        <f t="shared" ref="BJ197:BJ203" si="206">$BJ$3</f>
        <v>376.41441893222185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-4.5474735088646412E-13</v>
      </c>
      <c r="BZ197" s="14">
        <f>BY197*VLOOKUP('Données projet'!$B$12,Paramètres!$A$1:$I$89,3,0)*VLOOKUP('Données projet'!$B$12,Paramètres!$A$1:$I$89,5,0)</f>
        <v>-3.8307916838675739E-13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477.4105367901771</v>
      </c>
      <c r="CE197" s="62">
        <f t="shared" ref="CE197:CE203" si="207">$CE$3</f>
        <v>261.95434270986397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-6.2527760746888816E-13</v>
      </c>
      <c r="CU197" s="18">
        <f>CT197*VLOOKUP('Données projet'!$B$13,Paramètres!$A$1:$I$89,3,0)*VLOOKUP('Données projet'!$B$13,Paramètres!$A$1:$I$89,5,0)</f>
        <v>-2.9262992029543964E-13</v>
      </c>
      <c r="CV197" s="14" t="e">
        <f t="shared" si="173"/>
        <v>#NUM!</v>
      </c>
      <c r="CW197" s="22" t="e">
        <f t="shared" si="174"/>
        <v>#NUM!</v>
      </c>
      <c r="CX197" s="62" t="e">
        <f t="shared" si="196"/>
        <v>#NUM!</v>
      </c>
      <c r="CY197" s="62">
        <f ca="1">AVERAGE(OFFSET($CX$3,0,0,'Données projet'!$E$13+1,1))-AVERAGE(OFFSET($H$3,0,0,'Données projet'!$E$13+1,1))</f>
        <v>246.64907095367749</v>
      </c>
      <c r="CZ197" s="62">
        <f t="shared" ref="CZ197:CZ203" si="208">$CZ$3</f>
        <v>145.34368562171613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-5.6843418860808015E-14</v>
      </c>
      <c r="DP197" s="18">
        <f>DO197*VLOOKUP('Données projet'!$B$14,Paramètres!$A$1:$I$89,3,0)*VLOOKUP('Données projet'!$B$14,Paramètres!$A$1:$I$89,5,0)</f>
        <v>-4.5224624045658861E-14</v>
      </c>
      <c r="DQ197" s="14" t="e">
        <f t="shared" si="176"/>
        <v>#NUM!</v>
      </c>
      <c r="DR197" s="22" t="e">
        <f t="shared" si="177"/>
        <v>#NUM!</v>
      </c>
      <c r="DS197" s="62" t="e">
        <f t="shared" si="197"/>
        <v>#NUM!</v>
      </c>
      <c r="DT197" s="62">
        <f ca="1">AVERAGE(OFFSET($DS$3,0,0,'Données projet'!$E$14+1,1))-AVERAGE(OFFSET($H$3,0,0,'Données projet'!$E$14+1,1))</f>
        <v>370.38521334472284</v>
      </c>
      <c r="DU197" s="62">
        <f t="shared" ref="DU197:DU203" si="209">$DU$3</f>
        <v>404.61777090709171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-1.1368683772161603E-13</v>
      </c>
      <c r="EK197" s="18">
        <f>EJ197*VLOOKUP('Données projet'!$B$15,Paramètres!$A$1:$I$89,3,0)*VLOOKUP('Données projet'!$B$15,Paramètres!$A$1:$I$89,5,0)</f>
        <v>-9.7543306765146564E-14</v>
      </c>
      <c r="EL197" s="14" t="e">
        <f t="shared" si="179"/>
        <v>#NUM!</v>
      </c>
      <c r="EM197" s="22" t="e">
        <f t="shared" si="180"/>
        <v>#NUM!</v>
      </c>
      <c r="EN197" s="62" t="e">
        <f t="shared" si="198"/>
        <v>#NUM!</v>
      </c>
      <c r="EO197" s="62">
        <f ca="1">AVERAGE(OFFSET($EN$3,0,0,'Données projet'!$E$15+1,1))-AVERAGE(OFFSET($H$3,0,0,'Données projet'!$E$15+1,1))</f>
        <v>445.81166342116865</v>
      </c>
      <c r="EP197" s="62">
        <f t="shared" ref="EP197:EP203" si="210">$EP$3</f>
        <v>230.82970731138215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0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-4.5474735088646412E-13</v>
      </c>
      <c r="FF197" s="18">
        <f>FE197*VLOOKUP('Données projet'!$B$16,Paramètres!$A$1:$I$89,3,0)*VLOOKUP('Données projet'!$B$16,Paramètres!$A$1:$I$89,5,0)</f>
        <v>-4.3983163777738812E-13</v>
      </c>
      <c r="FG197" s="14" t="e">
        <f t="shared" si="182"/>
        <v>#NUM!</v>
      </c>
      <c r="FH197" s="22" t="e">
        <f t="shared" si="183"/>
        <v>#NUM!</v>
      </c>
      <c r="FI197" s="62" t="e">
        <f t="shared" si="199"/>
        <v>#NUM!</v>
      </c>
      <c r="FJ197" s="62">
        <f ca="1">AVERAGE(OFFSET($FI$3,0,0,'Données projet'!$E$16+1,1))-AVERAGE(OFFSET($H$3,0,0,'Données projet'!$E$16+1,1))</f>
        <v>541.66888676162716</v>
      </c>
      <c r="FK197" s="62">
        <f t="shared" ref="FK197:FK203" si="211">$FK$3</f>
        <v>294.45557293177131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>
        <f>EXP(-LN(2)/35)*FQ196+(1-EXP(-LN(2)/35))/(LN(2)/35)*FM197*FN197*VLOOKUP('Données projet'!$B$16,Paramètres!$A$1:$I$89,3,0)*0.475*44/12</f>
        <v>0</v>
      </c>
      <c r="FR197" s="23">
        <f>EXP(-LN(2)/25)*FR196+(1-EXP(-LN(2)/25))/(LN(2)/25)*Calculateur!FM197*Calculateur!FO197*VLOOKUP('Données projet'!$B$16,Paramètres!$A$1:$I$89,3,0)*0.475*44/12</f>
        <v>0</v>
      </c>
      <c r="FS197" s="23">
        <f>EXP(-LN(2)/2)*FS196+(1-EXP(-LN(2)/2))/(LN(2)/2)*FM197*FP197*VLOOKUP('Données projet'!$B$16,Paramètres!$A$1:$I$89,3,0)*0.475*44/12</f>
        <v>0</v>
      </c>
      <c r="FT197" s="24">
        <f t="shared" si="184"/>
        <v>0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1.1368683772161603E-13</v>
      </c>
      <c r="GA197" s="18">
        <f>FZ197*VLOOKUP('Données projet'!$B$17,Paramètres!$A$1:$I$89,3,0)*VLOOKUP('Données projet'!$B$17,Paramètres!$A$1:$I$89,5,0)</f>
        <v>8.8675733422860506E-14</v>
      </c>
      <c r="GB197" s="14">
        <f t="shared" si="185"/>
        <v>1.3509285393066301E-12</v>
      </c>
      <c r="GC197" s="22">
        <f t="shared" si="186"/>
        <v>2.5073107750038623E-12</v>
      </c>
      <c r="GD197" s="62">
        <f t="shared" si="200"/>
        <v>293.33333333333582</v>
      </c>
      <c r="GE197" s="62">
        <f ca="1">AVERAGE(OFFSET($GD$3,0,0,'Données projet'!$E$17+1,1))-AVERAGE(OFFSET($H$3,0,0,'Données projet'!$E$17+1,1))</f>
        <v>292.57482726862594</v>
      </c>
      <c r="GF197" s="62">
        <f t="shared" ref="GF197:GF203" si="212">$GF$3</f>
        <v>283.48738729114024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>
        <f>EXP(-LN(2)/35)*GL196+(1-EXP(-LN(2)/35))/(LN(2)/35)*GH197*GI197*VLOOKUP('Données projet'!$B$17,Paramètres!$A$1:$I$89,3,0)*0.475*44/12</f>
        <v>0</v>
      </c>
      <c r="GM197" s="23">
        <f>EXP(-LN(2)/25)*GM196+(1-EXP(-LN(2)/25))/(LN(2)/25)*Calculateur!GH197*Calculateur!GJ197*VLOOKUP('Données projet'!$B$17,Paramètres!$A$1:$I$89,3,0)*0.475*44/12</f>
        <v>0</v>
      </c>
      <c r="GN197" s="23">
        <f>EXP(-LN(2)/2)*GN196+(1-EXP(-LN(2)/2))/(LN(2)/2)*GH197*GK197*VLOOKUP('Données projet'!$B$17,Paramètres!$A$1:$I$89,3,0)*0.475*44/12</f>
        <v>0</v>
      </c>
      <c r="GO197" s="23">
        <f t="shared" si="187"/>
        <v>0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-2.2737367544323206E-13</v>
      </c>
      <c r="GV197" s="18">
        <f>GU197*VLOOKUP('Données projet'!$B$18,Paramètres!$A$1:$I$89,3,0)*VLOOKUP('Données projet'!$B$18,Paramètres!$A$1:$I$89,5,0)</f>
        <v>-1.5252226148732008E-13</v>
      </c>
      <c r="GW197" s="14" t="e">
        <f t="shared" si="188"/>
        <v>#NUM!</v>
      </c>
      <c r="GX197" s="22" t="e">
        <f t="shared" si="189"/>
        <v>#NUM!</v>
      </c>
      <c r="GY197" s="62" t="e">
        <f t="shared" si="201"/>
        <v>#NUM!</v>
      </c>
      <c r="GZ197" s="62">
        <f ca="1">AVERAGE(OFFSET($GY$3,0,0,'Données projet'!$E$18+1,1))-AVERAGE(OFFSET($H$3,0,0,'Données projet'!$E$18+1,1))</f>
        <v>410.20186800287411</v>
      </c>
      <c r="HA197" s="62">
        <f t="shared" ref="HA197:HA203" si="213">$HA$3</f>
        <v>321.99347958016057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>
        <f>EXP(-LN(2)/35)*HG196+(1-EXP(-LN(2)/35))/(LN(2)/35)*HC197*HD197*VLOOKUP('Données projet'!$B$18,Paramètres!$A$1:$I$89,3,0)*0.475*44/12</f>
        <v>0</v>
      </c>
      <c r="HH197" s="23">
        <f>EXP(-LN(2)/25)*HH196+(1-EXP(-LN(2)/25))/(LN(2)/25)*Calculateur!HC197*Calculateur!HE197*VLOOKUP('Données projet'!$B$18,Paramètres!$A$1:$I$89,3,0)*0.475*44/12</f>
        <v>0</v>
      </c>
      <c r="HI197" s="23">
        <f>EXP(-LN(2)/2)*HI196+(1-EXP(-LN(2)/2))/(LN(2)/2)*HC197*HF197*VLOOKUP('Données projet'!$B$18,Paramètres!$A$1:$I$89,3,0)*0.475*44/12</f>
        <v>0</v>
      </c>
      <c r="HJ197" s="24">
        <f t="shared" si="190"/>
        <v>0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-4.5474735088646412E-13</v>
      </c>
      <c r="O198" s="14">
        <f>N198*VLOOKUP('Données projet'!$B$9,Paramètres!$A$1:$I$89,3,0)*VLOOKUP('Données projet'!$B$9,Paramètres!$A$1:$I$89,5,0)</f>
        <v>-4.1145540308207271E-13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509.56241660612449</v>
      </c>
      <c r="T198" s="62">
        <f t="shared" si="204"/>
        <v>278.21741231699929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-4.5474735088646412E-13</v>
      </c>
      <c r="AJ198" s="14">
        <f>AI198*VLOOKUP('Données projet'!$B$10,Paramètres!$A$1:$I$89,3,0)*VLOOKUP('Données projet'!$B$10,Paramètres!$A$1:$I$89,5,0)</f>
        <v>-4.6111381379887462E-13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565.72091871734051</v>
      </c>
      <c r="AO198" s="62">
        <f t="shared" si="205"/>
        <v>306.61893266146666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-5.6843418860808015E-14</v>
      </c>
      <c r="BE198" s="14">
        <f>BD198*VLOOKUP('Données projet'!$B$11,Paramètres!$A$1:$I$89,3,0)*VLOOKUP('Données projet'!$B$11,Paramètres!$A$1:$I$89,5,0)</f>
        <v>-4.1677594708744434E-14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344.26020118887629</v>
      </c>
      <c r="BJ198" s="62">
        <f t="shared" si="206"/>
        <v>376.41441893222185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-4.5474735088646412E-13</v>
      </c>
      <c r="BZ198" s="14">
        <f>BY198*VLOOKUP('Données projet'!$B$12,Paramètres!$A$1:$I$89,3,0)*VLOOKUP('Données projet'!$B$12,Paramètres!$A$1:$I$89,5,0)</f>
        <v>-3.8307916838675739E-13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477.4105367901771</v>
      </c>
      <c r="CE198" s="62">
        <f t="shared" si="207"/>
        <v>261.95434270986397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-6.2527760746888816E-13</v>
      </c>
      <c r="CU198" s="18">
        <f>CT198*VLOOKUP('Données projet'!$B$13,Paramètres!$A$1:$I$89,3,0)*VLOOKUP('Données projet'!$B$13,Paramètres!$A$1:$I$89,5,0)</f>
        <v>-2.9262992029543964E-13</v>
      </c>
      <c r="CV198" s="14" t="e">
        <f t="shared" si="173"/>
        <v>#NUM!</v>
      </c>
      <c r="CW198" s="22" t="e">
        <f t="shared" si="174"/>
        <v>#NUM!</v>
      </c>
      <c r="CX198" s="62" t="e">
        <f t="shared" si="196"/>
        <v>#NUM!</v>
      </c>
      <c r="CY198" s="62">
        <f ca="1">AVERAGE(OFFSET($CX$3,0,0,'Données projet'!$E$13+1,1))-AVERAGE(OFFSET($H$3,0,0,'Données projet'!$E$13+1,1))</f>
        <v>246.64907095367749</v>
      </c>
      <c r="CZ198" s="62">
        <f t="shared" si="208"/>
        <v>145.34368562171613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-5.6843418860808015E-14</v>
      </c>
      <c r="DP198" s="18">
        <f>DO198*VLOOKUP('Données projet'!$B$14,Paramètres!$A$1:$I$89,3,0)*VLOOKUP('Données projet'!$B$14,Paramètres!$A$1:$I$89,5,0)</f>
        <v>-4.5224624045658861E-14</v>
      </c>
      <c r="DQ198" s="14" t="e">
        <f t="shared" si="176"/>
        <v>#NUM!</v>
      </c>
      <c r="DR198" s="22" t="e">
        <f t="shared" si="177"/>
        <v>#NUM!</v>
      </c>
      <c r="DS198" s="62" t="e">
        <f t="shared" si="197"/>
        <v>#NUM!</v>
      </c>
      <c r="DT198" s="62">
        <f ca="1">AVERAGE(OFFSET($DS$3,0,0,'Données projet'!$E$14+1,1))-AVERAGE(OFFSET($H$3,0,0,'Données projet'!$E$14+1,1))</f>
        <v>370.38521334472284</v>
      </c>
      <c r="DU198" s="62">
        <f t="shared" si="209"/>
        <v>404.61777090709171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-1.1368683772161603E-13</v>
      </c>
      <c r="EK198" s="18">
        <f>EJ198*VLOOKUP('Données projet'!$B$15,Paramètres!$A$1:$I$89,3,0)*VLOOKUP('Données projet'!$B$15,Paramètres!$A$1:$I$89,5,0)</f>
        <v>-9.7543306765146564E-14</v>
      </c>
      <c r="EL198" s="14" t="e">
        <f t="shared" si="179"/>
        <v>#NUM!</v>
      </c>
      <c r="EM198" s="22" t="e">
        <f t="shared" si="180"/>
        <v>#NUM!</v>
      </c>
      <c r="EN198" s="62" t="e">
        <f t="shared" si="198"/>
        <v>#NUM!</v>
      </c>
      <c r="EO198" s="62">
        <f ca="1">AVERAGE(OFFSET($EN$3,0,0,'Données projet'!$E$15+1,1))-AVERAGE(OFFSET($H$3,0,0,'Données projet'!$E$15+1,1))</f>
        <v>445.81166342116865</v>
      </c>
      <c r="EP198" s="62">
        <f t="shared" si="210"/>
        <v>230.82970731138215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0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-4.5474735088646412E-13</v>
      </c>
      <c r="FF198" s="18">
        <f>FE198*VLOOKUP('Données projet'!$B$16,Paramètres!$A$1:$I$89,3,0)*VLOOKUP('Données projet'!$B$16,Paramètres!$A$1:$I$89,5,0)</f>
        <v>-4.3983163777738812E-13</v>
      </c>
      <c r="FG198" s="14" t="e">
        <f t="shared" si="182"/>
        <v>#NUM!</v>
      </c>
      <c r="FH198" s="22" t="e">
        <f t="shared" si="183"/>
        <v>#NUM!</v>
      </c>
      <c r="FI198" s="62" t="e">
        <f t="shared" si="199"/>
        <v>#NUM!</v>
      </c>
      <c r="FJ198" s="62">
        <f ca="1">AVERAGE(OFFSET($FI$3,0,0,'Données projet'!$E$16+1,1))-AVERAGE(OFFSET($H$3,0,0,'Données projet'!$E$16+1,1))</f>
        <v>541.66888676162716</v>
      </c>
      <c r="FK198" s="62">
        <f t="shared" si="211"/>
        <v>294.45557293177131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>
        <f>EXP(-LN(2)/35)*FQ197+(1-EXP(-LN(2)/35))/(LN(2)/35)*FM198*FN198*VLOOKUP('Données projet'!$B$16,Paramètres!$A$1:$I$89,3,0)*0.475*44/12</f>
        <v>0</v>
      </c>
      <c r="FR198" s="23">
        <f>EXP(-LN(2)/25)*FR197+(1-EXP(-LN(2)/25))/(LN(2)/25)*Calculateur!FM198*Calculateur!FO198*VLOOKUP('Données projet'!$B$16,Paramètres!$A$1:$I$89,3,0)*0.475*44/12</f>
        <v>0</v>
      </c>
      <c r="FS198" s="23">
        <f>EXP(-LN(2)/2)*FS197+(1-EXP(-LN(2)/2))/(LN(2)/2)*FM198*FP198*VLOOKUP('Données projet'!$B$16,Paramètres!$A$1:$I$89,3,0)*0.475*44/12</f>
        <v>0</v>
      </c>
      <c r="FT198" s="24">
        <f t="shared" si="184"/>
        <v>0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1.1368683772161603E-13</v>
      </c>
      <c r="GA198" s="18">
        <f>FZ198*VLOOKUP('Données projet'!$B$17,Paramètres!$A$1:$I$89,3,0)*VLOOKUP('Données projet'!$B$17,Paramètres!$A$1:$I$89,5,0)</f>
        <v>8.8675733422860506E-14</v>
      </c>
      <c r="GB198" s="14">
        <f t="shared" si="185"/>
        <v>1.3509285393066301E-12</v>
      </c>
      <c r="GC198" s="22">
        <f t="shared" si="186"/>
        <v>2.5073107750038623E-12</v>
      </c>
      <c r="GD198" s="62">
        <f t="shared" si="200"/>
        <v>293.33333333333582</v>
      </c>
      <c r="GE198" s="62">
        <f ca="1">AVERAGE(OFFSET($GD$3,0,0,'Données projet'!$E$17+1,1))-AVERAGE(OFFSET($H$3,0,0,'Données projet'!$E$17+1,1))</f>
        <v>292.57482726862594</v>
      </c>
      <c r="GF198" s="62">
        <f t="shared" si="212"/>
        <v>283.48738729114024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>
        <f>EXP(-LN(2)/35)*GL197+(1-EXP(-LN(2)/35))/(LN(2)/35)*GH198*GI198*VLOOKUP('Données projet'!$B$17,Paramètres!$A$1:$I$89,3,0)*0.475*44/12</f>
        <v>0</v>
      </c>
      <c r="GM198" s="23">
        <f>EXP(-LN(2)/25)*GM197+(1-EXP(-LN(2)/25))/(LN(2)/25)*Calculateur!GH198*Calculateur!GJ198*VLOOKUP('Données projet'!$B$17,Paramètres!$A$1:$I$89,3,0)*0.475*44/12</f>
        <v>0</v>
      </c>
      <c r="GN198" s="23">
        <f>EXP(-LN(2)/2)*GN197+(1-EXP(-LN(2)/2))/(LN(2)/2)*GH198*GK198*VLOOKUP('Données projet'!$B$17,Paramètres!$A$1:$I$89,3,0)*0.475*44/12</f>
        <v>0</v>
      </c>
      <c r="GO198" s="23">
        <f t="shared" si="187"/>
        <v>0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-2.2737367544323206E-13</v>
      </c>
      <c r="GV198" s="18">
        <f>GU198*VLOOKUP('Données projet'!$B$18,Paramètres!$A$1:$I$89,3,0)*VLOOKUP('Données projet'!$B$18,Paramètres!$A$1:$I$89,5,0)</f>
        <v>-1.5252226148732008E-13</v>
      </c>
      <c r="GW198" s="14" t="e">
        <f t="shared" si="188"/>
        <v>#NUM!</v>
      </c>
      <c r="GX198" s="22" t="e">
        <f t="shared" si="189"/>
        <v>#NUM!</v>
      </c>
      <c r="GY198" s="62" t="e">
        <f t="shared" si="201"/>
        <v>#NUM!</v>
      </c>
      <c r="GZ198" s="62">
        <f ca="1">AVERAGE(OFFSET($GY$3,0,0,'Données projet'!$E$18+1,1))-AVERAGE(OFFSET($H$3,0,0,'Données projet'!$E$18+1,1))</f>
        <v>410.20186800287411</v>
      </c>
      <c r="HA198" s="62">
        <f t="shared" si="213"/>
        <v>321.99347958016057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>
        <f>EXP(-LN(2)/35)*HG197+(1-EXP(-LN(2)/35))/(LN(2)/35)*HC198*HD198*VLOOKUP('Données projet'!$B$18,Paramètres!$A$1:$I$89,3,0)*0.475*44/12</f>
        <v>0</v>
      </c>
      <c r="HH198" s="23">
        <f>EXP(-LN(2)/25)*HH197+(1-EXP(-LN(2)/25))/(LN(2)/25)*Calculateur!HC198*Calculateur!HE198*VLOOKUP('Données projet'!$B$18,Paramètres!$A$1:$I$89,3,0)*0.475*44/12</f>
        <v>0</v>
      </c>
      <c r="HI198" s="23">
        <f>EXP(-LN(2)/2)*HI197+(1-EXP(-LN(2)/2))/(LN(2)/2)*HC198*HF198*VLOOKUP('Données projet'!$B$18,Paramètres!$A$1:$I$89,3,0)*0.475*44/12</f>
        <v>0</v>
      </c>
      <c r="HJ198" s="24">
        <f t="shared" si="190"/>
        <v>0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-4.5474735088646412E-13</v>
      </c>
      <c r="O199" s="14">
        <f>N199*VLOOKUP('Données projet'!$B$9,Paramètres!$A$1:$I$89,3,0)*VLOOKUP('Données projet'!$B$9,Paramètres!$A$1:$I$89,5,0)</f>
        <v>-4.1145540308207271E-13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509.56241660612449</v>
      </c>
      <c r="T199" s="62">
        <f t="shared" si="204"/>
        <v>278.21741231699929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-4.5474735088646412E-13</v>
      </c>
      <c r="AJ199" s="14">
        <f>AI199*VLOOKUP('Données projet'!$B$10,Paramètres!$A$1:$I$89,3,0)*VLOOKUP('Données projet'!$B$10,Paramètres!$A$1:$I$89,5,0)</f>
        <v>-4.6111381379887462E-13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565.72091871734051</v>
      </c>
      <c r="AO199" s="62">
        <f t="shared" si="205"/>
        <v>306.61893266146666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-5.6843418860808015E-14</v>
      </c>
      <c r="BE199" s="14">
        <f>BD199*VLOOKUP('Données projet'!$B$11,Paramètres!$A$1:$I$89,3,0)*VLOOKUP('Données projet'!$B$11,Paramètres!$A$1:$I$89,5,0)</f>
        <v>-4.1677594708744434E-14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344.26020118887629</v>
      </c>
      <c r="BJ199" s="62">
        <f t="shared" si="206"/>
        <v>376.41441893222185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-4.5474735088646412E-13</v>
      </c>
      <c r="BZ199" s="14">
        <f>BY199*VLOOKUP('Données projet'!$B$12,Paramètres!$A$1:$I$89,3,0)*VLOOKUP('Données projet'!$B$12,Paramètres!$A$1:$I$89,5,0)</f>
        <v>-3.8307916838675739E-13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477.4105367901771</v>
      </c>
      <c r="CE199" s="62">
        <f t="shared" si="207"/>
        <v>261.95434270986397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-6.2527760746888816E-13</v>
      </c>
      <c r="CU199" s="18">
        <f>CT199*VLOOKUP('Données projet'!$B$13,Paramètres!$A$1:$I$89,3,0)*VLOOKUP('Données projet'!$B$13,Paramètres!$A$1:$I$89,5,0)</f>
        <v>-2.9262992029543964E-13</v>
      </c>
      <c r="CV199" s="14" t="e">
        <f t="shared" si="173"/>
        <v>#NUM!</v>
      </c>
      <c r="CW199" s="22" t="e">
        <f t="shared" si="174"/>
        <v>#NUM!</v>
      </c>
      <c r="CX199" s="62" t="e">
        <f t="shared" si="196"/>
        <v>#NUM!</v>
      </c>
      <c r="CY199" s="62">
        <f ca="1">AVERAGE(OFFSET($CX$3,0,0,'Données projet'!$E$13+1,1))-AVERAGE(OFFSET($H$3,0,0,'Données projet'!$E$13+1,1))</f>
        <v>246.64907095367749</v>
      </c>
      <c r="CZ199" s="62">
        <f t="shared" si="208"/>
        <v>145.34368562171613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-5.6843418860808015E-14</v>
      </c>
      <c r="DP199" s="18">
        <f>DO199*VLOOKUP('Données projet'!$B$14,Paramètres!$A$1:$I$89,3,0)*VLOOKUP('Données projet'!$B$14,Paramètres!$A$1:$I$89,5,0)</f>
        <v>-4.5224624045658861E-14</v>
      </c>
      <c r="DQ199" s="14" t="e">
        <f t="shared" si="176"/>
        <v>#NUM!</v>
      </c>
      <c r="DR199" s="22" t="e">
        <f t="shared" si="177"/>
        <v>#NUM!</v>
      </c>
      <c r="DS199" s="62" t="e">
        <f t="shared" si="197"/>
        <v>#NUM!</v>
      </c>
      <c r="DT199" s="62">
        <f ca="1">AVERAGE(OFFSET($DS$3,0,0,'Données projet'!$E$14+1,1))-AVERAGE(OFFSET($H$3,0,0,'Données projet'!$E$14+1,1))</f>
        <v>370.38521334472284</v>
      </c>
      <c r="DU199" s="62">
        <f t="shared" si="209"/>
        <v>404.61777090709171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-1.1368683772161603E-13</v>
      </c>
      <c r="EK199" s="18">
        <f>EJ199*VLOOKUP('Données projet'!$B$15,Paramètres!$A$1:$I$89,3,0)*VLOOKUP('Données projet'!$B$15,Paramètres!$A$1:$I$89,5,0)</f>
        <v>-9.7543306765146564E-14</v>
      </c>
      <c r="EL199" s="14" t="e">
        <f t="shared" si="179"/>
        <v>#NUM!</v>
      </c>
      <c r="EM199" s="22" t="e">
        <f t="shared" si="180"/>
        <v>#NUM!</v>
      </c>
      <c r="EN199" s="62" t="e">
        <f t="shared" si="198"/>
        <v>#NUM!</v>
      </c>
      <c r="EO199" s="62">
        <f ca="1">AVERAGE(OFFSET($EN$3,0,0,'Données projet'!$E$15+1,1))-AVERAGE(OFFSET($H$3,0,0,'Données projet'!$E$15+1,1))</f>
        <v>445.81166342116865</v>
      </c>
      <c r="EP199" s="62">
        <f t="shared" si="210"/>
        <v>230.82970731138215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0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-4.5474735088646412E-13</v>
      </c>
      <c r="FF199" s="18">
        <f>FE199*VLOOKUP('Données projet'!$B$16,Paramètres!$A$1:$I$89,3,0)*VLOOKUP('Données projet'!$B$16,Paramètres!$A$1:$I$89,5,0)</f>
        <v>-4.3983163777738812E-13</v>
      </c>
      <c r="FG199" s="14" t="e">
        <f t="shared" si="182"/>
        <v>#NUM!</v>
      </c>
      <c r="FH199" s="22" t="e">
        <f t="shared" si="183"/>
        <v>#NUM!</v>
      </c>
      <c r="FI199" s="62" t="e">
        <f t="shared" si="199"/>
        <v>#NUM!</v>
      </c>
      <c r="FJ199" s="62">
        <f ca="1">AVERAGE(OFFSET($FI$3,0,0,'Données projet'!$E$16+1,1))-AVERAGE(OFFSET($H$3,0,0,'Données projet'!$E$16+1,1))</f>
        <v>541.66888676162716</v>
      </c>
      <c r="FK199" s="62">
        <f t="shared" si="211"/>
        <v>294.45557293177131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>
        <f>EXP(-LN(2)/35)*FQ198+(1-EXP(-LN(2)/35))/(LN(2)/35)*FM199*FN199*VLOOKUP('Données projet'!$B$16,Paramètres!$A$1:$I$89,3,0)*0.475*44/12</f>
        <v>0</v>
      </c>
      <c r="FR199" s="23">
        <f>EXP(-LN(2)/25)*FR198+(1-EXP(-LN(2)/25))/(LN(2)/25)*Calculateur!FM199*Calculateur!FO199*VLOOKUP('Données projet'!$B$16,Paramètres!$A$1:$I$89,3,0)*0.475*44/12</f>
        <v>0</v>
      </c>
      <c r="FS199" s="23">
        <f>EXP(-LN(2)/2)*FS198+(1-EXP(-LN(2)/2))/(LN(2)/2)*FM199*FP199*VLOOKUP('Données projet'!$B$16,Paramètres!$A$1:$I$89,3,0)*0.475*44/12</f>
        <v>0</v>
      </c>
      <c r="FT199" s="24">
        <f t="shared" si="184"/>
        <v>0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1.1368683772161603E-13</v>
      </c>
      <c r="GA199" s="18">
        <f>FZ199*VLOOKUP('Données projet'!$B$17,Paramètres!$A$1:$I$89,3,0)*VLOOKUP('Données projet'!$B$17,Paramètres!$A$1:$I$89,5,0)</f>
        <v>8.8675733422860506E-14</v>
      </c>
      <c r="GB199" s="14">
        <f t="shared" si="185"/>
        <v>1.3509285393066301E-12</v>
      </c>
      <c r="GC199" s="22">
        <f t="shared" si="186"/>
        <v>2.5073107750038623E-12</v>
      </c>
      <c r="GD199" s="62">
        <f t="shared" si="200"/>
        <v>293.33333333333582</v>
      </c>
      <c r="GE199" s="62">
        <f ca="1">AVERAGE(OFFSET($GD$3,0,0,'Données projet'!$E$17+1,1))-AVERAGE(OFFSET($H$3,0,0,'Données projet'!$E$17+1,1))</f>
        <v>292.57482726862594</v>
      </c>
      <c r="GF199" s="62">
        <f t="shared" si="212"/>
        <v>283.48738729114024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>
        <f>EXP(-LN(2)/35)*GL198+(1-EXP(-LN(2)/35))/(LN(2)/35)*GH199*GI199*VLOOKUP('Données projet'!$B$17,Paramètres!$A$1:$I$89,3,0)*0.475*44/12</f>
        <v>0</v>
      </c>
      <c r="GM199" s="23">
        <f>EXP(-LN(2)/25)*GM198+(1-EXP(-LN(2)/25))/(LN(2)/25)*Calculateur!GH199*Calculateur!GJ199*VLOOKUP('Données projet'!$B$17,Paramètres!$A$1:$I$89,3,0)*0.475*44/12</f>
        <v>0</v>
      </c>
      <c r="GN199" s="23">
        <f>EXP(-LN(2)/2)*GN198+(1-EXP(-LN(2)/2))/(LN(2)/2)*GH199*GK199*VLOOKUP('Données projet'!$B$17,Paramètres!$A$1:$I$89,3,0)*0.475*44/12</f>
        <v>0</v>
      </c>
      <c r="GO199" s="23">
        <f t="shared" si="187"/>
        <v>0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-2.2737367544323206E-13</v>
      </c>
      <c r="GV199" s="18">
        <f>GU199*VLOOKUP('Données projet'!$B$18,Paramètres!$A$1:$I$89,3,0)*VLOOKUP('Données projet'!$B$18,Paramètres!$A$1:$I$89,5,0)</f>
        <v>-1.5252226148732008E-13</v>
      </c>
      <c r="GW199" s="14" t="e">
        <f t="shared" si="188"/>
        <v>#NUM!</v>
      </c>
      <c r="GX199" s="22" t="e">
        <f t="shared" si="189"/>
        <v>#NUM!</v>
      </c>
      <c r="GY199" s="62" t="e">
        <f t="shared" si="201"/>
        <v>#NUM!</v>
      </c>
      <c r="GZ199" s="62">
        <f ca="1">AVERAGE(OFFSET($GY$3,0,0,'Données projet'!$E$18+1,1))-AVERAGE(OFFSET($H$3,0,0,'Données projet'!$E$18+1,1))</f>
        <v>410.20186800287411</v>
      </c>
      <c r="HA199" s="62">
        <f t="shared" si="213"/>
        <v>321.99347958016057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>
        <f>EXP(-LN(2)/35)*HG198+(1-EXP(-LN(2)/35))/(LN(2)/35)*HC199*HD199*VLOOKUP('Données projet'!$B$18,Paramètres!$A$1:$I$89,3,0)*0.475*44/12</f>
        <v>0</v>
      </c>
      <c r="HH199" s="23">
        <f>EXP(-LN(2)/25)*HH198+(1-EXP(-LN(2)/25))/(LN(2)/25)*Calculateur!HC199*Calculateur!HE199*VLOOKUP('Données projet'!$B$18,Paramètres!$A$1:$I$89,3,0)*0.475*44/12</f>
        <v>0</v>
      </c>
      <c r="HI199" s="23">
        <f>EXP(-LN(2)/2)*HI198+(1-EXP(-LN(2)/2))/(LN(2)/2)*HC199*HF199*VLOOKUP('Données projet'!$B$18,Paramètres!$A$1:$I$89,3,0)*0.475*44/12</f>
        <v>0</v>
      </c>
      <c r="HJ199" s="24">
        <f t="shared" si="190"/>
        <v>0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-4.5474735088646412E-13</v>
      </c>
      <c r="O200" s="14">
        <f>N200*VLOOKUP('Données projet'!$B$9,Paramètres!$A$1:$I$89,3,0)*VLOOKUP('Données projet'!$B$9,Paramètres!$A$1:$I$89,5,0)</f>
        <v>-4.1145540308207271E-13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509.56241660612449</v>
      </c>
      <c r="T200" s="62">
        <f t="shared" si="204"/>
        <v>278.21741231699929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-4.5474735088646412E-13</v>
      </c>
      <c r="AJ200" s="14">
        <f>AI200*VLOOKUP('Données projet'!$B$10,Paramètres!$A$1:$I$89,3,0)*VLOOKUP('Données projet'!$B$10,Paramètres!$A$1:$I$89,5,0)</f>
        <v>-4.6111381379887462E-13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565.72091871734051</v>
      </c>
      <c r="AO200" s="62">
        <f t="shared" si="205"/>
        <v>306.61893266146666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-5.6843418860808015E-14</v>
      </c>
      <c r="BE200" s="14">
        <f>BD200*VLOOKUP('Données projet'!$B$11,Paramètres!$A$1:$I$89,3,0)*VLOOKUP('Données projet'!$B$11,Paramètres!$A$1:$I$89,5,0)</f>
        <v>-4.1677594708744434E-14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344.26020118887629</v>
      </c>
      <c r="BJ200" s="62">
        <f t="shared" si="206"/>
        <v>376.41441893222185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-4.5474735088646412E-13</v>
      </c>
      <c r="BZ200" s="14">
        <f>BY200*VLOOKUP('Données projet'!$B$12,Paramètres!$A$1:$I$89,3,0)*VLOOKUP('Données projet'!$B$12,Paramètres!$A$1:$I$89,5,0)</f>
        <v>-3.8307916838675739E-13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477.4105367901771</v>
      </c>
      <c r="CE200" s="62">
        <f t="shared" si="207"/>
        <v>261.95434270986397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-6.2527760746888816E-13</v>
      </c>
      <c r="CU200" s="18">
        <f>CT200*VLOOKUP('Données projet'!$B$13,Paramètres!$A$1:$I$89,3,0)*VLOOKUP('Données projet'!$B$13,Paramètres!$A$1:$I$89,5,0)</f>
        <v>-2.9262992029543964E-13</v>
      </c>
      <c r="CV200" s="14" t="e">
        <f t="shared" si="173"/>
        <v>#NUM!</v>
      </c>
      <c r="CW200" s="22" t="e">
        <f t="shared" si="174"/>
        <v>#NUM!</v>
      </c>
      <c r="CX200" s="62" t="e">
        <f t="shared" si="196"/>
        <v>#NUM!</v>
      </c>
      <c r="CY200" s="62">
        <f ca="1">AVERAGE(OFFSET($CX$3,0,0,'Données projet'!$E$13+1,1))-AVERAGE(OFFSET($H$3,0,0,'Données projet'!$E$13+1,1))</f>
        <v>246.64907095367749</v>
      </c>
      <c r="CZ200" s="62">
        <f t="shared" si="208"/>
        <v>145.34368562171613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-5.6843418860808015E-14</v>
      </c>
      <c r="DP200" s="18">
        <f>DO200*VLOOKUP('Données projet'!$B$14,Paramètres!$A$1:$I$89,3,0)*VLOOKUP('Données projet'!$B$14,Paramètres!$A$1:$I$89,5,0)</f>
        <v>-4.5224624045658861E-14</v>
      </c>
      <c r="DQ200" s="14" t="e">
        <f t="shared" si="176"/>
        <v>#NUM!</v>
      </c>
      <c r="DR200" s="22" t="e">
        <f t="shared" si="177"/>
        <v>#NUM!</v>
      </c>
      <c r="DS200" s="62" t="e">
        <f t="shared" si="197"/>
        <v>#NUM!</v>
      </c>
      <c r="DT200" s="62">
        <f ca="1">AVERAGE(OFFSET($DS$3,0,0,'Données projet'!$E$14+1,1))-AVERAGE(OFFSET($H$3,0,0,'Données projet'!$E$14+1,1))</f>
        <v>370.38521334472284</v>
      </c>
      <c r="DU200" s="62">
        <f t="shared" si="209"/>
        <v>404.61777090709171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-1.1368683772161603E-13</v>
      </c>
      <c r="EK200" s="18">
        <f>EJ200*VLOOKUP('Données projet'!$B$15,Paramètres!$A$1:$I$89,3,0)*VLOOKUP('Données projet'!$B$15,Paramètres!$A$1:$I$89,5,0)</f>
        <v>-9.7543306765146564E-14</v>
      </c>
      <c r="EL200" s="14" t="e">
        <f t="shared" si="179"/>
        <v>#NUM!</v>
      </c>
      <c r="EM200" s="22" t="e">
        <f t="shared" si="180"/>
        <v>#NUM!</v>
      </c>
      <c r="EN200" s="62" t="e">
        <f t="shared" si="198"/>
        <v>#NUM!</v>
      </c>
      <c r="EO200" s="62">
        <f ca="1">AVERAGE(OFFSET($EN$3,0,0,'Données projet'!$E$15+1,1))-AVERAGE(OFFSET($H$3,0,0,'Données projet'!$E$15+1,1))</f>
        <v>445.81166342116865</v>
      </c>
      <c r="EP200" s="62">
        <f t="shared" si="210"/>
        <v>230.82970731138215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0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-4.5474735088646412E-13</v>
      </c>
      <c r="FF200" s="18">
        <f>FE200*VLOOKUP('Données projet'!$B$16,Paramètres!$A$1:$I$89,3,0)*VLOOKUP('Données projet'!$B$16,Paramètres!$A$1:$I$89,5,0)</f>
        <v>-4.3983163777738812E-13</v>
      </c>
      <c r="FG200" s="14" t="e">
        <f t="shared" si="182"/>
        <v>#NUM!</v>
      </c>
      <c r="FH200" s="22" t="e">
        <f t="shared" si="183"/>
        <v>#NUM!</v>
      </c>
      <c r="FI200" s="62" t="e">
        <f t="shared" si="199"/>
        <v>#NUM!</v>
      </c>
      <c r="FJ200" s="62">
        <f ca="1">AVERAGE(OFFSET($FI$3,0,0,'Données projet'!$E$16+1,1))-AVERAGE(OFFSET($H$3,0,0,'Données projet'!$E$16+1,1))</f>
        <v>541.66888676162716</v>
      </c>
      <c r="FK200" s="62">
        <f t="shared" si="211"/>
        <v>294.45557293177131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>
        <f>EXP(-LN(2)/35)*FQ199+(1-EXP(-LN(2)/35))/(LN(2)/35)*FM200*FN200*VLOOKUP('Données projet'!$B$16,Paramètres!$A$1:$I$89,3,0)*0.475*44/12</f>
        <v>0</v>
      </c>
      <c r="FR200" s="23">
        <f>EXP(-LN(2)/25)*FR199+(1-EXP(-LN(2)/25))/(LN(2)/25)*Calculateur!FM200*Calculateur!FO200*VLOOKUP('Données projet'!$B$16,Paramètres!$A$1:$I$89,3,0)*0.475*44/12</f>
        <v>0</v>
      </c>
      <c r="FS200" s="23">
        <f>EXP(-LN(2)/2)*FS199+(1-EXP(-LN(2)/2))/(LN(2)/2)*FM200*FP200*VLOOKUP('Données projet'!$B$16,Paramètres!$A$1:$I$89,3,0)*0.475*44/12</f>
        <v>0</v>
      </c>
      <c r="FT200" s="24">
        <f t="shared" si="184"/>
        <v>0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1.1368683772161603E-13</v>
      </c>
      <c r="GA200" s="18">
        <f>FZ200*VLOOKUP('Données projet'!$B$17,Paramètres!$A$1:$I$89,3,0)*VLOOKUP('Données projet'!$B$17,Paramètres!$A$1:$I$89,5,0)</f>
        <v>8.8675733422860506E-14</v>
      </c>
      <c r="GB200" s="14">
        <f t="shared" si="185"/>
        <v>1.3509285393066301E-12</v>
      </c>
      <c r="GC200" s="22">
        <f t="shared" si="186"/>
        <v>2.5073107750038623E-12</v>
      </c>
      <c r="GD200" s="62">
        <f t="shared" si="200"/>
        <v>293.33333333333582</v>
      </c>
      <c r="GE200" s="62">
        <f ca="1">AVERAGE(OFFSET($GD$3,0,0,'Données projet'!$E$17+1,1))-AVERAGE(OFFSET($H$3,0,0,'Données projet'!$E$17+1,1))</f>
        <v>292.57482726862594</v>
      </c>
      <c r="GF200" s="62">
        <f t="shared" si="212"/>
        <v>283.48738729114024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>
        <f>EXP(-LN(2)/35)*GL199+(1-EXP(-LN(2)/35))/(LN(2)/35)*GH200*GI200*VLOOKUP('Données projet'!$B$17,Paramètres!$A$1:$I$89,3,0)*0.475*44/12</f>
        <v>0</v>
      </c>
      <c r="GM200" s="23">
        <f>EXP(-LN(2)/25)*GM199+(1-EXP(-LN(2)/25))/(LN(2)/25)*Calculateur!GH200*Calculateur!GJ200*VLOOKUP('Données projet'!$B$17,Paramètres!$A$1:$I$89,3,0)*0.475*44/12</f>
        <v>0</v>
      </c>
      <c r="GN200" s="23">
        <f>EXP(-LN(2)/2)*GN199+(1-EXP(-LN(2)/2))/(LN(2)/2)*GH200*GK200*VLOOKUP('Données projet'!$B$17,Paramètres!$A$1:$I$89,3,0)*0.475*44/12</f>
        <v>0</v>
      </c>
      <c r="GO200" s="23">
        <f t="shared" si="187"/>
        <v>0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-2.2737367544323206E-13</v>
      </c>
      <c r="GV200" s="18">
        <f>GU200*VLOOKUP('Données projet'!$B$18,Paramètres!$A$1:$I$89,3,0)*VLOOKUP('Données projet'!$B$18,Paramètres!$A$1:$I$89,5,0)</f>
        <v>-1.5252226148732008E-13</v>
      </c>
      <c r="GW200" s="14" t="e">
        <f t="shared" si="188"/>
        <v>#NUM!</v>
      </c>
      <c r="GX200" s="22" t="e">
        <f t="shared" si="189"/>
        <v>#NUM!</v>
      </c>
      <c r="GY200" s="62" t="e">
        <f t="shared" si="201"/>
        <v>#NUM!</v>
      </c>
      <c r="GZ200" s="62">
        <f ca="1">AVERAGE(OFFSET($GY$3,0,0,'Données projet'!$E$18+1,1))-AVERAGE(OFFSET($H$3,0,0,'Données projet'!$E$18+1,1))</f>
        <v>410.20186800287411</v>
      </c>
      <c r="HA200" s="62">
        <f t="shared" si="213"/>
        <v>321.99347958016057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>
        <f>EXP(-LN(2)/35)*HG199+(1-EXP(-LN(2)/35))/(LN(2)/35)*HC200*HD200*VLOOKUP('Données projet'!$B$18,Paramètres!$A$1:$I$89,3,0)*0.475*44/12</f>
        <v>0</v>
      </c>
      <c r="HH200" s="23">
        <f>EXP(-LN(2)/25)*HH199+(1-EXP(-LN(2)/25))/(LN(2)/25)*Calculateur!HC200*Calculateur!HE200*VLOOKUP('Données projet'!$B$18,Paramètres!$A$1:$I$89,3,0)*0.475*44/12</f>
        <v>0</v>
      </c>
      <c r="HI200" s="23">
        <f>EXP(-LN(2)/2)*HI199+(1-EXP(-LN(2)/2))/(LN(2)/2)*HC200*HF200*VLOOKUP('Données projet'!$B$18,Paramètres!$A$1:$I$89,3,0)*0.475*44/12</f>
        <v>0</v>
      </c>
      <c r="HJ200" s="24">
        <f t="shared" si="190"/>
        <v>0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-4.5474735088646412E-13</v>
      </c>
      <c r="O201" s="14">
        <f>N201*VLOOKUP('Données projet'!$B$9,Paramètres!$A$1:$I$89,3,0)*VLOOKUP('Données projet'!$B$9,Paramètres!$A$1:$I$89,5,0)</f>
        <v>-4.1145540308207271E-13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509.56241660612449</v>
      </c>
      <c r="T201" s="62">
        <f t="shared" si="204"/>
        <v>278.21741231699929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-4.5474735088646412E-13</v>
      </c>
      <c r="AJ201" s="14">
        <f>AI201*VLOOKUP('Données projet'!$B$10,Paramètres!$A$1:$I$89,3,0)*VLOOKUP('Données projet'!$B$10,Paramètres!$A$1:$I$89,5,0)</f>
        <v>-4.6111381379887462E-13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565.72091871734051</v>
      </c>
      <c r="AO201" s="62">
        <f t="shared" si="205"/>
        <v>306.61893266146666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-5.6843418860808015E-14</v>
      </c>
      <c r="BE201" s="14">
        <f>BD201*VLOOKUP('Données projet'!$B$11,Paramètres!$A$1:$I$89,3,0)*VLOOKUP('Données projet'!$B$11,Paramètres!$A$1:$I$89,5,0)</f>
        <v>-4.1677594708744434E-14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344.26020118887629</v>
      </c>
      <c r="BJ201" s="62">
        <f t="shared" si="206"/>
        <v>376.41441893222185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-4.5474735088646412E-13</v>
      </c>
      <c r="BZ201" s="14">
        <f>BY201*VLOOKUP('Données projet'!$B$12,Paramètres!$A$1:$I$89,3,0)*VLOOKUP('Données projet'!$B$12,Paramètres!$A$1:$I$89,5,0)</f>
        <v>-3.8307916838675739E-13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477.4105367901771</v>
      </c>
      <c r="CE201" s="62">
        <f t="shared" si="207"/>
        <v>261.95434270986397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-6.2527760746888816E-13</v>
      </c>
      <c r="CU201" s="18">
        <f>CT201*VLOOKUP('Données projet'!$B$13,Paramètres!$A$1:$I$89,3,0)*VLOOKUP('Données projet'!$B$13,Paramètres!$A$1:$I$89,5,0)</f>
        <v>-2.9262992029543964E-13</v>
      </c>
      <c r="CV201" s="14" t="e">
        <f t="shared" si="173"/>
        <v>#NUM!</v>
      </c>
      <c r="CW201" s="22" t="e">
        <f t="shared" si="174"/>
        <v>#NUM!</v>
      </c>
      <c r="CX201" s="62" t="e">
        <f t="shared" si="196"/>
        <v>#NUM!</v>
      </c>
      <c r="CY201" s="62">
        <f ca="1">AVERAGE(OFFSET($CX$3,0,0,'Données projet'!$E$13+1,1))-AVERAGE(OFFSET($H$3,0,0,'Données projet'!$E$13+1,1))</f>
        <v>246.64907095367749</v>
      </c>
      <c r="CZ201" s="62">
        <f t="shared" si="208"/>
        <v>145.34368562171613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-5.6843418860808015E-14</v>
      </c>
      <c r="DP201" s="18">
        <f>DO201*VLOOKUP('Données projet'!$B$14,Paramètres!$A$1:$I$89,3,0)*VLOOKUP('Données projet'!$B$14,Paramètres!$A$1:$I$89,5,0)</f>
        <v>-4.5224624045658861E-14</v>
      </c>
      <c r="DQ201" s="14" t="e">
        <f t="shared" si="176"/>
        <v>#NUM!</v>
      </c>
      <c r="DR201" s="22" t="e">
        <f t="shared" si="177"/>
        <v>#NUM!</v>
      </c>
      <c r="DS201" s="62" t="e">
        <f t="shared" si="197"/>
        <v>#NUM!</v>
      </c>
      <c r="DT201" s="62">
        <f ca="1">AVERAGE(OFFSET($DS$3,0,0,'Données projet'!$E$14+1,1))-AVERAGE(OFFSET($H$3,0,0,'Données projet'!$E$14+1,1))</f>
        <v>370.38521334472284</v>
      </c>
      <c r="DU201" s="62">
        <f t="shared" si="209"/>
        <v>404.61777090709171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-1.1368683772161603E-13</v>
      </c>
      <c r="EK201" s="18">
        <f>EJ201*VLOOKUP('Données projet'!$B$15,Paramètres!$A$1:$I$89,3,0)*VLOOKUP('Données projet'!$B$15,Paramètres!$A$1:$I$89,5,0)</f>
        <v>-9.7543306765146564E-14</v>
      </c>
      <c r="EL201" s="14" t="e">
        <f t="shared" si="179"/>
        <v>#NUM!</v>
      </c>
      <c r="EM201" s="22" t="e">
        <f t="shared" si="180"/>
        <v>#NUM!</v>
      </c>
      <c r="EN201" s="62" t="e">
        <f t="shared" si="198"/>
        <v>#NUM!</v>
      </c>
      <c r="EO201" s="62">
        <f ca="1">AVERAGE(OFFSET($EN$3,0,0,'Données projet'!$E$15+1,1))-AVERAGE(OFFSET($H$3,0,0,'Données projet'!$E$15+1,1))</f>
        <v>445.81166342116865</v>
      </c>
      <c r="EP201" s="62">
        <f t="shared" si="210"/>
        <v>230.82970731138215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0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-4.5474735088646412E-13</v>
      </c>
      <c r="FF201" s="18">
        <f>FE201*VLOOKUP('Données projet'!$B$16,Paramètres!$A$1:$I$89,3,0)*VLOOKUP('Données projet'!$B$16,Paramètres!$A$1:$I$89,5,0)</f>
        <v>-4.3983163777738812E-13</v>
      </c>
      <c r="FG201" s="14" t="e">
        <f t="shared" si="182"/>
        <v>#NUM!</v>
      </c>
      <c r="FH201" s="22" t="e">
        <f t="shared" si="183"/>
        <v>#NUM!</v>
      </c>
      <c r="FI201" s="62" t="e">
        <f t="shared" si="199"/>
        <v>#NUM!</v>
      </c>
      <c r="FJ201" s="62">
        <f ca="1">AVERAGE(OFFSET($FI$3,0,0,'Données projet'!$E$16+1,1))-AVERAGE(OFFSET($H$3,0,0,'Données projet'!$E$16+1,1))</f>
        <v>541.66888676162716</v>
      </c>
      <c r="FK201" s="62">
        <f t="shared" si="211"/>
        <v>294.45557293177131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>
        <f>EXP(-LN(2)/35)*FQ200+(1-EXP(-LN(2)/35))/(LN(2)/35)*FM201*FN201*VLOOKUP('Données projet'!$B$16,Paramètres!$A$1:$I$89,3,0)*0.475*44/12</f>
        <v>0</v>
      </c>
      <c r="FR201" s="23">
        <f>EXP(-LN(2)/25)*FR200+(1-EXP(-LN(2)/25))/(LN(2)/25)*Calculateur!FM201*Calculateur!FO201*VLOOKUP('Données projet'!$B$16,Paramètres!$A$1:$I$89,3,0)*0.475*44/12</f>
        <v>0</v>
      </c>
      <c r="FS201" s="23">
        <f>EXP(-LN(2)/2)*FS200+(1-EXP(-LN(2)/2))/(LN(2)/2)*FM201*FP201*VLOOKUP('Données projet'!$B$16,Paramètres!$A$1:$I$89,3,0)*0.475*44/12</f>
        <v>0</v>
      </c>
      <c r="FT201" s="24">
        <f t="shared" si="184"/>
        <v>0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1.1368683772161603E-13</v>
      </c>
      <c r="GA201" s="18">
        <f>FZ201*VLOOKUP('Données projet'!$B$17,Paramètres!$A$1:$I$89,3,0)*VLOOKUP('Données projet'!$B$17,Paramètres!$A$1:$I$89,5,0)</f>
        <v>8.8675733422860506E-14</v>
      </c>
      <c r="GB201" s="14">
        <f t="shared" si="185"/>
        <v>1.3509285393066301E-12</v>
      </c>
      <c r="GC201" s="22">
        <f t="shared" si="186"/>
        <v>2.5073107750038623E-12</v>
      </c>
      <c r="GD201" s="62">
        <f t="shared" si="200"/>
        <v>293.33333333333582</v>
      </c>
      <c r="GE201" s="62">
        <f ca="1">AVERAGE(OFFSET($GD$3,0,0,'Données projet'!$E$17+1,1))-AVERAGE(OFFSET($H$3,0,0,'Données projet'!$E$17+1,1))</f>
        <v>292.57482726862594</v>
      </c>
      <c r="GF201" s="62">
        <f t="shared" si="212"/>
        <v>283.48738729114024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>
        <f>EXP(-LN(2)/35)*GL200+(1-EXP(-LN(2)/35))/(LN(2)/35)*GH201*GI201*VLOOKUP('Données projet'!$B$17,Paramètres!$A$1:$I$89,3,0)*0.475*44/12</f>
        <v>0</v>
      </c>
      <c r="GM201" s="23">
        <f>EXP(-LN(2)/25)*GM200+(1-EXP(-LN(2)/25))/(LN(2)/25)*Calculateur!GH201*Calculateur!GJ201*VLOOKUP('Données projet'!$B$17,Paramètres!$A$1:$I$89,3,0)*0.475*44/12</f>
        <v>0</v>
      </c>
      <c r="GN201" s="23">
        <f>EXP(-LN(2)/2)*GN200+(1-EXP(-LN(2)/2))/(LN(2)/2)*GH201*GK201*VLOOKUP('Données projet'!$B$17,Paramètres!$A$1:$I$89,3,0)*0.475*44/12</f>
        <v>0</v>
      </c>
      <c r="GO201" s="23">
        <f t="shared" si="187"/>
        <v>0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-2.2737367544323206E-13</v>
      </c>
      <c r="GV201" s="18">
        <f>GU201*VLOOKUP('Données projet'!$B$18,Paramètres!$A$1:$I$89,3,0)*VLOOKUP('Données projet'!$B$18,Paramètres!$A$1:$I$89,5,0)</f>
        <v>-1.5252226148732008E-13</v>
      </c>
      <c r="GW201" s="14" t="e">
        <f t="shared" si="188"/>
        <v>#NUM!</v>
      </c>
      <c r="GX201" s="22" t="e">
        <f t="shared" si="189"/>
        <v>#NUM!</v>
      </c>
      <c r="GY201" s="62" t="e">
        <f t="shared" si="201"/>
        <v>#NUM!</v>
      </c>
      <c r="GZ201" s="62">
        <f ca="1">AVERAGE(OFFSET($GY$3,0,0,'Données projet'!$E$18+1,1))-AVERAGE(OFFSET($H$3,0,0,'Données projet'!$E$18+1,1))</f>
        <v>410.20186800287411</v>
      </c>
      <c r="HA201" s="62">
        <f t="shared" si="213"/>
        <v>321.99347958016057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>
        <f>EXP(-LN(2)/35)*HG200+(1-EXP(-LN(2)/35))/(LN(2)/35)*HC201*HD201*VLOOKUP('Données projet'!$B$18,Paramètres!$A$1:$I$89,3,0)*0.475*44/12</f>
        <v>0</v>
      </c>
      <c r="HH201" s="23">
        <f>EXP(-LN(2)/25)*HH200+(1-EXP(-LN(2)/25))/(LN(2)/25)*Calculateur!HC201*Calculateur!HE201*VLOOKUP('Données projet'!$B$18,Paramètres!$A$1:$I$89,3,0)*0.475*44/12</f>
        <v>0</v>
      </c>
      <c r="HI201" s="23">
        <f>EXP(-LN(2)/2)*HI200+(1-EXP(-LN(2)/2))/(LN(2)/2)*HC201*HF201*VLOOKUP('Données projet'!$B$18,Paramètres!$A$1:$I$89,3,0)*0.475*44/12</f>
        <v>0</v>
      </c>
      <c r="HJ201" s="24">
        <f t="shared" si="190"/>
        <v>0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-4.5474735088646412E-13</v>
      </c>
      <c r="O202" s="14">
        <f>N202*VLOOKUP('Données projet'!$B$9,Paramètres!$A$1:$I$89,3,0)*VLOOKUP('Données projet'!$B$9,Paramètres!$A$1:$I$89,5,0)</f>
        <v>-4.1145540308207271E-13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509.56241660612449</v>
      </c>
      <c r="T202" s="62">
        <f t="shared" si="204"/>
        <v>278.21741231699929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-4.5474735088646412E-13</v>
      </c>
      <c r="AJ202" s="14">
        <f>AI202*VLOOKUP('Données projet'!$B$10,Paramètres!$A$1:$I$89,3,0)*VLOOKUP('Données projet'!$B$10,Paramètres!$A$1:$I$89,5,0)</f>
        <v>-4.6111381379887462E-13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565.72091871734051</v>
      </c>
      <c r="AO202" s="62">
        <f t="shared" si="205"/>
        <v>306.61893266146666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-5.6843418860808015E-14</v>
      </c>
      <c r="BE202" s="14">
        <f>BD202*VLOOKUP('Données projet'!$B$11,Paramètres!$A$1:$I$89,3,0)*VLOOKUP('Données projet'!$B$11,Paramètres!$A$1:$I$89,5,0)</f>
        <v>-4.1677594708744434E-14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344.26020118887629</v>
      </c>
      <c r="BJ202" s="62">
        <f t="shared" si="206"/>
        <v>376.41441893222185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-4.5474735088646412E-13</v>
      </c>
      <c r="BZ202" s="14">
        <f>BY202*VLOOKUP('Données projet'!$B$12,Paramètres!$A$1:$I$89,3,0)*VLOOKUP('Données projet'!$B$12,Paramètres!$A$1:$I$89,5,0)</f>
        <v>-3.8307916838675739E-13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477.4105367901771</v>
      </c>
      <c r="CE202" s="62">
        <f t="shared" si="207"/>
        <v>261.95434270986397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-6.2527760746888816E-13</v>
      </c>
      <c r="CU202" s="18">
        <f>CT202*VLOOKUP('Données projet'!$B$13,Paramètres!$A$1:$I$89,3,0)*VLOOKUP('Données projet'!$B$13,Paramètres!$A$1:$I$89,5,0)</f>
        <v>-2.9262992029543964E-13</v>
      </c>
      <c r="CV202" s="14" t="e">
        <f t="shared" si="173"/>
        <v>#NUM!</v>
      </c>
      <c r="CW202" s="22" t="e">
        <f t="shared" si="174"/>
        <v>#NUM!</v>
      </c>
      <c r="CX202" s="62" t="e">
        <f t="shared" si="196"/>
        <v>#NUM!</v>
      </c>
      <c r="CY202" s="62">
        <f ca="1">AVERAGE(OFFSET($CX$3,0,0,'Données projet'!$E$13+1,1))-AVERAGE(OFFSET($H$3,0,0,'Données projet'!$E$13+1,1))</f>
        <v>246.64907095367749</v>
      </c>
      <c r="CZ202" s="62">
        <f t="shared" si="208"/>
        <v>145.34368562171613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-5.6843418860808015E-14</v>
      </c>
      <c r="DP202" s="18">
        <f>DO202*VLOOKUP('Données projet'!$B$14,Paramètres!$A$1:$I$89,3,0)*VLOOKUP('Données projet'!$B$14,Paramètres!$A$1:$I$89,5,0)</f>
        <v>-4.5224624045658861E-14</v>
      </c>
      <c r="DQ202" s="14" t="e">
        <f t="shared" si="176"/>
        <v>#NUM!</v>
      </c>
      <c r="DR202" s="22" t="e">
        <f t="shared" si="177"/>
        <v>#NUM!</v>
      </c>
      <c r="DS202" s="62" t="e">
        <f t="shared" si="197"/>
        <v>#NUM!</v>
      </c>
      <c r="DT202" s="62">
        <f ca="1">AVERAGE(OFFSET($DS$3,0,0,'Données projet'!$E$14+1,1))-AVERAGE(OFFSET($H$3,0,0,'Données projet'!$E$14+1,1))</f>
        <v>370.38521334472284</v>
      </c>
      <c r="DU202" s="62">
        <f t="shared" si="209"/>
        <v>404.61777090709171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-1.1368683772161603E-13</v>
      </c>
      <c r="EK202" s="18">
        <f>EJ202*VLOOKUP('Données projet'!$B$15,Paramètres!$A$1:$I$89,3,0)*VLOOKUP('Données projet'!$B$15,Paramètres!$A$1:$I$89,5,0)</f>
        <v>-9.7543306765146564E-14</v>
      </c>
      <c r="EL202" s="14" t="e">
        <f t="shared" si="179"/>
        <v>#NUM!</v>
      </c>
      <c r="EM202" s="22" t="e">
        <f t="shared" si="180"/>
        <v>#NUM!</v>
      </c>
      <c r="EN202" s="62" t="e">
        <f t="shared" si="198"/>
        <v>#NUM!</v>
      </c>
      <c r="EO202" s="62">
        <f ca="1">AVERAGE(OFFSET($EN$3,0,0,'Données projet'!$E$15+1,1))-AVERAGE(OFFSET($H$3,0,0,'Données projet'!$E$15+1,1))</f>
        <v>445.81166342116865</v>
      </c>
      <c r="EP202" s="62">
        <f t="shared" si="210"/>
        <v>230.82970731138215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0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-4.5474735088646412E-13</v>
      </c>
      <c r="FF202" s="18">
        <f>FE202*VLOOKUP('Données projet'!$B$16,Paramètres!$A$1:$I$89,3,0)*VLOOKUP('Données projet'!$B$16,Paramètres!$A$1:$I$89,5,0)</f>
        <v>-4.3983163777738812E-13</v>
      </c>
      <c r="FG202" s="14" t="e">
        <f t="shared" si="182"/>
        <v>#NUM!</v>
      </c>
      <c r="FH202" s="22" t="e">
        <f t="shared" si="183"/>
        <v>#NUM!</v>
      </c>
      <c r="FI202" s="62" t="e">
        <f t="shared" si="199"/>
        <v>#NUM!</v>
      </c>
      <c r="FJ202" s="62">
        <f ca="1">AVERAGE(OFFSET($FI$3,0,0,'Données projet'!$E$16+1,1))-AVERAGE(OFFSET($H$3,0,0,'Données projet'!$E$16+1,1))</f>
        <v>541.66888676162716</v>
      </c>
      <c r="FK202" s="62">
        <f t="shared" si="211"/>
        <v>294.45557293177131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>
        <f>EXP(-LN(2)/35)*FQ201+(1-EXP(-LN(2)/35))/(LN(2)/35)*FM202*FN202*VLOOKUP('Données projet'!$B$16,Paramètres!$A$1:$I$89,3,0)*0.475*44/12</f>
        <v>0</v>
      </c>
      <c r="FR202" s="23">
        <f>EXP(-LN(2)/25)*FR201+(1-EXP(-LN(2)/25))/(LN(2)/25)*Calculateur!FM202*Calculateur!FO202*VLOOKUP('Données projet'!$B$16,Paramètres!$A$1:$I$89,3,0)*0.475*44/12</f>
        <v>0</v>
      </c>
      <c r="FS202" s="23">
        <f>EXP(-LN(2)/2)*FS201+(1-EXP(-LN(2)/2))/(LN(2)/2)*FM202*FP202*VLOOKUP('Données projet'!$B$16,Paramètres!$A$1:$I$89,3,0)*0.475*44/12</f>
        <v>0</v>
      </c>
      <c r="FT202" s="24">
        <f t="shared" si="184"/>
        <v>0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1.1368683772161603E-13</v>
      </c>
      <c r="GA202" s="18">
        <f>FZ202*VLOOKUP('Données projet'!$B$17,Paramètres!$A$1:$I$89,3,0)*VLOOKUP('Données projet'!$B$17,Paramètres!$A$1:$I$89,5,0)</f>
        <v>8.8675733422860506E-14</v>
      </c>
      <c r="GB202" s="14">
        <f t="shared" si="185"/>
        <v>1.3509285393066301E-12</v>
      </c>
      <c r="GC202" s="22">
        <f t="shared" si="186"/>
        <v>2.5073107750038623E-12</v>
      </c>
      <c r="GD202" s="62">
        <f t="shared" si="200"/>
        <v>293.33333333333582</v>
      </c>
      <c r="GE202" s="62">
        <f ca="1">AVERAGE(OFFSET($GD$3,0,0,'Données projet'!$E$17+1,1))-AVERAGE(OFFSET($H$3,0,0,'Données projet'!$E$17+1,1))</f>
        <v>292.57482726862594</v>
      </c>
      <c r="GF202" s="62">
        <f t="shared" si="212"/>
        <v>283.48738729114024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>
        <f>EXP(-LN(2)/35)*GL201+(1-EXP(-LN(2)/35))/(LN(2)/35)*GH202*GI202*VLOOKUP('Données projet'!$B$17,Paramètres!$A$1:$I$89,3,0)*0.475*44/12</f>
        <v>0</v>
      </c>
      <c r="GM202" s="23">
        <f>EXP(-LN(2)/25)*GM201+(1-EXP(-LN(2)/25))/(LN(2)/25)*Calculateur!GH202*Calculateur!GJ202*VLOOKUP('Données projet'!$B$17,Paramètres!$A$1:$I$89,3,0)*0.475*44/12</f>
        <v>0</v>
      </c>
      <c r="GN202" s="23">
        <f>EXP(-LN(2)/2)*GN201+(1-EXP(-LN(2)/2))/(LN(2)/2)*GH202*GK202*VLOOKUP('Données projet'!$B$17,Paramètres!$A$1:$I$89,3,0)*0.475*44/12</f>
        <v>0</v>
      </c>
      <c r="GO202" s="23">
        <f t="shared" si="187"/>
        <v>0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-2.2737367544323206E-13</v>
      </c>
      <c r="GV202" s="18">
        <f>GU202*VLOOKUP('Données projet'!$B$18,Paramètres!$A$1:$I$89,3,0)*VLOOKUP('Données projet'!$B$18,Paramètres!$A$1:$I$89,5,0)</f>
        <v>-1.5252226148732008E-13</v>
      </c>
      <c r="GW202" s="14" t="e">
        <f t="shared" si="188"/>
        <v>#NUM!</v>
      </c>
      <c r="GX202" s="22" t="e">
        <f t="shared" si="189"/>
        <v>#NUM!</v>
      </c>
      <c r="GY202" s="62" t="e">
        <f t="shared" si="201"/>
        <v>#NUM!</v>
      </c>
      <c r="GZ202" s="62">
        <f ca="1">AVERAGE(OFFSET($GY$3,0,0,'Données projet'!$E$18+1,1))-AVERAGE(OFFSET($H$3,0,0,'Données projet'!$E$18+1,1))</f>
        <v>410.20186800287411</v>
      </c>
      <c r="HA202" s="62">
        <f t="shared" si="213"/>
        <v>321.99347958016057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>
        <f>EXP(-LN(2)/35)*HG201+(1-EXP(-LN(2)/35))/(LN(2)/35)*HC202*HD202*VLOOKUP('Données projet'!$B$18,Paramètres!$A$1:$I$89,3,0)*0.475*44/12</f>
        <v>0</v>
      </c>
      <c r="HH202" s="23">
        <f>EXP(-LN(2)/25)*HH201+(1-EXP(-LN(2)/25))/(LN(2)/25)*Calculateur!HC202*Calculateur!HE202*VLOOKUP('Données projet'!$B$18,Paramètres!$A$1:$I$89,3,0)*0.475*44/12</f>
        <v>0</v>
      </c>
      <c r="HI202" s="23">
        <f>EXP(-LN(2)/2)*HI201+(1-EXP(-LN(2)/2))/(LN(2)/2)*HC202*HF202*VLOOKUP('Données projet'!$B$18,Paramètres!$A$1:$I$89,3,0)*0.475*44/12</f>
        <v>0</v>
      </c>
      <c r="HJ202" s="24">
        <f t="shared" si="190"/>
        <v>0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-4.5474735088646412E-13</v>
      </c>
      <c r="O203" s="14">
        <f>N203*VLOOKUP('Données projet'!$B$9,Paramètres!$A$1:$I$89,3,0)*VLOOKUP('Données projet'!$B$9,Paramètres!$A$1:$I$89,5,0)</f>
        <v>-4.1145540308207271E-13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509.56241660612449</v>
      </c>
      <c r="T203" s="62">
        <f t="shared" si="204"/>
        <v>278.21741231699929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-4.5474735088646412E-13</v>
      </c>
      <c r="AJ203" s="14">
        <f>AI203*VLOOKUP('Données projet'!$B$10,Paramètres!$A$1:$I$89,3,0)*VLOOKUP('Données projet'!$B$10,Paramètres!$A$1:$I$89,5,0)</f>
        <v>-4.6111381379887462E-13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565.72091871734051</v>
      </c>
      <c r="AO203" s="62">
        <f t="shared" si="205"/>
        <v>306.61893266146666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-5.6843418860808015E-14</v>
      </c>
      <c r="BE203" s="14">
        <f>BD203*VLOOKUP('Données projet'!$B$11,Paramètres!$A$1:$I$89,3,0)*VLOOKUP('Données projet'!$B$11,Paramètres!$A$1:$I$89,5,0)</f>
        <v>-4.1677594708744434E-14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344.26020118887629</v>
      </c>
      <c r="BJ203" s="62">
        <f t="shared" si="206"/>
        <v>376.41441893222185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-4.5474735088646412E-13</v>
      </c>
      <c r="BZ203" s="14">
        <f>BY203*VLOOKUP('Données projet'!$B$12,Paramètres!$A$1:$I$89,3,0)*VLOOKUP('Données projet'!$B$12,Paramètres!$A$1:$I$89,5,0)</f>
        <v>-3.8307916838675739E-13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477.4105367901771</v>
      </c>
      <c r="CE203" s="62">
        <f t="shared" si="207"/>
        <v>261.95434270986397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-6.2527760746888816E-13</v>
      </c>
      <c r="CU203" s="18">
        <f>CT203*VLOOKUP('Données projet'!$B$13,Paramètres!$A$1:$I$89,3,0)*VLOOKUP('Données projet'!$B$13,Paramètres!$A$1:$I$89,5,0)</f>
        <v>-2.9262992029543964E-13</v>
      </c>
      <c r="CV203" s="14" t="e">
        <f t="shared" si="173"/>
        <v>#NUM!</v>
      </c>
      <c r="CW203" s="22" t="e">
        <f t="shared" si="174"/>
        <v>#NUM!</v>
      </c>
      <c r="CX203" s="62" t="e">
        <f t="shared" si="196"/>
        <v>#NUM!</v>
      </c>
      <c r="CY203" s="62">
        <f ca="1">AVERAGE(OFFSET($CX$3,0,0,'Données projet'!$E$13+1,1))-AVERAGE(OFFSET($H$3,0,0,'Données projet'!$E$13+1,1))</f>
        <v>246.64907095367749</v>
      </c>
      <c r="CZ203" s="62">
        <f t="shared" si="208"/>
        <v>145.34368562171613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-5.6843418860808015E-14</v>
      </c>
      <c r="DP203" s="18">
        <f>DO203*VLOOKUP('Données projet'!$B$14,Paramètres!$A$1:$I$89,3,0)*VLOOKUP('Données projet'!$B$14,Paramètres!$A$1:$I$89,5,0)</f>
        <v>-4.5224624045658861E-14</v>
      </c>
      <c r="DQ203" s="14" t="e">
        <f t="shared" si="176"/>
        <v>#NUM!</v>
      </c>
      <c r="DR203" s="22" t="e">
        <f t="shared" si="177"/>
        <v>#NUM!</v>
      </c>
      <c r="DS203" s="62" t="e">
        <f t="shared" si="197"/>
        <v>#NUM!</v>
      </c>
      <c r="DT203" s="62">
        <f ca="1">AVERAGE(OFFSET($DS$3,0,0,'Données projet'!$E$14+1,1))-AVERAGE(OFFSET($H$3,0,0,'Données projet'!$E$14+1,1))</f>
        <v>370.38521334472284</v>
      </c>
      <c r="DU203" s="62">
        <f t="shared" si="209"/>
        <v>404.61777090709171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-1.1368683772161603E-13</v>
      </c>
      <c r="EK203" s="18">
        <f>EJ203*VLOOKUP('Données projet'!$B$15,Paramètres!$A$1:$I$89,3,0)*VLOOKUP('Données projet'!$B$15,Paramètres!$A$1:$I$89,5,0)</f>
        <v>-9.7543306765146564E-14</v>
      </c>
      <c r="EL203" s="14" t="e">
        <f t="shared" si="179"/>
        <v>#NUM!</v>
      </c>
      <c r="EM203" s="22" t="e">
        <f t="shared" si="180"/>
        <v>#NUM!</v>
      </c>
      <c r="EN203" s="62" t="e">
        <f t="shared" si="198"/>
        <v>#NUM!</v>
      </c>
      <c r="EO203" s="62">
        <f ca="1">AVERAGE(OFFSET($EN$3,0,0,'Données projet'!$E$15+1,1))-AVERAGE(OFFSET($H$3,0,0,'Données projet'!$E$15+1,1))</f>
        <v>445.81166342116865</v>
      </c>
      <c r="EP203" s="62">
        <f t="shared" si="210"/>
        <v>230.82970731138215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0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-4.5474735088646412E-13</v>
      </c>
      <c r="FF203" s="18">
        <f>FE203*VLOOKUP('Données projet'!$B$16,Paramètres!$A$1:$I$89,3,0)*VLOOKUP('Données projet'!$B$16,Paramètres!$A$1:$I$89,5,0)</f>
        <v>-4.3983163777738812E-13</v>
      </c>
      <c r="FG203" s="14" t="e">
        <f t="shared" si="182"/>
        <v>#NUM!</v>
      </c>
      <c r="FH203" s="22" t="e">
        <f t="shared" si="183"/>
        <v>#NUM!</v>
      </c>
      <c r="FI203" s="62" t="e">
        <f t="shared" si="199"/>
        <v>#NUM!</v>
      </c>
      <c r="FJ203" s="62">
        <f ca="1">AVERAGE(OFFSET($FI$3,0,0,'Données projet'!$E$16+1,1))-AVERAGE(OFFSET($H$3,0,0,'Données projet'!$E$16+1,1))</f>
        <v>541.66888676162716</v>
      </c>
      <c r="FK203" s="62">
        <f t="shared" si="211"/>
        <v>294.45557293177131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>
        <f>EXP(-LN(2)/35)*FQ202+(1-EXP(-LN(2)/35))/(LN(2)/35)*FM203*FN203*VLOOKUP('Données projet'!$B$16,Paramètres!$A$1:$I$89,3,0)*0.475*44/12</f>
        <v>0</v>
      </c>
      <c r="FR203" s="23">
        <f>EXP(-LN(2)/25)*FR202+(1-EXP(-LN(2)/25))/(LN(2)/25)*Calculateur!FM203*Calculateur!FO203*VLOOKUP('Données projet'!$B$16,Paramètres!$A$1:$I$89,3,0)*0.475*44/12</f>
        <v>0</v>
      </c>
      <c r="FS203" s="23">
        <f>EXP(-LN(2)/2)*FS202+(1-EXP(-LN(2)/2))/(LN(2)/2)*FM203*FP203*VLOOKUP('Données projet'!$B$16,Paramètres!$A$1:$I$89,3,0)*0.475*44/12</f>
        <v>0</v>
      </c>
      <c r="FT203" s="24">
        <f t="shared" si="184"/>
        <v>0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1.1368683772161603E-13</v>
      </c>
      <c r="GA203" s="18">
        <f>FZ203*VLOOKUP('Données projet'!$B$17,Paramètres!$A$1:$I$89,3,0)*VLOOKUP('Données projet'!$B$17,Paramètres!$A$1:$I$89,5,0)</f>
        <v>8.8675733422860506E-14</v>
      </c>
      <c r="GB203" s="14">
        <f t="shared" si="185"/>
        <v>1.3509285393066301E-12</v>
      </c>
      <c r="GC203" s="22">
        <f t="shared" si="186"/>
        <v>2.5073107750038623E-12</v>
      </c>
      <c r="GD203" s="62">
        <f t="shared" si="200"/>
        <v>293.33333333333582</v>
      </c>
      <c r="GE203" s="62">
        <f ca="1">AVERAGE(OFFSET($GD$3,0,0,'Données projet'!$E$17+1,1))-AVERAGE(OFFSET($H$3,0,0,'Données projet'!$E$17+1,1))</f>
        <v>292.57482726862594</v>
      </c>
      <c r="GF203" s="62">
        <f t="shared" si="212"/>
        <v>283.48738729114024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>
        <f>EXP(-LN(2)/35)*GL202+(1-EXP(-LN(2)/35))/(LN(2)/35)*GH203*GI203*VLOOKUP('Données projet'!$B$17,Paramètres!$A$1:$I$89,3,0)*0.475*44/12</f>
        <v>0</v>
      </c>
      <c r="GM203" s="23">
        <f>EXP(-LN(2)/25)*GM202+(1-EXP(-LN(2)/25))/(LN(2)/25)*Calculateur!GH203*Calculateur!GJ203*VLOOKUP('Données projet'!$B$17,Paramètres!$A$1:$I$89,3,0)*0.475*44/12</f>
        <v>0</v>
      </c>
      <c r="GN203" s="23">
        <f>EXP(-LN(2)/2)*GN202+(1-EXP(-LN(2)/2))/(LN(2)/2)*GH203*GK203*VLOOKUP('Données projet'!$B$17,Paramètres!$A$1:$I$89,3,0)*0.475*44/12</f>
        <v>0</v>
      </c>
      <c r="GO203" s="23">
        <f t="shared" si="187"/>
        <v>0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-2.2737367544323206E-13</v>
      </c>
      <c r="GV203" s="18">
        <f>GU203*VLOOKUP('Données projet'!$B$18,Paramètres!$A$1:$I$89,3,0)*VLOOKUP('Données projet'!$B$18,Paramètres!$A$1:$I$89,5,0)</f>
        <v>-1.5252226148732008E-13</v>
      </c>
      <c r="GW203" s="14" t="e">
        <f t="shared" si="188"/>
        <v>#NUM!</v>
      </c>
      <c r="GX203" s="22" t="e">
        <f t="shared" si="189"/>
        <v>#NUM!</v>
      </c>
      <c r="GY203" s="62" t="e">
        <f t="shared" si="201"/>
        <v>#NUM!</v>
      </c>
      <c r="GZ203" s="62">
        <f ca="1">AVERAGE(OFFSET($GY$3,0,0,'Données projet'!$E$18+1,1))-AVERAGE(OFFSET($H$3,0,0,'Données projet'!$E$18+1,1))</f>
        <v>410.20186800287411</v>
      </c>
      <c r="HA203" s="62">
        <f t="shared" si="213"/>
        <v>321.99347958016057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>
        <f>EXP(-LN(2)/35)*HG202+(1-EXP(-LN(2)/35))/(LN(2)/35)*HC203*HD203*VLOOKUP('Données projet'!$B$18,Paramètres!$A$1:$I$89,3,0)*0.475*44/12</f>
        <v>0</v>
      </c>
      <c r="HH203" s="23">
        <f>EXP(-LN(2)/25)*HH202+(1-EXP(-LN(2)/25))/(LN(2)/25)*Calculateur!HC203*Calculateur!HE203*VLOOKUP('Données projet'!$B$18,Paramètres!$A$1:$I$89,3,0)*0.475*44/12</f>
        <v>0</v>
      </c>
      <c r="HI203" s="23">
        <f>EXP(-LN(2)/2)*HI202+(1-EXP(-LN(2)/2))/(LN(2)/2)*HC203*HF203*VLOOKUP('Données projet'!$B$18,Paramètres!$A$1:$I$89,3,0)*0.475*44/12</f>
        <v>0</v>
      </c>
      <c r="HJ203" s="24">
        <f t="shared" si="190"/>
        <v>0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1.2392705892426346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1.2392705892426346</v>
      </c>
      <c r="BA205" s="88">
        <f>EXP(LN('Données projet'!B88)/'Données projet'!A88)</f>
        <v>1.2721323532877689</v>
      </c>
      <c r="BV205" s="88">
        <f>EXP(LN('Données projet'!B114)/'Données projet'!A114)</f>
        <v>1.2392705892426346</v>
      </c>
      <c r="CQ205" s="88">
        <f>EXP(LN('Données projet'!B140)/'Données projet'!A140)</f>
        <v>1.167092777711815</v>
      </c>
      <c r="DL205" s="88">
        <f>EXP(LN('Données projet'!B166)/'Données projet'!A166)</f>
        <v>1.2721323532877689</v>
      </c>
      <c r="EG205" s="88">
        <f>EXP(LN('Données projet'!B192)/'Données projet'!A192)</f>
        <v>1.0629350704110543</v>
      </c>
      <c r="FB205" s="88">
        <f>EXP(LN('Données projet'!B218)/'Données projet'!A218)</f>
        <v>1.2392705892426346</v>
      </c>
      <c r="FW205" s="88">
        <f>EXP(LN('Données projet'!B244)/'Données projet'!A244)</f>
        <v>1.2788040393997409</v>
      </c>
      <c r="GR205" s="88">
        <f>EXP(LN('Données projet'!B270)/'Données projet'!A270)</f>
        <v>1.4669685047497352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2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3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2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4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4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3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2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3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4" t="s">
        <v>321</v>
      </c>
      <c r="B87" s="285" t="s">
        <v>322</v>
      </c>
      <c r="C87" s="286">
        <v>0.41</v>
      </c>
      <c r="D87" s="286" t="s">
        <v>323</v>
      </c>
      <c r="E87" s="286">
        <v>1.56</v>
      </c>
      <c r="F87" s="287" t="s">
        <v>274</v>
      </c>
      <c r="G87" s="288">
        <v>0.43</v>
      </c>
      <c r="H87" s="286" t="s">
        <v>278</v>
      </c>
      <c r="I87" s="289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B17" sqref="B17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16" t="s">
        <v>191</v>
      </c>
      <c r="C2" s="317"/>
      <c r="D2" s="317"/>
      <c r="E2" s="317"/>
      <c r="F2" s="317"/>
      <c r="G2" s="318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15"/>
      <c r="C4" s="315"/>
      <c r="D4" s="315"/>
      <c r="E4" s="315"/>
      <c r="F4" s="315"/>
      <c r="G4" s="315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6"/>
      <c r="C6" s="236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4"/>
      <c r="E7" s="110"/>
      <c r="F7" s="29" t="s">
        <v>295</v>
      </c>
      <c r="G7" s="109" t="s">
        <v>215</v>
      </c>
      <c r="H7" s="235"/>
      <c r="I7" s="235"/>
      <c r="J7" s="235"/>
      <c r="K7" s="235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5"/>
      <c r="B13" s="116"/>
      <c r="C13" s="107" t="s">
        <v>273</v>
      </c>
      <c r="D13" s="235"/>
      <c r="E13" s="108"/>
      <c r="F13" s="116"/>
      <c r="G13" s="107" t="s">
        <v>301</v>
      </c>
      <c r="H13" s="235"/>
      <c r="I13" s="235"/>
      <c r="J13" s="235"/>
      <c r="K13" s="235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5"/>
      <c r="B14" s="116"/>
      <c r="C14" s="107" t="s">
        <v>309</v>
      </c>
      <c r="D14" s="235"/>
      <c r="E14" s="108"/>
      <c r="F14" s="116"/>
      <c r="G14" s="107" t="s">
        <v>294</v>
      </c>
      <c r="H14" s="235"/>
      <c r="I14" s="235"/>
      <c r="J14" s="235"/>
      <c r="K14" s="235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abSelected="1" zoomScale="90" zoomScaleNormal="90" workbookViewId="0">
      <selection activeCell="I6" sqref="I6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16" t="s">
        <v>271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8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0"/>
      <c r="J3" s="230"/>
      <c r="K3" s="230"/>
      <c r="L3" s="230"/>
      <c r="M3" s="230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0"/>
      <c r="J4" s="230"/>
      <c r="K4" s="230"/>
      <c r="L4" s="230"/>
      <c r="M4" s="230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Chêne sessile</v>
      </c>
      <c r="B6" s="155">
        <f>'Données projet'!D9</f>
        <v>1.2664799999999998</v>
      </c>
      <c r="C6" s="156">
        <f ca="1">IF(OR('Données projet'!B9="",'Données projet'!C9="",'Données projet'!C9=0%),0,Calculateur!S3)</f>
        <v>509.56241660612449</v>
      </c>
      <c r="D6" s="156">
        <f>IF(OR('Données projet'!B9="",'Données projet'!C9="",'Données projet'!C9=0%),0,Calculateur!T3)</f>
        <v>278.21741231699929</v>
      </c>
      <c r="E6" s="156">
        <f ca="1">MIN(C6,D6)</f>
        <v>278.21741231699929</v>
      </c>
      <c r="F6" s="156">
        <f ca="1">E6*B6</f>
        <v>352.35678835123321</v>
      </c>
      <c r="G6" s="156">
        <f ca="1">F6*(100%-'Données projet'!$C$24)*(100%-'Données projet'!$C$25)*(100%-'Données projet'!$C$26)*(100%-'Données projet'!$C$27)</f>
        <v>317.12110951610987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10.765079999999999</v>
      </c>
      <c r="K6" s="160">
        <f>J6*(100%-'Données projet'!$C$24)*(100%-'Données projet'!$C$25)*(100%-'Données projet'!$C$26)*(100%-'Données projet'!$C$27)</f>
        <v>9.6885719999999989</v>
      </c>
      <c r="L6" s="161">
        <f ca="1">G6+I6+K6</f>
        <v>326.80968151610989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>Chêne pubescent</v>
      </c>
      <c r="B7" s="163">
        <f>'Données projet'!D10</f>
        <v>0.94986000000000004</v>
      </c>
      <c r="C7" s="156">
        <f ca="1">IF(OR('Données projet'!B10="",'Données projet'!C10="",'Données projet'!C10=0%),0,Calculateur!AN3)</f>
        <v>565.72091871734051</v>
      </c>
      <c r="D7" s="156">
        <f>IF(OR('Données projet'!B10="",'Données projet'!C10="",'Données projet'!C10=0%),0,Calculateur!AO3)</f>
        <v>306.61893266146666</v>
      </c>
      <c r="E7" s="156">
        <f t="shared" ref="E7:E15" ca="1" si="0">MIN(C7,D7)</f>
        <v>306.61893266146666</v>
      </c>
      <c r="F7" s="156">
        <f t="shared" ref="F7:F15" ca="1" si="1">E7*B7</f>
        <v>291.24505937782072</v>
      </c>
      <c r="G7" s="156">
        <f ca="1">F7*(100%-'Données projet'!$C$24)*(100%-'Données projet'!$C$25)*(100%-'Données projet'!$C$26)*(100%-'Données projet'!$C$27)</f>
        <v>262.12055344003863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8.0738099999999999</v>
      </c>
      <c r="K7" s="160">
        <f>J7*(100%-'Données projet'!$C$24)*(100%-'Données projet'!$C$25)*(100%-'Données projet'!$C$26)*(100%-'Données projet'!$C$27)</f>
        <v>7.2664290000000005</v>
      </c>
      <c r="L7" s="161">
        <f t="shared" ref="L7:L15" ca="1" si="2">G7+I7+K7</f>
        <v>269.38698244003865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>Châtaignier</v>
      </c>
      <c r="B8" s="163">
        <f>'Données projet'!D11</f>
        <v>0.31661999999999996</v>
      </c>
      <c r="C8" s="156">
        <f ca="1">IF(OR('Données projet'!B11="",'Données projet'!C11="",'Données projet'!C11=0%),0,Calculateur!BI3)</f>
        <v>344.26020118887629</v>
      </c>
      <c r="D8" s="156">
        <f>IF(OR('Données projet'!B11="",'Données projet'!C11="",'Données projet'!C11=0%),0,Calculateur!BJ3)</f>
        <v>376.41441893222185</v>
      </c>
      <c r="E8" s="156">
        <f t="shared" ca="1" si="0"/>
        <v>344.26020118887629</v>
      </c>
      <c r="F8" s="156">
        <f t="shared" ca="1" si="1"/>
        <v>108.999664900422</v>
      </c>
      <c r="G8" s="156">
        <f ca="1">F8*(100%-'Données projet'!$C$24)*(100%-'Données projet'!$C$25)*(100%-'Données projet'!$C$26)*(100%-'Données projet'!$C$27)</f>
        <v>98.099698410379801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10.804657499999999</v>
      </c>
      <c r="K8" s="160">
        <f>J8*(100%-'Données projet'!$C$24)*(100%-'Données projet'!$C$25)*(100%-'Données projet'!$C$26)*(100%-'Données projet'!$C$27)</f>
        <v>9.7241917499999992</v>
      </c>
      <c r="L8" s="161">
        <f t="shared" ca="1" si="2"/>
        <v>107.8238901603798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>Chêne pédonculé</v>
      </c>
      <c r="B9" s="163">
        <f>'Données projet'!D12</f>
        <v>0.24626000000000001</v>
      </c>
      <c r="C9" s="156">
        <f ca="1">IF(OR('Données projet'!B12="",'Données projet'!C12="",'Données projet'!C12=0%),0,Calculateur!CD3)</f>
        <v>477.4105367901771</v>
      </c>
      <c r="D9" s="156">
        <f>IF(OR('Données projet'!B12="",'Données projet'!C12="",'Données projet'!C12=0%),0,Calculateur!CE3)</f>
        <v>261.95434270986397</v>
      </c>
      <c r="E9" s="156">
        <f t="shared" ca="1" si="0"/>
        <v>261.95434270986397</v>
      </c>
      <c r="F9" s="156">
        <f t="shared" ca="1" si="1"/>
        <v>64.508876435731096</v>
      </c>
      <c r="G9" s="156">
        <f ca="1">F9*(100%-'Données projet'!$C$24)*(100%-'Données projet'!$C$25)*(100%-'Données projet'!$C$26)*(100%-'Données projet'!$C$27)</f>
        <v>58.057988792157985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2.09321</v>
      </c>
      <c r="K9" s="160">
        <f>J9*(100%-'Données projet'!$C$24)*(100%-'Données projet'!$C$25)*(100%-'Données projet'!$C$26)*(100%-'Données projet'!$C$27)</f>
        <v>1.8838890000000001</v>
      </c>
      <c r="L9" s="161">
        <f t="shared" ca="1" si="2"/>
        <v>59.941877792157989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>Cèdre de l'Atlas</v>
      </c>
      <c r="B10" s="163">
        <f>'Données projet'!D13</f>
        <v>0.1759</v>
      </c>
      <c r="C10" s="156">
        <f ca="1">IF(OR('Données projet'!B13="",'Données projet'!C13="",'Données projet'!C13=0%),0,Calculateur!CY3)</f>
        <v>246.64907095367749</v>
      </c>
      <c r="D10" s="156">
        <f>IF(OR('Données projet'!B13="",'Données projet'!C13="",'Données projet'!C13=0%),0,Calculateur!CZ3)</f>
        <v>145.34368562171613</v>
      </c>
      <c r="E10" s="156">
        <f t="shared" ca="1" si="0"/>
        <v>145.34368562171613</v>
      </c>
      <c r="F10" s="156">
        <f t="shared" ca="1" si="1"/>
        <v>25.565954300859868</v>
      </c>
      <c r="G10" s="156">
        <f ca="1">F10*(100%-'Données projet'!$C$24)*(100%-'Données projet'!$C$25)*(100%-'Données projet'!$C$26)*(100%-'Données projet'!$C$27)</f>
        <v>23.00935887077388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ca="1" si="2"/>
        <v>23.00935887077388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>Erable sycomore</v>
      </c>
      <c r="B11" s="163">
        <f>'Données projet'!D14</f>
        <v>0.14071999999999998</v>
      </c>
      <c r="C11" s="156">
        <f ca="1">IF(OR('Données projet'!B14="",'Données projet'!C14="",'Données projet'!C14=0%),0,Calculateur!DT3)</f>
        <v>370.38521334472284</v>
      </c>
      <c r="D11" s="156">
        <f>IF(OR('Données projet'!B14="",'Données projet'!C14="",'Données projet'!C14=0%),0,Calculateur!DU3)</f>
        <v>404.61777090709171</v>
      </c>
      <c r="E11" s="156">
        <f t="shared" ca="1" si="0"/>
        <v>370.38521334472284</v>
      </c>
      <c r="F11" s="156">
        <f t="shared" ca="1" si="1"/>
        <v>52.120607221869392</v>
      </c>
      <c r="G11" s="156">
        <f ca="1">F11*(100%-'Données projet'!$C$24)*(100%-'Données projet'!$C$25)*(100%-'Données projet'!$C$26)*(100%-'Données projet'!$C$27)</f>
        <v>46.908546499682451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4.8020699999999996</v>
      </c>
      <c r="K11" s="160">
        <f>J11*(100%-'Données projet'!$C$24)*(100%-'Données projet'!$C$25)*(100%-'Données projet'!$C$26)*(100%-'Données projet'!$C$27)</f>
        <v>4.3218629999999996</v>
      </c>
      <c r="L11" s="161">
        <f t="shared" ca="1" si="2"/>
        <v>51.230409499682452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>Hêtre</v>
      </c>
      <c r="B12" s="163">
        <f>'Données projet'!D15</f>
        <v>0.10553999999999999</v>
      </c>
      <c r="C12" s="156">
        <f ca="1">IF(OR('Données projet'!B15="",'Données projet'!C15="",'Données projet'!C15=0%),0,Calculateur!EO3)</f>
        <v>445.81166342116865</v>
      </c>
      <c r="D12" s="156">
        <f>IF(OR('Données projet'!B15="",'Données projet'!C15="",'Données projet'!C15=0%),0,Calculateur!EP3)</f>
        <v>230.82970731138215</v>
      </c>
      <c r="E12" s="156">
        <f t="shared" ca="1" si="0"/>
        <v>230.82970731138215</v>
      </c>
      <c r="F12" s="156">
        <f t="shared" ca="1" si="1"/>
        <v>24.36176730964327</v>
      </c>
      <c r="G12" s="156">
        <f ca="1">F12*(100%-'Données projet'!$C$24)*(100%-'Données projet'!$C$25)*(100%-'Données projet'!$C$26)*(100%-'Données projet'!$C$27)</f>
        <v>21.925590578678943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0.65962500000000002</v>
      </c>
      <c r="K12" s="160">
        <f>J12*(100%-'Données projet'!$C$24)*(100%-'Données projet'!$C$25)*(100%-'Données projet'!$C$26)*(100%-'Données projet'!$C$27)</f>
        <v>0.59366249999999998</v>
      </c>
      <c r="L12" s="161">
        <f t="shared" ca="1" si="2"/>
        <v>22.519253078678943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>Alisier torminal</v>
      </c>
      <c r="B13" s="163">
        <f>'Données projet'!D16</f>
        <v>0.10553999999999999</v>
      </c>
      <c r="C13" s="156">
        <f ca="1">IF(OR('Données projet'!B16="",'Données projet'!C16="",'Données projet'!C16=0%),0,Calculateur!FJ3)</f>
        <v>541.66888676162716</v>
      </c>
      <c r="D13" s="156">
        <f>IF(OR('Données projet'!B16="",'Données projet'!C16="",'Données projet'!C16=0%),0,Calculateur!FK3)</f>
        <v>294.45557293177131</v>
      </c>
      <c r="E13" s="156">
        <f t="shared" ca="1" si="0"/>
        <v>294.45557293177131</v>
      </c>
      <c r="F13" s="156">
        <f t="shared" ca="1" si="1"/>
        <v>31.076841167219143</v>
      </c>
      <c r="G13" s="156">
        <f ca="1">F13*(100%-'Données projet'!$C$24)*(100%-'Données projet'!$C$25)*(100%-'Données projet'!$C$26)*(100%-'Données projet'!$C$27)</f>
        <v>27.96915705049723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0.89708999999999994</v>
      </c>
      <c r="K13" s="160">
        <f>J13*(100%-'Données projet'!$C$24)*(100%-'Données projet'!$C$25)*(100%-'Données projet'!$C$26)*(100%-'Données projet'!$C$27)</f>
        <v>0.80738100000000002</v>
      </c>
      <c r="L13" s="161">
        <f t="shared" ca="1" si="2"/>
        <v>28.77653805049723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>Merisier</v>
      </c>
      <c r="B14" s="163">
        <f>'Données projet'!D17</f>
        <v>7.0359999999999992E-2</v>
      </c>
      <c r="C14" s="156">
        <f ca="1">IF(OR('Données projet'!B17="",'Données projet'!C17="",'Données projet'!C17=0%),0,Calculateur!GE3)</f>
        <v>292.57482726862594</v>
      </c>
      <c r="D14" s="156">
        <f>IF(OR('Données projet'!B17="",'Données projet'!C17="",'Données projet'!C17=0%),0,Calculateur!GF3)</f>
        <v>283.48738729114024</v>
      </c>
      <c r="E14" s="156">
        <f t="shared" ca="1" si="0"/>
        <v>283.48738729114024</v>
      </c>
      <c r="F14" s="156">
        <f t="shared" ca="1" si="1"/>
        <v>19.946172569804624</v>
      </c>
      <c r="G14" s="156">
        <f ca="1">F14*(100%-'Données projet'!$C$24)*(100%-'Données projet'!$C$25)*(100%-'Données projet'!$C$26)*(100%-'Données projet'!$C$27)</f>
        <v>17.951555312824162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0.96744999999999992</v>
      </c>
      <c r="K14" s="160">
        <f>J14*(100%-'Données projet'!$C$24)*(100%-'Données projet'!$C$25)*(100%-'Données projet'!$C$26)*(100%-'Données projet'!$C$27)</f>
        <v>0.87070499999999995</v>
      </c>
      <c r="L14" s="161">
        <f t="shared" ca="1" si="2"/>
        <v>18.822260312824163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>Tilleul</v>
      </c>
      <c r="B15" s="166">
        <f>'Données projet'!D18</f>
        <v>3.5179999999999996E-2</v>
      </c>
      <c r="C15" s="167">
        <f ca="1">IF(OR('Données projet'!B18="",'Données projet'!C18="",'Données projet'!C18=0%),0,Calculateur!GZ3)</f>
        <v>410.20186800287411</v>
      </c>
      <c r="D15" s="167">
        <f>IF(OR('Données projet'!B18="",'Données projet'!C18="",'Données projet'!C18=0%),0,Calculateur!HA3)</f>
        <v>321.99347958016057</v>
      </c>
      <c r="E15" s="167">
        <f t="shared" ca="1" si="0"/>
        <v>321.99347958016057</v>
      </c>
      <c r="F15" s="168">
        <f t="shared" ca="1" si="1"/>
        <v>11.327730611630047</v>
      </c>
      <c r="G15" s="168">
        <f ca="1">F15*(100%-'Données projet'!$C$24)*(100%-'Données projet'!$C$25)*(100%-'Données projet'!$C$26)*(100%-'Données projet'!$C$27)</f>
        <v>10.194957550467043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0.62579807692307687</v>
      </c>
      <c r="K15" s="172">
        <f>J15*(100%-'Données projet'!$C$24)*(100%-'Données projet'!$C$25)*(100%-'Données projet'!$C$26)*(100%-'Données projet'!$C$27)</f>
        <v>0.56321826923076923</v>
      </c>
      <c r="L15" s="173">
        <f t="shared" ca="1" si="2"/>
        <v>10.758175819697811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5"/>
      <c r="B16" s="232"/>
      <c r="C16" s="233"/>
      <c r="D16" s="25"/>
      <c r="E16" s="25"/>
      <c r="F16" s="174">
        <f t="shared" ref="F16:L16" ca="1" si="3">SUM(F6:F15)</f>
        <v>981.50946224623328</v>
      </c>
      <c r="G16" s="175">
        <f t="shared" ca="1" si="3"/>
        <v>883.35851602160994</v>
      </c>
      <c r="H16" s="176">
        <f t="shared" si="3"/>
        <v>0</v>
      </c>
      <c r="I16" s="176">
        <f t="shared" si="3"/>
        <v>0</v>
      </c>
      <c r="J16" s="177">
        <f t="shared" si="3"/>
        <v>39.688790576923068</v>
      </c>
      <c r="K16" s="177">
        <f t="shared" si="3"/>
        <v>35.719911519230763</v>
      </c>
      <c r="L16" s="178">
        <f t="shared" ca="1" si="3"/>
        <v>919.07842754084095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5"/>
      <c r="B17" s="232"/>
      <c r="C17" s="233"/>
      <c r="D17" s="230"/>
      <c r="E17" s="230"/>
      <c r="F17" s="319" t="s">
        <v>246</v>
      </c>
      <c r="G17" s="320"/>
      <c r="H17" s="320"/>
      <c r="I17" s="320"/>
      <c r="J17" s="320"/>
      <c r="K17" s="320"/>
      <c r="L17" s="320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5"/>
      <c r="B18" s="232"/>
      <c r="C18" s="233"/>
      <c r="D18" s="230"/>
      <c r="E18" s="230"/>
      <c r="F18" s="321"/>
      <c r="G18" s="321"/>
      <c r="H18" s="321"/>
      <c r="I18" s="321"/>
      <c r="J18" s="321"/>
      <c r="K18" s="321"/>
      <c r="L18" s="321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0"/>
      <c r="J19" s="230"/>
      <c r="K19" s="230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0"/>
      <c r="J20" s="230"/>
      <c r="K20" s="230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Chêne sessile</v>
      </c>
      <c r="B21" s="5"/>
      <c r="C21" s="5"/>
      <c r="D21" s="5"/>
      <c r="E21" s="5"/>
      <c r="F21" s="5"/>
      <c r="G21" s="5"/>
      <c r="H21" s="5"/>
      <c r="I21" s="230"/>
      <c r="J21" s="230"/>
      <c r="K21" s="230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0"/>
      <c r="J22" s="230"/>
      <c r="K22" s="230"/>
      <c r="L22" s="230"/>
      <c r="M22" s="230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0"/>
      <c r="J23" s="230"/>
      <c r="K23" s="230"/>
      <c r="L23" s="230"/>
      <c r="M23" s="230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0"/>
      <c r="J24" s="230"/>
      <c r="K24" s="230"/>
      <c r="L24" s="230"/>
      <c r="M24" s="230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0"/>
      <c r="J25" s="230"/>
      <c r="K25" s="230"/>
      <c r="L25" s="230"/>
      <c r="M25" s="230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0"/>
      <c r="J26" s="230"/>
      <c r="K26" s="230"/>
      <c r="L26" s="230"/>
      <c r="M26" s="230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0"/>
      <c r="J27" s="230"/>
      <c r="K27" s="230"/>
      <c r="L27" s="230"/>
      <c r="M27" s="230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0"/>
      <c r="J28" s="230"/>
      <c r="K28" s="230"/>
      <c r="L28" s="230"/>
      <c r="M28" s="230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0"/>
      <c r="J29" s="230"/>
      <c r="K29" s="230"/>
      <c r="L29" s="230"/>
      <c r="M29" s="230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0"/>
      <c r="J30" s="230"/>
      <c r="K30" s="230"/>
      <c r="L30" s="230"/>
      <c r="M30" s="230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0"/>
      <c r="J31" s="230"/>
      <c r="K31" s="230"/>
      <c r="L31" s="230"/>
      <c r="M31" s="230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0"/>
      <c r="J32" s="230"/>
      <c r="K32" s="230"/>
      <c r="L32" s="230"/>
      <c r="M32" s="230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0"/>
      <c r="J33" s="230"/>
      <c r="K33" s="230"/>
      <c r="L33" s="230"/>
      <c r="M33" s="230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0"/>
      <c r="J34" s="230"/>
      <c r="K34" s="230"/>
      <c r="L34" s="230"/>
      <c r="M34" s="230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0"/>
      <c r="J35" s="230"/>
      <c r="K35" s="230"/>
      <c r="L35" s="230"/>
      <c r="M35" s="230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0"/>
      <c r="J36" s="230"/>
      <c r="K36" s="230"/>
      <c r="L36" s="230"/>
      <c r="M36" s="230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0"/>
      <c r="J37" s="230"/>
      <c r="K37" s="230"/>
      <c r="L37" s="230"/>
      <c r="M37" s="230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0"/>
      <c r="J38" s="230"/>
      <c r="K38" s="230"/>
      <c r="L38" s="230"/>
      <c r="M38" s="230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>Chêne pubescent</v>
      </c>
      <c r="B39" s="5"/>
      <c r="C39" s="5"/>
      <c r="D39" s="5"/>
      <c r="E39" s="5"/>
      <c r="F39" s="5"/>
      <c r="G39" s="5"/>
      <c r="H39" s="5"/>
      <c r="I39" s="230"/>
      <c r="J39" s="230"/>
      <c r="K39" s="230"/>
      <c r="L39" s="230"/>
      <c r="M39" s="230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0"/>
      <c r="J40" s="230"/>
      <c r="K40" s="230"/>
      <c r="L40" s="230"/>
      <c r="M40" s="230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0"/>
      <c r="J41" s="230"/>
      <c r="K41" s="230"/>
      <c r="L41" s="230"/>
      <c r="M41" s="230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0"/>
      <c r="J42" s="230"/>
      <c r="K42" s="230"/>
      <c r="L42" s="230"/>
      <c r="M42" s="230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0"/>
      <c r="J43" s="230"/>
      <c r="K43" s="230"/>
      <c r="L43" s="230"/>
      <c r="M43" s="230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0"/>
      <c r="J44" s="230"/>
      <c r="K44" s="230"/>
      <c r="L44" s="230"/>
      <c r="M44" s="230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0"/>
      <c r="J45" s="230"/>
      <c r="K45" s="230"/>
      <c r="L45" s="230"/>
      <c r="M45" s="230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0"/>
      <c r="J46" s="230"/>
      <c r="K46" s="230"/>
      <c r="L46" s="230"/>
      <c r="M46" s="230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0"/>
      <c r="J47" s="230"/>
      <c r="K47" s="230"/>
      <c r="L47" s="230"/>
      <c r="M47" s="230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0"/>
      <c r="J48" s="230"/>
      <c r="K48" s="230"/>
      <c r="L48" s="230"/>
      <c r="M48" s="230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0"/>
      <c r="J49" s="230"/>
      <c r="K49" s="230"/>
      <c r="L49" s="230"/>
      <c r="M49" s="230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0"/>
      <c r="J50" s="230"/>
      <c r="K50" s="230"/>
      <c r="L50" s="230"/>
      <c r="M50" s="230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0"/>
      <c r="J51" s="230"/>
      <c r="K51" s="230"/>
      <c r="L51" s="230"/>
      <c r="M51" s="230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0"/>
      <c r="J52" s="230"/>
      <c r="K52" s="230"/>
      <c r="L52" s="230"/>
      <c r="M52" s="230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0"/>
      <c r="J53" s="230"/>
      <c r="K53" s="230"/>
      <c r="L53" s="230"/>
      <c r="M53" s="230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0"/>
      <c r="J54" s="230"/>
      <c r="K54" s="230"/>
      <c r="L54" s="230"/>
      <c r="M54" s="230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0"/>
      <c r="J55" s="230"/>
      <c r="K55" s="230"/>
      <c r="L55" s="230"/>
      <c r="M55" s="230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0"/>
      <c r="J56" s="230"/>
      <c r="K56" s="230"/>
      <c r="L56" s="230"/>
      <c r="M56" s="230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>Châtaignier</v>
      </c>
      <c r="B57" s="5"/>
      <c r="C57" s="5"/>
      <c r="D57" s="5"/>
      <c r="E57" s="5"/>
      <c r="F57" s="5"/>
      <c r="G57" s="5"/>
      <c r="H57" s="5"/>
      <c r="I57" s="230"/>
      <c r="J57" s="230"/>
      <c r="K57" s="230"/>
      <c r="L57" s="230"/>
      <c r="M57" s="230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0"/>
      <c r="J58" s="230"/>
      <c r="K58" s="230"/>
      <c r="L58" s="230"/>
      <c r="M58" s="230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0"/>
      <c r="J59" s="230"/>
      <c r="K59" s="230"/>
      <c r="L59" s="230"/>
      <c r="M59" s="230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0"/>
      <c r="J60" s="230"/>
      <c r="K60" s="230"/>
      <c r="L60" s="230"/>
      <c r="M60" s="230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0"/>
      <c r="J61" s="230"/>
      <c r="K61" s="230"/>
      <c r="L61" s="230"/>
      <c r="M61" s="230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0"/>
      <c r="J62" s="230"/>
      <c r="K62" s="230"/>
      <c r="L62" s="230"/>
      <c r="M62" s="230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0"/>
      <c r="J63" s="230"/>
      <c r="K63" s="230"/>
      <c r="L63" s="230"/>
      <c r="M63" s="230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0"/>
      <c r="J64" s="230"/>
      <c r="K64" s="230"/>
      <c r="L64" s="230"/>
      <c r="M64" s="230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0"/>
      <c r="J65" s="230"/>
      <c r="K65" s="230"/>
      <c r="L65" s="230"/>
      <c r="M65" s="230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0"/>
      <c r="J66" s="230"/>
      <c r="K66" s="230"/>
      <c r="L66" s="230"/>
      <c r="M66" s="230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0"/>
      <c r="J67" s="230"/>
      <c r="K67" s="230"/>
      <c r="L67" s="230"/>
      <c r="M67" s="230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0"/>
      <c r="J68" s="230"/>
      <c r="K68" s="230"/>
      <c r="L68" s="230"/>
      <c r="M68" s="230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0"/>
      <c r="J69" s="230"/>
      <c r="K69" s="230"/>
      <c r="L69" s="230"/>
      <c r="M69" s="230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0"/>
      <c r="J70" s="230"/>
      <c r="K70" s="230"/>
      <c r="L70" s="230"/>
      <c r="M70" s="230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0"/>
      <c r="J71" s="230"/>
      <c r="K71" s="230"/>
      <c r="L71" s="230"/>
      <c r="M71" s="230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0"/>
      <c r="J72" s="230"/>
      <c r="K72" s="230"/>
      <c r="L72" s="230"/>
      <c r="M72" s="230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0"/>
      <c r="J73" s="230"/>
      <c r="K73" s="230"/>
      <c r="L73" s="230"/>
      <c r="M73" s="230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0"/>
      <c r="J74" s="230"/>
      <c r="K74" s="230"/>
      <c r="L74" s="230"/>
      <c r="M74" s="230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0"/>
      <c r="J75" s="230"/>
      <c r="K75" s="230"/>
      <c r="L75" s="230"/>
      <c r="M75" s="230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>Chêne pédonculé</v>
      </c>
      <c r="B76" s="5"/>
      <c r="C76" s="5"/>
      <c r="D76" s="5"/>
      <c r="E76" s="5"/>
      <c r="F76" s="5"/>
      <c r="G76" s="5"/>
      <c r="H76" s="5"/>
      <c r="I76" s="230"/>
      <c r="J76" s="230"/>
      <c r="K76" s="230"/>
      <c r="L76" s="230"/>
      <c r="M76" s="230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0"/>
      <c r="J77" s="230"/>
      <c r="K77" s="230"/>
      <c r="L77" s="230"/>
      <c r="M77" s="230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0"/>
      <c r="J78" s="230"/>
      <c r="K78" s="230"/>
      <c r="L78" s="230"/>
      <c r="M78" s="230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0"/>
      <c r="J79" s="230"/>
      <c r="K79" s="230"/>
      <c r="L79" s="230"/>
      <c r="M79" s="230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0"/>
      <c r="J80" s="230"/>
      <c r="K80" s="230"/>
      <c r="L80" s="230"/>
      <c r="M80" s="230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0"/>
      <c r="J81" s="230"/>
      <c r="K81" s="230"/>
      <c r="L81" s="230"/>
      <c r="M81" s="230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0"/>
      <c r="J82" s="230"/>
      <c r="K82" s="230"/>
      <c r="L82" s="230"/>
      <c r="M82" s="230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0"/>
      <c r="J83" s="230"/>
      <c r="K83" s="230"/>
      <c r="L83" s="230"/>
      <c r="M83" s="230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0"/>
      <c r="J84" s="230"/>
      <c r="K84" s="230"/>
      <c r="L84" s="230"/>
      <c r="M84" s="230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0"/>
      <c r="J85" s="230"/>
      <c r="K85" s="230"/>
      <c r="L85" s="230"/>
      <c r="M85" s="230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0"/>
      <c r="J86" s="230"/>
      <c r="K86" s="230"/>
      <c r="L86" s="230"/>
      <c r="M86" s="230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0"/>
      <c r="J87" s="230"/>
      <c r="K87" s="230"/>
      <c r="L87" s="230"/>
      <c r="M87" s="230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0"/>
      <c r="J88" s="230"/>
      <c r="K88" s="230"/>
      <c r="L88" s="230"/>
      <c r="M88" s="230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0"/>
      <c r="J89" s="230"/>
      <c r="K89" s="230"/>
      <c r="L89" s="230"/>
      <c r="M89" s="230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0"/>
      <c r="J90" s="230"/>
      <c r="K90" s="230"/>
      <c r="L90" s="230"/>
      <c r="M90" s="230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0"/>
      <c r="J91" s="230"/>
      <c r="K91" s="230"/>
      <c r="L91" s="230"/>
      <c r="M91" s="230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0"/>
      <c r="J92" s="230"/>
      <c r="K92" s="230"/>
      <c r="L92" s="230"/>
      <c r="M92" s="230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0"/>
      <c r="J93" s="230"/>
      <c r="K93" s="230"/>
      <c r="L93" s="230"/>
      <c r="M93" s="230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>Cèdre de l'Atlas</v>
      </c>
      <c r="B94" s="5"/>
      <c r="C94" s="5"/>
      <c r="D94" s="5"/>
      <c r="E94" s="5"/>
      <c r="F94" s="5"/>
      <c r="G94" s="5"/>
      <c r="H94" s="5"/>
      <c r="I94" s="230"/>
      <c r="J94" s="230"/>
      <c r="K94" s="230"/>
      <c r="L94" s="230"/>
      <c r="M94" s="230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0"/>
      <c r="J95" s="230"/>
      <c r="K95" s="230"/>
      <c r="L95" s="230"/>
      <c r="M95" s="230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0"/>
      <c r="J96" s="230"/>
      <c r="K96" s="230"/>
      <c r="L96" s="230"/>
      <c r="M96" s="230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0"/>
      <c r="J97" s="230"/>
      <c r="K97" s="230"/>
      <c r="L97" s="230"/>
      <c r="M97" s="230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0"/>
      <c r="J98" s="230"/>
      <c r="K98" s="230"/>
      <c r="L98" s="230"/>
      <c r="M98" s="230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0"/>
      <c r="J99" s="230"/>
      <c r="K99" s="230"/>
      <c r="L99" s="230"/>
      <c r="M99" s="230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0"/>
      <c r="J100" s="230"/>
      <c r="K100" s="230"/>
      <c r="L100" s="230"/>
      <c r="M100" s="230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0"/>
      <c r="J101" s="230"/>
      <c r="K101" s="230"/>
      <c r="L101" s="230"/>
      <c r="M101" s="230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0"/>
      <c r="J102" s="230"/>
      <c r="K102" s="230"/>
      <c r="L102" s="230"/>
      <c r="M102" s="230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0"/>
      <c r="J103" s="230"/>
      <c r="K103" s="230"/>
      <c r="L103" s="230"/>
      <c r="M103" s="230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0"/>
      <c r="J104" s="230"/>
      <c r="K104" s="230"/>
      <c r="L104" s="230"/>
      <c r="M104" s="230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0"/>
      <c r="J105" s="230"/>
      <c r="K105" s="230"/>
      <c r="L105" s="230"/>
      <c r="M105" s="230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0"/>
      <c r="J106" s="230"/>
      <c r="K106" s="230"/>
      <c r="L106" s="230"/>
      <c r="M106" s="230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0"/>
      <c r="J107" s="230"/>
      <c r="K107" s="230"/>
      <c r="L107" s="230"/>
      <c r="M107" s="230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0"/>
      <c r="J108" s="230"/>
      <c r="K108" s="230"/>
      <c r="L108" s="230"/>
      <c r="M108" s="230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0"/>
      <c r="J109" s="230"/>
      <c r="K109" s="230"/>
      <c r="L109" s="230"/>
      <c r="M109" s="230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0"/>
      <c r="J110" s="230"/>
      <c r="K110" s="230"/>
      <c r="L110" s="230"/>
      <c r="M110" s="230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0"/>
      <c r="J111" s="230"/>
      <c r="K111" s="230"/>
      <c r="L111" s="230"/>
      <c r="M111" s="230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>Erable sycomore</v>
      </c>
      <c r="B112" s="5"/>
      <c r="C112" s="5"/>
      <c r="D112" s="5"/>
      <c r="E112" s="5"/>
      <c r="F112" s="5"/>
      <c r="G112" s="5"/>
      <c r="H112" s="5"/>
      <c r="I112" s="230"/>
      <c r="J112" s="230"/>
      <c r="K112" s="230"/>
      <c r="L112" s="230"/>
      <c r="M112" s="230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0"/>
      <c r="J113" s="230"/>
      <c r="K113" s="230"/>
      <c r="L113" s="230"/>
      <c r="M113" s="230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0"/>
      <c r="J114" s="230"/>
      <c r="K114" s="230"/>
      <c r="L114" s="230"/>
      <c r="M114" s="230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0"/>
      <c r="J115" s="230"/>
      <c r="K115" s="230"/>
      <c r="L115" s="230"/>
      <c r="M115" s="230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0"/>
      <c r="J116" s="230"/>
      <c r="K116" s="230"/>
      <c r="L116" s="230"/>
      <c r="M116" s="230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0"/>
      <c r="J117" s="230"/>
      <c r="K117" s="230"/>
      <c r="L117" s="230"/>
      <c r="M117" s="230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0"/>
      <c r="J118" s="230"/>
      <c r="K118" s="230"/>
      <c r="L118" s="230"/>
      <c r="M118" s="230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0"/>
      <c r="J119" s="230"/>
      <c r="K119" s="230"/>
      <c r="L119" s="230"/>
      <c r="M119" s="230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0"/>
      <c r="J120" s="230"/>
      <c r="K120" s="230"/>
      <c r="L120" s="230"/>
      <c r="M120" s="230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0"/>
      <c r="J121" s="230"/>
      <c r="K121" s="230"/>
      <c r="L121" s="230"/>
      <c r="M121" s="230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0"/>
      <c r="J122" s="230"/>
      <c r="K122" s="230"/>
      <c r="L122" s="230"/>
      <c r="M122" s="230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0"/>
      <c r="J123" s="230"/>
      <c r="K123" s="230"/>
      <c r="L123" s="230"/>
      <c r="M123" s="230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0"/>
      <c r="J124" s="230"/>
      <c r="K124" s="230"/>
      <c r="L124" s="230"/>
      <c r="M124" s="230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0"/>
      <c r="J125" s="230"/>
      <c r="K125" s="230"/>
      <c r="L125" s="230"/>
      <c r="M125" s="230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0"/>
      <c r="J126" s="230"/>
      <c r="K126" s="230"/>
      <c r="L126" s="230"/>
      <c r="M126" s="230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0"/>
      <c r="J127" s="230"/>
      <c r="K127" s="230"/>
      <c r="L127" s="230"/>
      <c r="M127" s="230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0"/>
      <c r="J128" s="230"/>
      <c r="K128" s="230"/>
      <c r="L128" s="230"/>
      <c r="M128" s="230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0"/>
      <c r="J129" s="230"/>
      <c r="K129" s="230"/>
      <c r="L129" s="230"/>
      <c r="M129" s="230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>Hêtre</v>
      </c>
      <c r="B130" s="5"/>
      <c r="C130" s="5"/>
      <c r="D130" s="5"/>
      <c r="E130" s="5"/>
      <c r="F130" s="5"/>
      <c r="G130" s="5"/>
      <c r="H130" s="5"/>
      <c r="I130" s="230"/>
      <c r="J130" s="230"/>
      <c r="K130" s="230"/>
      <c r="L130" s="230"/>
      <c r="M130" s="230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0"/>
      <c r="J131" s="230"/>
      <c r="K131" s="230"/>
      <c r="L131" s="230"/>
      <c r="M131" s="230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0"/>
      <c r="J132" s="230"/>
      <c r="K132" s="230"/>
      <c r="L132" s="230"/>
      <c r="M132" s="230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0"/>
      <c r="J133" s="230"/>
      <c r="K133" s="230"/>
      <c r="L133" s="230"/>
      <c r="M133" s="230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0"/>
      <c r="J134" s="230"/>
      <c r="K134" s="230"/>
      <c r="L134" s="230"/>
      <c r="M134" s="230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0"/>
      <c r="J135" s="230"/>
      <c r="K135" s="230"/>
      <c r="L135" s="230"/>
      <c r="M135" s="230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0"/>
      <c r="J136" s="230"/>
      <c r="K136" s="230"/>
      <c r="L136" s="230"/>
      <c r="M136" s="230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0"/>
      <c r="J137" s="230"/>
      <c r="K137" s="230"/>
      <c r="L137" s="230"/>
      <c r="M137" s="230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0"/>
      <c r="J138" s="230"/>
      <c r="K138" s="230"/>
      <c r="L138" s="230"/>
      <c r="M138" s="230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0"/>
      <c r="J139" s="230"/>
      <c r="K139" s="230"/>
      <c r="L139" s="230"/>
      <c r="M139" s="230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0"/>
      <c r="J140" s="230"/>
      <c r="K140" s="230"/>
      <c r="L140" s="230"/>
      <c r="M140" s="230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0"/>
      <c r="J141" s="230"/>
      <c r="K141" s="230"/>
      <c r="L141" s="230"/>
      <c r="M141" s="230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0"/>
      <c r="J142" s="230"/>
      <c r="K142" s="230"/>
      <c r="L142" s="230"/>
      <c r="M142" s="230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0"/>
      <c r="J143" s="230"/>
      <c r="K143" s="230"/>
      <c r="L143" s="230"/>
      <c r="M143" s="230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0"/>
      <c r="J144" s="230"/>
      <c r="K144" s="230"/>
      <c r="L144" s="230"/>
      <c r="M144" s="230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0"/>
      <c r="J145" s="230"/>
      <c r="K145" s="230"/>
      <c r="L145" s="230"/>
      <c r="M145" s="230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0"/>
      <c r="J146" s="230"/>
      <c r="K146" s="230"/>
      <c r="L146" s="230"/>
      <c r="M146" s="230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0"/>
      <c r="J147" s="230"/>
      <c r="K147" s="230"/>
      <c r="L147" s="230"/>
      <c r="M147" s="230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>Alisier torminal</v>
      </c>
      <c r="B148" s="5"/>
      <c r="C148" s="5"/>
      <c r="D148" s="5"/>
      <c r="E148" s="5"/>
      <c r="F148" s="5"/>
      <c r="G148" s="5"/>
      <c r="H148" s="5"/>
      <c r="I148" s="230"/>
      <c r="J148" s="230"/>
      <c r="K148" s="230"/>
      <c r="L148" s="230"/>
      <c r="M148" s="230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0"/>
      <c r="J149" s="230"/>
      <c r="K149" s="230"/>
      <c r="L149" s="230"/>
      <c r="M149" s="230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0"/>
      <c r="J150" s="230"/>
      <c r="K150" s="230"/>
      <c r="L150" s="230"/>
      <c r="M150" s="230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0"/>
      <c r="J151" s="230"/>
      <c r="K151" s="230"/>
      <c r="L151" s="230"/>
      <c r="M151" s="230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0"/>
      <c r="J152" s="230"/>
      <c r="K152" s="230"/>
      <c r="L152" s="230"/>
      <c r="M152" s="230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0"/>
      <c r="J153" s="230"/>
      <c r="K153" s="230"/>
      <c r="L153" s="230"/>
      <c r="M153" s="230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0"/>
      <c r="J154" s="230"/>
      <c r="K154" s="230"/>
      <c r="L154" s="230"/>
      <c r="M154" s="230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0"/>
      <c r="J155" s="230"/>
      <c r="K155" s="230"/>
      <c r="L155" s="230"/>
      <c r="M155" s="230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0"/>
      <c r="J156" s="230"/>
      <c r="K156" s="230"/>
      <c r="L156" s="230"/>
      <c r="M156" s="230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0"/>
      <c r="J157" s="230"/>
      <c r="K157" s="230"/>
      <c r="L157" s="230"/>
      <c r="M157" s="230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0"/>
      <c r="J158" s="230"/>
      <c r="K158" s="230"/>
      <c r="L158" s="230"/>
      <c r="M158" s="230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0"/>
      <c r="J159" s="230"/>
      <c r="K159" s="230"/>
      <c r="L159" s="230"/>
      <c r="M159" s="230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0"/>
      <c r="J160" s="230"/>
      <c r="K160" s="230"/>
      <c r="L160" s="230"/>
      <c r="M160" s="230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0"/>
      <c r="J161" s="230"/>
      <c r="K161" s="230"/>
      <c r="L161" s="230"/>
      <c r="M161" s="230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0"/>
      <c r="J162" s="230"/>
      <c r="K162" s="230"/>
      <c r="L162" s="230"/>
      <c r="M162" s="230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0"/>
      <c r="J163" s="230"/>
      <c r="K163" s="230"/>
      <c r="L163" s="230"/>
      <c r="M163" s="230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0"/>
      <c r="J164" s="230"/>
      <c r="K164" s="230"/>
      <c r="L164" s="230"/>
      <c r="M164" s="230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0"/>
      <c r="J165" s="230"/>
      <c r="K165" s="230"/>
      <c r="L165" s="230"/>
      <c r="M165" s="230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>Merisier</v>
      </c>
      <c r="B166" s="5"/>
      <c r="C166" s="5"/>
      <c r="D166" s="5"/>
      <c r="E166" s="5"/>
      <c r="F166" s="5"/>
      <c r="G166" s="5"/>
      <c r="H166" s="5"/>
      <c r="I166" s="230"/>
      <c r="J166" s="230"/>
      <c r="K166" s="230"/>
      <c r="L166" s="230"/>
      <c r="M166" s="230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0"/>
      <c r="J167" s="230"/>
      <c r="K167" s="230"/>
      <c r="L167" s="230"/>
      <c r="M167" s="230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0"/>
      <c r="J168" s="230"/>
      <c r="K168" s="230"/>
      <c r="L168" s="230"/>
      <c r="M168" s="230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0"/>
      <c r="J169" s="230"/>
      <c r="K169" s="230"/>
      <c r="L169" s="230"/>
      <c r="M169" s="230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0"/>
      <c r="J170" s="230"/>
      <c r="K170" s="230"/>
      <c r="L170" s="230"/>
      <c r="M170" s="230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0"/>
      <c r="J171" s="230"/>
      <c r="K171" s="230"/>
      <c r="L171" s="230"/>
      <c r="M171" s="230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0"/>
      <c r="J172" s="230"/>
      <c r="K172" s="230"/>
      <c r="L172" s="230"/>
      <c r="M172" s="230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0"/>
      <c r="J173" s="230"/>
      <c r="K173" s="230"/>
      <c r="L173" s="230"/>
      <c r="M173" s="230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0"/>
      <c r="J174" s="230"/>
      <c r="K174" s="230"/>
      <c r="L174" s="230"/>
      <c r="M174" s="230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0"/>
      <c r="J175" s="230"/>
      <c r="K175" s="230"/>
      <c r="L175" s="230"/>
      <c r="M175" s="230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0"/>
      <c r="J176" s="230"/>
      <c r="K176" s="230"/>
      <c r="L176" s="230"/>
      <c r="M176" s="230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0"/>
      <c r="J177" s="230"/>
      <c r="K177" s="230"/>
      <c r="L177" s="230"/>
      <c r="M177" s="230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0"/>
      <c r="J178" s="230"/>
      <c r="K178" s="230"/>
      <c r="L178" s="230"/>
      <c r="M178" s="230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0"/>
      <c r="J179" s="230"/>
      <c r="K179" s="230"/>
      <c r="L179" s="230"/>
      <c r="M179" s="230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0"/>
      <c r="J180" s="230"/>
      <c r="K180" s="230"/>
      <c r="L180" s="230"/>
      <c r="M180" s="230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0"/>
      <c r="J181" s="230"/>
      <c r="K181" s="230"/>
      <c r="L181" s="230"/>
      <c r="M181" s="230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0"/>
      <c r="J182" s="230"/>
      <c r="K182" s="230"/>
      <c r="L182" s="230"/>
      <c r="M182" s="230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0"/>
      <c r="J183" s="230"/>
      <c r="K183" s="230"/>
      <c r="L183" s="230"/>
      <c r="M183" s="230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>Tilleul</v>
      </c>
      <c r="B184" s="5"/>
      <c r="C184" s="5"/>
      <c r="D184" s="5"/>
      <c r="E184" s="5"/>
      <c r="F184" s="5"/>
      <c r="G184" s="5"/>
      <c r="H184" s="5"/>
      <c r="I184" s="230"/>
      <c r="J184" s="230"/>
      <c r="K184" s="230"/>
      <c r="L184" s="230"/>
      <c r="M184" s="230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0"/>
      <c r="J185" s="230"/>
      <c r="K185" s="230"/>
      <c r="L185" s="230"/>
      <c r="M185" s="230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0"/>
      <c r="J186" s="230"/>
      <c r="K186" s="230"/>
      <c r="L186" s="230"/>
      <c r="M186" s="230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0"/>
      <c r="J187" s="230"/>
      <c r="K187" s="230"/>
      <c r="L187" s="230"/>
      <c r="M187" s="230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0"/>
      <c r="J188" s="230"/>
      <c r="K188" s="230"/>
      <c r="L188" s="230"/>
      <c r="M188" s="230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0"/>
      <c r="J189" s="230"/>
      <c r="K189" s="230"/>
      <c r="L189" s="230"/>
      <c r="M189" s="230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0"/>
      <c r="J190" s="230"/>
      <c r="K190" s="230"/>
      <c r="L190" s="230"/>
      <c r="M190" s="230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0"/>
      <c r="J191" s="230"/>
      <c r="K191" s="230"/>
      <c r="L191" s="230"/>
      <c r="M191" s="230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0"/>
      <c r="J192" s="230"/>
      <c r="K192" s="230"/>
      <c r="L192" s="230"/>
      <c r="M192" s="230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0"/>
      <c r="J193" s="230"/>
      <c r="K193" s="230"/>
      <c r="L193" s="230"/>
      <c r="M193" s="230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0"/>
      <c r="J194" s="230"/>
      <c r="K194" s="230"/>
      <c r="L194" s="230"/>
      <c r="M194" s="230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0"/>
      <c r="J195" s="230"/>
      <c r="K195" s="230"/>
      <c r="L195" s="230"/>
      <c r="M195" s="230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0"/>
      <c r="J196" s="230"/>
      <c r="K196" s="230"/>
      <c r="L196" s="230"/>
      <c r="M196" s="230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0"/>
      <c r="J197" s="230"/>
      <c r="K197" s="230"/>
      <c r="L197" s="230"/>
      <c r="M197" s="230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0"/>
      <c r="J198" s="230"/>
      <c r="K198" s="230"/>
      <c r="L198" s="230"/>
      <c r="M198" s="230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0"/>
      <c r="J199" s="230"/>
      <c r="K199" s="230"/>
      <c r="L199" s="230"/>
      <c r="M199" s="230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0"/>
      <c r="J200" s="230"/>
      <c r="K200" s="230"/>
      <c r="L200" s="230"/>
      <c r="M200" s="230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0"/>
      <c r="J201" s="230"/>
      <c r="K201" s="230"/>
      <c r="L201" s="230"/>
      <c r="M201" s="230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0"/>
      <c r="J202" s="230"/>
      <c r="K202" s="230"/>
      <c r="L202" s="230"/>
      <c r="M202" s="230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0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opLeftCell="A4" zoomScale="70" zoomScaleNormal="70" workbookViewId="0">
      <selection activeCell="F26" sqref="F26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16" t="s">
        <v>272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8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25" t="s">
        <v>315</v>
      </c>
      <c r="I4" s="325"/>
      <c r="K4" s="322" t="s">
        <v>253</v>
      </c>
      <c r="L4" s="323"/>
      <c r="M4" s="267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8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4"/>
      <c r="B7" s="275"/>
      <c r="C7" s="275"/>
      <c r="D7" s="275"/>
      <c r="E7" s="276"/>
      <c r="F7" s="276" t="s">
        <v>192</v>
      </c>
      <c r="G7" s="277"/>
      <c r="H7" s="275"/>
      <c r="I7" s="275"/>
      <c r="J7" s="278"/>
      <c r="K7" s="272"/>
      <c r="L7" s="273"/>
      <c r="M7" s="273"/>
      <c r="N7" s="279" t="s">
        <v>191</v>
      </c>
      <c r="O7" s="279"/>
      <c r="P7" s="280"/>
      <c r="Q7" s="281"/>
      <c r="R7" s="333" t="s">
        <v>310</v>
      </c>
      <c r="S7" s="334"/>
      <c r="T7" s="334"/>
      <c r="U7" s="334"/>
      <c r="V7" s="335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0"/>
      <c r="G8" s="220"/>
      <c r="H8" s="5"/>
      <c r="I8" s="5"/>
      <c r="J8" s="213"/>
      <c r="K8" s="224"/>
      <c r="L8" s="25"/>
      <c r="M8" s="25"/>
      <c r="N8" s="25"/>
      <c r="O8" s="25"/>
      <c r="P8" s="25"/>
      <c r="Q8" s="264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59" t="s">
        <v>311</v>
      </c>
      <c r="C9" s="25"/>
      <c r="D9" s="25"/>
      <c r="E9" s="25"/>
      <c r="F9" s="260"/>
      <c r="G9" s="259" t="s">
        <v>314</v>
      </c>
      <c r="J9" s="213"/>
      <c r="K9" s="224"/>
      <c r="O9" s="25"/>
      <c r="P9" s="25"/>
      <c r="Q9" s="264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59" t="s">
        <v>317</v>
      </c>
      <c r="C10" s="25"/>
      <c r="D10" s="25"/>
      <c r="E10" s="25"/>
      <c r="F10" s="260"/>
      <c r="G10" s="259" t="s">
        <v>316</v>
      </c>
      <c r="J10" s="213"/>
      <c r="K10" s="224"/>
      <c r="O10" s="25"/>
      <c r="P10" s="25"/>
      <c r="Q10" s="264"/>
      <c r="R10" s="25"/>
      <c r="S10" s="185" t="str">
        <f>B14</f>
        <v>Chêne sessile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940.00971763606424</v>
      </c>
      <c r="U10" s="190">
        <f>'Données projet'!D9</f>
        <v>1.2664799999999998</v>
      </c>
      <c r="V10" s="189">
        <f>U10*T10</f>
        <v>1190.5035071917225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59" t="s">
        <v>312</v>
      </c>
      <c r="B11" s="25"/>
      <c r="C11" s="25"/>
      <c r="D11" s="25"/>
      <c r="E11" s="25"/>
      <c r="F11" s="260"/>
      <c r="G11" s="259" t="s">
        <v>313</v>
      </c>
      <c r="J11" s="213"/>
      <c r="K11" s="224"/>
      <c r="M11" s="5"/>
      <c r="N11" s="5"/>
      <c r="O11" s="25"/>
      <c r="P11" s="25"/>
      <c r="Q11" s="264"/>
      <c r="R11" s="25"/>
      <c r="S11" s="185" t="str">
        <f>B45</f>
        <v>Chêne pubescent</v>
      </c>
      <c r="T11" s="27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826.88131476556771</v>
      </c>
      <c r="U11" s="190">
        <f>'Données projet'!D10</f>
        <v>0.94986000000000004</v>
      </c>
      <c r="V11" s="189">
        <f t="shared" ref="V11" si="0">U11*T11</f>
        <v>785.42148564322213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0"/>
      <c r="G12" s="1"/>
      <c r="J12" s="213"/>
      <c r="K12" s="224"/>
      <c r="L12" s="216"/>
      <c r="M12" s="25"/>
      <c r="N12" s="25"/>
      <c r="O12" s="25"/>
      <c r="P12" s="25"/>
      <c r="Q12" s="264"/>
      <c r="R12" s="25"/>
      <c r="S12" s="185" t="str">
        <f>B76</f>
        <v>Châtaignier</v>
      </c>
      <c r="T12" s="27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3071.3832134740119</v>
      </c>
      <c r="U12" s="190">
        <f>'Données projet'!D11</f>
        <v>0.31661999999999996</v>
      </c>
      <c r="V12" s="189">
        <f t="shared" ref="V12:V19" si="1">U12*T12</f>
        <v>972.4613530501415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0"/>
      <c r="J13" s="25"/>
      <c r="K13" s="224"/>
      <c r="L13" s="184" t="s">
        <v>257</v>
      </c>
      <c r="M13" s="25"/>
      <c r="N13" s="25"/>
      <c r="O13" s="25"/>
      <c r="P13" s="25"/>
      <c r="Q13" s="264"/>
      <c r="R13" s="25"/>
      <c r="S13" s="185" t="str">
        <f>B107</f>
        <v>Chêne pédonculé</v>
      </c>
      <c r="T13" s="27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940.00971763606424</v>
      </c>
      <c r="U13" s="190">
        <f>'Données projet'!D12</f>
        <v>0.24626000000000001</v>
      </c>
      <c r="V13" s="189">
        <f t="shared" si="1"/>
        <v>231.48679306505719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Chêne sessile</v>
      </c>
      <c r="C14" s="5"/>
      <c r="D14" s="5"/>
      <c r="E14" s="5"/>
      <c r="F14" s="260"/>
      <c r="G14" s="220"/>
      <c r="H14" s="185" t="s">
        <v>178</v>
      </c>
      <c r="I14" s="185" t="s">
        <v>290</v>
      </c>
      <c r="J14" s="214"/>
      <c r="K14" s="183"/>
      <c r="L14" s="216"/>
      <c r="M14" s="25"/>
      <c r="N14" s="25"/>
      <c r="O14" s="5"/>
      <c r="P14" s="5"/>
      <c r="Q14" s="265"/>
      <c r="R14" s="5"/>
      <c r="S14" s="185" t="str">
        <f>B138</f>
        <v>Cèdre de l'Atlas</v>
      </c>
      <c r="T14" s="27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800.53718012488901</v>
      </c>
      <c r="U14" s="190">
        <f>'Données projet'!D13</f>
        <v>0.1759</v>
      </c>
      <c r="V14" s="189">
        <f t="shared" si="1"/>
        <v>140.81448998396797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0"/>
      <c r="G15" s="326" t="s">
        <v>318</v>
      </c>
      <c r="H15" s="203">
        <v>0</v>
      </c>
      <c r="I15" s="204">
        <v>0</v>
      </c>
      <c r="J15" s="215"/>
      <c r="K15" s="224"/>
      <c r="L15" s="216"/>
      <c r="M15" s="25"/>
      <c r="N15" s="25"/>
      <c r="O15" s="25"/>
      <c r="P15" s="25"/>
      <c r="Q15" s="264"/>
      <c r="R15" s="25"/>
      <c r="S15" s="185" t="str">
        <f>B169</f>
        <v>Erable sycomore</v>
      </c>
      <c r="T15" s="27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3076.5451692602905</v>
      </c>
      <c r="U15" s="190">
        <f>'Données projet'!D14</f>
        <v>0.14071999999999998</v>
      </c>
      <c r="V15" s="189">
        <f t="shared" si="1"/>
        <v>432.93143621830802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6" t="s">
        <v>180</v>
      </c>
      <c r="B16" s="51" t="s">
        <v>256</v>
      </c>
      <c r="C16" s="51" t="s">
        <v>255</v>
      </c>
      <c r="D16" s="256" t="s">
        <v>252</v>
      </c>
      <c r="E16" s="256" t="s">
        <v>320</v>
      </c>
      <c r="F16" s="260"/>
      <c r="G16" s="326"/>
      <c r="H16" s="203"/>
      <c r="I16" s="204"/>
      <c r="J16" s="215"/>
      <c r="K16" s="224"/>
      <c r="L16" s="322" t="s">
        <v>254</v>
      </c>
      <c r="M16" s="323"/>
      <c r="N16" s="2"/>
      <c r="O16" s="25"/>
      <c r="P16" s="25"/>
      <c r="Q16" s="264"/>
      <c r="R16" s="25"/>
      <c r="S16" s="185" t="str">
        <f>B200</f>
        <v>Hêtre</v>
      </c>
      <c r="T16" s="27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2136.0170465001743</v>
      </c>
      <c r="U16" s="190">
        <f>'Données projet'!D15</f>
        <v>0.10553999999999999</v>
      </c>
      <c r="V16" s="189">
        <f t="shared" si="1"/>
        <v>225.43523908762839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09">
        <v>0</v>
      </c>
      <c r="B17" s="212" t="s">
        <v>132</v>
      </c>
      <c r="C17" s="211" t="s">
        <v>132</v>
      </c>
      <c r="D17" s="210" t="s">
        <v>132</v>
      </c>
      <c r="E17" s="206"/>
      <c r="F17" s="260"/>
      <c r="G17" s="326"/>
      <c r="J17" s="215"/>
      <c r="K17" s="224"/>
      <c r="L17" s="293" t="s">
        <v>289</v>
      </c>
      <c r="M17" s="295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4"/>
      <c r="R17" s="25"/>
      <c r="S17" s="185" t="str">
        <f>B231</f>
        <v>Alisier torminal</v>
      </c>
      <c r="T17" s="27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940.00971763606424</v>
      </c>
      <c r="U17" s="190">
        <f>'Données projet'!D16</f>
        <v>0.10553999999999999</v>
      </c>
      <c r="V17" s="189">
        <f t="shared" si="1"/>
        <v>99.20862559931021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09">
        <v>1</v>
      </c>
      <c r="B18" s="212" t="s">
        <v>132</v>
      </c>
      <c r="C18" s="211" t="s">
        <v>132</v>
      </c>
      <c r="D18" s="210" t="s">
        <v>132</v>
      </c>
      <c r="E18" s="206"/>
      <c r="F18" s="260"/>
      <c r="G18" s="326"/>
      <c r="J18" s="215"/>
      <c r="K18" s="224"/>
      <c r="L18" s="293" t="s">
        <v>255</v>
      </c>
      <c r="M18" s="295"/>
      <c r="N18" s="205"/>
      <c r="O18" s="25"/>
      <c r="P18" s="25"/>
      <c r="Q18" s="264"/>
      <c r="R18" s="25"/>
      <c r="S18" s="185" t="str">
        <f>B262</f>
        <v>Merisier</v>
      </c>
      <c r="T18" s="27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2637.667472145662</v>
      </c>
      <c r="U18" s="190">
        <f>'Données projet'!D17</f>
        <v>7.0359999999999992E-2</v>
      </c>
      <c r="V18" s="189">
        <f t="shared" si="1"/>
        <v>185.58628334016876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09">
        <v>2</v>
      </c>
      <c r="B19" s="212" t="s">
        <v>132</v>
      </c>
      <c r="C19" s="211" t="s">
        <v>132</v>
      </c>
      <c r="D19" s="210" t="s">
        <v>132</v>
      </c>
      <c r="E19" s="206"/>
      <c r="F19" s="260"/>
      <c r="G19" s="326"/>
      <c r="H19" s="231" t="s">
        <v>178</v>
      </c>
      <c r="I19" s="231" t="s">
        <v>287</v>
      </c>
      <c r="J19" s="259"/>
      <c r="K19" s="183"/>
      <c r="L19" s="322" t="s">
        <v>288</v>
      </c>
      <c r="M19" s="323"/>
      <c r="N19" s="191">
        <f>N17*N18</f>
        <v>0</v>
      </c>
      <c r="O19" s="25"/>
      <c r="P19" s="5"/>
      <c r="Q19" s="265"/>
      <c r="R19" s="5"/>
      <c r="S19" s="185" t="str">
        <f>B293</f>
        <v>Tilleul</v>
      </c>
      <c r="T19" s="27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842.09010831470914</v>
      </c>
      <c r="U19" s="190">
        <f>'Données projet'!D18</f>
        <v>3.5179999999999996E-2</v>
      </c>
      <c r="V19" s="189">
        <f t="shared" si="1"/>
        <v>29.624730010511463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09">
        <v>3</v>
      </c>
      <c r="B20" s="212" t="s">
        <v>132</v>
      </c>
      <c r="C20" s="211" t="s">
        <v>132</v>
      </c>
      <c r="D20" s="210" t="s">
        <v>132</v>
      </c>
      <c r="E20" s="206"/>
      <c r="F20" s="260"/>
      <c r="G20" s="326"/>
      <c r="H20" s="203">
        <v>0</v>
      </c>
      <c r="I20" s="204">
        <v>8000</v>
      </c>
      <c r="J20" s="5"/>
      <c r="K20" s="183"/>
      <c r="O20" s="25"/>
      <c r="P20" s="5"/>
      <c r="Q20" s="265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09">
        <v>4</v>
      </c>
      <c r="B21" s="212" t="s">
        <v>132</v>
      </c>
      <c r="C21" s="211" t="s">
        <v>132</v>
      </c>
      <c r="D21" s="210" t="s">
        <v>132</v>
      </c>
      <c r="E21" s="206"/>
      <c r="F21" s="260"/>
      <c r="H21" s="203"/>
      <c r="I21" s="204"/>
      <c r="K21" s="183"/>
      <c r="O21" s="25"/>
      <c r="P21" s="5"/>
      <c r="Q21" s="265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09">
        <v>5</v>
      </c>
      <c r="B22" s="212" t="s">
        <v>132</v>
      </c>
      <c r="C22" s="211" t="s">
        <v>132</v>
      </c>
      <c r="D22" s="210" t="s">
        <v>132</v>
      </c>
      <c r="E22" s="206"/>
      <c r="F22" s="260"/>
      <c r="H22" s="203"/>
      <c r="I22" s="204"/>
      <c r="K22" s="183"/>
      <c r="O22" s="25"/>
      <c r="P22" s="5"/>
      <c r="Q22" s="265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20</v>
      </c>
      <c r="B23" s="193">
        <f>'Données projet'!D36</f>
        <v>0</v>
      </c>
      <c r="C23" s="206">
        <v>0</v>
      </c>
      <c r="D23" s="194">
        <f>B23*C23</f>
        <v>0</v>
      </c>
      <c r="E23" s="206"/>
      <c r="F23" s="260"/>
      <c r="H23" s="203"/>
      <c r="I23" s="204"/>
      <c r="K23" s="224"/>
      <c r="L23" s="324" t="s">
        <v>260</v>
      </c>
      <c r="M23" s="324"/>
      <c r="N23" s="324"/>
      <c r="O23" s="25"/>
      <c r="P23" s="25"/>
      <c r="Q23" s="264"/>
      <c r="R23" s="25"/>
      <c r="S23" s="185" t="s">
        <v>264</v>
      </c>
      <c r="T23" s="33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-23850.526056809962</v>
      </c>
      <c r="U23" s="338"/>
      <c r="V23" s="338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25</v>
      </c>
      <c r="B24" s="193">
        <f>'Données projet'!D37</f>
        <v>34</v>
      </c>
      <c r="C24" s="206">
        <v>10</v>
      </c>
      <c r="D24" s="194">
        <f t="shared" ref="D24:D42" si="2">B24*C24</f>
        <v>340</v>
      </c>
      <c r="E24" s="206"/>
      <c r="F24" s="263"/>
      <c r="H24" s="203"/>
      <c r="I24" s="204"/>
      <c r="K24" s="224"/>
      <c r="O24" s="25"/>
      <c r="P24" s="25"/>
      <c r="Q24" s="264"/>
      <c r="R24" s="25"/>
      <c r="S24" s="185" t="s">
        <v>261</v>
      </c>
      <c r="T24" s="339">
        <f ca="1">'Scénario référence'!$B$8*$M$30*'Données projet'!$C$5+('Scénario référence'!B9+'Scénario référence'!B10+'Scénario référence'!F8+'Scénario référence'!F9)*$N$19/(1+M4)^N16*'Données projet'!$C$5</f>
        <v>11691.8303832411</v>
      </c>
      <c r="U24" s="339"/>
      <c r="V24" s="339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30</v>
      </c>
      <c r="B25" s="193">
        <f>'Données projet'!D38</f>
        <v>0</v>
      </c>
      <c r="C25" s="206">
        <v>0</v>
      </c>
      <c r="D25" s="194">
        <f t="shared" si="2"/>
        <v>0</v>
      </c>
      <c r="E25" s="206"/>
      <c r="F25" s="263"/>
      <c r="G25" s="1"/>
      <c r="H25" s="203"/>
      <c r="I25" s="204"/>
      <c r="K25" s="224"/>
      <c r="L25" s="270" t="s">
        <v>285</v>
      </c>
      <c r="M25" s="270"/>
      <c r="N25" s="270"/>
      <c r="O25" s="270"/>
      <c r="P25" s="205">
        <v>150</v>
      </c>
      <c r="Q25" s="264"/>
      <c r="R25" s="25"/>
      <c r="S25" s="198" t="s">
        <v>266</v>
      </c>
      <c r="T25" s="340">
        <f ca="1">T23-T24</f>
        <v>-35542.356440051066</v>
      </c>
      <c r="U25" s="340"/>
      <c r="V25" s="340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35</v>
      </c>
      <c r="B26" s="193">
        <f>'Données projet'!D39</f>
        <v>56</v>
      </c>
      <c r="C26" s="206">
        <v>10</v>
      </c>
      <c r="D26" s="194">
        <f t="shared" si="2"/>
        <v>560</v>
      </c>
      <c r="E26" s="206"/>
      <c r="F26" s="263"/>
      <c r="G26" s="258"/>
      <c r="H26" s="203"/>
      <c r="I26" s="204"/>
      <c r="K26" s="224"/>
      <c r="L26" s="327" t="s">
        <v>258</v>
      </c>
      <c r="M26" s="328"/>
      <c r="N26" s="328"/>
      <c r="O26" s="328"/>
      <c r="P26" s="329"/>
      <c r="Q26" s="264"/>
      <c r="R26" s="25"/>
      <c r="S26" s="198" t="s">
        <v>265</v>
      </c>
      <c r="T26" s="337" t="str">
        <f ca="1">IF(T25&lt;0,"Votre projet est additionnel","Votre projet n'est pas additionnel")</f>
        <v>Votre projet est additionnel</v>
      </c>
      <c r="U26" s="337"/>
      <c r="V26" s="337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40</v>
      </c>
      <c r="B27" s="193">
        <f>'Données projet'!D40</f>
        <v>0</v>
      </c>
      <c r="C27" s="206">
        <v>0</v>
      </c>
      <c r="D27" s="194">
        <f t="shared" si="2"/>
        <v>0</v>
      </c>
      <c r="E27" s="206"/>
      <c r="F27" s="263"/>
      <c r="G27" s="258"/>
      <c r="H27" s="203"/>
      <c r="I27" s="204"/>
      <c r="K27" s="224"/>
      <c r="L27" s="330"/>
      <c r="M27" s="331"/>
      <c r="N27" s="331"/>
      <c r="O27" s="331"/>
      <c r="P27" s="332"/>
      <c r="Q27" s="264"/>
      <c r="R27" s="25"/>
      <c r="S27" s="336" t="s">
        <v>267</v>
      </c>
      <c r="T27" s="336"/>
      <c r="U27" s="336"/>
      <c r="V27" s="336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45</v>
      </c>
      <c r="B28" s="193">
        <f>'Données projet'!D41</f>
        <v>56</v>
      </c>
      <c r="C28" s="206">
        <v>10</v>
      </c>
      <c r="D28" s="194">
        <f t="shared" si="2"/>
        <v>560</v>
      </c>
      <c r="E28" s="206"/>
      <c r="F28" s="263"/>
      <c r="G28" s="221"/>
      <c r="H28" s="203"/>
      <c r="I28" s="204"/>
      <c r="K28" s="224"/>
      <c r="Q28" s="264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50</v>
      </c>
      <c r="B29" s="193">
        <f>'Données projet'!D42</f>
        <v>0</v>
      </c>
      <c r="C29" s="206">
        <v>0</v>
      </c>
      <c r="D29" s="194">
        <f t="shared" si="2"/>
        <v>0</v>
      </c>
      <c r="E29" s="206"/>
      <c r="F29" s="263"/>
      <c r="G29" s="217"/>
      <c r="H29" s="203"/>
      <c r="I29" s="204"/>
      <c r="K29" s="224"/>
      <c r="O29" s="25"/>
      <c r="P29" s="25"/>
      <c r="Q29" s="264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55</v>
      </c>
      <c r="B30" s="193">
        <f>'Données projet'!D43</f>
        <v>56</v>
      </c>
      <c r="C30" s="206">
        <v>20</v>
      </c>
      <c r="D30" s="194">
        <f t="shared" si="2"/>
        <v>1120</v>
      </c>
      <c r="E30" s="206"/>
      <c r="F30" s="263"/>
      <c r="G30" s="217"/>
      <c r="H30" s="203"/>
      <c r="I30" s="204"/>
      <c r="K30" s="195"/>
      <c r="L30" s="185" t="s">
        <v>259</v>
      </c>
      <c r="M30" s="196">
        <f ca="1">SUM(OFFSET($P$33,0,0,MIN('Données projet'!$E$9:$E$18)+1,1))</f>
        <v>3323.4310356000856</v>
      </c>
      <c r="O30" s="5"/>
      <c r="P30" s="5"/>
      <c r="Q30" s="265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60</v>
      </c>
      <c r="B31" s="193">
        <f>'Données projet'!D44</f>
        <v>0</v>
      </c>
      <c r="C31" s="206">
        <v>0</v>
      </c>
      <c r="D31" s="194">
        <f t="shared" si="2"/>
        <v>0</v>
      </c>
      <c r="E31" s="206"/>
      <c r="F31" s="263"/>
      <c r="G31" s="217"/>
      <c r="H31" s="203"/>
      <c r="I31" s="204"/>
      <c r="K31" s="183"/>
      <c r="Q31" s="264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65</v>
      </c>
      <c r="B32" s="193">
        <f>'Données projet'!D45</f>
        <v>56</v>
      </c>
      <c r="C32" s="206">
        <v>30</v>
      </c>
      <c r="D32" s="194">
        <f t="shared" si="2"/>
        <v>1680</v>
      </c>
      <c r="E32" s="206"/>
      <c r="F32" s="263"/>
      <c r="G32" s="217"/>
      <c r="H32" s="203"/>
      <c r="I32" s="204"/>
      <c r="K32" s="183"/>
      <c r="N32" s="5"/>
      <c r="O32" s="269" t="s">
        <v>178</v>
      </c>
      <c r="P32" s="269" t="s">
        <v>252</v>
      </c>
      <c r="Q32" s="264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70</v>
      </c>
      <c r="B33" s="193">
        <f>'Données projet'!D46</f>
        <v>0</v>
      </c>
      <c r="C33" s="206">
        <v>0</v>
      </c>
      <c r="D33" s="194">
        <f t="shared" si="2"/>
        <v>0</v>
      </c>
      <c r="E33" s="206"/>
      <c r="F33" s="263"/>
      <c r="G33" s="217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150</v>
      </c>
      <c r="Q33" s="264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75</v>
      </c>
      <c r="B34" s="193">
        <f>'Données projet'!D47</f>
        <v>56</v>
      </c>
      <c r="C34" s="206">
        <v>40</v>
      </c>
      <c r="D34" s="194">
        <f t="shared" si="2"/>
        <v>2240</v>
      </c>
      <c r="E34" s="206"/>
      <c r="F34" s="263"/>
      <c r="G34" s="217"/>
      <c r="H34" s="203"/>
      <c r="I34" s="204"/>
      <c r="K34" s="183"/>
      <c r="L34" s="282"/>
      <c r="M34" s="282"/>
      <c r="N34" s="283"/>
      <c r="O34" s="207">
        <f>IF(O33+1&lt;=MIN('Données projet'!$E$9:$E$18),O33+1,"STOP")</f>
        <v>1</v>
      </c>
      <c r="P34" s="197">
        <f t="shared" si="3"/>
        <v>143.54066985645935</v>
      </c>
      <c r="Q34" s="264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80</v>
      </c>
      <c r="B35" s="193">
        <f>'Données projet'!D48</f>
        <v>0</v>
      </c>
      <c r="C35" s="206">
        <v>0</v>
      </c>
      <c r="D35" s="194">
        <f t="shared" si="2"/>
        <v>0</v>
      </c>
      <c r="E35" s="206"/>
      <c r="F35" s="263"/>
      <c r="G35" s="217"/>
      <c r="H35" s="203"/>
      <c r="I35" s="204"/>
      <c r="K35" s="183"/>
      <c r="L35" s="282"/>
      <c r="M35" s="282"/>
      <c r="N35" s="283"/>
      <c r="O35" s="207">
        <f>IF(O34+1&lt;=MIN('Données projet'!$E$9:$E$18),O34+1,"STOP")</f>
        <v>2</v>
      </c>
      <c r="P35" s="197">
        <f t="shared" si="3"/>
        <v>137.35949268560705</v>
      </c>
      <c r="Q35" s="264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90</v>
      </c>
      <c r="B36" s="193">
        <f>'Données projet'!D49</f>
        <v>56</v>
      </c>
      <c r="C36" s="206">
        <v>70</v>
      </c>
      <c r="D36" s="194">
        <f t="shared" si="2"/>
        <v>3920</v>
      </c>
      <c r="E36" s="206"/>
      <c r="F36" s="263"/>
      <c r="G36" s="217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131.44449060823641</v>
      </c>
      <c r="Q36" s="264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100</v>
      </c>
      <c r="B37" s="193">
        <f>'Données projet'!D50</f>
        <v>55</v>
      </c>
      <c r="C37" s="206">
        <v>100</v>
      </c>
      <c r="D37" s="194">
        <f t="shared" si="2"/>
        <v>5500</v>
      </c>
      <c r="E37" s="206"/>
      <c r="F37" s="263"/>
      <c r="G37" s="217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125.78420153898223</v>
      </c>
      <c r="Q37" s="264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110</v>
      </c>
      <c r="B38" s="193">
        <f>'Données projet'!D51</f>
        <v>53</v>
      </c>
      <c r="C38" s="206">
        <v>120</v>
      </c>
      <c r="D38" s="194">
        <f t="shared" si="2"/>
        <v>6360</v>
      </c>
      <c r="E38" s="206"/>
      <c r="F38" s="263"/>
      <c r="G38" s="217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120.36765697510262</v>
      </c>
      <c r="Q38" s="264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120</v>
      </c>
      <c r="B39" s="193">
        <f>'Données projet'!D52</f>
        <v>47</v>
      </c>
      <c r="C39" s="206">
        <v>120</v>
      </c>
      <c r="D39" s="194">
        <f t="shared" si="2"/>
        <v>5640</v>
      </c>
      <c r="E39" s="206"/>
      <c r="F39" s="263"/>
      <c r="G39" s="217"/>
      <c r="H39" s="203"/>
      <c r="I39" s="204"/>
      <c r="K39" s="224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115.18436074172502</v>
      </c>
      <c r="Q39" s="264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130</v>
      </c>
      <c r="B40" s="193">
        <f>'Données projet'!D53</f>
        <v>44</v>
      </c>
      <c r="C40" s="206">
        <v>150</v>
      </c>
      <c r="D40" s="194">
        <f t="shared" si="2"/>
        <v>6600</v>
      </c>
      <c r="E40" s="206"/>
      <c r="F40" s="263"/>
      <c r="G40" s="217"/>
      <c r="H40" s="203"/>
      <c r="I40" s="204"/>
      <c r="K40" s="224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110.22426865236844</v>
      </c>
      <c r="Q40" s="264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140</v>
      </c>
      <c r="B41" s="193">
        <f>'Données projet'!D54</f>
        <v>43</v>
      </c>
      <c r="C41" s="206">
        <v>200</v>
      </c>
      <c r="D41" s="194">
        <f t="shared" si="2"/>
        <v>8600</v>
      </c>
      <c r="E41" s="206"/>
      <c r="F41" s="263"/>
      <c r="G41" s="217"/>
      <c r="H41" s="203"/>
      <c r="I41" s="204"/>
      <c r="K41" s="224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105.47776904532867</v>
      </c>
      <c r="Q41" s="264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150</v>
      </c>
      <c r="B42" s="193">
        <f>'Données projet'!D55</f>
        <v>335</v>
      </c>
      <c r="C42" s="206">
        <v>200</v>
      </c>
      <c r="D42" s="194">
        <f t="shared" si="2"/>
        <v>67000</v>
      </c>
      <c r="E42" s="206"/>
      <c r="F42" s="263"/>
      <c r="G42" s="217"/>
      <c r="H42" s="203"/>
      <c r="I42" s="204"/>
      <c r="K42" s="224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100.93566415820926</v>
      </c>
      <c r="Q42" s="264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5"/>
      <c r="E43" s="255"/>
      <c r="F43" s="268"/>
      <c r="G43" s="217"/>
      <c r="H43" s="203"/>
      <c r="I43" s="204"/>
      <c r="K43" s="224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96.589152304506499</v>
      </c>
      <c r="Q43" s="26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0"/>
      <c r="G44" s="217"/>
      <c r="H44" s="203"/>
      <c r="I44" s="204"/>
      <c r="K44" s="224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92.429810817709566</v>
      </c>
      <c r="Q44" s="26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>Chêne pubescent</v>
      </c>
      <c r="C45" s="5"/>
      <c r="D45" s="5"/>
      <c r="E45" s="5"/>
      <c r="F45" s="260"/>
      <c r="G45" s="217"/>
      <c r="H45" s="203"/>
      <c r="I45" s="204"/>
      <c r="J45" s="25"/>
      <c r="K45" s="224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88.449579729865633</v>
      </c>
      <c r="Q45" s="26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0"/>
      <c r="G46" s="217"/>
      <c r="H46" s="203"/>
      <c r="I46" s="204"/>
      <c r="J46" s="25"/>
      <c r="K46" s="224"/>
      <c r="L46" s="219"/>
      <c r="M46" s="219"/>
      <c r="N46" s="219"/>
      <c r="O46" s="207">
        <f>IF(O45+1&lt;=MIN('Données projet'!$E$9:$E$18),O45+1,"STOP")</f>
        <v>13</v>
      </c>
      <c r="P46" s="200">
        <f t="shared" si="3"/>
        <v>84.640746152981464</v>
      </c>
      <c r="Q46" s="26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6" t="s">
        <v>180</v>
      </c>
      <c r="B47" s="51" t="s">
        <v>256</v>
      </c>
      <c r="C47" s="51" t="s">
        <v>255</v>
      </c>
      <c r="D47" s="256" t="s">
        <v>252</v>
      </c>
      <c r="E47" s="256" t="s">
        <v>320</v>
      </c>
      <c r="F47" s="261"/>
      <c r="G47" s="217"/>
      <c r="H47" s="203"/>
      <c r="I47" s="204"/>
      <c r="J47" s="25"/>
      <c r="K47" s="224"/>
      <c r="L47" s="5"/>
      <c r="M47" s="5"/>
      <c r="N47" s="5"/>
      <c r="O47" s="207">
        <f>IF(O46+1&lt;=MIN('Données projet'!$E$9:$E$18),O46+1,"STOP")</f>
        <v>14</v>
      </c>
      <c r="P47" s="197">
        <f t="shared" si="3"/>
        <v>80.995929332996624</v>
      </c>
      <c r="Q47" s="26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09">
        <v>0</v>
      </c>
      <c r="B48" s="212" t="s">
        <v>132</v>
      </c>
      <c r="C48" s="211" t="s">
        <v>132</v>
      </c>
      <c r="D48" s="210" t="s">
        <v>132</v>
      </c>
      <c r="E48" s="206"/>
      <c r="F48" s="261"/>
      <c r="G48" s="217"/>
      <c r="H48" s="203"/>
      <c r="I48" s="204"/>
      <c r="J48" s="25"/>
      <c r="K48" s="224"/>
      <c r="L48" s="5"/>
      <c r="M48" s="5"/>
      <c r="N48" s="5"/>
      <c r="O48" s="207">
        <f>IF(O47+1&lt;=MIN('Données projet'!$E$9:$E$18),O47+1,"STOP")</f>
        <v>15</v>
      </c>
      <c r="P48" s="197">
        <f t="shared" si="3"/>
        <v>77.508066347365187</v>
      </c>
      <c r="Q48" s="26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09">
        <v>1</v>
      </c>
      <c r="B49" s="212" t="s">
        <v>132</v>
      </c>
      <c r="C49" s="211" t="s">
        <v>132</v>
      </c>
      <c r="D49" s="210" t="s">
        <v>132</v>
      </c>
      <c r="E49" s="206"/>
      <c r="F49" s="261"/>
      <c r="G49" s="218"/>
      <c r="H49" s="203"/>
      <c r="I49" s="204"/>
      <c r="J49" s="219"/>
      <c r="K49" s="226"/>
      <c r="L49" s="5"/>
      <c r="M49" s="5"/>
      <c r="N49" s="5"/>
      <c r="O49" s="207">
        <f>IF(O48+1&lt;=MIN('Données projet'!$E$9:$E$18),O48+1,"STOP")</f>
        <v>16</v>
      </c>
      <c r="P49" s="197">
        <f t="shared" si="3"/>
        <v>74.170398418531306</v>
      </c>
      <c r="Q49" s="266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09">
        <v>2</v>
      </c>
      <c r="B50" s="212" t="s">
        <v>132</v>
      </c>
      <c r="C50" s="211" t="s">
        <v>132</v>
      </c>
      <c r="D50" s="210" t="s">
        <v>132</v>
      </c>
      <c r="E50" s="206"/>
      <c r="F50" s="261"/>
      <c r="G50" s="220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70.976457816776374</v>
      </c>
      <c r="Q50" s="26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09">
        <v>3</v>
      </c>
      <c r="B51" s="212" t="s">
        <v>132</v>
      </c>
      <c r="C51" s="211" t="s">
        <v>132</v>
      </c>
      <c r="D51" s="210" t="s">
        <v>132</v>
      </c>
      <c r="E51" s="206"/>
      <c r="F51" s="261"/>
      <c r="G51" s="220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67.920055327058748</v>
      </c>
      <c r="Q51" s="26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09">
        <v>4</v>
      </c>
      <c r="B52" s="212" t="s">
        <v>132</v>
      </c>
      <c r="C52" s="211" t="s">
        <v>132</v>
      </c>
      <c r="D52" s="210" t="s">
        <v>132</v>
      </c>
      <c r="E52" s="206"/>
      <c r="F52" s="261"/>
      <c r="G52" s="220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64.995268255558614</v>
      </c>
      <c r="Q52" s="26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09">
        <v>5</v>
      </c>
      <c r="B53" s="212" t="s">
        <v>132</v>
      </c>
      <c r="C53" s="211" t="s">
        <v>132</v>
      </c>
      <c r="D53" s="210" t="s">
        <v>132</v>
      </c>
      <c r="E53" s="206"/>
      <c r="F53" s="261"/>
      <c r="G53" s="221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62.196428952687683</v>
      </c>
      <c r="Q53" s="26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20</v>
      </c>
      <c r="B54" s="193">
        <f>'Données projet'!D62</f>
        <v>0</v>
      </c>
      <c r="C54" s="206">
        <v>0</v>
      </c>
      <c r="D54" s="191">
        <f>B54*C54</f>
        <v>0</v>
      </c>
      <c r="E54" s="206"/>
      <c r="F54" s="262"/>
      <c r="G54" s="221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59.518113830323131</v>
      </c>
      <c r="Q54" s="26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25</v>
      </c>
      <c r="B55" s="193">
        <f>'Données projet'!D63</f>
        <v>34</v>
      </c>
      <c r="C55" s="206">
        <v>10</v>
      </c>
      <c r="D55" s="191">
        <f t="shared" ref="D55:D73" si="4">B55*C55</f>
        <v>340</v>
      </c>
      <c r="E55" s="206"/>
      <c r="F55" s="262"/>
      <c r="G55" s="221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56.955132851983883</v>
      </c>
      <c r="Q55" s="26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30</v>
      </c>
      <c r="B56" s="193">
        <f>'Données projet'!D64</f>
        <v>0</v>
      </c>
      <c r="C56" s="206">
        <v>0</v>
      </c>
      <c r="D56" s="191">
        <f t="shared" si="4"/>
        <v>0</v>
      </c>
      <c r="E56" s="206"/>
      <c r="F56" s="262"/>
      <c r="G56" s="221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54.502519475582659</v>
      </c>
      <c r="Q56" s="26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35</v>
      </c>
      <c r="B57" s="193">
        <f>'Données projet'!D65</f>
        <v>56</v>
      </c>
      <c r="C57" s="206">
        <v>10</v>
      </c>
      <c r="D57" s="191">
        <f t="shared" si="4"/>
        <v>560</v>
      </c>
      <c r="E57" s="206"/>
      <c r="F57" s="262"/>
      <c r="G57" s="221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52.155521029265714</v>
      </c>
      <c r="Q57" s="26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40</v>
      </c>
      <c r="B58" s="193">
        <f>'Données projet'!D66</f>
        <v>0</v>
      </c>
      <c r="C58" s="206">
        <v>0</v>
      </c>
      <c r="D58" s="191">
        <f t="shared" si="4"/>
        <v>0</v>
      </c>
      <c r="E58" s="206"/>
      <c r="F58" s="262"/>
      <c r="G58" s="221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49.90958950168968</v>
      </c>
      <c r="Q58" s="26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45</v>
      </c>
      <c r="B59" s="193">
        <f>'Données projet'!D67</f>
        <v>56</v>
      </c>
      <c r="C59" s="206">
        <v>10</v>
      </c>
      <c r="D59" s="191">
        <f t="shared" si="4"/>
        <v>560</v>
      </c>
      <c r="E59" s="206"/>
      <c r="F59" s="262"/>
      <c r="G59" s="221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47.760372728889656</v>
      </c>
      <c r="Q59" s="26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50</v>
      </c>
      <c r="B60" s="193">
        <f>'Données projet'!D68</f>
        <v>0</v>
      </c>
      <c r="C60" s="206">
        <v>0</v>
      </c>
      <c r="D60" s="191">
        <f t="shared" si="4"/>
        <v>0</v>
      </c>
      <c r="E60" s="206"/>
      <c r="F60" s="262"/>
      <c r="G60" s="222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45.70370596065996</v>
      </c>
      <c r="Q60" s="26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55</v>
      </c>
      <c r="B61" s="193">
        <f>'Données projet'!D69</f>
        <v>56</v>
      </c>
      <c r="C61" s="206">
        <v>20</v>
      </c>
      <c r="D61" s="191">
        <f t="shared" si="4"/>
        <v>1120</v>
      </c>
      <c r="E61" s="206"/>
      <c r="F61" s="262"/>
      <c r="G61" s="222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43.735603790105237</v>
      </c>
      <c r="Q61" s="26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60</v>
      </c>
      <c r="B62" s="193">
        <f>'Données projet'!D70</f>
        <v>0</v>
      </c>
      <c r="C62" s="206">
        <v>0</v>
      </c>
      <c r="D62" s="191">
        <f t="shared" si="4"/>
        <v>0</v>
      </c>
      <c r="E62" s="206"/>
      <c r="F62" s="262"/>
      <c r="G62" s="222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41.852252430722707</v>
      </c>
      <c r="Q62" s="26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65</v>
      </c>
      <c r="B63" s="193">
        <f>'Données projet'!D71</f>
        <v>56</v>
      </c>
      <c r="C63" s="206">
        <v>30</v>
      </c>
      <c r="D63" s="191">
        <f t="shared" si="4"/>
        <v>1680</v>
      </c>
      <c r="E63" s="206"/>
      <c r="F63" s="262"/>
      <c r="G63" s="222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40.050002326050453</v>
      </c>
      <c r="Q63" s="26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70</v>
      </c>
      <c r="B64" s="193">
        <f>'Données projet'!D72</f>
        <v>0</v>
      </c>
      <c r="C64" s="206">
        <v>0</v>
      </c>
      <c r="D64" s="191">
        <f t="shared" si="4"/>
        <v>0</v>
      </c>
      <c r="E64" s="206"/>
      <c r="F64" s="262"/>
      <c r="G64" s="222"/>
      <c r="H64" s="203"/>
      <c r="I64" s="204"/>
      <c r="J64" s="223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38.325361077560231</v>
      </c>
      <c r="Q64" s="26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75</v>
      </c>
      <c r="B65" s="193">
        <f>'Données projet'!D73</f>
        <v>56</v>
      </c>
      <c r="C65" s="206">
        <v>40</v>
      </c>
      <c r="D65" s="191">
        <f t="shared" si="4"/>
        <v>2240</v>
      </c>
      <c r="E65" s="206"/>
      <c r="F65" s="262"/>
      <c r="G65" s="222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36.674986677091148</v>
      </c>
      <c r="Q65" s="26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80</v>
      </c>
      <c r="B66" s="193">
        <f>'Données projet'!D74</f>
        <v>0</v>
      </c>
      <c r="C66" s="206">
        <v>0</v>
      </c>
      <c r="D66" s="191">
        <f t="shared" si="4"/>
        <v>0</v>
      </c>
      <c r="E66" s="206"/>
      <c r="F66" s="262"/>
      <c r="G66" s="222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35.095681030709244</v>
      </c>
      <c r="Q66" s="26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90</v>
      </c>
      <c r="B67" s="193">
        <f>'Données projet'!D75</f>
        <v>56</v>
      </c>
      <c r="C67" s="206">
        <v>70</v>
      </c>
      <c r="D67" s="191">
        <f t="shared" si="4"/>
        <v>3920</v>
      </c>
      <c r="E67" s="206"/>
      <c r="F67" s="262"/>
      <c r="G67" s="222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33.584383761444251</v>
      </c>
      <c r="Q67" s="26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100</v>
      </c>
      <c r="B68" s="193">
        <f>'Données projet'!D76</f>
        <v>55</v>
      </c>
      <c r="C68" s="206">
        <v>100</v>
      </c>
      <c r="D68" s="191">
        <f t="shared" si="4"/>
        <v>5500</v>
      </c>
      <c r="E68" s="206"/>
      <c r="F68" s="262"/>
      <c r="G68" s="222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32.138166278894019</v>
      </c>
      <c r="Q68" s="26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110</v>
      </c>
      <c r="B69" s="193">
        <f>'Données projet'!D77</f>
        <v>53</v>
      </c>
      <c r="C69" s="206">
        <v>120</v>
      </c>
      <c r="D69" s="191">
        <f t="shared" si="4"/>
        <v>6360</v>
      </c>
      <c r="E69" s="206"/>
      <c r="F69" s="262"/>
      <c r="G69" s="222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30.754226104204811</v>
      </c>
      <c r="Q69" s="26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120</v>
      </c>
      <c r="B70" s="193">
        <f>'Données projet'!D78</f>
        <v>47</v>
      </c>
      <c r="C70" s="206">
        <v>120</v>
      </c>
      <c r="D70" s="191">
        <f t="shared" si="4"/>
        <v>5640</v>
      </c>
      <c r="E70" s="206"/>
      <c r="F70" s="262"/>
      <c r="G70" s="222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29.429881439430442</v>
      </c>
      <c r="Q70" s="26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130</v>
      </c>
      <c r="B71" s="193">
        <f>'Données projet'!D79</f>
        <v>44</v>
      </c>
      <c r="C71" s="206">
        <v>150</v>
      </c>
      <c r="D71" s="191">
        <f t="shared" si="4"/>
        <v>6600</v>
      </c>
      <c r="E71" s="206"/>
      <c r="F71" s="262"/>
      <c r="G71" s="222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28.16256597074684</v>
      </c>
      <c r="Q71" s="26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140</v>
      </c>
      <c r="B72" s="193">
        <f>'Données projet'!D80</f>
        <v>43</v>
      </c>
      <c r="C72" s="206">
        <v>200</v>
      </c>
      <c r="D72" s="191">
        <f t="shared" si="4"/>
        <v>8600</v>
      </c>
      <c r="E72" s="206"/>
      <c r="F72" s="262"/>
      <c r="G72" s="222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26.949823895451523</v>
      </c>
      <c r="Q72" s="26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150</v>
      </c>
      <c r="B73" s="193">
        <f>'Données projet'!D81</f>
        <v>335</v>
      </c>
      <c r="C73" s="206">
        <v>200</v>
      </c>
      <c r="D73" s="191">
        <f t="shared" si="4"/>
        <v>67000</v>
      </c>
      <c r="E73" s="206"/>
      <c r="F73" s="262"/>
      <c r="G73" s="222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25.789305163111511</v>
      </c>
      <c r="Q73" s="26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0"/>
      <c r="G74" s="222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24.678760921637814</v>
      </c>
      <c r="Q74" s="26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0"/>
      <c r="G75" s="222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23.616039159462026</v>
      </c>
      <c r="Q75" s="26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>Châtaignier</v>
      </c>
      <c r="C76" s="5"/>
      <c r="D76" s="5"/>
      <c r="E76" s="5"/>
      <c r="F76" s="260"/>
      <c r="G76" s="222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22.599080535370359</v>
      </c>
      <c r="Q76" s="26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0"/>
      <c r="G77" s="222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21.625914387914221</v>
      </c>
      <c r="Q77" s="26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6" t="s">
        <v>180</v>
      </c>
      <c r="B78" s="51" t="s">
        <v>256</v>
      </c>
      <c r="C78" s="51" t="s">
        <v>255</v>
      </c>
      <c r="D78" s="256" t="s">
        <v>252</v>
      </c>
      <c r="E78" s="256" t="s">
        <v>320</v>
      </c>
      <c r="F78" s="261"/>
      <c r="G78" s="222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20.694654916664327</v>
      </c>
      <c r="Q78" s="26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09">
        <v>0</v>
      </c>
      <c r="B79" s="212" t="s">
        <v>132</v>
      </c>
      <c r="C79" s="211" t="s">
        <v>132</v>
      </c>
      <c r="D79" s="210" t="s">
        <v>132</v>
      </c>
      <c r="E79" s="206"/>
      <c r="F79" s="261"/>
      <c r="G79" s="222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19.803497527908451</v>
      </c>
      <c r="Q79" s="26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09">
        <v>1</v>
      </c>
      <c r="B80" s="212" t="s">
        <v>132</v>
      </c>
      <c r="C80" s="211" t="s">
        <v>132</v>
      </c>
      <c r="D80" s="210" t="s">
        <v>132</v>
      </c>
      <c r="E80" s="206"/>
      <c r="F80" s="261"/>
      <c r="G80" s="220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18.950715337711436</v>
      </c>
      <c r="Q80" s="26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09">
        <v>2</v>
      </c>
      <c r="B81" s="212" t="s">
        <v>132</v>
      </c>
      <c r="C81" s="211" t="s">
        <v>132</v>
      </c>
      <c r="D81" s="210" t="s">
        <v>132</v>
      </c>
      <c r="E81" s="206"/>
      <c r="F81" s="261"/>
      <c r="G81" s="220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18.13465582556119</v>
      </c>
      <c r="Q81" s="26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09">
        <v>3</v>
      </c>
      <c r="B82" s="212" t="s">
        <v>132</v>
      </c>
      <c r="C82" s="211" t="s">
        <v>132</v>
      </c>
      <c r="D82" s="210" t="s">
        <v>132</v>
      </c>
      <c r="E82" s="206"/>
      <c r="F82" s="261"/>
      <c r="G82" s="220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17.353737632115969</v>
      </c>
      <c r="Q82" s="26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09">
        <v>4</v>
      </c>
      <c r="B83" s="212" t="s">
        <v>132</v>
      </c>
      <c r="C83" s="211" t="s">
        <v>132</v>
      </c>
      <c r="D83" s="210" t="s">
        <v>132</v>
      </c>
      <c r="E83" s="206"/>
      <c r="F83" s="261"/>
      <c r="G83" s="220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16.606447494847824</v>
      </c>
      <c r="Q83" s="26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09">
        <v>5</v>
      </c>
      <c r="B84" s="212" t="s">
        <v>132</v>
      </c>
      <c r="C84" s="211" t="s">
        <v>132</v>
      </c>
      <c r="D84" s="210" t="s">
        <v>132</v>
      </c>
      <c r="E84" s="206"/>
      <c r="F84" s="261"/>
      <c r="G84" s="221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15.891337315643849</v>
      </c>
      <c r="Q84" s="26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10</v>
      </c>
      <c r="B85" s="193">
        <f>'Données projet'!D88</f>
        <v>0</v>
      </c>
      <c r="C85" s="204">
        <v>0</v>
      </c>
      <c r="D85" s="191">
        <f>B85*C85</f>
        <v>0</v>
      </c>
      <c r="E85" s="206"/>
      <c r="F85" s="262"/>
      <c r="G85" s="221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15.207021354683112</v>
      </c>
      <c r="Q85" s="26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15</v>
      </c>
      <c r="B86" s="193">
        <f>'Données projet'!D89</f>
        <v>0</v>
      </c>
      <c r="C86" s="204">
        <v>0</v>
      </c>
      <c r="D86" s="191">
        <f t="shared" ref="D86:D104" si="6">B86*C86</f>
        <v>0</v>
      </c>
      <c r="E86" s="206"/>
      <c r="F86" s="262"/>
      <c r="G86" s="221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14.552173545151303</v>
      </c>
      <c r="Q86" s="26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20</v>
      </c>
      <c r="B87" s="193">
        <f>'Données projet'!D90</f>
        <v>66.5</v>
      </c>
      <c r="C87" s="204">
        <v>10</v>
      </c>
      <c r="D87" s="191">
        <f t="shared" si="6"/>
        <v>665</v>
      </c>
      <c r="E87" s="206"/>
      <c r="F87" s="262"/>
      <c r="G87" s="221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13.925524923589769</v>
      </c>
      <c r="Q87" s="26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25</v>
      </c>
      <c r="B88" s="193">
        <f>'Données projet'!D91</f>
        <v>0</v>
      </c>
      <c r="C88" s="204">
        <v>0</v>
      </c>
      <c r="D88" s="191">
        <f t="shared" si="6"/>
        <v>0</v>
      </c>
      <c r="E88" s="206"/>
      <c r="F88" s="262"/>
      <c r="G88" s="221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13.3258611708993</v>
      </c>
      <c r="Q88" s="26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30</v>
      </c>
      <c r="B89" s="193">
        <f>'Données projet'!D92</f>
        <v>70</v>
      </c>
      <c r="C89" s="204">
        <v>20</v>
      </c>
      <c r="D89" s="191">
        <f t="shared" si="6"/>
        <v>1400</v>
      </c>
      <c r="E89" s="206"/>
      <c r="F89" s="262"/>
      <c r="G89" s="221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12.752020259233783</v>
      </c>
      <c r="Q89" s="26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35</v>
      </c>
      <c r="B90" s="193">
        <f>'Données projet'!D93</f>
        <v>0</v>
      </c>
      <c r="C90" s="204">
        <v>0</v>
      </c>
      <c r="D90" s="191">
        <f t="shared" si="6"/>
        <v>0</v>
      </c>
      <c r="E90" s="206"/>
      <c r="F90" s="262"/>
      <c r="G90" s="221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12.202890200223717</v>
      </c>
      <c r="Q90" s="26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40</v>
      </c>
      <c r="B91" s="193">
        <f>'Données projet'!D94</f>
        <v>70</v>
      </c>
      <c r="C91" s="204">
        <v>30</v>
      </c>
      <c r="D91" s="191">
        <f t="shared" si="6"/>
        <v>2100</v>
      </c>
      <c r="E91" s="206"/>
      <c r="F91" s="262"/>
      <c r="G91" s="222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11.677406890166239</v>
      </c>
      <c r="Q91" s="26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45</v>
      </c>
      <c r="B92" s="193">
        <f>'Données projet'!D95</f>
        <v>0</v>
      </c>
      <c r="C92" s="204">
        <v>0</v>
      </c>
      <c r="D92" s="191">
        <f t="shared" si="6"/>
        <v>0</v>
      </c>
      <c r="E92" s="206"/>
      <c r="F92" s="262"/>
      <c r="G92" s="222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11.174552048005971</v>
      </c>
      <c r="Q92" s="26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50</v>
      </c>
      <c r="B93" s="193">
        <f>'Données projet'!D96</f>
        <v>43.099999999999994</v>
      </c>
      <c r="C93" s="204">
        <v>40</v>
      </c>
      <c r="D93" s="191">
        <f t="shared" si="6"/>
        <v>1723.9999999999998</v>
      </c>
      <c r="E93" s="206"/>
      <c r="F93" s="262"/>
      <c r="G93" s="222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10.693351242110978</v>
      </c>
      <c r="Q93" s="26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55</v>
      </c>
      <c r="B94" s="193">
        <f>'Données projet'!D97</f>
        <v>0</v>
      </c>
      <c r="C94" s="204">
        <v>0</v>
      </c>
      <c r="D94" s="191">
        <f t="shared" si="6"/>
        <v>0</v>
      </c>
      <c r="E94" s="206"/>
      <c r="F94" s="262"/>
      <c r="G94" s="222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5"/>
        <v>10.232872002020073</v>
      </c>
      <c r="Q94" s="26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60</v>
      </c>
      <c r="B95" s="193">
        <f>'Données projet'!D98</f>
        <v>30.2</v>
      </c>
      <c r="C95" s="204">
        <v>80</v>
      </c>
      <c r="D95" s="191">
        <f t="shared" si="6"/>
        <v>2416</v>
      </c>
      <c r="E95" s="206"/>
      <c r="F95" s="262"/>
      <c r="G95" s="222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5"/>
        <v>9.7922220115024654</v>
      </c>
      <c r="Q95" s="26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65</v>
      </c>
      <c r="B96" s="193">
        <f>'Données projet'!D99</f>
        <v>0</v>
      </c>
      <c r="C96" s="204">
        <v>0</v>
      </c>
      <c r="D96" s="191">
        <f t="shared" si="6"/>
        <v>0</v>
      </c>
      <c r="E96" s="206"/>
      <c r="F96" s="262"/>
      <c r="G96" s="222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5"/>
        <v>9.3705473794281957</v>
      </c>
      <c r="Q96" s="26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70</v>
      </c>
      <c r="B97" s="193">
        <f>'Données projet'!D100</f>
        <v>30.9</v>
      </c>
      <c r="C97" s="204">
        <v>130</v>
      </c>
      <c r="D97" s="191">
        <f t="shared" si="6"/>
        <v>4017</v>
      </c>
      <c r="E97" s="206"/>
      <c r="F97" s="262"/>
      <c r="G97" s="222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7">$P$25/(1+$M$4)^O97</f>
        <v>8.9670309850987575</v>
      </c>
      <c r="Q97" s="26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75</v>
      </c>
      <c r="B98" s="193">
        <f>'Données projet'!D101</f>
        <v>0</v>
      </c>
      <c r="C98" s="204">
        <v>0</v>
      </c>
      <c r="D98" s="191">
        <f t="shared" si="6"/>
        <v>0</v>
      </c>
      <c r="E98" s="206"/>
      <c r="F98" s="262"/>
      <c r="G98" s="222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7"/>
        <v>8.5808908948313452</v>
      </c>
      <c r="Q98" s="26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80</v>
      </c>
      <c r="B99" s="193">
        <f>'Données projet'!D102</f>
        <v>341.3</v>
      </c>
      <c r="C99" s="206">
        <v>150</v>
      </c>
      <c r="D99" s="191">
        <f t="shared" si="6"/>
        <v>51195</v>
      </c>
      <c r="E99" s="206"/>
      <c r="F99" s="262"/>
      <c r="G99" s="222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7"/>
        <v>8.2113788467285627</v>
      </c>
      <c r="Q99" s="26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4">
        <v>0</v>
      </c>
      <c r="D100" s="191">
        <f t="shared" si="6"/>
        <v>0</v>
      </c>
      <c r="E100" s="206"/>
      <c r="F100" s="262"/>
      <c r="G100" s="222"/>
      <c r="H100" s="203"/>
      <c r="I100" s="204"/>
      <c r="J100" s="5"/>
      <c r="K100" s="183"/>
      <c r="L100" s="5"/>
      <c r="M100" s="5"/>
      <c r="N100" s="5"/>
      <c r="O100" s="207">
        <f>IF(O99+1&lt;=MIN('Données projet'!$E$9:$E$18),O99+1,"STOP")</f>
        <v>67</v>
      </c>
      <c r="P100" s="197">
        <f t="shared" si="7"/>
        <v>7.8577788006971891</v>
      </c>
      <c r="Q100" s="26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4">
        <v>0</v>
      </c>
      <c r="D101" s="191">
        <f t="shared" si="6"/>
        <v>0</v>
      </c>
      <c r="E101" s="206"/>
      <c r="F101" s="262"/>
      <c r="G101" s="222"/>
      <c r="H101" s="203"/>
      <c r="I101" s="204"/>
      <c r="J101" s="5"/>
      <c r="K101" s="183"/>
      <c r="L101" s="5"/>
      <c r="M101" s="5"/>
      <c r="N101" s="5"/>
      <c r="O101" s="207">
        <f>IF(O100+1&lt;=MIN('Données projet'!$E$9:$E$18),O100+1,"STOP")</f>
        <v>68</v>
      </c>
      <c r="P101" s="197">
        <f t="shared" si="7"/>
        <v>7.5194055509064022</v>
      </c>
      <c r="Q101" s="26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4">
        <v>0</v>
      </c>
      <c r="D102" s="191">
        <f t="shared" si="6"/>
        <v>0</v>
      </c>
      <c r="E102" s="206"/>
      <c r="F102" s="262"/>
      <c r="G102" s="222"/>
      <c r="H102" s="203"/>
      <c r="I102" s="204"/>
      <c r="J102" s="5"/>
      <c r="K102" s="183"/>
      <c r="L102" s="5"/>
      <c r="M102" s="5"/>
      <c r="N102" s="5"/>
      <c r="O102" s="207">
        <f>IF(O101+1&lt;=MIN('Données projet'!$E$9:$E$18),O101+1,"STOP")</f>
        <v>69</v>
      </c>
      <c r="P102" s="197">
        <f t="shared" si="7"/>
        <v>7.1956033979965577</v>
      </c>
      <c r="Q102" s="26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4">
        <v>0</v>
      </c>
      <c r="D103" s="191">
        <f t="shared" si="6"/>
        <v>0</v>
      </c>
      <c r="E103" s="206"/>
      <c r="F103" s="262"/>
      <c r="G103" s="222"/>
      <c r="H103" s="203"/>
      <c r="I103" s="204"/>
      <c r="J103" s="5"/>
      <c r="K103" s="183"/>
      <c r="L103" s="5"/>
      <c r="M103" s="5"/>
      <c r="N103" s="5"/>
      <c r="O103" s="207" t="str">
        <f>IF(O102+1&lt;=MIN('Données projet'!$E$9:$E$18),O102+1,"STOP")</f>
        <v>STOP</v>
      </c>
      <c r="P103" s="197" t="e">
        <f t="shared" si="7"/>
        <v>#VALUE!</v>
      </c>
      <c r="Q103" s="26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4">
        <v>0</v>
      </c>
      <c r="D104" s="191">
        <f t="shared" si="6"/>
        <v>0</v>
      </c>
      <c r="E104" s="206"/>
      <c r="F104" s="262"/>
      <c r="G104" s="222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0"/>
      <c r="G105" s="222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0"/>
      <c r="G106" s="222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>Chêne pédonculé</v>
      </c>
      <c r="C107" s="5"/>
      <c r="D107" s="5"/>
      <c r="E107" s="5"/>
      <c r="F107" s="260"/>
      <c r="G107" s="222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0"/>
      <c r="G108" s="222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6" t="s">
        <v>180</v>
      </c>
      <c r="B109" s="51" t="s">
        <v>256</v>
      </c>
      <c r="C109" s="51" t="s">
        <v>255</v>
      </c>
      <c r="D109" s="256" t="s">
        <v>252</v>
      </c>
      <c r="E109" s="256" t="s">
        <v>320</v>
      </c>
      <c r="F109" s="261"/>
      <c r="G109" s="222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09">
        <v>0</v>
      </c>
      <c r="B110" s="212" t="s">
        <v>132</v>
      </c>
      <c r="C110" s="211" t="s">
        <v>132</v>
      </c>
      <c r="D110" s="210" t="s">
        <v>132</v>
      </c>
      <c r="E110" s="206"/>
      <c r="F110" s="261"/>
      <c r="G110" s="222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09">
        <v>1</v>
      </c>
      <c r="B111" s="212" t="s">
        <v>132</v>
      </c>
      <c r="C111" s="211" t="s">
        <v>132</v>
      </c>
      <c r="D111" s="210" t="s">
        <v>132</v>
      </c>
      <c r="E111" s="206"/>
      <c r="F111" s="261"/>
      <c r="G111" s="220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09">
        <v>2</v>
      </c>
      <c r="B112" s="212" t="s">
        <v>132</v>
      </c>
      <c r="C112" s="211" t="s">
        <v>132</v>
      </c>
      <c r="D112" s="210" t="s">
        <v>132</v>
      </c>
      <c r="E112" s="206"/>
      <c r="F112" s="261"/>
      <c r="G112" s="220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09">
        <v>3</v>
      </c>
      <c r="B113" s="212" t="s">
        <v>132</v>
      </c>
      <c r="C113" s="211" t="s">
        <v>132</v>
      </c>
      <c r="D113" s="210" t="s">
        <v>132</v>
      </c>
      <c r="E113" s="206"/>
      <c r="F113" s="261"/>
      <c r="G113" s="220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09">
        <v>4</v>
      </c>
      <c r="B114" s="212" t="s">
        <v>132</v>
      </c>
      <c r="C114" s="211" t="s">
        <v>132</v>
      </c>
      <c r="D114" s="210" t="s">
        <v>132</v>
      </c>
      <c r="E114" s="206"/>
      <c r="F114" s="261"/>
      <c r="G114" s="220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09">
        <v>5</v>
      </c>
      <c r="B115" s="212" t="s">
        <v>132</v>
      </c>
      <c r="C115" s="211" t="s">
        <v>132</v>
      </c>
      <c r="D115" s="210" t="s">
        <v>132</v>
      </c>
      <c r="E115" s="206"/>
      <c r="F115" s="261"/>
      <c r="G115" s="221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20</v>
      </c>
      <c r="B116" s="193">
        <f>'Données projet'!D114</f>
        <v>0</v>
      </c>
      <c r="C116" s="206">
        <v>0</v>
      </c>
      <c r="D116" s="191">
        <f>B116*C116</f>
        <v>0</v>
      </c>
      <c r="E116" s="206"/>
      <c r="F116" s="262"/>
      <c r="G116" s="221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25</v>
      </c>
      <c r="B117" s="193">
        <f>'Données projet'!D115</f>
        <v>34</v>
      </c>
      <c r="C117" s="206">
        <v>10</v>
      </c>
      <c r="D117" s="191">
        <f t="shared" ref="D117:D135" si="8">B117*C117</f>
        <v>340</v>
      </c>
      <c r="E117" s="206"/>
      <c r="F117" s="262"/>
      <c r="G117" s="221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30</v>
      </c>
      <c r="B118" s="193">
        <f>'Données projet'!D116</f>
        <v>0</v>
      </c>
      <c r="C118" s="206">
        <v>0</v>
      </c>
      <c r="D118" s="191">
        <f t="shared" si="8"/>
        <v>0</v>
      </c>
      <c r="E118" s="206"/>
      <c r="F118" s="262"/>
      <c r="G118" s="221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35</v>
      </c>
      <c r="B119" s="193">
        <f>'Données projet'!D117</f>
        <v>56</v>
      </c>
      <c r="C119" s="206">
        <v>10</v>
      </c>
      <c r="D119" s="191">
        <f t="shared" si="8"/>
        <v>560</v>
      </c>
      <c r="E119" s="206"/>
      <c r="F119" s="262"/>
      <c r="G119" s="221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40</v>
      </c>
      <c r="B120" s="193">
        <f>'Données projet'!D118</f>
        <v>0</v>
      </c>
      <c r="C120" s="206">
        <v>0</v>
      </c>
      <c r="D120" s="191">
        <f t="shared" si="8"/>
        <v>0</v>
      </c>
      <c r="E120" s="206"/>
      <c r="F120" s="262"/>
      <c r="G120" s="221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45</v>
      </c>
      <c r="B121" s="193">
        <f>'Données projet'!D119</f>
        <v>56</v>
      </c>
      <c r="C121" s="206">
        <v>10</v>
      </c>
      <c r="D121" s="191">
        <f t="shared" si="8"/>
        <v>560</v>
      </c>
      <c r="E121" s="206"/>
      <c r="F121" s="262"/>
      <c r="G121" s="221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50</v>
      </c>
      <c r="B122" s="193">
        <f>'Données projet'!D120</f>
        <v>0</v>
      </c>
      <c r="C122" s="206">
        <v>0</v>
      </c>
      <c r="D122" s="191">
        <f t="shared" si="8"/>
        <v>0</v>
      </c>
      <c r="E122" s="206"/>
      <c r="F122" s="262"/>
      <c r="G122" s="222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55</v>
      </c>
      <c r="B123" s="193">
        <f>'Données projet'!D121</f>
        <v>56</v>
      </c>
      <c r="C123" s="206">
        <v>20</v>
      </c>
      <c r="D123" s="191">
        <f t="shared" si="8"/>
        <v>1120</v>
      </c>
      <c r="E123" s="206"/>
      <c r="F123" s="262"/>
      <c r="G123" s="222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60</v>
      </c>
      <c r="B124" s="193">
        <f>'Données projet'!D122</f>
        <v>0</v>
      </c>
      <c r="C124" s="206">
        <v>0</v>
      </c>
      <c r="D124" s="191">
        <f t="shared" si="8"/>
        <v>0</v>
      </c>
      <c r="E124" s="206"/>
      <c r="F124" s="262"/>
      <c r="G124" s="222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65</v>
      </c>
      <c r="B125" s="193">
        <f>'Données projet'!D123</f>
        <v>56</v>
      </c>
      <c r="C125" s="206">
        <v>30</v>
      </c>
      <c r="D125" s="191">
        <f t="shared" si="8"/>
        <v>1680</v>
      </c>
      <c r="E125" s="206"/>
      <c r="F125" s="262"/>
      <c r="G125" s="222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70</v>
      </c>
      <c r="B126" s="193">
        <f>'Données projet'!D124</f>
        <v>0</v>
      </c>
      <c r="C126" s="206">
        <v>0</v>
      </c>
      <c r="D126" s="191">
        <f t="shared" si="8"/>
        <v>0</v>
      </c>
      <c r="E126" s="206"/>
      <c r="F126" s="262"/>
      <c r="G126" s="222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75</v>
      </c>
      <c r="B127" s="193">
        <f>'Données projet'!D125</f>
        <v>56</v>
      </c>
      <c r="C127" s="206">
        <v>40</v>
      </c>
      <c r="D127" s="191">
        <f t="shared" si="8"/>
        <v>2240</v>
      </c>
      <c r="E127" s="206"/>
      <c r="F127" s="262"/>
      <c r="G127" s="222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80</v>
      </c>
      <c r="B128" s="193">
        <f>'Données projet'!D126</f>
        <v>0</v>
      </c>
      <c r="C128" s="206">
        <v>0</v>
      </c>
      <c r="D128" s="191">
        <f t="shared" si="8"/>
        <v>0</v>
      </c>
      <c r="E128" s="206"/>
      <c r="F128" s="262"/>
      <c r="G128" s="222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90</v>
      </c>
      <c r="B129" s="193">
        <f>'Données projet'!D127</f>
        <v>56</v>
      </c>
      <c r="C129" s="206">
        <v>70</v>
      </c>
      <c r="D129" s="191">
        <f t="shared" si="8"/>
        <v>3920</v>
      </c>
      <c r="E129" s="206"/>
      <c r="F129" s="262"/>
      <c r="G129" s="222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100</v>
      </c>
      <c r="B130" s="193">
        <f>'Données projet'!D128</f>
        <v>55</v>
      </c>
      <c r="C130" s="206">
        <v>100</v>
      </c>
      <c r="D130" s="191">
        <f t="shared" si="8"/>
        <v>5500</v>
      </c>
      <c r="E130" s="206"/>
      <c r="F130" s="262"/>
      <c r="G130" s="222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110</v>
      </c>
      <c r="B131" s="193">
        <f>'Données projet'!D129</f>
        <v>53</v>
      </c>
      <c r="C131" s="206">
        <v>120</v>
      </c>
      <c r="D131" s="191">
        <f t="shared" si="8"/>
        <v>6360</v>
      </c>
      <c r="E131" s="206"/>
      <c r="F131" s="262"/>
      <c r="G131" s="222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120</v>
      </c>
      <c r="B132" s="193">
        <f>'Données projet'!D130</f>
        <v>47</v>
      </c>
      <c r="C132" s="206">
        <v>120</v>
      </c>
      <c r="D132" s="191">
        <f t="shared" si="8"/>
        <v>5640</v>
      </c>
      <c r="E132" s="206"/>
      <c r="F132" s="262"/>
      <c r="G132" s="222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130</v>
      </c>
      <c r="B133" s="193">
        <f>'Données projet'!D131</f>
        <v>44</v>
      </c>
      <c r="C133" s="206">
        <v>150</v>
      </c>
      <c r="D133" s="191">
        <f t="shared" si="8"/>
        <v>6600</v>
      </c>
      <c r="E133" s="206"/>
      <c r="F133" s="262"/>
      <c r="G133" s="222"/>
      <c r="H133" s="203"/>
      <c r="I133" s="204"/>
      <c r="J133" s="5"/>
      <c r="K133" s="183"/>
      <c r="Q133" s="26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140</v>
      </c>
      <c r="B134" s="193">
        <f>'Données projet'!D132</f>
        <v>43</v>
      </c>
      <c r="C134" s="206">
        <v>200</v>
      </c>
      <c r="D134" s="191">
        <f t="shared" si="8"/>
        <v>8600</v>
      </c>
      <c r="E134" s="206"/>
      <c r="F134" s="262"/>
      <c r="G134" s="222"/>
      <c r="H134" s="203"/>
      <c r="I134" s="204"/>
      <c r="J134" s="5"/>
      <c r="K134" s="183"/>
      <c r="Q134" s="26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150</v>
      </c>
      <c r="B135" s="193">
        <f>'Données projet'!D133</f>
        <v>335</v>
      </c>
      <c r="C135" s="206">
        <v>200</v>
      </c>
      <c r="D135" s="191">
        <f t="shared" si="8"/>
        <v>67000</v>
      </c>
      <c r="E135" s="206"/>
      <c r="F135" s="262"/>
      <c r="G135" s="222"/>
      <c r="H135" s="203"/>
      <c r="I135" s="204"/>
      <c r="J135" s="5"/>
      <c r="K135" s="183"/>
      <c r="Q135" s="26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0"/>
      <c r="G136" s="222"/>
      <c r="H136" s="203"/>
      <c r="I136" s="204"/>
      <c r="J136" s="5"/>
      <c r="K136" s="183"/>
      <c r="L136" s="5"/>
      <c r="M136" s="5"/>
      <c r="N136" s="5"/>
      <c r="Q136" s="26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0"/>
      <c r="G137" s="222"/>
      <c r="H137" s="203"/>
      <c r="I137" s="204"/>
      <c r="J137" s="5"/>
      <c r="K137" s="183"/>
      <c r="L137" s="5"/>
      <c r="M137" s="5"/>
      <c r="N137" s="5"/>
      <c r="Q137" s="26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>Cèdre de l'Atlas</v>
      </c>
      <c r="C138" s="5"/>
      <c r="D138" s="5"/>
      <c r="E138" s="5"/>
      <c r="F138" s="260"/>
      <c r="G138" s="222"/>
      <c r="H138" s="203"/>
      <c r="I138" s="204"/>
      <c r="J138" s="5"/>
      <c r="K138" s="183"/>
      <c r="L138" s="5"/>
      <c r="M138" s="5"/>
      <c r="N138" s="5"/>
      <c r="Q138" s="26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0"/>
      <c r="G139" s="222"/>
      <c r="H139" s="203"/>
      <c r="I139" s="204"/>
      <c r="J139" s="5"/>
      <c r="K139" s="183"/>
      <c r="L139" s="5"/>
      <c r="M139" s="5"/>
      <c r="N139" s="5"/>
      <c r="Q139" s="26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6" t="s">
        <v>180</v>
      </c>
      <c r="B140" s="51" t="s">
        <v>256</v>
      </c>
      <c r="C140" s="51" t="s">
        <v>255</v>
      </c>
      <c r="D140" s="256" t="s">
        <v>252</v>
      </c>
      <c r="E140" s="256" t="s">
        <v>320</v>
      </c>
      <c r="F140" s="261"/>
      <c r="G140" s="222"/>
      <c r="H140" s="203"/>
      <c r="I140" s="204"/>
      <c r="J140" s="5"/>
      <c r="K140" s="183"/>
      <c r="L140" s="5"/>
      <c r="M140" s="5"/>
      <c r="N140" s="5"/>
      <c r="Q140" s="26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09">
        <v>0</v>
      </c>
      <c r="B141" s="212" t="s">
        <v>132</v>
      </c>
      <c r="C141" s="211" t="s">
        <v>132</v>
      </c>
      <c r="D141" s="210" t="s">
        <v>132</v>
      </c>
      <c r="E141" s="206"/>
      <c r="F141" s="261"/>
      <c r="G141" s="222"/>
      <c r="H141" s="203"/>
      <c r="I141" s="204"/>
      <c r="J141" s="5"/>
      <c r="K141" s="183"/>
      <c r="L141" s="5"/>
      <c r="M141" s="5"/>
      <c r="N141" s="5"/>
      <c r="Q141" s="26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09">
        <v>1</v>
      </c>
      <c r="B142" s="212" t="s">
        <v>132</v>
      </c>
      <c r="C142" s="211" t="s">
        <v>132</v>
      </c>
      <c r="D142" s="210" t="s">
        <v>132</v>
      </c>
      <c r="E142" s="206"/>
      <c r="F142" s="261"/>
      <c r="G142" s="220"/>
      <c r="H142" s="203"/>
      <c r="I142" s="204"/>
      <c r="J142" s="5"/>
      <c r="K142" s="183"/>
      <c r="L142" s="5"/>
      <c r="M142" s="5"/>
      <c r="N142" s="5"/>
      <c r="Q142" s="26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09">
        <v>2</v>
      </c>
      <c r="B143" s="212" t="s">
        <v>132</v>
      </c>
      <c r="C143" s="211" t="s">
        <v>132</v>
      </c>
      <c r="D143" s="210" t="s">
        <v>132</v>
      </c>
      <c r="E143" s="206"/>
      <c r="F143" s="261"/>
      <c r="G143" s="220"/>
      <c r="H143" s="203"/>
      <c r="I143" s="204"/>
      <c r="J143" s="5"/>
      <c r="K143" s="183"/>
      <c r="L143" s="5"/>
      <c r="M143" s="5"/>
      <c r="N143" s="5"/>
      <c r="Q143" s="26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09">
        <v>3</v>
      </c>
      <c r="B144" s="212" t="s">
        <v>132</v>
      </c>
      <c r="C144" s="211" t="s">
        <v>132</v>
      </c>
      <c r="D144" s="210" t="s">
        <v>132</v>
      </c>
      <c r="E144" s="206"/>
      <c r="F144" s="261"/>
      <c r="G144" s="220"/>
      <c r="H144" s="203"/>
      <c r="I144" s="204"/>
      <c r="J144" s="5"/>
      <c r="K144" s="183"/>
      <c r="L144" s="5"/>
      <c r="M144" s="5"/>
      <c r="N144" s="5"/>
      <c r="Q144" s="26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09">
        <v>4</v>
      </c>
      <c r="B145" s="212" t="s">
        <v>132</v>
      </c>
      <c r="C145" s="211" t="s">
        <v>132</v>
      </c>
      <c r="D145" s="210" t="s">
        <v>132</v>
      </c>
      <c r="E145" s="206"/>
      <c r="F145" s="261"/>
      <c r="G145" s="220"/>
      <c r="H145" s="203"/>
      <c r="I145" s="204"/>
      <c r="J145" s="5"/>
      <c r="K145" s="183"/>
      <c r="L145" s="5"/>
      <c r="M145" s="5"/>
      <c r="N145" s="5"/>
      <c r="Q145" s="26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09">
        <v>5</v>
      </c>
      <c r="B146" s="212" t="s">
        <v>132</v>
      </c>
      <c r="C146" s="211" t="s">
        <v>132</v>
      </c>
      <c r="D146" s="210" t="s">
        <v>132</v>
      </c>
      <c r="E146" s="206"/>
      <c r="F146" s="261"/>
      <c r="G146" s="221"/>
      <c r="H146" s="203"/>
      <c r="I146" s="204"/>
      <c r="J146" s="5"/>
      <c r="K146" s="183"/>
      <c r="L146" s="5"/>
      <c r="M146" s="5"/>
      <c r="N146" s="5"/>
      <c r="Q146" s="26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30</v>
      </c>
      <c r="B147" s="187">
        <f>'Données projet'!D140</f>
        <v>0</v>
      </c>
      <c r="C147" s="204">
        <v>0</v>
      </c>
      <c r="D147" s="194">
        <f>B147*C147</f>
        <v>0</v>
      </c>
      <c r="E147" s="206"/>
      <c r="F147" s="263"/>
      <c r="G147" s="221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51</v>
      </c>
      <c r="B148" s="187">
        <f>'Données projet'!D141</f>
        <v>100</v>
      </c>
      <c r="C148" s="204">
        <v>15</v>
      </c>
      <c r="D148" s="194">
        <f t="shared" ref="D148:D166" si="10">B148*C148</f>
        <v>1500</v>
      </c>
      <c r="E148" s="206"/>
      <c r="F148" s="263"/>
      <c r="G148" s="221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63</v>
      </c>
      <c r="B149" s="187">
        <f>'Données projet'!D142</f>
        <v>108.46153846153845</v>
      </c>
      <c r="C149" s="204">
        <v>20</v>
      </c>
      <c r="D149" s="194">
        <f t="shared" si="10"/>
        <v>2169.2307692307691</v>
      </c>
      <c r="E149" s="206"/>
      <c r="F149" s="263"/>
      <c r="G149" s="221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75</v>
      </c>
      <c r="B150" s="187">
        <f>'Données projet'!D143</f>
        <v>85.384615384615415</v>
      </c>
      <c r="C150" s="204">
        <v>30</v>
      </c>
      <c r="D150" s="194">
        <f t="shared" si="10"/>
        <v>2561.5384615384623</v>
      </c>
      <c r="E150" s="206"/>
      <c r="F150" s="263"/>
      <c r="G150" s="221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87</v>
      </c>
      <c r="B151" s="187">
        <f>'Données projet'!D144</f>
        <v>83.076923076923038</v>
      </c>
      <c r="C151" s="204">
        <v>50</v>
      </c>
      <c r="D151" s="194">
        <f t="shared" si="10"/>
        <v>4153.8461538461515</v>
      </c>
      <c r="E151" s="206"/>
      <c r="F151" s="263"/>
      <c r="G151" s="221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99</v>
      </c>
      <c r="B152" s="187">
        <f>'Données projet'!D145</f>
        <v>198.46153846153845</v>
      </c>
      <c r="C152" s="204">
        <v>60</v>
      </c>
      <c r="D152" s="194">
        <f t="shared" si="10"/>
        <v>11907.692307692307</v>
      </c>
      <c r="E152" s="206"/>
      <c r="F152" s="263"/>
      <c r="G152" s="221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109</v>
      </c>
      <c r="B153" s="187">
        <f>'Données projet'!D146</f>
        <v>256.15384615384613</v>
      </c>
      <c r="C153" s="204">
        <v>80</v>
      </c>
      <c r="D153" s="194">
        <f t="shared" si="10"/>
        <v>20492.307692307691</v>
      </c>
      <c r="E153" s="206"/>
      <c r="F153" s="263"/>
      <c r="G153" s="217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0</v>
      </c>
      <c r="B154" s="187">
        <f>'Données projet'!D147</f>
        <v>0</v>
      </c>
      <c r="C154" s="204">
        <v>0</v>
      </c>
      <c r="D154" s="194">
        <f t="shared" si="10"/>
        <v>0</v>
      </c>
      <c r="E154" s="206"/>
      <c r="F154" s="263"/>
      <c r="G154" s="217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0</v>
      </c>
      <c r="B155" s="187">
        <f>'Données projet'!D148</f>
        <v>0</v>
      </c>
      <c r="C155" s="204">
        <v>0</v>
      </c>
      <c r="D155" s="194">
        <f t="shared" si="10"/>
        <v>0</v>
      </c>
      <c r="E155" s="206"/>
      <c r="F155" s="263"/>
      <c r="G155" s="217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7">
        <f>'Données projet'!D149</f>
        <v>0</v>
      </c>
      <c r="C156" s="204">
        <v>0</v>
      </c>
      <c r="D156" s="194">
        <f t="shared" si="10"/>
        <v>0</v>
      </c>
      <c r="E156" s="206"/>
      <c r="F156" s="263"/>
      <c r="G156" s="217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7">
        <f>'Données projet'!D150</f>
        <v>0</v>
      </c>
      <c r="C157" s="204">
        <v>0</v>
      </c>
      <c r="D157" s="194">
        <f t="shared" si="10"/>
        <v>0</v>
      </c>
      <c r="E157" s="206"/>
      <c r="F157" s="263"/>
      <c r="G157" s="217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7">
        <f>'Données projet'!D151</f>
        <v>0</v>
      </c>
      <c r="C158" s="204">
        <v>0</v>
      </c>
      <c r="D158" s="194">
        <f t="shared" si="10"/>
        <v>0</v>
      </c>
      <c r="E158" s="206"/>
      <c r="F158" s="263"/>
      <c r="G158" s="217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7">
        <f>'Données projet'!D152</f>
        <v>0</v>
      </c>
      <c r="C159" s="204">
        <v>0</v>
      </c>
      <c r="D159" s="194">
        <f t="shared" si="10"/>
        <v>0</v>
      </c>
      <c r="E159" s="206"/>
      <c r="F159" s="263"/>
      <c r="G159" s="217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7">
        <f>'Données projet'!D153</f>
        <v>0</v>
      </c>
      <c r="C160" s="204">
        <v>0</v>
      </c>
      <c r="D160" s="194">
        <f t="shared" si="10"/>
        <v>0</v>
      </c>
      <c r="E160" s="206"/>
      <c r="F160" s="263"/>
      <c r="G160" s="217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7">
        <f>'Données projet'!D154</f>
        <v>0</v>
      </c>
      <c r="C161" s="204">
        <v>0</v>
      </c>
      <c r="D161" s="194">
        <f t="shared" si="10"/>
        <v>0</v>
      </c>
      <c r="E161" s="206"/>
      <c r="F161" s="263"/>
      <c r="G161" s="217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7">
        <f>'Données projet'!D155</f>
        <v>0</v>
      </c>
      <c r="C162" s="204">
        <v>0</v>
      </c>
      <c r="D162" s="194">
        <f t="shared" si="10"/>
        <v>0</v>
      </c>
      <c r="E162" s="206"/>
      <c r="F162" s="263"/>
      <c r="G162" s="217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7">
        <f>'Données projet'!D156</f>
        <v>0</v>
      </c>
      <c r="C163" s="204">
        <v>0</v>
      </c>
      <c r="D163" s="194">
        <f t="shared" si="10"/>
        <v>0</v>
      </c>
      <c r="E163" s="206"/>
      <c r="F163" s="263"/>
      <c r="G163" s="217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7">
        <f>'Données projet'!D157</f>
        <v>0</v>
      </c>
      <c r="C164" s="204">
        <v>0</v>
      </c>
      <c r="D164" s="194">
        <f t="shared" si="10"/>
        <v>0</v>
      </c>
      <c r="E164" s="206"/>
      <c r="F164" s="263"/>
      <c r="G164" s="217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7">
        <f>'Données projet'!D158</f>
        <v>0</v>
      </c>
      <c r="C165" s="204">
        <v>0</v>
      </c>
      <c r="D165" s="194">
        <f t="shared" si="10"/>
        <v>0</v>
      </c>
      <c r="E165" s="206"/>
      <c r="F165" s="263"/>
      <c r="G165" s="217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7">
        <f>'Données projet'!D159</f>
        <v>0</v>
      </c>
      <c r="C166" s="204">
        <v>0</v>
      </c>
      <c r="D166" s="194">
        <f t="shared" si="10"/>
        <v>0</v>
      </c>
      <c r="E166" s="206"/>
      <c r="F166" s="263"/>
      <c r="G166" s="217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0"/>
      <c r="G167" s="217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0"/>
      <c r="G168" s="217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>Erable sycomore</v>
      </c>
      <c r="C169" s="5"/>
      <c r="D169" s="5"/>
      <c r="E169" s="5"/>
      <c r="F169" s="260"/>
      <c r="G169" s="217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0"/>
      <c r="G170" s="217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6" t="s">
        <v>180</v>
      </c>
      <c r="B171" s="51" t="s">
        <v>256</v>
      </c>
      <c r="C171" s="51" t="s">
        <v>255</v>
      </c>
      <c r="D171" s="256" t="s">
        <v>252</v>
      </c>
      <c r="E171" s="256" t="s">
        <v>320</v>
      </c>
      <c r="F171" s="261"/>
      <c r="G171" s="217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09">
        <v>0</v>
      </c>
      <c r="B172" s="212" t="s">
        <v>132</v>
      </c>
      <c r="C172" s="211" t="s">
        <v>132</v>
      </c>
      <c r="D172" s="210" t="s">
        <v>132</v>
      </c>
      <c r="E172" s="206"/>
      <c r="F172" s="261"/>
      <c r="G172" s="217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09">
        <v>1</v>
      </c>
      <c r="B173" s="212" t="s">
        <v>132</v>
      </c>
      <c r="C173" s="211" t="s">
        <v>132</v>
      </c>
      <c r="D173" s="210" t="s">
        <v>132</v>
      </c>
      <c r="E173" s="206"/>
      <c r="F173" s="261"/>
      <c r="G173" s="220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09">
        <v>2</v>
      </c>
      <c r="B174" s="212" t="s">
        <v>132</v>
      </c>
      <c r="C174" s="211" t="s">
        <v>132</v>
      </c>
      <c r="D174" s="210" t="s">
        <v>132</v>
      </c>
      <c r="E174" s="206"/>
      <c r="F174" s="261"/>
      <c r="G174" s="220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09">
        <v>3</v>
      </c>
      <c r="B175" s="212" t="s">
        <v>132</v>
      </c>
      <c r="C175" s="211" t="s">
        <v>132</v>
      </c>
      <c r="D175" s="210" t="s">
        <v>132</v>
      </c>
      <c r="E175" s="206"/>
      <c r="F175" s="261"/>
      <c r="G175" s="220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09">
        <v>4</v>
      </c>
      <c r="B176" s="212" t="s">
        <v>132</v>
      </c>
      <c r="C176" s="211" t="s">
        <v>132</v>
      </c>
      <c r="D176" s="210" t="s">
        <v>132</v>
      </c>
      <c r="E176" s="206"/>
      <c r="F176" s="261"/>
      <c r="G176" s="220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09">
        <v>5</v>
      </c>
      <c r="B177" s="212" t="s">
        <v>132</v>
      </c>
      <c r="C177" s="211" t="s">
        <v>132</v>
      </c>
      <c r="D177" s="210" t="s">
        <v>132</v>
      </c>
      <c r="E177" s="206"/>
      <c r="F177" s="261"/>
      <c r="G177" s="221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10</v>
      </c>
      <c r="B178" s="193">
        <f>'Données projet'!D166</f>
        <v>0</v>
      </c>
      <c r="C178" s="206">
        <v>0</v>
      </c>
      <c r="D178" s="191">
        <f>B178*C178</f>
        <v>0</v>
      </c>
      <c r="E178" s="206"/>
      <c r="F178" s="262"/>
      <c r="G178" s="221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15</v>
      </c>
      <c r="B179" s="193">
        <f>'Données projet'!D167</f>
        <v>0</v>
      </c>
      <c r="C179" s="206">
        <v>0</v>
      </c>
      <c r="D179" s="191">
        <f t="shared" ref="D179:D197" si="11">B179*C179</f>
        <v>0</v>
      </c>
      <c r="E179" s="206"/>
      <c r="F179" s="262"/>
      <c r="G179" s="221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20</v>
      </c>
      <c r="B180" s="193">
        <f>'Données projet'!D168</f>
        <v>66.5</v>
      </c>
      <c r="C180" s="204">
        <v>10</v>
      </c>
      <c r="D180" s="191">
        <f t="shared" si="11"/>
        <v>665</v>
      </c>
      <c r="E180" s="206"/>
      <c r="F180" s="262"/>
      <c r="G180" s="221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25</v>
      </c>
      <c r="B181" s="193">
        <f>'Données projet'!D169</f>
        <v>0</v>
      </c>
      <c r="C181" s="204">
        <v>0</v>
      </c>
      <c r="D181" s="191">
        <f t="shared" si="11"/>
        <v>0</v>
      </c>
      <c r="E181" s="206"/>
      <c r="F181" s="262"/>
      <c r="G181" s="221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30</v>
      </c>
      <c r="B182" s="193">
        <f>'Données projet'!D170</f>
        <v>70</v>
      </c>
      <c r="C182" s="204">
        <v>20</v>
      </c>
      <c r="D182" s="191">
        <f t="shared" si="11"/>
        <v>1400</v>
      </c>
      <c r="E182" s="206"/>
      <c r="F182" s="262"/>
      <c r="G182" s="221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35</v>
      </c>
      <c r="B183" s="193">
        <f>'Données projet'!D171</f>
        <v>0</v>
      </c>
      <c r="C183" s="204">
        <v>0</v>
      </c>
      <c r="D183" s="191">
        <f t="shared" si="11"/>
        <v>0</v>
      </c>
      <c r="E183" s="206"/>
      <c r="F183" s="262"/>
      <c r="G183" s="221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40</v>
      </c>
      <c r="B184" s="193">
        <f>'Données projet'!D172</f>
        <v>70</v>
      </c>
      <c r="C184" s="204">
        <v>30</v>
      </c>
      <c r="D184" s="191">
        <f t="shared" si="11"/>
        <v>2100</v>
      </c>
      <c r="E184" s="206"/>
      <c r="F184" s="262"/>
      <c r="G184" s="222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45</v>
      </c>
      <c r="B185" s="193">
        <f>'Données projet'!D173</f>
        <v>0</v>
      </c>
      <c r="C185" s="204">
        <v>0</v>
      </c>
      <c r="D185" s="191">
        <f t="shared" si="11"/>
        <v>0</v>
      </c>
      <c r="E185" s="206"/>
      <c r="F185" s="262"/>
      <c r="G185" s="222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50</v>
      </c>
      <c r="B186" s="193">
        <f>'Données projet'!D174</f>
        <v>43.099999999999994</v>
      </c>
      <c r="C186" s="204">
        <v>50</v>
      </c>
      <c r="D186" s="191">
        <f t="shared" si="11"/>
        <v>2154.9999999999995</v>
      </c>
      <c r="E186" s="206"/>
      <c r="F186" s="262"/>
      <c r="G186" s="222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55</v>
      </c>
      <c r="B187" s="193">
        <f>'Données projet'!D175</f>
        <v>0</v>
      </c>
      <c r="C187" s="204">
        <v>0</v>
      </c>
      <c r="D187" s="191">
        <f t="shared" si="11"/>
        <v>0</v>
      </c>
      <c r="E187" s="206"/>
      <c r="F187" s="262"/>
      <c r="G187" s="222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60</v>
      </c>
      <c r="B188" s="193">
        <f>'Données projet'!D176</f>
        <v>30.2</v>
      </c>
      <c r="C188" s="204">
        <v>80</v>
      </c>
      <c r="D188" s="191">
        <f t="shared" si="11"/>
        <v>2416</v>
      </c>
      <c r="E188" s="206"/>
      <c r="F188" s="262"/>
      <c r="G188" s="222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65</v>
      </c>
      <c r="B189" s="193">
        <f>'Données projet'!D177</f>
        <v>0</v>
      </c>
      <c r="C189" s="204">
        <v>0</v>
      </c>
      <c r="D189" s="191">
        <f t="shared" si="11"/>
        <v>0</v>
      </c>
      <c r="E189" s="206"/>
      <c r="F189" s="262"/>
      <c r="G189" s="222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70</v>
      </c>
      <c r="B190" s="193">
        <f>'Données projet'!D178</f>
        <v>30.9</v>
      </c>
      <c r="C190" s="204">
        <v>100</v>
      </c>
      <c r="D190" s="191">
        <f t="shared" si="11"/>
        <v>3090</v>
      </c>
      <c r="E190" s="206"/>
      <c r="F190" s="262"/>
      <c r="G190" s="222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75</v>
      </c>
      <c r="B191" s="193">
        <f>'Données projet'!D179</f>
        <v>0</v>
      </c>
      <c r="C191" s="204">
        <v>0</v>
      </c>
      <c r="D191" s="191">
        <f t="shared" si="11"/>
        <v>0</v>
      </c>
      <c r="E191" s="206"/>
      <c r="F191" s="262"/>
      <c r="G191" s="222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80</v>
      </c>
      <c r="B192" s="193">
        <f>'Données projet'!D180</f>
        <v>341.3</v>
      </c>
      <c r="C192" s="204">
        <v>150</v>
      </c>
      <c r="D192" s="191">
        <f t="shared" si="11"/>
        <v>51195</v>
      </c>
      <c r="E192" s="206"/>
      <c r="F192" s="262"/>
      <c r="G192" s="222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4">
        <v>0</v>
      </c>
      <c r="D193" s="191">
        <f t="shared" si="11"/>
        <v>0</v>
      </c>
      <c r="E193" s="206"/>
      <c r="F193" s="262"/>
      <c r="G193" s="222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4">
        <v>0</v>
      </c>
      <c r="D194" s="191">
        <f t="shared" si="11"/>
        <v>0</v>
      </c>
      <c r="E194" s="206"/>
      <c r="F194" s="262"/>
      <c r="G194" s="222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4">
        <v>0</v>
      </c>
      <c r="D195" s="191">
        <f t="shared" si="11"/>
        <v>0</v>
      </c>
      <c r="E195" s="206"/>
      <c r="F195" s="262"/>
      <c r="G195" s="222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4">
        <v>0</v>
      </c>
      <c r="D196" s="191">
        <f t="shared" si="11"/>
        <v>0</v>
      </c>
      <c r="E196" s="206"/>
      <c r="F196" s="262"/>
      <c r="G196" s="222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4">
        <v>0</v>
      </c>
      <c r="D197" s="191">
        <f t="shared" si="11"/>
        <v>0</v>
      </c>
      <c r="E197" s="206"/>
      <c r="F197" s="262"/>
      <c r="G197" s="222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0"/>
      <c r="G198" s="222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0"/>
      <c r="G199" s="222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>Hêtre</v>
      </c>
      <c r="C200" s="5"/>
      <c r="D200" s="5"/>
      <c r="E200" s="5"/>
      <c r="F200" s="260"/>
      <c r="G200" s="222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0"/>
      <c r="G201" s="222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6" t="s">
        <v>180</v>
      </c>
      <c r="B202" s="51" t="s">
        <v>256</v>
      </c>
      <c r="C202" s="51" t="s">
        <v>255</v>
      </c>
      <c r="D202" s="256" t="s">
        <v>252</v>
      </c>
      <c r="E202" s="256" t="s">
        <v>320</v>
      </c>
      <c r="F202" s="261"/>
      <c r="G202" s="222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09">
        <v>0</v>
      </c>
      <c r="B203" s="212" t="s">
        <v>132</v>
      </c>
      <c r="C203" s="211" t="s">
        <v>132</v>
      </c>
      <c r="D203" s="210" t="s">
        <v>132</v>
      </c>
      <c r="E203" s="206"/>
      <c r="F203" s="261"/>
      <c r="G203" s="222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09">
        <v>1</v>
      </c>
      <c r="B204" s="212" t="s">
        <v>132</v>
      </c>
      <c r="C204" s="211" t="s">
        <v>132</v>
      </c>
      <c r="D204" s="210" t="s">
        <v>132</v>
      </c>
      <c r="E204" s="206"/>
      <c r="F204" s="261"/>
      <c r="G204" s="220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09">
        <v>2</v>
      </c>
      <c r="B205" s="212" t="s">
        <v>132</v>
      </c>
      <c r="C205" s="211" t="s">
        <v>132</v>
      </c>
      <c r="D205" s="210" t="s">
        <v>132</v>
      </c>
      <c r="E205" s="206"/>
      <c r="F205" s="261"/>
      <c r="G205" s="220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09">
        <v>3</v>
      </c>
      <c r="B206" s="212" t="s">
        <v>132</v>
      </c>
      <c r="C206" s="211" t="s">
        <v>132</v>
      </c>
      <c r="D206" s="210" t="s">
        <v>132</v>
      </c>
      <c r="E206" s="206"/>
      <c r="F206" s="261"/>
      <c r="G206" s="220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09">
        <v>4</v>
      </c>
      <c r="B207" s="212" t="s">
        <v>132</v>
      </c>
      <c r="C207" s="211" t="s">
        <v>132</v>
      </c>
      <c r="D207" s="210" t="s">
        <v>132</v>
      </c>
      <c r="E207" s="206"/>
      <c r="F207" s="261"/>
      <c r="G207" s="220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09">
        <v>5</v>
      </c>
      <c r="B208" s="212" t="s">
        <v>132</v>
      </c>
      <c r="C208" s="211" t="s">
        <v>132</v>
      </c>
      <c r="D208" s="210" t="s">
        <v>132</v>
      </c>
      <c r="E208" s="206"/>
      <c r="F208" s="261"/>
      <c r="G208" s="221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18</v>
      </c>
      <c r="B209" s="193">
        <f>'Données projet'!D192</f>
        <v>0</v>
      </c>
      <c r="C209" s="206">
        <v>0</v>
      </c>
      <c r="D209" s="191">
        <f>B209*C209</f>
        <v>0</v>
      </c>
      <c r="E209" s="206"/>
      <c r="F209" s="262"/>
      <c r="G209" s="221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21</v>
      </c>
      <c r="B210" s="193">
        <f>'Données projet'!D193</f>
        <v>0</v>
      </c>
      <c r="C210" s="204">
        <v>0</v>
      </c>
      <c r="D210" s="191">
        <f t="shared" ref="D210:D228" si="12">B210*C210</f>
        <v>0</v>
      </c>
      <c r="E210" s="206"/>
      <c r="F210" s="262"/>
      <c r="G210" s="221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27</v>
      </c>
      <c r="B211" s="193">
        <f>'Données projet'!D194</f>
        <v>12</v>
      </c>
      <c r="C211" s="204">
        <v>10</v>
      </c>
      <c r="D211" s="191">
        <f t="shared" si="12"/>
        <v>120</v>
      </c>
      <c r="E211" s="206"/>
      <c r="F211" s="262"/>
      <c r="G211" s="221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30</v>
      </c>
      <c r="B212" s="193">
        <f>'Données projet'!D195</f>
        <v>13</v>
      </c>
      <c r="C212" s="204">
        <v>15</v>
      </c>
      <c r="D212" s="191">
        <f t="shared" si="12"/>
        <v>195</v>
      </c>
      <c r="E212" s="206"/>
      <c r="F212" s="262"/>
      <c r="G212" s="221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36</v>
      </c>
      <c r="B213" s="193">
        <f>'Données projet'!D196</f>
        <v>60</v>
      </c>
      <c r="C213" s="204">
        <v>20</v>
      </c>
      <c r="D213" s="191">
        <f t="shared" si="12"/>
        <v>1200</v>
      </c>
      <c r="E213" s="206"/>
      <c r="F213" s="262"/>
      <c r="G213" s="221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42</v>
      </c>
      <c r="B214" s="193">
        <f>'Données projet'!D197</f>
        <v>59</v>
      </c>
      <c r="C214" s="204">
        <v>30</v>
      </c>
      <c r="D214" s="191">
        <f t="shared" si="12"/>
        <v>1770</v>
      </c>
      <c r="E214" s="206"/>
      <c r="F214" s="262"/>
      <c r="G214" s="221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48</v>
      </c>
      <c r="B215" s="193">
        <f>'Données projet'!D198</f>
        <v>63</v>
      </c>
      <c r="C215" s="204">
        <v>30</v>
      </c>
      <c r="D215" s="191">
        <f t="shared" si="12"/>
        <v>1890</v>
      </c>
      <c r="E215" s="206"/>
      <c r="F215" s="262"/>
      <c r="G215" s="222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54</v>
      </c>
      <c r="B216" s="193">
        <f>'Données projet'!D199</f>
        <v>64</v>
      </c>
      <c r="C216" s="204">
        <v>40</v>
      </c>
      <c r="D216" s="191">
        <f t="shared" si="12"/>
        <v>2560</v>
      </c>
      <c r="E216" s="206"/>
      <c r="F216" s="262"/>
      <c r="G216" s="222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60</v>
      </c>
      <c r="B217" s="193">
        <f>'Données projet'!D200</f>
        <v>61</v>
      </c>
      <c r="C217" s="204">
        <v>40</v>
      </c>
      <c r="D217" s="191">
        <f t="shared" si="12"/>
        <v>2440</v>
      </c>
      <c r="E217" s="206"/>
      <c r="F217" s="262"/>
      <c r="G217" s="222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69</v>
      </c>
      <c r="B218" s="193">
        <f>'Données projet'!D201</f>
        <v>84</v>
      </c>
      <c r="C218" s="204">
        <v>50</v>
      </c>
      <c r="D218" s="191">
        <f t="shared" si="12"/>
        <v>4200</v>
      </c>
      <c r="E218" s="206"/>
      <c r="F218" s="262"/>
      <c r="G218" s="222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78</v>
      </c>
      <c r="B219" s="193">
        <f>'Données projet'!D202</f>
        <v>39</v>
      </c>
      <c r="C219" s="204">
        <v>60</v>
      </c>
      <c r="D219" s="191">
        <f t="shared" si="12"/>
        <v>2340</v>
      </c>
      <c r="E219" s="206"/>
      <c r="F219" s="262"/>
      <c r="G219" s="222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84</v>
      </c>
      <c r="B220" s="193">
        <f>'Données projet'!D203</f>
        <v>0</v>
      </c>
      <c r="C220" s="204">
        <v>0</v>
      </c>
      <c r="D220" s="191">
        <f t="shared" si="12"/>
        <v>0</v>
      </c>
      <c r="E220" s="206"/>
      <c r="F220" s="262"/>
      <c r="G220" s="222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90</v>
      </c>
      <c r="B221" s="193">
        <f>'Données projet'!D204</f>
        <v>0</v>
      </c>
      <c r="C221" s="204">
        <v>0</v>
      </c>
      <c r="D221" s="191">
        <f t="shared" si="12"/>
        <v>0</v>
      </c>
      <c r="E221" s="206"/>
      <c r="F221" s="262"/>
      <c r="G221" s="222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96</v>
      </c>
      <c r="B222" s="193">
        <f>'Données projet'!D205</f>
        <v>0</v>
      </c>
      <c r="C222" s="206">
        <v>0</v>
      </c>
      <c r="D222" s="191">
        <f t="shared" si="12"/>
        <v>0</v>
      </c>
      <c r="E222" s="206"/>
      <c r="F222" s="262"/>
      <c r="G222" s="222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99</v>
      </c>
      <c r="B223" s="193">
        <f>'Données projet'!D206</f>
        <v>591</v>
      </c>
      <c r="C223" s="206">
        <v>80</v>
      </c>
      <c r="D223" s="191">
        <f t="shared" si="12"/>
        <v>47280</v>
      </c>
      <c r="E223" s="206"/>
      <c r="F223" s="262"/>
      <c r="G223" s="222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0</v>
      </c>
      <c r="B224" s="193">
        <f>'Données projet'!D207</f>
        <v>0</v>
      </c>
      <c r="C224" s="206">
        <v>0</v>
      </c>
      <c r="D224" s="191">
        <f t="shared" si="12"/>
        <v>0</v>
      </c>
      <c r="E224" s="206"/>
      <c r="F224" s="262"/>
      <c r="G224" s="222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0</v>
      </c>
      <c r="B225" s="193">
        <f>'Données projet'!D208</f>
        <v>0</v>
      </c>
      <c r="C225" s="206">
        <v>0</v>
      </c>
      <c r="D225" s="191">
        <f t="shared" si="12"/>
        <v>0</v>
      </c>
      <c r="E225" s="206"/>
      <c r="F225" s="262"/>
      <c r="G225" s="222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0</v>
      </c>
      <c r="B226" s="193">
        <f>'Données projet'!D209</f>
        <v>0</v>
      </c>
      <c r="C226" s="206">
        <v>0</v>
      </c>
      <c r="D226" s="191">
        <f t="shared" si="12"/>
        <v>0</v>
      </c>
      <c r="E226" s="206"/>
      <c r="F226" s="262"/>
      <c r="G226" s="222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0</v>
      </c>
      <c r="B227" s="193">
        <f>'Données projet'!D210</f>
        <v>0</v>
      </c>
      <c r="C227" s="206">
        <v>0</v>
      </c>
      <c r="D227" s="191">
        <f t="shared" si="12"/>
        <v>0</v>
      </c>
      <c r="E227" s="206"/>
      <c r="F227" s="262"/>
      <c r="G227" s="222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0</v>
      </c>
      <c r="B228" s="193">
        <f>'Données projet'!D211</f>
        <v>0</v>
      </c>
      <c r="C228" s="206">
        <v>0</v>
      </c>
      <c r="D228" s="191">
        <f t="shared" si="12"/>
        <v>0</v>
      </c>
      <c r="E228" s="206"/>
      <c r="F228" s="262"/>
      <c r="G228" s="222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0"/>
      <c r="G229" s="222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0"/>
      <c r="G230" s="222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>Alisier torminal</v>
      </c>
      <c r="C231" s="5"/>
      <c r="D231" s="5"/>
      <c r="E231" s="5"/>
      <c r="F231" s="260"/>
      <c r="G231" s="222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0"/>
      <c r="G232" s="222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6" t="s">
        <v>180</v>
      </c>
      <c r="B233" s="51" t="s">
        <v>256</v>
      </c>
      <c r="C233" s="51" t="s">
        <v>255</v>
      </c>
      <c r="D233" s="256" t="s">
        <v>252</v>
      </c>
      <c r="E233" s="256" t="s">
        <v>320</v>
      </c>
      <c r="F233" s="261"/>
      <c r="G233" s="222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09">
        <v>0</v>
      </c>
      <c r="B234" s="212" t="s">
        <v>132</v>
      </c>
      <c r="C234" s="211" t="s">
        <v>132</v>
      </c>
      <c r="D234" s="210" t="s">
        <v>132</v>
      </c>
      <c r="E234" s="206"/>
      <c r="F234" s="261"/>
      <c r="G234" s="222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09">
        <v>1</v>
      </c>
      <c r="B235" s="212" t="s">
        <v>132</v>
      </c>
      <c r="C235" s="211" t="s">
        <v>132</v>
      </c>
      <c r="D235" s="210" t="s">
        <v>132</v>
      </c>
      <c r="E235" s="206"/>
      <c r="F235" s="261"/>
      <c r="G235" s="220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09">
        <v>2</v>
      </c>
      <c r="B236" s="212" t="s">
        <v>132</v>
      </c>
      <c r="C236" s="211" t="s">
        <v>132</v>
      </c>
      <c r="D236" s="210" t="s">
        <v>132</v>
      </c>
      <c r="E236" s="206"/>
      <c r="F236" s="261"/>
      <c r="G236" s="220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09">
        <v>3</v>
      </c>
      <c r="B237" s="212" t="s">
        <v>132</v>
      </c>
      <c r="C237" s="211" t="s">
        <v>132</v>
      </c>
      <c r="D237" s="210" t="s">
        <v>132</v>
      </c>
      <c r="E237" s="206"/>
      <c r="F237" s="261"/>
      <c r="G237" s="220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09">
        <v>4</v>
      </c>
      <c r="B238" s="212" t="s">
        <v>132</v>
      </c>
      <c r="C238" s="211" t="s">
        <v>132</v>
      </c>
      <c r="D238" s="210" t="s">
        <v>132</v>
      </c>
      <c r="E238" s="206"/>
      <c r="F238" s="261"/>
      <c r="G238" s="220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09">
        <v>5</v>
      </c>
      <c r="B239" s="212" t="s">
        <v>132</v>
      </c>
      <c r="C239" s="211" t="s">
        <v>132</v>
      </c>
      <c r="D239" s="210" t="s">
        <v>132</v>
      </c>
      <c r="E239" s="206"/>
      <c r="F239" s="261"/>
      <c r="G239" s="221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20</v>
      </c>
      <c r="B240" s="193">
        <f>'Données projet'!D218</f>
        <v>0</v>
      </c>
      <c r="C240" s="206">
        <v>0</v>
      </c>
      <c r="D240" s="191">
        <f>B240*C240</f>
        <v>0</v>
      </c>
      <c r="E240" s="206"/>
      <c r="F240" s="262"/>
      <c r="G240" s="221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25</v>
      </c>
      <c r="B241" s="193">
        <f>'Données projet'!D219</f>
        <v>34</v>
      </c>
      <c r="C241" s="206">
        <v>10</v>
      </c>
      <c r="D241" s="191">
        <f t="shared" ref="D241:D259" si="13">B241*C241</f>
        <v>340</v>
      </c>
      <c r="E241" s="206"/>
      <c r="F241" s="262"/>
      <c r="G241" s="221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30</v>
      </c>
      <c r="B242" s="193">
        <f>'Données projet'!D220</f>
        <v>0</v>
      </c>
      <c r="C242" s="206">
        <v>0</v>
      </c>
      <c r="D242" s="191">
        <f t="shared" si="13"/>
        <v>0</v>
      </c>
      <c r="E242" s="206"/>
      <c r="F242" s="262"/>
      <c r="G242" s="221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35</v>
      </c>
      <c r="B243" s="193">
        <f>'Données projet'!D221</f>
        <v>56</v>
      </c>
      <c r="C243" s="206">
        <v>10</v>
      </c>
      <c r="D243" s="191">
        <f t="shared" si="13"/>
        <v>560</v>
      </c>
      <c r="E243" s="206"/>
      <c r="F243" s="262"/>
      <c r="G243" s="221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40</v>
      </c>
      <c r="B244" s="193">
        <f>'Données projet'!D222</f>
        <v>0</v>
      </c>
      <c r="C244" s="206">
        <v>0</v>
      </c>
      <c r="D244" s="191">
        <f t="shared" si="13"/>
        <v>0</v>
      </c>
      <c r="E244" s="206"/>
      <c r="F244" s="262"/>
      <c r="G244" s="221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45</v>
      </c>
      <c r="B245" s="193">
        <f>'Données projet'!D223</f>
        <v>56</v>
      </c>
      <c r="C245" s="206">
        <v>10</v>
      </c>
      <c r="D245" s="191">
        <f t="shared" si="13"/>
        <v>560</v>
      </c>
      <c r="E245" s="206"/>
      <c r="F245" s="262"/>
      <c r="G245" s="221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50</v>
      </c>
      <c r="B246" s="193">
        <f>'Données projet'!D224</f>
        <v>0</v>
      </c>
      <c r="C246" s="206">
        <v>0</v>
      </c>
      <c r="D246" s="191">
        <f t="shared" si="13"/>
        <v>0</v>
      </c>
      <c r="E246" s="206"/>
      <c r="F246" s="262"/>
      <c r="G246" s="222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55</v>
      </c>
      <c r="B247" s="193">
        <f>'Données projet'!D225</f>
        <v>56</v>
      </c>
      <c r="C247" s="206">
        <v>20</v>
      </c>
      <c r="D247" s="191">
        <f t="shared" si="13"/>
        <v>1120</v>
      </c>
      <c r="E247" s="206"/>
      <c r="F247" s="262"/>
      <c r="G247" s="222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60</v>
      </c>
      <c r="B248" s="193">
        <f>'Données projet'!D226</f>
        <v>0</v>
      </c>
      <c r="C248" s="206">
        <v>0</v>
      </c>
      <c r="D248" s="191">
        <f t="shared" si="13"/>
        <v>0</v>
      </c>
      <c r="E248" s="206"/>
      <c r="F248" s="262"/>
      <c r="G248" s="222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65</v>
      </c>
      <c r="B249" s="193">
        <f>'Données projet'!D227</f>
        <v>56</v>
      </c>
      <c r="C249" s="206">
        <v>30</v>
      </c>
      <c r="D249" s="191">
        <f t="shared" si="13"/>
        <v>1680</v>
      </c>
      <c r="E249" s="206"/>
      <c r="F249" s="262"/>
      <c r="G249" s="222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70</v>
      </c>
      <c r="B250" s="193">
        <f>'Données projet'!D228</f>
        <v>0</v>
      </c>
      <c r="C250" s="206">
        <v>0</v>
      </c>
      <c r="D250" s="191">
        <f t="shared" si="13"/>
        <v>0</v>
      </c>
      <c r="E250" s="206"/>
      <c r="F250" s="262"/>
      <c r="G250" s="222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75</v>
      </c>
      <c r="B251" s="193">
        <f>'Données projet'!D229</f>
        <v>56</v>
      </c>
      <c r="C251" s="206">
        <v>40</v>
      </c>
      <c r="D251" s="191">
        <f t="shared" si="13"/>
        <v>2240</v>
      </c>
      <c r="E251" s="206"/>
      <c r="F251" s="262"/>
      <c r="G251" s="222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80</v>
      </c>
      <c r="B252" s="193">
        <f>'Données projet'!D230</f>
        <v>0</v>
      </c>
      <c r="C252" s="206">
        <v>0</v>
      </c>
      <c r="D252" s="191">
        <f t="shared" si="13"/>
        <v>0</v>
      </c>
      <c r="E252" s="206"/>
      <c r="F252" s="262"/>
      <c r="G252" s="222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90</v>
      </c>
      <c r="B253" s="193">
        <f>'Données projet'!D231</f>
        <v>56</v>
      </c>
      <c r="C253" s="206">
        <v>70</v>
      </c>
      <c r="D253" s="191">
        <f t="shared" si="13"/>
        <v>3920</v>
      </c>
      <c r="E253" s="206"/>
      <c r="F253" s="262"/>
      <c r="G253" s="222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100</v>
      </c>
      <c r="B254" s="193">
        <f>'Données projet'!D232</f>
        <v>55</v>
      </c>
      <c r="C254" s="206">
        <v>100</v>
      </c>
      <c r="D254" s="191">
        <f t="shared" si="13"/>
        <v>5500</v>
      </c>
      <c r="E254" s="206"/>
      <c r="F254" s="262"/>
      <c r="G254" s="222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110</v>
      </c>
      <c r="B255" s="193">
        <f>'Données projet'!D233</f>
        <v>53</v>
      </c>
      <c r="C255" s="206">
        <v>120</v>
      </c>
      <c r="D255" s="191">
        <f t="shared" si="13"/>
        <v>6360</v>
      </c>
      <c r="E255" s="206"/>
      <c r="F255" s="262"/>
      <c r="G255" s="222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120</v>
      </c>
      <c r="B256" s="193">
        <f>'Données projet'!D234</f>
        <v>47</v>
      </c>
      <c r="C256" s="206">
        <v>120</v>
      </c>
      <c r="D256" s="191">
        <f t="shared" si="13"/>
        <v>5640</v>
      </c>
      <c r="E256" s="206"/>
      <c r="F256" s="262"/>
      <c r="G256" s="222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130</v>
      </c>
      <c r="B257" s="193">
        <f>'Données projet'!D235</f>
        <v>44</v>
      </c>
      <c r="C257" s="206">
        <v>150</v>
      </c>
      <c r="D257" s="191">
        <f t="shared" si="13"/>
        <v>6600</v>
      </c>
      <c r="E257" s="206"/>
      <c r="F257" s="262"/>
      <c r="G257" s="222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140</v>
      </c>
      <c r="B258" s="193">
        <f>'Données projet'!D236</f>
        <v>43</v>
      </c>
      <c r="C258" s="206">
        <v>200</v>
      </c>
      <c r="D258" s="191">
        <f t="shared" si="13"/>
        <v>8600</v>
      </c>
      <c r="E258" s="206"/>
      <c r="F258" s="262"/>
      <c r="G258" s="222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150</v>
      </c>
      <c r="B259" s="193">
        <f>'Données projet'!D237</f>
        <v>335</v>
      </c>
      <c r="C259" s="206">
        <v>200</v>
      </c>
      <c r="D259" s="191">
        <f t="shared" si="13"/>
        <v>67000</v>
      </c>
      <c r="E259" s="206"/>
      <c r="F259" s="262"/>
      <c r="G259" s="222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0"/>
      <c r="G260" s="222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0"/>
      <c r="G261" s="222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>Merisier</v>
      </c>
      <c r="C262" s="5"/>
      <c r="D262" s="5"/>
      <c r="E262" s="5"/>
      <c r="F262" s="260"/>
      <c r="G262" s="222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0"/>
      <c r="G263" s="222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6" t="s">
        <v>180</v>
      </c>
      <c r="B264" s="51" t="s">
        <v>256</v>
      </c>
      <c r="C264" s="51" t="s">
        <v>255</v>
      </c>
      <c r="D264" s="256" t="s">
        <v>252</v>
      </c>
      <c r="E264" s="256" t="s">
        <v>320</v>
      </c>
      <c r="F264" s="261"/>
      <c r="G264" s="222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09">
        <v>0</v>
      </c>
      <c r="B265" s="212" t="s">
        <v>132</v>
      </c>
      <c r="C265" s="211" t="s">
        <v>132</v>
      </c>
      <c r="D265" s="210" t="s">
        <v>132</v>
      </c>
      <c r="E265" s="206"/>
      <c r="F265" s="261"/>
      <c r="G265" s="222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09">
        <v>1</v>
      </c>
      <c r="B266" s="212" t="s">
        <v>132</v>
      </c>
      <c r="C266" s="211" t="s">
        <v>132</v>
      </c>
      <c r="D266" s="210" t="s">
        <v>132</v>
      </c>
      <c r="E266" s="206"/>
      <c r="F266" s="261"/>
      <c r="G266" s="220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09">
        <v>2</v>
      </c>
      <c r="B267" s="212" t="s">
        <v>132</v>
      </c>
      <c r="C267" s="211" t="s">
        <v>132</v>
      </c>
      <c r="D267" s="210" t="s">
        <v>132</v>
      </c>
      <c r="E267" s="206"/>
      <c r="F267" s="261"/>
      <c r="G267" s="220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09">
        <v>3</v>
      </c>
      <c r="B268" s="212" t="s">
        <v>132</v>
      </c>
      <c r="C268" s="211" t="s">
        <v>132</v>
      </c>
      <c r="D268" s="210" t="s">
        <v>132</v>
      </c>
      <c r="E268" s="206"/>
      <c r="F268" s="261"/>
      <c r="G268" s="220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09">
        <v>4</v>
      </c>
      <c r="B269" s="212" t="s">
        <v>132</v>
      </c>
      <c r="C269" s="211" t="s">
        <v>132</v>
      </c>
      <c r="D269" s="210" t="s">
        <v>132</v>
      </c>
      <c r="E269" s="206"/>
      <c r="F269" s="261"/>
      <c r="G269" s="220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09">
        <v>5</v>
      </c>
      <c r="B270" s="212" t="s">
        <v>132</v>
      </c>
      <c r="C270" s="211" t="s">
        <v>132</v>
      </c>
      <c r="D270" s="210" t="s">
        <v>132</v>
      </c>
      <c r="E270" s="206"/>
      <c r="F270" s="261"/>
      <c r="G270" s="221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15</v>
      </c>
      <c r="B271" s="193">
        <f>'Données projet'!D244</f>
        <v>0</v>
      </c>
      <c r="C271" s="206">
        <v>0</v>
      </c>
      <c r="D271" s="191">
        <f>B271*C271</f>
        <v>0</v>
      </c>
      <c r="E271" s="206"/>
      <c r="F271" s="262"/>
      <c r="G271" s="221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20</v>
      </c>
      <c r="B272" s="193">
        <f>'Données projet'!D245</f>
        <v>0</v>
      </c>
      <c r="C272" s="204">
        <v>0</v>
      </c>
      <c r="D272" s="191">
        <f t="shared" ref="D272:D290" si="14">B272*C272</f>
        <v>0</v>
      </c>
      <c r="E272" s="206"/>
      <c r="F272" s="262"/>
      <c r="G272" s="221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25</v>
      </c>
      <c r="B273" s="193">
        <f>'Données projet'!D246</f>
        <v>55</v>
      </c>
      <c r="C273" s="204">
        <v>10</v>
      </c>
      <c r="D273" s="191">
        <f t="shared" si="14"/>
        <v>550</v>
      </c>
      <c r="E273" s="206"/>
      <c r="F273" s="262"/>
      <c r="G273" s="221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31</v>
      </c>
      <c r="B274" s="193">
        <f>'Données projet'!D247</f>
        <v>36</v>
      </c>
      <c r="C274" s="204">
        <v>15</v>
      </c>
      <c r="D274" s="191">
        <f t="shared" si="14"/>
        <v>540</v>
      </c>
      <c r="E274" s="206"/>
      <c r="F274" s="262"/>
      <c r="G274" s="221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37</v>
      </c>
      <c r="B275" s="193">
        <f>'Données projet'!D248</f>
        <v>36</v>
      </c>
      <c r="C275" s="204">
        <v>20</v>
      </c>
      <c r="D275" s="191">
        <f t="shared" si="14"/>
        <v>720</v>
      </c>
      <c r="E275" s="206"/>
      <c r="F275" s="262"/>
      <c r="G275" s="221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44</v>
      </c>
      <c r="B276" s="193">
        <f>'Données projet'!D249</f>
        <v>43</v>
      </c>
      <c r="C276" s="204">
        <v>40</v>
      </c>
      <c r="D276" s="191">
        <f t="shared" si="14"/>
        <v>1720</v>
      </c>
      <c r="E276" s="206"/>
      <c r="F276" s="262"/>
      <c r="G276" s="221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52</v>
      </c>
      <c r="B277" s="193">
        <f>'Données projet'!D250</f>
        <v>48</v>
      </c>
      <c r="C277" s="204">
        <v>50</v>
      </c>
      <c r="D277" s="191">
        <f t="shared" si="14"/>
        <v>2400</v>
      </c>
      <c r="E277" s="206"/>
      <c r="F277" s="262"/>
      <c r="G277" s="222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60</v>
      </c>
      <c r="B278" s="193">
        <f>'Données projet'!D251</f>
        <v>47</v>
      </c>
      <c r="C278" s="204">
        <v>80</v>
      </c>
      <c r="D278" s="191">
        <f t="shared" si="14"/>
        <v>3760</v>
      </c>
      <c r="E278" s="206"/>
      <c r="F278" s="262"/>
      <c r="G278" s="222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69</v>
      </c>
      <c r="B279" s="193">
        <f>'Données projet'!D252</f>
        <v>328</v>
      </c>
      <c r="C279" s="204">
        <v>90</v>
      </c>
      <c r="D279" s="191">
        <f t="shared" si="14"/>
        <v>29520</v>
      </c>
      <c r="E279" s="206"/>
      <c r="F279" s="262"/>
      <c r="G279" s="222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0</v>
      </c>
      <c r="B280" s="193">
        <f>'Données projet'!D253</f>
        <v>0</v>
      </c>
      <c r="C280" s="204">
        <v>0</v>
      </c>
      <c r="D280" s="191">
        <f t="shared" si="14"/>
        <v>0</v>
      </c>
      <c r="E280" s="206"/>
      <c r="F280" s="262"/>
      <c r="G280" s="222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0</v>
      </c>
      <c r="B281" s="193">
        <f>'Données projet'!D254</f>
        <v>0</v>
      </c>
      <c r="C281" s="206">
        <v>0</v>
      </c>
      <c r="D281" s="191">
        <f t="shared" si="14"/>
        <v>0</v>
      </c>
      <c r="E281" s="206"/>
      <c r="F281" s="262"/>
      <c r="G281" s="222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0</v>
      </c>
      <c r="B282" s="193">
        <f>'Données projet'!D255</f>
        <v>0</v>
      </c>
      <c r="C282" s="206">
        <v>0</v>
      </c>
      <c r="D282" s="191">
        <f t="shared" si="14"/>
        <v>0</v>
      </c>
      <c r="E282" s="206"/>
      <c r="F282" s="262"/>
      <c r="G282" s="222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0</v>
      </c>
      <c r="B283" s="193">
        <f>'Données projet'!D256</f>
        <v>0</v>
      </c>
      <c r="C283" s="206">
        <v>0</v>
      </c>
      <c r="D283" s="191">
        <f t="shared" si="14"/>
        <v>0</v>
      </c>
      <c r="E283" s="206"/>
      <c r="F283" s="262"/>
      <c r="G283" s="222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0</v>
      </c>
      <c r="B284" s="193">
        <f>'Données projet'!D257</f>
        <v>0</v>
      </c>
      <c r="C284" s="206">
        <v>0</v>
      </c>
      <c r="D284" s="191">
        <f t="shared" si="14"/>
        <v>0</v>
      </c>
      <c r="E284" s="206"/>
      <c r="F284" s="262"/>
      <c r="G284" s="222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0</v>
      </c>
      <c r="B285" s="193">
        <f>'Données projet'!D258</f>
        <v>0</v>
      </c>
      <c r="C285" s="206">
        <v>0</v>
      </c>
      <c r="D285" s="191">
        <f t="shared" si="14"/>
        <v>0</v>
      </c>
      <c r="E285" s="206"/>
      <c r="F285" s="262"/>
      <c r="G285" s="222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0</v>
      </c>
      <c r="B286" s="193">
        <f>'Données projet'!D259</f>
        <v>0</v>
      </c>
      <c r="C286" s="206">
        <v>0</v>
      </c>
      <c r="D286" s="191">
        <f t="shared" si="14"/>
        <v>0</v>
      </c>
      <c r="E286" s="206"/>
      <c r="F286" s="262"/>
      <c r="G286" s="222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0</v>
      </c>
      <c r="B287" s="193">
        <f>'Données projet'!D260</f>
        <v>0</v>
      </c>
      <c r="C287" s="206">
        <v>0</v>
      </c>
      <c r="D287" s="191">
        <f t="shared" si="14"/>
        <v>0</v>
      </c>
      <c r="E287" s="206"/>
      <c r="F287" s="262"/>
      <c r="G287" s="222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0</v>
      </c>
      <c r="B288" s="193">
        <f>'Données projet'!D261</f>
        <v>0</v>
      </c>
      <c r="C288" s="206">
        <v>0</v>
      </c>
      <c r="D288" s="191">
        <f t="shared" si="14"/>
        <v>0</v>
      </c>
      <c r="E288" s="206"/>
      <c r="F288" s="262"/>
      <c r="G288" s="222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0</v>
      </c>
      <c r="B289" s="193">
        <f>'Données projet'!D262</f>
        <v>0</v>
      </c>
      <c r="C289" s="206">
        <v>0</v>
      </c>
      <c r="D289" s="191">
        <f t="shared" si="14"/>
        <v>0</v>
      </c>
      <c r="E289" s="206"/>
      <c r="F289" s="262"/>
      <c r="G289" s="222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0</v>
      </c>
      <c r="B290" s="193">
        <f>'Données projet'!D263</f>
        <v>0</v>
      </c>
      <c r="C290" s="206">
        <v>0</v>
      </c>
      <c r="D290" s="191">
        <f t="shared" si="14"/>
        <v>0</v>
      </c>
      <c r="E290" s="206"/>
      <c r="F290" s="262"/>
      <c r="G290" s="222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0"/>
      <c r="G291" s="222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0"/>
      <c r="G292" s="222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>Tilleul</v>
      </c>
      <c r="C293" s="5"/>
      <c r="D293" s="5"/>
      <c r="E293" s="5"/>
      <c r="F293" s="260"/>
      <c r="G293" s="222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0"/>
      <c r="G294" s="222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6" t="s">
        <v>180</v>
      </c>
      <c r="B295" s="51" t="s">
        <v>256</v>
      </c>
      <c r="C295" s="51" t="s">
        <v>255</v>
      </c>
      <c r="D295" s="256" t="s">
        <v>252</v>
      </c>
      <c r="E295" s="256" t="s">
        <v>320</v>
      </c>
      <c r="F295" s="261"/>
      <c r="G295" s="222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09">
        <v>0</v>
      </c>
      <c r="B296" s="212" t="s">
        <v>132</v>
      </c>
      <c r="C296" s="211" t="s">
        <v>132</v>
      </c>
      <c r="D296" s="210" t="s">
        <v>132</v>
      </c>
      <c r="E296" s="206"/>
      <c r="F296" s="261"/>
      <c r="G296" s="222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09">
        <v>1</v>
      </c>
      <c r="B297" s="212" t="s">
        <v>132</v>
      </c>
      <c r="C297" s="211" t="s">
        <v>132</v>
      </c>
      <c r="D297" s="210" t="s">
        <v>132</v>
      </c>
      <c r="E297" s="206"/>
      <c r="F297" s="261"/>
      <c r="G297" s="220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09">
        <v>2</v>
      </c>
      <c r="B298" s="212" t="s">
        <v>132</v>
      </c>
      <c r="C298" s="211" t="s">
        <v>132</v>
      </c>
      <c r="D298" s="210" t="s">
        <v>132</v>
      </c>
      <c r="E298" s="206"/>
      <c r="F298" s="261"/>
      <c r="G298" s="220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09">
        <v>3</v>
      </c>
      <c r="B299" s="212" t="s">
        <v>132</v>
      </c>
      <c r="C299" s="211" t="s">
        <v>132</v>
      </c>
      <c r="D299" s="210" t="s">
        <v>132</v>
      </c>
      <c r="E299" s="206"/>
      <c r="F299" s="261"/>
      <c r="G299" s="220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09">
        <v>4</v>
      </c>
      <c r="B300" s="212" t="s">
        <v>132</v>
      </c>
      <c r="C300" s="211" t="s">
        <v>132</v>
      </c>
      <c r="D300" s="210" t="s">
        <v>132</v>
      </c>
      <c r="E300" s="206"/>
      <c r="F300" s="261"/>
      <c r="G300" s="220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09">
        <v>5</v>
      </c>
      <c r="B301" s="212" t="s">
        <v>132</v>
      </c>
      <c r="C301" s="211" t="s">
        <v>132</v>
      </c>
      <c r="D301" s="210" t="s">
        <v>132</v>
      </c>
      <c r="E301" s="206"/>
      <c r="F301" s="261"/>
      <c r="G301" s="221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10</v>
      </c>
      <c r="B302" s="193">
        <f>'Données projet'!D270</f>
        <v>0</v>
      </c>
      <c r="C302" s="204">
        <v>0</v>
      </c>
      <c r="D302" s="194">
        <f>B302*C302</f>
        <v>0</v>
      </c>
      <c r="E302" s="206"/>
      <c r="F302" s="263"/>
      <c r="G302" s="221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15</v>
      </c>
      <c r="B303" s="193">
        <f>'Données projet'!D271</f>
        <v>27.564102564102562</v>
      </c>
      <c r="C303" s="206">
        <v>10</v>
      </c>
      <c r="D303" s="194">
        <f t="shared" ref="D303:D321" si="15">B303*C303</f>
        <v>275.64102564102564</v>
      </c>
      <c r="E303" s="206"/>
      <c r="F303" s="263"/>
      <c r="G303" s="221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20</v>
      </c>
      <c r="B304" s="193">
        <f>'Données projet'!D272</f>
        <v>0</v>
      </c>
      <c r="C304" s="206">
        <v>0</v>
      </c>
      <c r="D304" s="194">
        <f t="shared" si="15"/>
        <v>0</v>
      </c>
      <c r="E304" s="206"/>
      <c r="F304" s="263"/>
      <c r="G304" s="221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25</v>
      </c>
      <c r="B305" s="193">
        <f>'Données projet'!D273</f>
        <v>43.589743589743591</v>
      </c>
      <c r="C305" s="206">
        <v>10</v>
      </c>
      <c r="D305" s="194">
        <f t="shared" si="15"/>
        <v>435.89743589743591</v>
      </c>
      <c r="E305" s="206"/>
      <c r="F305" s="263"/>
      <c r="G305" s="221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30</v>
      </c>
      <c r="B306" s="193">
        <f>'Données projet'!D274</f>
        <v>0</v>
      </c>
      <c r="C306" s="206">
        <v>0</v>
      </c>
      <c r="D306" s="194">
        <f t="shared" si="15"/>
        <v>0</v>
      </c>
      <c r="E306" s="206"/>
      <c r="F306" s="263"/>
      <c r="G306" s="221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35</v>
      </c>
      <c r="B307" s="193">
        <f>'Données projet'!D275</f>
        <v>44.871794871794869</v>
      </c>
      <c r="C307" s="206">
        <v>15</v>
      </c>
      <c r="D307" s="194">
        <f t="shared" si="15"/>
        <v>673.07692307692298</v>
      </c>
      <c r="E307" s="206"/>
      <c r="F307" s="263"/>
      <c r="G307" s="221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40</v>
      </c>
      <c r="B308" s="193">
        <f>'Données projet'!D276</f>
        <v>0</v>
      </c>
      <c r="C308" s="206">
        <v>0</v>
      </c>
      <c r="D308" s="194">
        <f t="shared" si="15"/>
        <v>0</v>
      </c>
      <c r="E308" s="206"/>
      <c r="F308" s="263"/>
      <c r="G308" s="217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45</v>
      </c>
      <c r="B309" s="193">
        <f>'Données projet'!D277</f>
        <v>28.205128205128204</v>
      </c>
      <c r="C309" s="206">
        <v>20</v>
      </c>
      <c r="D309" s="194">
        <f t="shared" si="15"/>
        <v>564.10256410256409</v>
      </c>
      <c r="E309" s="206"/>
      <c r="F309" s="263"/>
      <c r="G309" s="217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50</v>
      </c>
      <c r="B310" s="193">
        <f>'Données projet'!D278</f>
        <v>0</v>
      </c>
      <c r="C310" s="206">
        <v>0</v>
      </c>
      <c r="D310" s="194">
        <f t="shared" si="15"/>
        <v>0</v>
      </c>
      <c r="E310" s="206"/>
      <c r="F310" s="263"/>
      <c r="G310" s="217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55</v>
      </c>
      <c r="B311" s="193">
        <f>'Données projet'!D279</f>
        <v>39.743589743589745</v>
      </c>
      <c r="C311" s="206">
        <v>30</v>
      </c>
      <c r="D311" s="194">
        <f t="shared" si="15"/>
        <v>1192.3076923076924</v>
      </c>
      <c r="E311" s="206"/>
      <c r="F311" s="263"/>
      <c r="G311" s="217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60</v>
      </c>
      <c r="B312" s="193">
        <f>'Données projet'!D280</f>
        <v>0</v>
      </c>
      <c r="C312" s="206">
        <v>0</v>
      </c>
      <c r="D312" s="194">
        <f t="shared" si="15"/>
        <v>0</v>
      </c>
      <c r="E312" s="206"/>
      <c r="F312" s="263"/>
      <c r="G312" s="217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65</v>
      </c>
      <c r="B313" s="193">
        <f>'Données projet'!D281</f>
        <v>0</v>
      </c>
      <c r="C313" s="206">
        <v>0</v>
      </c>
      <c r="D313" s="194">
        <f t="shared" si="15"/>
        <v>0</v>
      </c>
      <c r="E313" s="206"/>
      <c r="F313" s="263"/>
      <c r="G313" s="217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70</v>
      </c>
      <c r="B314" s="193">
        <f>'Données projet'!D282</f>
        <v>0</v>
      </c>
      <c r="C314" s="206">
        <v>0</v>
      </c>
      <c r="D314" s="194">
        <f t="shared" si="15"/>
        <v>0</v>
      </c>
      <c r="E314" s="206"/>
      <c r="F314" s="263"/>
      <c r="G314" s="217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75</v>
      </c>
      <c r="B315" s="193">
        <f>'Données projet'!D283</f>
        <v>33.974358974358971</v>
      </c>
      <c r="C315" s="206">
        <v>50</v>
      </c>
      <c r="D315" s="194">
        <f t="shared" si="15"/>
        <v>1698.7179487179485</v>
      </c>
      <c r="E315" s="206"/>
      <c r="F315" s="263"/>
      <c r="G315" s="217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80</v>
      </c>
      <c r="B316" s="193">
        <f>'Données projet'!D284</f>
        <v>0</v>
      </c>
      <c r="C316" s="206">
        <v>0</v>
      </c>
      <c r="D316" s="194">
        <f t="shared" si="15"/>
        <v>0</v>
      </c>
      <c r="E316" s="206"/>
      <c r="F316" s="263"/>
      <c r="G316" s="217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85</v>
      </c>
      <c r="B317" s="193">
        <f>'Données projet'!D285</f>
        <v>30.769230769230766</v>
      </c>
      <c r="C317" s="206">
        <v>60</v>
      </c>
      <c r="D317" s="194">
        <f t="shared" si="15"/>
        <v>1846.153846153846</v>
      </c>
      <c r="E317" s="206"/>
      <c r="F317" s="263"/>
      <c r="G317" s="217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90</v>
      </c>
      <c r="B318" s="193">
        <f>'Données projet'!D286</f>
        <v>0</v>
      </c>
      <c r="C318" s="206">
        <v>0</v>
      </c>
      <c r="D318" s="194">
        <f t="shared" si="15"/>
        <v>0</v>
      </c>
      <c r="E318" s="206"/>
      <c r="F318" s="263"/>
      <c r="G318" s="217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95</v>
      </c>
      <c r="B319" s="193">
        <f>'Données projet'!D287</f>
        <v>28.846153846153847</v>
      </c>
      <c r="C319" s="206">
        <v>65</v>
      </c>
      <c r="D319" s="194">
        <f t="shared" si="15"/>
        <v>1875</v>
      </c>
      <c r="E319" s="206"/>
      <c r="F319" s="263"/>
      <c r="G319" s="217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100</v>
      </c>
      <c r="B320" s="193">
        <f>'Données projet'!D288</f>
        <v>0</v>
      </c>
      <c r="C320" s="206">
        <v>0</v>
      </c>
      <c r="D320" s="194">
        <f t="shared" si="15"/>
        <v>0</v>
      </c>
      <c r="E320" s="206"/>
      <c r="F320" s="263"/>
      <c r="G320" s="217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110</v>
      </c>
      <c r="B321" s="193">
        <f>'Données projet'!D289</f>
        <v>423.71794871794873</v>
      </c>
      <c r="C321" s="206">
        <v>70</v>
      </c>
      <c r="D321" s="194">
        <f t="shared" si="15"/>
        <v>29660.25641025641</v>
      </c>
      <c r="E321" s="206"/>
      <c r="F321" s="263"/>
      <c r="G321" s="217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7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7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7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7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7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7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0"/>
      <c r="G328" s="230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0"/>
      <c r="G329" s="23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0"/>
      <c r="G330" s="230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0"/>
      <c r="G331" s="230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0"/>
      <c r="G332" s="230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0"/>
      <c r="G333" s="230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0"/>
      <c r="G334" s="230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0"/>
      <c r="G335" s="230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0"/>
      <c r="G336" s="230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0"/>
      <c r="G337" s="23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0"/>
      <c r="G338" s="230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0"/>
      <c r="G339" s="230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0"/>
      <c r="G340" s="230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0"/>
      <c r="G341" s="230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0"/>
      <c r="G342" s="230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0"/>
      <c r="G343" s="230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0"/>
      <c r="G344" s="230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0"/>
      <c r="G345" s="230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0"/>
      <c r="G346" s="230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0"/>
      <c r="G347" s="230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0"/>
      <c r="G348" s="230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0"/>
      <c r="G349" s="23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0"/>
      <c r="G350" s="230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0"/>
      <c r="G351" s="230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0"/>
      <c r="G352" s="230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0"/>
      <c r="G353" s="230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0"/>
      <c r="G354" s="230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0"/>
      <c r="G355" s="230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0"/>
      <c r="G356" s="230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0"/>
      <c r="G357" s="230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0"/>
      <c r="G358" s="230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0"/>
      <c r="G359" s="230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0"/>
      <c r="G360" s="230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0"/>
      <c r="G361" s="230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0"/>
      <c r="G362" s="230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0"/>
      <c r="G363" s="230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0"/>
      <c r="G364" s="230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0"/>
      <c r="G365" s="230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0"/>
      <c r="G366" s="230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0"/>
      <c r="G367" s="230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0"/>
      <c r="G368" s="230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0"/>
      <c r="G369" s="23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0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0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0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0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0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0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0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0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0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0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0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0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0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0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0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0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0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0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0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0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0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0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0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0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0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0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Calculateur</vt:lpstr>
      <vt:lpstr>Paramètres</vt:lpstr>
      <vt:lpstr>Scénario référence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Geoffroy Rombaut - C+for (CNPF)</cp:lastModifiedBy>
  <dcterms:created xsi:type="dcterms:W3CDTF">2021-02-01T08:22:39Z</dcterms:created>
  <dcterms:modified xsi:type="dcterms:W3CDTF">2024-02-20T10:47:50Z</dcterms:modified>
</cp:coreProperties>
</file>