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Yves BACHEVILLIER/Donnery/Dossier LBC/"/>
    </mc:Choice>
  </mc:AlternateContent>
  <xr:revisionPtr revIDLastSave="2" documentId="13_ncr:1_{E14C7A03-81FF-486B-A680-B940743F68F5}" xr6:coauthVersionLast="47" xr6:coauthVersionMax="47" xr10:uidLastSave="{3B7B0271-0ECB-417A-9689-01B972789079}"/>
  <bookViews>
    <workbookView xWindow="-110" yWindow="-110" windowWidth="19420" windowHeight="1150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Q4" i="2"/>
  <c r="GL4" i="2"/>
  <c r="EC4" i="2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H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EC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W85" i="2"/>
  <c r="EV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FS113" i="2"/>
  <c r="EX113" i="2"/>
  <c r="HG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H130" i="2"/>
  <c r="EB130" i="2"/>
  <c r="HI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FS150" i="2"/>
  <c r="EC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HG156" i="2"/>
  <c r="FS156" i="2"/>
  <c r="DH156" i="2"/>
  <c r="EB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X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C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HH163" i="2"/>
  <c r="HG163" i="2"/>
  <c r="HI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DI163" i="2"/>
  <c r="FR164" i="2"/>
  <c r="EA164" i="2"/>
  <c r="EV164" i="2"/>
  <c r="HH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EA167" i="2"/>
  <c r="EB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HH168" i="2"/>
  <c r="HI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B185" i="2"/>
  <c r="HG185" i="2"/>
  <c r="HI185" i="2"/>
  <c r="EW185" i="2"/>
  <c r="HH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I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EB192" i="2"/>
  <c r="HI192" i="2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B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EB195" i="2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FS202" i="2"/>
  <c r="FZ6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BC34" i="2" a="1"/>
  <c r="BC34" i="2" s="1"/>
  <c r="BC126" i="2" a="1"/>
  <c r="BC126" i="2" s="1"/>
  <c r="BC114" i="2" a="1"/>
  <c r="BC114" i="2" s="1"/>
  <c r="BC65" i="2" a="1"/>
  <c r="BC65" i="2" s="1"/>
  <c r="BC181" i="2" a="1"/>
  <c r="BC181" i="2" s="1"/>
  <c r="GT122" i="2" a="1"/>
  <c r="GT122" i="2" s="1"/>
  <c r="GT133" i="2" a="1"/>
  <c r="GT133" i="2" s="1"/>
  <c r="GT33" i="2" a="1"/>
  <c r="GT33" i="2" s="1"/>
  <c r="GT152" i="2" a="1"/>
  <c r="GT152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52" i="2" a="1"/>
  <c r="DN152" i="2" s="1"/>
  <c r="DN66" i="2" a="1"/>
  <c r="DN66" i="2" s="1"/>
  <c r="CS116" i="2" a="1"/>
  <c r="CS116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43" i="2" a="1"/>
  <c r="FD43" i="2" s="1"/>
  <c r="FD131" i="2" a="1"/>
  <c r="FD131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CS120" i="2" a="1"/>
  <c r="CS120" i="2" s="1"/>
  <c r="GT189" i="2" a="1"/>
  <c r="GT189" i="2" s="1"/>
  <c r="GT74" i="2" a="1"/>
  <c r="GT74" i="2" s="1"/>
  <c r="GT126" i="2" a="1"/>
  <c r="GT126" i="2" s="1"/>
  <c r="GT38" i="2" a="1"/>
  <c r="GT38" i="2" s="1"/>
  <c r="GT190" i="2" a="1"/>
  <c r="GT190" i="2" s="1"/>
  <c r="GT174" i="2" a="1"/>
  <c r="GT174" i="2" s="1"/>
  <c r="GT107" i="2" a="1"/>
  <c r="GT107" i="2" s="1"/>
  <c r="GT138" i="2" a="1"/>
  <c r="GT13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14" i="2" a="1"/>
  <c r="CS114" i="2" s="1"/>
  <c r="DN31" i="2" a="1"/>
  <c r="DN31" i="2" s="1"/>
  <c r="DN6" i="2" a="1"/>
  <c r="DN6" i="2" s="1"/>
  <c r="DO6" i="2" s="1"/>
  <c r="CS24" i="2" a="1"/>
  <c r="CS24" i="2" s="1"/>
  <c r="HJ202" i="2"/>
  <c r="EY202" i="2"/>
  <c r="AX200" i="2"/>
  <c r="GT178" i="2" l="1" a="1"/>
  <c r="GT178" i="2" s="1"/>
  <c r="GT121" i="2" a="1"/>
  <c r="GT121" i="2" s="1"/>
  <c r="CS66" i="2" a="1"/>
  <c r="CS66" i="2" s="1"/>
  <c r="GT198" i="2" a="1"/>
  <c r="GT198" i="2" s="1"/>
  <c r="GT51" i="2" a="1"/>
  <c r="GT51" i="2" s="1"/>
  <c r="GT21" i="2" a="1"/>
  <c r="GT21" i="2" s="1"/>
  <c r="CS38" i="2" a="1"/>
  <c r="CS38" i="2" s="1"/>
  <c r="GT184" i="2" a="1"/>
  <c r="GT184" i="2" s="1"/>
  <c r="CS56" i="2" a="1"/>
  <c r="CS56" i="2" s="1"/>
  <c r="CS72" i="2" a="1"/>
  <c r="CS72" i="2" s="1"/>
  <c r="GT15" i="2" a="1"/>
  <c r="GT15" i="2" s="1"/>
  <c r="GT12" i="2" a="1"/>
  <c r="GT12" i="2" s="1"/>
  <c r="CS77" i="2" a="1"/>
  <c r="CS77" i="2" s="1"/>
  <c r="GT115" i="2" a="1"/>
  <c r="GT115" i="2" s="1"/>
  <c r="FD59" i="2" a="1"/>
  <c r="FD59" i="2" s="1"/>
  <c r="EI145" i="2" a="1"/>
  <c r="EI145" i="2" s="1"/>
  <c r="FS203" i="2"/>
  <c r="AH19" i="2" a="1"/>
  <c r="AH19" i="2" s="1"/>
  <c r="AH163" i="2" a="1"/>
  <c r="AH163" i="2" s="1"/>
  <c r="AH62" i="2" a="1"/>
  <c r="AH62" i="2" s="1"/>
  <c r="AH90" i="2" a="1"/>
  <c r="AH90" i="2" s="1"/>
  <c r="AH151" i="2" a="1"/>
  <c r="AH151" i="2" s="1"/>
  <c r="DN167" i="2" a="1"/>
  <c r="DN167" i="2" s="1"/>
  <c r="DN41" i="2" a="1"/>
  <c r="DN41" i="2" s="1"/>
  <c r="FY34" i="2" a="1"/>
  <c r="FY34" i="2" s="1"/>
  <c r="FY109" i="2" a="1"/>
  <c r="FY109" i="2" s="1"/>
  <c r="DN162" i="2" a="1"/>
  <c r="DN162" i="2" s="1"/>
  <c r="FY86" i="2" a="1"/>
  <c r="FY86" i="2" s="1"/>
  <c r="DN177" i="2" a="1"/>
  <c r="DN177" i="2" s="1"/>
  <c r="FY188" i="2" a="1"/>
  <c r="FY188" i="2" s="1"/>
  <c r="FY140" i="2" a="1"/>
  <c r="FY140" i="2" s="1"/>
  <c r="DN49" i="2" a="1"/>
  <c r="DN49" i="2" s="1"/>
  <c r="DN103" i="2" a="1"/>
  <c r="DN103" i="2" s="1"/>
  <c r="DN186" i="2" a="1"/>
  <c r="DN186" i="2" s="1"/>
  <c r="FY149" i="2" a="1"/>
  <c r="FY149" i="2" s="1"/>
  <c r="FY143" i="2" a="1"/>
  <c r="FY143" i="2" s="1"/>
  <c r="FY47" i="2" a="1"/>
  <c r="FY47" i="2" s="1"/>
  <c r="HH203" i="2"/>
  <c r="DN176" i="2" a="1"/>
  <c r="DN176" i="2" s="1"/>
  <c r="DN153" i="2" a="1"/>
  <c r="DN153" i="2" s="1"/>
  <c r="BC47" i="2" a="1"/>
  <c r="BC47" i="2" s="1"/>
  <c r="FY78" i="2" a="1"/>
  <c r="FY78" i="2" s="1"/>
  <c r="FY35" i="2" a="1"/>
  <c r="FY35" i="2" s="1"/>
  <c r="FR203" i="2"/>
  <c r="DN187" i="2" a="1"/>
  <c r="DN187" i="2" s="1"/>
  <c r="DN190" i="2" a="1"/>
  <c r="DN190" i="2" s="1"/>
  <c r="DN135" i="2" a="1"/>
  <c r="DN135" i="2" s="1"/>
  <c r="BC84" i="2" a="1"/>
  <c r="BC84" i="2" s="1"/>
  <c r="FD107" i="2" a="1"/>
  <c r="FD107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GT68" i="2" a="1"/>
  <c r="GT68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DN132" i="2" a="1"/>
  <c r="DN132" i="2" s="1"/>
  <c r="DN29" i="2" a="1"/>
  <c r="DN29" i="2" s="1"/>
  <c r="DN16" i="2" a="1"/>
  <c r="DN16" i="2" s="1"/>
  <c r="FY115" i="2" a="1"/>
  <c r="FY115" i="2" s="1"/>
  <c r="FY126" i="2" a="1"/>
  <c r="FY126" i="2" s="1"/>
  <c r="DN114" i="2" a="1"/>
  <c r="DN114" i="2" s="1"/>
  <c r="DN43" i="2" a="1"/>
  <c r="DN43" i="2" s="1"/>
  <c r="FY164" i="2" a="1"/>
  <c r="FY164" i="2" s="1"/>
  <c r="FY159" i="2" a="1"/>
  <c r="FY159" i="2" s="1"/>
  <c r="FY79" i="2" a="1"/>
  <c r="FY79" i="2" s="1"/>
  <c r="FY58" i="2" a="1"/>
  <c r="FY58" i="2" s="1"/>
  <c r="DN115" i="2" a="1"/>
  <c r="DN115" i="2" s="1"/>
  <c r="BC82" i="2" a="1"/>
  <c r="BC82" i="2" s="1"/>
  <c r="FY28" i="2" a="1"/>
  <c r="FY28" i="2" s="1"/>
  <c r="FY29" i="2" a="1"/>
  <c r="FY29" i="2" s="1"/>
  <c r="DN164" i="2" a="1"/>
  <c r="DN164" i="2" s="1"/>
  <c r="BC31" i="2" a="1"/>
  <c r="BC31" i="2" s="1"/>
  <c r="FY121" i="2" a="1"/>
  <c r="FY121" i="2" s="1"/>
  <c r="DN137" i="2" a="1"/>
  <c r="DN137" i="2" s="1"/>
  <c r="FY24" i="2" a="1"/>
  <c r="FY24" i="2" s="1"/>
  <c r="FY191" i="2" a="1"/>
  <c r="FY191" i="2" s="1"/>
  <c r="FD82" i="2" a="1"/>
  <c r="FD82" i="2" s="1"/>
  <c r="DN133" i="2" a="1"/>
  <c r="DN133" i="2" s="1"/>
  <c r="DN38" i="2" a="1"/>
  <c r="DN38" i="2" s="1"/>
  <c r="BC32" i="2" a="1"/>
  <c r="BC32" i="2" s="1"/>
  <c r="FD167" i="2" a="1"/>
  <c r="FD167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GT181" i="2" a="1"/>
  <c r="GT181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188" i="2" a="1"/>
  <c r="DN188" i="2" s="1"/>
  <c r="DN30" i="2" a="1"/>
  <c r="DN30" i="2" s="1"/>
  <c r="DN86" i="2" a="1"/>
  <c r="DN86" i="2" s="1"/>
  <c r="FY173" i="2" a="1"/>
  <c r="FY173" i="2" s="1"/>
  <c r="FY133" i="2" a="1"/>
  <c r="FY133" i="2" s="1"/>
  <c r="DN46" i="2" a="1"/>
  <c r="DN46" i="2" s="1"/>
  <c r="BX107" i="2" a="1"/>
  <c r="BX107" i="2" s="1"/>
  <c r="DN65" i="2" a="1"/>
  <c r="DN65" i="2" s="1"/>
  <c r="FY80" i="2" a="1"/>
  <c r="FY80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DN70" i="2" a="1"/>
  <c r="DN70" i="2" s="1"/>
  <c r="DN63" i="2" a="1"/>
  <c r="DN63" i="2" s="1"/>
  <c r="BC192" i="2" a="1"/>
  <c r="BC192" i="2" s="1"/>
  <c r="FY30" i="2" a="1"/>
  <c r="FY30" i="2" s="1"/>
  <c r="DN113" i="2" a="1"/>
  <c r="DN113" i="2" s="1"/>
  <c r="FY190" i="2" a="1"/>
  <c r="FY190" i="2" s="1"/>
  <c r="FY92" i="2" a="1"/>
  <c r="FY92" i="2" s="1"/>
  <c r="FY69" i="2" a="1"/>
  <c r="FY69" i="2" s="1"/>
  <c r="FY22" i="2" a="1"/>
  <c r="FY22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D64" i="2" a="1"/>
  <c r="FD6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CS134" i="2" a="1"/>
  <c r="CS134" i="2" s="1"/>
  <c r="DN110" i="2" a="1"/>
  <c r="DN110" i="2" s="1"/>
  <c r="CS185" i="2" a="1"/>
  <c r="CS185" i="2" s="1"/>
  <c r="GT191" i="2" a="1"/>
  <c r="GT191" i="2" s="1"/>
  <c r="BC38" i="2" a="1"/>
  <c r="BC38" i="2" s="1"/>
  <c r="BC130" i="2" a="1"/>
  <c r="BC130" i="2" s="1"/>
  <c r="FD189" i="2" a="1"/>
  <c r="FD189" i="2" s="1"/>
  <c r="FY196" i="2" a="1"/>
  <c r="FY196" i="2" s="1"/>
  <c r="AH166" i="2" a="1"/>
  <c r="AH166" i="2" s="1"/>
  <c r="DN192" i="2" a="1"/>
  <c r="DN192" i="2" s="1"/>
  <c r="DN184" i="2" a="1"/>
  <c r="DN184" i="2" s="1"/>
  <c r="GT147" i="2" a="1"/>
  <c r="GT147" i="2" s="1"/>
  <c r="BC117" i="2" a="1"/>
  <c r="BC117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CD159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146" i="2" l="1"/>
  <c r="CD190" i="2"/>
  <c r="CD90" i="2"/>
  <c r="CD198" i="2"/>
  <c r="CD189" i="2"/>
  <c r="CD181" i="2"/>
  <c r="CD75" i="2"/>
  <c r="CD42" i="2"/>
  <c r="CD93" i="2"/>
  <c r="CD126" i="2"/>
  <c r="CD194" i="2"/>
  <c r="CD141" i="2"/>
  <c r="CD27" i="2"/>
  <c r="CD155" i="2"/>
  <c r="CD131" i="2"/>
  <c r="CD85" i="2"/>
  <c r="CD199" i="2"/>
  <c r="CD119" i="2"/>
  <c r="CD80" i="2"/>
  <c r="CD201" i="2"/>
  <c r="CD32" i="2"/>
  <c r="CD35" i="2"/>
  <c r="CD144" i="2"/>
  <c r="CD192" i="2"/>
  <c r="CD127" i="2"/>
  <c r="CD46" i="2"/>
  <c r="CD88" i="2"/>
  <c r="CD28" i="2"/>
  <c r="CD68" i="2"/>
  <c r="CD109" i="2"/>
  <c r="CD134" i="2"/>
  <c r="CD112" i="2"/>
  <c r="CD38" i="2"/>
  <c r="CD60" i="2"/>
  <c r="CD203" i="2"/>
  <c r="CD84" i="2"/>
  <c r="CD78" i="2"/>
  <c r="CD113" i="2"/>
  <c r="CD10" i="2"/>
  <c r="CD171" i="2"/>
  <c r="CD69" i="2"/>
  <c r="CD59" i="2"/>
  <c r="CD118" i="2"/>
  <c r="CD87" i="2"/>
  <c r="CD77" i="2"/>
  <c r="CD148" i="2"/>
  <c r="CD176" i="2"/>
  <c r="CD158" i="2"/>
  <c r="CD151" i="2"/>
  <c r="CD40" i="2"/>
  <c r="CD51" i="2"/>
  <c r="CD196" i="2"/>
  <c r="CD195" i="2"/>
  <c r="CD154" i="2"/>
  <c r="CD72" i="2"/>
  <c r="CD129" i="2"/>
  <c r="CD170" i="2"/>
  <c r="CD136" i="2"/>
  <c r="CD150" i="2"/>
  <c r="CD177" i="2"/>
  <c r="CD197" i="2"/>
  <c r="CD48" i="2"/>
  <c r="CD140" i="2"/>
  <c r="CD172" i="2"/>
  <c r="CD122" i="2"/>
  <c r="CD191" i="2"/>
  <c r="CD97" i="2"/>
  <c r="CD108" i="2"/>
  <c r="CD67" i="2"/>
  <c r="CD7" i="2"/>
  <c r="CD21" i="2"/>
  <c r="CD117" i="2"/>
  <c r="CD92" i="2"/>
  <c r="CD98" i="2"/>
  <c r="CD79" i="2"/>
  <c r="CD58" i="2"/>
  <c r="CD115" i="2"/>
  <c r="CD12" i="2"/>
  <c r="CD70" i="2"/>
  <c r="CD183" i="2"/>
  <c r="CD173" i="2"/>
  <c r="CD152" i="2"/>
  <c r="CD14" i="2"/>
  <c r="CD95" i="2"/>
  <c r="CD31" i="2"/>
  <c r="CD105" i="2"/>
  <c r="CD71" i="2"/>
  <c r="CD162" i="2"/>
  <c r="CD63" i="2"/>
  <c r="CD96" i="2"/>
  <c r="CD106" i="2"/>
  <c r="CD145" i="2"/>
  <c r="CD45" i="2"/>
  <c r="CD138" i="2"/>
  <c r="CD44" i="2"/>
  <c r="CD9" i="2"/>
  <c r="CD167" i="2"/>
  <c r="CD61" i="2"/>
  <c r="CD25" i="2"/>
  <c r="CD153" i="2"/>
  <c r="CD160" i="2"/>
  <c r="CD193" i="2"/>
  <c r="CD86" i="2"/>
  <c r="CD39" i="2"/>
  <c r="CD34" i="2"/>
  <c r="CD23" i="2"/>
  <c r="CD33" i="2"/>
  <c r="CD8" i="2"/>
  <c r="CD184" i="2"/>
  <c r="CD36" i="2"/>
  <c r="CD65" i="2"/>
  <c r="CD11" i="2"/>
  <c r="CD41" i="2"/>
  <c r="CD26" i="2"/>
  <c r="CD18" i="2"/>
  <c r="CD83" i="2"/>
  <c r="CD104" i="2"/>
  <c r="CD91" i="2"/>
  <c r="CD132" i="2"/>
  <c r="CD133" i="2"/>
  <c r="CD50" i="2"/>
  <c r="CD125" i="2"/>
  <c r="CD164" i="2"/>
  <c r="CD175" i="2"/>
  <c r="CD130" i="2"/>
  <c r="CD47" i="2"/>
  <c r="CD24" i="2"/>
  <c r="CD20" i="2"/>
  <c r="CD200" i="2"/>
  <c r="CD94" i="2"/>
  <c r="CD114" i="2"/>
  <c r="CD179" i="2"/>
  <c r="CD202" i="2"/>
  <c r="CD147" i="2"/>
  <c r="CD120" i="2"/>
  <c r="CD64" i="2"/>
  <c r="CD128" i="2"/>
  <c r="CD100" i="2"/>
  <c r="CD3" i="2"/>
  <c r="C9" i="4" s="1"/>
  <c r="E9" i="4" s="1"/>
  <c r="F9" i="4" s="1"/>
  <c r="G9" i="4" s="1"/>
  <c r="L9" i="4" s="1"/>
  <c r="CD135" i="2"/>
  <c r="CD121" i="2"/>
  <c r="CD49" i="2"/>
  <c r="CD161" i="2"/>
  <c r="CD82" i="2"/>
  <c r="CD16" i="2"/>
  <c r="CD107" i="2"/>
  <c r="CD6" i="2"/>
  <c r="CD139" i="2"/>
  <c r="CD102" i="2"/>
  <c r="CD143" i="2"/>
  <c r="CD168" i="2"/>
  <c r="CD81" i="2"/>
  <c r="CD22" i="2"/>
  <c r="CD19" i="2"/>
  <c r="CD185" i="2"/>
  <c r="CD55" i="2"/>
  <c r="CD166" i="2"/>
  <c r="CD111" i="2"/>
  <c r="CD76" i="2"/>
  <c r="CD156" i="2"/>
  <c r="CD74" i="2"/>
  <c r="CD101" i="2"/>
  <c r="CD99" i="2"/>
  <c r="CD62" i="2"/>
  <c r="CD15" i="2"/>
  <c r="CD182" i="2"/>
  <c r="CD174" i="2"/>
  <c r="CD4" i="2"/>
  <c r="CD178" i="2"/>
  <c r="CD5" i="2"/>
  <c r="CD54" i="2"/>
  <c r="CD123" i="2"/>
  <c r="CD165" i="2"/>
  <c r="CD29" i="2"/>
  <c r="CD57" i="2"/>
  <c r="CD110" i="2"/>
  <c r="CD157" i="2"/>
  <c r="CD52" i="2"/>
  <c r="CD149" i="2"/>
  <c r="CD30" i="2"/>
  <c r="CD163" i="2"/>
  <c r="CD188" i="2"/>
  <c r="CD43" i="2"/>
  <c r="CD187" i="2"/>
  <c r="CD56" i="2"/>
  <c r="CD13" i="2"/>
  <c r="CD124" i="2"/>
  <c r="CD17" i="2"/>
  <c r="CD73" i="2"/>
  <c r="CD89" i="2"/>
  <c r="CD142" i="2"/>
  <c r="CD116" i="2"/>
  <c r="CD180" i="2"/>
  <c r="CD137" i="2"/>
  <c r="CD186" i="2"/>
  <c r="CD103" i="2"/>
  <c r="CD53" i="2"/>
  <c r="CD169" i="2"/>
  <c r="CD66" i="2"/>
  <c r="CD37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128" i="2" l="1"/>
  <c r="BI142" i="2"/>
  <c r="BI44" i="2"/>
  <c r="BI75" i="2"/>
  <c r="BI13" i="2"/>
  <c r="BI170" i="2"/>
  <c r="BI61" i="2"/>
  <c r="BI47" i="2"/>
  <c r="BI74" i="2"/>
  <c r="BI53" i="2"/>
  <c r="BI171" i="2"/>
  <c r="BI180" i="2"/>
  <c r="BI190" i="2"/>
  <c r="BI40" i="2"/>
  <c r="BI173" i="2"/>
  <c r="BI124" i="2"/>
  <c r="BI177" i="2"/>
  <c r="BI16" i="2"/>
  <c r="BI97" i="2"/>
  <c r="BI52" i="2"/>
  <c r="BI160" i="2"/>
  <c r="BI150" i="2"/>
  <c r="BI7" i="2"/>
  <c r="BI176" i="2"/>
  <c r="BI144" i="2"/>
  <c r="BI188" i="2"/>
  <c r="BI63" i="2"/>
  <c r="BI199" i="2"/>
  <c r="BI30" i="2"/>
  <c r="BI148" i="2"/>
  <c r="BI139" i="2"/>
  <c r="BI125" i="2"/>
  <c r="BI95" i="2"/>
  <c r="BI105" i="2"/>
  <c r="BI122" i="2"/>
  <c r="BI49" i="2"/>
  <c r="BI182" i="2"/>
  <c r="BI106" i="2"/>
  <c r="BI14" i="2"/>
  <c r="BI136" i="2"/>
  <c r="BI51" i="2"/>
  <c r="BI90" i="2"/>
  <c r="BI147" i="2"/>
  <c r="BI193" i="2"/>
  <c r="BI126" i="2"/>
  <c r="BI202" i="2"/>
  <c r="BI146" i="2"/>
  <c r="BI65" i="2"/>
  <c r="BI192" i="2"/>
  <c r="BI4" i="2"/>
  <c r="BI29" i="2"/>
  <c r="BI58" i="2"/>
  <c r="BI31" i="2"/>
  <c r="BI48" i="2"/>
  <c r="BI39" i="2"/>
  <c r="BI72" i="2"/>
  <c r="BI87" i="2"/>
  <c r="BI161" i="2"/>
  <c r="BI81" i="2"/>
  <c r="BI99" i="2"/>
  <c r="BI153" i="2"/>
  <c r="BI201" i="2"/>
  <c r="BI116" i="2"/>
  <c r="BI149" i="2"/>
  <c r="BI10" i="2"/>
  <c r="BI94" i="2"/>
  <c r="BI32" i="2"/>
  <c r="BI191" i="2"/>
  <c r="BI143" i="2"/>
  <c r="BI9" i="2"/>
  <c r="BI154" i="2"/>
  <c r="BI112" i="2"/>
  <c r="BI17" i="2"/>
  <c r="BI119" i="2"/>
  <c r="BI19" i="2"/>
  <c r="BI114" i="2"/>
  <c r="BI200" i="2"/>
  <c r="BI86" i="2"/>
  <c r="BI129" i="2"/>
  <c r="BI60" i="2"/>
  <c r="BI189" i="2"/>
  <c r="BI69" i="2"/>
  <c r="BI68" i="2"/>
  <c r="BI166" i="2"/>
  <c r="BI109" i="2"/>
  <c r="BI83" i="2"/>
  <c r="BI187" i="2"/>
  <c r="BI203" i="2"/>
  <c r="BI162" i="2"/>
  <c r="BI79" i="2"/>
  <c r="BI5" i="2"/>
  <c r="BI89" i="2"/>
  <c r="BI43" i="2"/>
  <c r="BI42" i="2"/>
  <c r="BI104" i="2"/>
  <c r="BI18" i="2"/>
  <c r="BI23" i="2"/>
  <c r="BI35" i="2"/>
  <c r="BI93" i="2"/>
  <c r="BI134" i="2"/>
  <c r="BI56" i="2"/>
  <c r="BI8" i="2"/>
  <c r="BI100" i="2"/>
  <c r="BI157" i="2"/>
  <c r="BI151" i="2"/>
  <c r="BI132" i="2"/>
  <c r="BI34" i="2"/>
  <c r="BI103" i="2"/>
  <c r="BI78" i="2"/>
  <c r="BI77" i="2"/>
  <c r="BI137" i="2"/>
  <c r="BI135" i="2"/>
  <c r="BI179" i="2"/>
  <c r="BI156" i="2"/>
  <c r="BI185" i="2"/>
  <c r="BI159" i="2"/>
  <c r="BI46" i="2"/>
  <c r="BI169" i="2"/>
  <c r="BI66" i="2"/>
  <c r="BI24" i="2"/>
  <c r="BI67" i="2"/>
  <c r="BI26" i="2"/>
  <c r="BI145" i="2"/>
  <c r="BI91" i="2"/>
  <c r="BI102" i="2"/>
  <c r="BI186" i="2"/>
  <c r="BI21" i="2"/>
  <c r="BI45" i="2"/>
  <c r="BI12" i="2"/>
  <c r="BI184" i="2"/>
  <c r="BI178" i="2"/>
  <c r="BI197" i="2"/>
  <c r="BI158" i="2"/>
  <c r="BI172" i="2"/>
  <c r="BI33" i="2"/>
  <c r="BI11" i="2"/>
  <c r="BI164" i="2"/>
  <c r="BI120" i="2"/>
  <c r="BI15" i="2"/>
  <c r="BI131" i="2"/>
  <c r="BI101" i="2"/>
  <c r="BI28" i="2"/>
  <c r="BI62" i="2"/>
  <c r="BI118" i="2"/>
  <c r="BI64" i="2"/>
  <c r="BI82" i="2"/>
  <c r="BI22" i="2"/>
  <c r="BI175" i="2"/>
  <c r="BI123" i="2"/>
  <c r="BI138" i="2"/>
  <c r="BI121" i="2"/>
  <c r="BI174" i="2"/>
  <c r="BI183" i="2"/>
  <c r="BI20" i="2"/>
  <c r="BI71" i="2"/>
  <c r="BI168" i="2"/>
  <c r="BI141" i="2"/>
  <c r="BI196" i="2"/>
  <c r="BI25" i="2"/>
  <c r="BI76" i="2"/>
  <c r="BI84" i="2"/>
  <c r="BI3" i="2"/>
  <c r="C8" i="4" s="1"/>
  <c r="E8" i="4" s="1"/>
  <c r="F8" i="4" s="1"/>
  <c r="G8" i="4" s="1"/>
  <c r="L8" i="4" s="1"/>
  <c r="BI111" i="2"/>
  <c r="BI181" i="2"/>
  <c r="BI110" i="2"/>
  <c r="BI88" i="2"/>
  <c r="BI70" i="2"/>
  <c r="BI140" i="2"/>
  <c r="BI152" i="2"/>
  <c r="BI163" i="2"/>
  <c r="BI80" i="2"/>
  <c r="BI130" i="2"/>
  <c r="BI73" i="2"/>
  <c r="BI133" i="2"/>
  <c r="BI37" i="2"/>
  <c r="BI117" i="2"/>
  <c r="BI195" i="2"/>
  <c r="BI55" i="2"/>
  <c r="BI27" i="2"/>
  <c r="BI198" i="2"/>
  <c r="BI36" i="2"/>
  <c r="BI115" i="2"/>
  <c r="BI167" i="2"/>
  <c r="BI57" i="2"/>
  <c r="BI54" i="2"/>
  <c r="BI85" i="2"/>
  <c r="BI127" i="2"/>
  <c r="BI41" i="2"/>
  <c r="BI96" i="2"/>
  <c r="BI59" i="2"/>
  <c r="BI50" i="2"/>
  <c r="BI6" i="2"/>
  <c r="BI113" i="2"/>
  <c r="BI165" i="2"/>
  <c r="BI107" i="2"/>
  <c r="BI155" i="2"/>
  <c r="BI98" i="2"/>
  <c r="BI38" i="2"/>
  <c r="BI108" i="2"/>
  <c r="BI194" i="2"/>
  <c r="BI92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<sst xmlns="http://schemas.openxmlformats.org/spreadsheetml/2006/main" count="1193" uniqueCount="339">
  <si>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</si>
  <si>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</si>
  <si>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</si>
  <si>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</si>
  <si>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</si>
  <si>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</si>
  <si>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</si>
  <si>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</si>
  <si>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</si>
  <si>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</si>
  <si>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</si>
  <si>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</si>
  <si>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</si>
  <si>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</si>
  <si>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</si>
  <si>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</si>
  <si>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</si>
  <si>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</si>
  <si>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</si>
  <si>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Pin maritime</t>
  </si>
  <si>
    <t>Essence 3</t>
  </si>
  <si>
    <t>Chêne pubescent</t>
  </si>
  <si>
    <t>Essence 4</t>
  </si>
  <si>
    <t>Chêne rouge d'Amérique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</si>
  <si>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</si>
  <si>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</si>
  <si>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</si>
  <si>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</si>
  <si>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</si>
  <si>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</si>
  <si>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</si>
  <si>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</si>
  <si>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</si>
  <si>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</si>
  <si>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</si>
  <si>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</si>
  <si>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</si>
  <si>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</si>
  <si>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</si>
  <si>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</si>
  <si>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</si>
  <si>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</si>
  <si>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</si>
  <si>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</si>
  <si>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</si>
  <si>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</si>
  <si>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</si>
  <si>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</si>
  <si>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</si>
  <si>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</si>
  <si>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</si>
  <si>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</si>
  <si>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</si>
  <si>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</si>
  <si>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</si>
  <si>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</si>
  <si>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</si>
  <si>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</si>
  <si>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30</t>
  </si>
  <si>
    <t>29</t>
  </si>
  <si>
    <t>31</t>
  </si>
  <si>
    <t>32</t>
  </si>
  <si>
    <t>28</t>
  </si>
  <si>
    <t>26</t>
  </si>
  <si>
    <t>24</t>
  </si>
  <si>
    <t>22</t>
  </si>
  <si>
    <t>21</t>
  </si>
  <si>
    <t>19</t>
  </si>
  <si>
    <t>17</t>
  </si>
  <si>
    <t>16</t>
  </si>
  <si>
    <t>14</t>
  </si>
  <si>
    <t>13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</si>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</sst>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color rgb="FF000000"/>
      <name val="Times New Roman"/>
      <charset val="204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" xfId="3" xr:uid="{6FD147F1-809A-4FBC-9D03-28FF85EC0577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289.40050775542744</c:v>
                </c:pt>
                <c:pt idx="32">
                  <c:v>306.89948661909699</c:v>
                </c:pt>
                <c:pt idx="33">
                  <c:v>324.37629966034979</c:v>
                </c:pt>
                <c:pt idx="34">
                  <c:v>341.83230892368027</c:v>
                </c:pt>
                <c:pt idx="35">
                  <c:v>359.26872600336202</c:v>
                </c:pt>
                <c:pt idx="36">
                  <c:v>247.89733645105048</c:v>
                </c:pt>
                <c:pt idx="37">
                  <c:v>268.19388020667242</c:v>
                </c:pt>
                <c:pt idx="38">
                  <c:v>288.45583932928992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349.06002407123123</c:v>
                </c:pt>
                <c:pt idx="42">
                  <c:v>285.79224141654964</c:v>
                </c:pt>
                <c:pt idx="43">
                  <c:v>306.09401640717584</c:v>
                </c:pt>
                <c:pt idx="44">
                  <c:v>326.36586944014988</c:v>
                </c:pt>
                <c:pt idx="45">
                  <c:v>346.60991967996728</c:v>
                </c:pt>
                <c:pt idx="46">
                  <c:v>366.82801859171582</c:v>
                </c:pt>
                <c:pt idx="47">
                  <c:v>387.02179695470659</c:v>
                </c:pt>
                <c:pt idx="48">
                  <c:v>407.19270154733073</c:v>
                </c:pt>
                <c:pt idx="49">
                  <c:v>322.52624611434112</c:v>
                </c:pt>
                <c:pt idx="50">
                  <c:v>341.75417681771779</c:v>
                </c:pt>
                <c:pt idx="51">
                  <c:v>360.95833005636814</c:v>
                </c:pt>
                <c:pt idx="52">
                  <c:v>380.1401482882859</c:v>
                </c:pt>
                <c:pt idx="53">
                  <c:v>399.30091656620215</c:v>
                </c:pt>
                <c:pt idx="54">
                  <c:v>418.44178659894874</c:v>
                </c:pt>
                <c:pt idx="55">
                  <c:v>437.56379618008327</c:v>
                </c:pt>
                <c:pt idx="56">
                  <c:v>358.1923298746517</c:v>
                </c:pt>
                <c:pt idx="57">
                  <c:v>376.29808691039688</c:v>
                </c:pt>
                <c:pt idx="58">
                  <c:v>394.38487870170007</c:v>
                </c:pt>
                <c:pt idx="59">
                  <c:v>412.45369704960859</c:v>
                </c:pt>
                <c:pt idx="60">
                  <c:v>430.50543979939113</c:v>
                </c:pt>
                <c:pt idx="61">
                  <c:v>448.54092338886767</c:v>
                </c:pt>
                <c:pt idx="62">
                  <c:v>466.56089327347848</c:v>
                </c:pt>
                <c:pt idx="63">
                  <c:v>484.566032657113</c:v>
                </c:pt>
                <c:pt idx="64">
                  <c:v>412.17893074941094</c:v>
                </c:pt>
                <c:pt idx="65">
                  <c:v>429.64045267146849</c:v>
                </c:pt>
                <c:pt idx="66">
                  <c:v>447.08672748141771</c:v>
                </c:pt>
                <c:pt idx="67">
                  <c:v>464.51843363445613</c:v>
                </c:pt>
                <c:pt idx="68">
                  <c:v>481.93619453558489</c:v>
                </c:pt>
                <c:pt idx="69">
                  <c:v>499.34058487547162</c:v>
                </c:pt>
                <c:pt idx="70">
                  <c:v>516.73213603723286</c:v>
                </c:pt>
                <c:pt idx="71">
                  <c:v>534.11134073767676</c:v>
                </c:pt>
                <c:pt idx="72">
                  <c:v>465.17954885268068</c:v>
                </c:pt>
                <c:pt idx="73">
                  <c:v>482.04316980390831</c:v>
                </c:pt>
                <c:pt idx="74">
                  <c:v>498.89426037594109</c:v>
                </c:pt>
                <c:pt idx="75">
                  <c:v>515.73330318528826</c:v>
                </c:pt>
                <c:pt idx="76">
                  <c:v>532.56074677914273</c:v>
                </c:pt>
                <c:pt idx="77">
                  <c:v>549.37700906307055</c:v>
                </c:pt>
                <c:pt idx="78">
                  <c:v>566.18248028736241</c:v>
                </c:pt>
                <c:pt idx="79">
                  <c:v>582.97752566054464</c:v>
                </c:pt>
                <c:pt idx="80">
                  <c:v>599.76248764621096</c:v>
                </c:pt>
                <c:pt idx="81">
                  <c:v>518.0920654638179</c:v>
                </c:pt>
                <c:pt idx="82">
                  <c:v>534.17244594763577</c:v>
                </c:pt>
                <c:pt idx="83">
                  <c:v>550.24264963990152</c:v>
                </c:pt>
                <c:pt idx="84">
                  <c:v>566.30301546114617</c:v>
                </c:pt>
                <c:pt idx="85">
                  <c:v>582.35386155149297</c:v>
                </c:pt>
                <c:pt idx="86">
                  <c:v>598.39548709420319</c:v>
                </c:pt>
                <c:pt idx="87">
                  <c:v>614.42817393361736</c:v>
                </c:pt>
                <c:pt idx="88">
                  <c:v>630.45218801553858</c:v>
                </c:pt>
                <c:pt idx="89">
                  <c:v>646.46778067365187</c:v>
                </c:pt>
                <c:pt idx="90">
                  <c:v>556.15206169982298</c:v>
                </c:pt>
                <c:pt idx="91">
                  <c:v>571.53037088991744</c:v>
                </c:pt>
                <c:pt idx="92">
                  <c:v>586.90003943089675</c:v>
                </c:pt>
                <c:pt idx="93">
                  <c:v>602.26132535349996</c:v>
                </c:pt>
                <c:pt idx="94">
                  <c:v>617.6144724600515</c:v>
                </c:pt>
                <c:pt idx="95">
                  <c:v>632.95971145054534</c:v>
                </c:pt>
                <c:pt idx="96">
                  <c:v>648.29726093391253</c:v>
                </c:pt>
                <c:pt idx="97">
                  <c:v>663.62732833867358</c:v>
                </c:pt>
                <c:pt idx="98">
                  <c:v>678.95011073512637</c:v>
                </c:pt>
                <c:pt idx="99">
                  <c:v>694.26579557950515</c:v>
                </c:pt>
                <c:pt idx="100">
                  <c:v>606.63308794985471</c:v>
                </c:pt>
                <c:pt idx="101">
                  <c:v>621.5892527220193</c:v>
                </c:pt>
                <c:pt idx="102">
                  <c:v>636.53796577494199</c:v>
                </c:pt>
                <c:pt idx="103">
                  <c:v>651.47942665572896</c:v>
                </c:pt>
                <c:pt idx="104">
                  <c:v>666.41382501786154</c:v>
                </c:pt>
                <c:pt idx="105">
                  <c:v>681.34134132702627</c:v>
                </c:pt>
                <c:pt idx="106">
                  <c:v>696.26214750191332</c:v>
                </c:pt>
                <c:pt idx="107">
                  <c:v>711.17640749727252</c:v>
                </c:pt>
                <c:pt idx="108">
                  <c:v>726.08427783555044</c:v>
                </c:pt>
                <c:pt idx="109">
                  <c:v>740.98590809263044</c:v>
                </c:pt>
                <c:pt idx="110">
                  <c:v>646.18020296138832</c:v>
                </c:pt>
                <c:pt idx="111">
                  <c:v>660.80226469034744</c:v>
                </c:pt>
                <c:pt idx="112">
                  <c:v>675.41766750836871</c:v>
                </c:pt>
                <c:pt idx="113">
                  <c:v>690.02657571578584</c:v>
                </c:pt>
                <c:pt idx="114">
                  <c:v>704.62914609342113</c:v>
                </c:pt>
                <c:pt idx="115">
                  <c:v>719.22552839864738</c:v>
                </c:pt>
                <c:pt idx="116">
                  <c:v>733.81586581911597</c:v>
                </c:pt>
                <c:pt idx="117">
                  <c:v>748.40029538855242</c:v>
                </c:pt>
                <c:pt idx="118">
                  <c:v>762.97894836847979</c:v>
                </c:pt>
                <c:pt idx="119">
                  <c:v>777.55195059927792</c:v>
                </c:pt>
                <c:pt idx="120">
                  <c:v>464.90453348622708</c:v>
                </c:pt>
                <c:pt idx="121">
                  <c:v>473.14200892852961</c:v>
                </c:pt>
                <c:pt idx="122">
                  <c:v>481.37643199343648</c:v>
                </c:pt>
                <c:pt idx="123">
                  <c:v>489.60786227699901</c:v>
                </c:pt>
                <c:pt idx="124">
                  <c:v>328.15381176580001</c:v>
                </c:pt>
                <c:pt idx="125">
                  <c:v>333.21377234826514</c:v>
                </c:pt>
                <c:pt idx="126">
                  <c:v>338.27203930015764</c:v>
                </c:pt>
                <c:pt idx="127">
                  <c:v>343.32864155402285</c:v>
                </c:pt>
                <c:pt idx="128">
                  <c:v>238.10594921033294</c:v>
                </c:pt>
                <c:pt idx="129">
                  <c:v>241.39406120554747</c:v>
                </c:pt>
                <c:pt idx="130">
                  <c:v>244.6811538808515</c:v>
                </c:pt>
                <c:pt idx="131">
                  <c:v>247.96724289368069</c:v>
                </c:pt>
                <c:pt idx="132">
                  <c:v>1.3303388911427938E-11</c:v>
                </c:pt>
                <c:pt idx="133">
                  <c:v>1.3303388911427938E-11</c:v>
                </c:pt>
                <c:pt idx="134">
                  <c:v>1.3303388911427938E-11</c:v>
                </c:pt>
                <c:pt idx="135">
                  <c:v>1.3303388911427938E-11</c:v>
                </c:pt>
                <c:pt idx="136">
                  <c:v>1.3303388911427938E-11</c:v>
                </c:pt>
                <c:pt idx="137">
                  <c:v>1.3303388911427938E-11</c:v>
                </c:pt>
                <c:pt idx="138">
                  <c:v>1.3303388911427938E-11</c:v>
                </c:pt>
                <c:pt idx="139">
                  <c:v>1.3303388911427938E-11</c:v>
                </c:pt>
                <c:pt idx="140">
                  <c:v>1.3303388911427938E-11</c:v>
                </c:pt>
                <c:pt idx="141">
                  <c:v>1.3303388911427938E-11</c:v>
                </c:pt>
                <c:pt idx="142">
                  <c:v>1.3303388911427938E-11</c:v>
                </c:pt>
                <c:pt idx="143">
                  <c:v>1.3303388911427938E-11</c:v>
                </c:pt>
                <c:pt idx="144">
                  <c:v>1.3303388911427938E-11</c:v>
                </c:pt>
                <c:pt idx="145">
                  <c:v>1.3303388911427938E-11</c:v>
                </c:pt>
                <c:pt idx="146">
                  <c:v>1.3303388911427938E-11</c:v>
                </c:pt>
                <c:pt idx="147">
                  <c:v>1.3303388911427938E-11</c:v>
                </c:pt>
                <c:pt idx="148">
                  <c:v>1.3303388911427938E-11</c:v>
                </c:pt>
                <c:pt idx="149">
                  <c:v>1.3303388911427938E-11</c:v>
                </c:pt>
                <c:pt idx="150">
                  <c:v>1.3303388911427938E-11</c:v>
                </c:pt>
                <c:pt idx="151">
                  <c:v>1.3303388911427938E-11</c:v>
                </c:pt>
                <c:pt idx="152">
                  <c:v>1.3303388911427938E-11</c:v>
                </c:pt>
                <c:pt idx="153">
                  <c:v>1.3303388911427938E-11</c:v>
                </c:pt>
                <c:pt idx="154">
                  <c:v>1.3303388911427938E-11</c:v>
                </c:pt>
                <c:pt idx="155">
                  <c:v>1.3303388911427938E-11</c:v>
                </c:pt>
                <c:pt idx="156">
                  <c:v>1.3303388911427938E-11</c:v>
                </c:pt>
                <c:pt idx="157">
                  <c:v>1.3303388911427938E-11</c:v>
                </c:pt>
                <c:pt idx="158">
                  <c:v>1.3303388911427938E-11</c:v>
                </c:pt>
                <c:pt idx="159">
                  <c:v>1.3303388911427938E-11</c:v>
                </c:pt>
                <c:pt idx="160">
                  <c:v>1.3303388911427938E-11</c:v>
                </c:pt>
                <c:pt idx="161">
                  <c:v>1.3303388911427938E-11</c:v>
                </c:pt>
                <c:pt idx="162">
                  <c:v>1.3303388911427938E-11</c:v>
                </c:pt>
                <c:pt idx="163">
                  <c:v>1.3303388911427938E-11</c:v>
                </c:pt>
                <c:pt idx="164">
                  <c:v>1.3303388911427938E-11</c:v>
                </c:pt>
                <c:pt idx="165">
                  <c:v>1.3303388911427938E-11</c:v>
                </c:pt>
                <c:pt idx="166">
                  <c:v>1.3303388911427938E-11</c:v>
                </c:pt>
                <c:pt idx="167">
                  <c:v>1.3303388911427938E-11</c:v>
                </c:pt>
                <c:pt idx="168">
                  <c:v>1.3303388911427938E-11</c:v>
                </c:pt>
                <c:pt idx="169">
                  <c:v>1.3303388911427938E-11</c:v>
                </c:pt>
                <c:pt idx="170">
                  <c:v>1.3303388911427938E-11</c:v>
                </c:pt>
                <c:pt idx="171">
                  <c:v>1.3303388911427938E-11</c:v>
                </c:pt>
                <c:pt idx="172">
                  <c:v>1.3303388911427938E-11</c:v>
                </c:pt>
                <c:pt idx="173">
                  <c:v>1.3303388911427938E-11</c:v>
                </c:pt>
                <c:pt idx="174">
                  <c:v>1.3303388911427938E-11</c:v>
                </c:pt>
                <c:pt idx="175">
                  <c:v>1.3303388911427938E-11</c:v>
                </c:pt>
                <c:pt idx="176">
                  <c:v>1.3303388911427938E-11</c:v>
                </c:pt>
                <c:pt idx="177">
                  <c:v>1.3303388911427938E-11</c:v>
                </c:pt>
                <c:pt idx="178">
                  <c:v>1.3303388911427938E-11</c:v>
                </c:pt>
                <c:pt idx="179">
                  <c:v>1.3303388911427938E-11</c:v>
                </c:pt>
                <c:pt idx="180">
                  <c:v>1.3303388911427938E-11</c:v>
                </c:pt>
                <c:pt idx="181">
                  <c:v>1.3303388911427938E-11</c:v>
                </c:pt>
                <c:pt idx="182">
                  <c:v>1.3303388911427938E-11</c:v>
                </c:pt>
                <c:pt idx="183">
                  <c:v>1.3303388911427938E-11</c:v>
                </c:pt>
                <c:pt idx="184">
                  <c:v>1.3303388911427938E-11</c:v>
                </c:pt>
                <c:pt idx="185">
                  <c:v>1.3303388911427938E-11</c:v>
                </c:pt>
                <c:pt idx="186">
                  <c:v>1.3303388911427938E-11</c:v>
                </c:pt>
                <c:pt idx="187">
                  <c:v>1.3303388911427938E-11</c:v>
                </c:pt>
                <c:pt idx="188">
                  <c:v>1.3303388911427938E-11</c:v>
                </c:pt>
                <c:pt idx="189">
                  <c:v>1.3303388911427938E-11</c:v>
                </c:pt>
                <c:pt idx="190">
                  <c:v>1.3303388911427938E-11</c:v>
                </c:pt>
                <c:pt idx="191">
                  <c:v>1.3303388911427938E-11</c:v>
                </c:pt>
                <c:pt idx="192">
                  <c:v>1.3303388911427938E-11</c:v>
                </c:pt>
                <c:pt idx="193">
                  <c:v>1.3303388911427938E-11</c:v>
                </c:pt>
                <c:pt idx="194">
                  <c:v>1.3303388911427938E-11</c:v>
                </c:pt>
                <c:pt idx="195">
                  <c:v>1.3303388911427938E-11</c:v>
                </c:pt>
                <c:pt idx="196">
                  <c:v>1.3303388911427938E-11</c:v>
                </c:pt>
                <c:pt idx="197">
                  <c:v>1.3303388911427938E-11</c:v>
                </c:pt>
                <c:pt idx="198">
                  <c:v>1.3303388911427938E-11</c:v>
                </c:pt>
                <c:pt idx="199">
                  <c:v>1.3303388911427938E-11</c:v>
                </c:pt>
                <c:pt idx="200">
                  <c:v>1.3303388911427938E-11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492.5415339943097</c:v>
                </c:pt>
                <c:pt idx="102">
                  <c:v>492.5415339943097</c:v>
                </c:pt>
                <c:pt idx="103">
                  <c:v>492.5415339943097</c:v>
                </c:pt>
                <c:pt idx="104">
                  <c:v>492.5415339943097</c:v>
                </c:pt>
                <c:pt idx="105">
                  <c:v>492.5415339943097</c:v>
                </c:pt>
                <c:pt idx="106">
                  <c:v>492.5415339943097</c:v>
                </c:pt>
                <c:pt idx="107">
                  <c:v>492.5415339943097</c:v>
                </c:pt>
                <c:pt idx="108">
                  <c:v>492.5415339943097</c:v>
                </c:pt>
                <c:pt idx="109">
                  <c:v>492.5415339943097</c:v>
                </c:pt>
                <c:pt idx="110">
                  <c:v>492.5415339943097</c:v>
                </c:pt>
                <c:pt idx="111">
                  <c:v>492.5415339943097</c:v>
                </c:pt>
                <c:pt idx="112">
                  <c:v>492.5415339943097</c:v>
                </c:pt>
                <c:pt idx="113">
                  <c:v>492.5415339943097</c:v>
                </c:pt>
                <c:pt idx="114">
                  <c:v>492.5415339943097</c:v>
                </c:pt>
                <c:pt idx="115">
                  <c:v>492.5415339943097</c:v>
                </c:pt>
                <c:pt idx="116">
                  <c:v>492.5415339943097</c:v>
                </c:pt>
                <c:pt idx="117">
                  <c:v>492.5415339943097</c:v>
                </c:pt>
                <c:pt idx="118">
                  <c:v>492.5415339943097</c:v>
                </c:pt>
                <c:pt idx="119">
                  <c:v>492.5415339943097</c:v>
                </c:pt>
                <c:pt idx="120">
                  <c:v>492.5415339943097</c:v>
                </c:pt>
                <c:pt idx="121">
                  <c:v>492.5415339943097</c:v>
                </c:pt>
                <c:pt idx="122">
                  <c:v>492.5415339943097</c:v>
                </c:pt>
                <c:pt idx="123">
                  <c:v>492.5415339943097</c:v>
                </c:pt>
                <c:pt idx="124">
                  <c:v>492.5415339943097</c:v>
                </c:pt>
                <c:pt idx="125">
                  <c:v>492.5415339943097</c:v>
                </c:pt>
                <c:pt idx="126">
                  <c:v>492.5415339943097</c:v>
                </c:pt>
                <c:pt idx="127">
                  <c:v>492.5415339943097</c:v>
                </c:pt>
                <c:pt idx="128">
                  <c:v>492.5415339943097</c:v>
                </c:pt>
                <c:pt idx="129">
                  <c:v>492.5415339943097</c:v>
                </c:pt>
                <c:pt idx="130">
                  <c:v>492.5415339943097</c:v>
                </c:pt>
                <c:pt idx="131">
                  <c:v>492.5415339943097</c:v>
                </c:pt>
                <c:pt idx="132">
                  <c:v>492.5415339943097</c:v>
                </c:pt>
                <c:pt idx="133">
                  <c:v>492.5415339943097</c:v>
                </c:pt>
                <c:pt idx="134">
                  <c:v>492.5415339943097</c:v>
                </c:pt>
                <c:pt idx="135">
                  <c:v>492.5415339943097</c:v>
                </c:pt>
                <c:pt idx="136">
                  <c:v>492.5415339943097</c:v>
                </c:pt>
                <c:pt idx="137">
                  <c:v>492.5415339943097</c:v>
                </c:pt>
                <c:pt idx="138">
                  <c:v>492.5415339943097</c:v>
                </c:pt>
                <c:pt idx="139">
                  <c:v>492.5415339943097</c:v>
                </c:pt>
                <c:pt idx="140">
                  <c:v>492.5415339943097</c:v>
                </c:pt>
                <c:pt idx="141">
                  <c:v>492.5415339943097</c:v>
                </c:pt>
                <c:pt idx="142">
                  <c:v>492.5415339943097</c:v>
                </c:pt>
                <c:pt idx="143">
                  <c:v>492.5415339943097</c:v>
                </c:pt>
                <c:pt idx="144">
                  <c:v>492.5415339943097</c:v>
                </c:pt>
                <c:pt idx="145">
                  <c:v>492.5415339943097</c:v>
                </c:pt>
                <c:pt idx="146">
                  <c:v>492.5415339943097</c:v>
                </c:pt>
                <c:pt idx="147">
                  <c:v>492.5415339943097</c:v>
                </c:pt>
                <c:pt idx="148">
                  <c:v>492.5415339943097</c:v>
                </c:pt>
                <c:pt idx="149">
                  <c:v>492.5415339943097</c:v>
                </c:pt>
                <c:pt idx="150">
                  <c:v>492.5415339943097</c:v>
                </c:pt>
                <c:pt idx="151">
                  <c:v>492.5415339943097</c:v>
                </c:pt>
                <c:pt idx="152">
                  <c:v>492.5415339943097</c:v>
                </c:pt>
                <c:pt idx="153">
                  <c:v>492.5415339943097</c:v>
                </c:pt>
                <c:pt idx="154">
                  <c:v>492.5415339943097</c:v>
                </c:pt>
                <c:pt idx="155">
                  <c:v>492.5415339943097</c:v>
                </c:pt>
                <c:pt idx="156">
                  <c:v>492.5415339943097</c:v>
                </c:pt>
                <c:pt idx="157">
                  <c:v>492.5415339943097</c:v>
                </c:pt>
                <c:pt idx="158">
                  <c:v>492.5415339943097</c:v>
                </c:pt>
                <c:pt idx="159">
                  <c:v>492.5415339943097</c:v>
                </c:pt>
                <c:pt idx="160">
                  <c:v>492.5415339943097</c:v>
                </c:pt>
                <c:pt idx="161">
                  <c:v>492.5415339943097</c:v>
                </c:pt>
                <c:pt idx="162">
                  <c:v>492.5415339943097</c:v>
                </c:pt>
                <c:pt idx="163">
                  <c:v>492.5415339943097</c:v>
                </c:pt>
                <c:pt idx="164">
                  <c:v>492.5415339943097</c:v>
                </c:pt>
                <c:pt idx="165">
                  <c:v>492.5415339943097</c:v>
                </c:pt>
                <c:pt idx="166">
                  <c:v>492.5415339943097</c:v>
                </c:pt>
                <c:pt idx="167">
                  <c:v>492.5415339943097</c:v>
                </c:pt>
                <c:pt idx="168">
                  <c:v>492.5415339943097</c:v>
                </c:pt>
                <c:pt idx="169">
                  <c:v>492.5415339943097</c:v>
                </c:pt>
                <c:pt idx="170">
                  <c:v>492.5415339943097</c:v>
                </c:pt>
                <c:pt idx="171">
                  <c:v>492.5415339943097</c:v>
                </c:pt>
                <c:pt idx="172">
                  <c:v>492.5415339943097</c:v>
                </c:pt>
                <c:pt idx="173">
                  <c:v>492.5415339943097</c:v>
                </c:pt>
                <c:pt idx="174">
                  <c:v>492.5415339943097</c:v>
                </c:pt>
                <c:pt idx="175">
                  <c:v>492.5415339943097</c:v>
                </c:pt>
                <c:pt idx="176">
                  <c:v>492.5415339943097</c:v>
                </c:pt>
                <c:pt idx="177">
                  <c:v>492.5415339943097</c:v>
                </c:pt>
                <c:pt idx="178">
                  <c:v>492.5415339943097</c:v>
                </c:pt>
                <c:pt idx="179">
                  <c:v>492.5415339943097</c:v>
                </c:pt>
                <c:pt idx="180">
                  <c:v>492.5415339943097</c:v>
                </c:pt>
                <c:pt idx="181">
                  <c:v>492.5415339943097</c:v>
                </c:pt>
                <c:pt idx="182">
                  <c:v>492.5415339943097</c:v>
                </c:pt>
                <c:pt idx="183">
                  <c:v>492.5415339943097</c:v>
                </c:pt>
                <c:pt idx="184">
                  <c:v>492.5415339943097</c:v>
                </c:pt>
                <c:pt idx="185">
                  <c:v>492.5415339943097</c:v>
                </c:pt>
                <c:pt idx="186">
                  <c:v>492.5415339943097</c:v>
                </c:pt>
                <c:pt idx="187">
                  <c:v>492.5415339943097</c:v>
                </c:pt>
                <c:pt idx="188">
                  <c:v>492.5415339943097</c:v>
                </c:pt>
                <c:pt idx="189">
                  <c:v>492.5415339943097</c:v>
                </c:pt>
                <c:pt idx="190">
                  <c:v>492.5415339943097</c:v>
                </c:pt>
                <c:pt idx="191">
                  <c:v>492.5415339943097</c:v>
                </c:pt>
                <c:pt idx="192">
                  <c:v>492.5415339943097</c:v>
                </c:pt>
                <c:pt idx="193">
                  <c:v>492.5415339943097</c:v>
                </c:pt>
                <c:pt idx="194">
                  <c:v>492.5415339943097</c:v>
                </c:pt>
                <c:pt idx="195">
                  <c:v>492.5415339943097</c:v>
                </c:pt>
                <c:pt idx="196">
                  <c:v>492.5415339943097</c:v>
                </c:pt>
                <c:pt idx="197">
                  <c:v>492.5415339943097</c:v>
                </c:pt>
                <c:pt idx="198">
                  <c:v>492.5415339943097</c:v>
                </c:pt>
                <c:pt idx="199">
                  <c:v>492.5415339943097</c:v>
                </c:pt>
                <c:pt idx="200">
                  <c:v>492.5415339943097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G24" sqref="G24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6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0.38</v>
      </c>
      <c r="D9" s="33">
        <f t="shared" ref="D9:D18" si="0">C9*$C$5</f>
        <v>2.2800000000000002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0.31</v>
      </c>
      <c r="D10" s="33">
        <f t="shared" si="0"/>
        <v>1.8599999999999999</v>
      </c>
      <c r="E10" s="34">
        <v>56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0.23</v>
      </c>
      <c r="D11" s="33">
        <f t="shared" si="0"/>
        <v>1.3800000000000001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0.08</v>
      </c>
      <c r="D12" s="33">
        <f t="shared" si="0"/>
        <v>0.48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25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26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27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28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29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30</v>
      </c>
      <c r="C19" s="37">
        <f>SUM(C9:C18)</f>
        <v>0.99999999999999989</v>
      </c>
      <c r="D19" s="38">
        <f>SUM(D9:D18)</f>
        <v>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31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32</v>
      </c>
      <c r="B24" s="42" t="s">
        <v>33</v>
      </c>
      <c r="C24" s="43">
        <v>0</v>
      </c>
      <c r="D24" s="44" t="s">
        <v>34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35</v>
      </c>
      <c r="B25" s="42" t="s">
        <v>36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37</v>
      </c>
      <c r="B26" s="42" t="s">
        <v>38</v>
      </c>
      <c r="C26" s="43">
        <v>0.05</v>
      </c>
      <c r="D26" s="44" t="s">
        <v>39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40</v>
      </c>
      <c r="B27" s="42" t="s">
        <v>41</v>
      </c>
      <c r="C27" s="43">
        <v>0</v>
      </c>
      <c r="D27" s="44" t="s">
        <v>42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43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Chêne sessile</v>
      </c>
      <c r="D32" s="229" t="s">
        <v>44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45</v>
      </c>
      <c r="C34" s="258" t="s">
        <v>46</v>
      </c>
      <c r="D34" s="258"/>
      <c r="E34" s="259" t="s">
        <v>47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48</v>
      </c>
      <c r="B35" s="36" t="s">
        <v>49</v>
      </c>
      <c r="C35" s="48" t="s">
        <v>50</v>
      </c>
      <c r="D35" s="48" t="s">
        <v>51</v>
      </c>
      <c r="E35" s="36" t="s">
        <v>52</v>
      </c>
      <c r="F35" s="36" t="s">
        <v>53</v>
      </c>
      <c r="G35" s="36" t="s">
        <v>54</v>
      </c>
      <c r="H35" s="36" t="s">
        <v>55</v>
      </c>
      <c r="I35" s="48" t="s">
        <v>56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121.88461538461537</v>
      </c>
      <c r="C36" s="60" t="s">
        <v>57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162.16666666666669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157.44871794871796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198.44230769230768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220.28846153846152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243.36538461538464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274.01282051282055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295.85897435897436</v>
      </c>
      <c r="C44" s="60">
        <v>8</v>
      </c>
      <c r="D44" s="60">
        <v>49.391025641025635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340.16666666666663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150.02564102564102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154.80128205128204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110.91025641025641</v>
      </c>
      <c r="C50" s="50">
        <v>14</v>
      </c>
      <c r="D50" s="50">
        <v>110.91025641025641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maritime</v>
      </c>
      <c r="D58" s="229" t="s">
        <v>44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45</v>
      </c>
      <c r="C60" s="258" t="s">
        <v>46</v>
      </c>
      <c r="D60" s="258"/>
      <c r="E60" s="259" t="s">
        <v>47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48</v>
      </c>
      <c r="B61" s="36" t="s">
        <v>49</v>
      </c>
      <c r="C61" s="48" t="s">
        <v>50</v>
      </c>
      <c r="D61" s="48" t="s">
        <v>51</v>
      </c>
      <c r="E61" s="36" t="s">
        <v>52</v>
      </c>
      <c r="F61" s="36" t="s">
        <v>53</v>
      </c>
      <c r="G61" s="36" t="s">
        <v>54</v>
      </c>
      <c r="H61" s="36" t="s">
        <v>55</v>
      </c>
      <c r="I61" s="48" t="s">
        <v>56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15</v>
      </c>
      <c r="B62" s="60">
        <v>141.17692307692306</v>
      </c>
      <c r="C62" s="60">
        <v>1</v>
      </c>
      <c r="D62" s="60">
        <v>49.784615384615385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9.4117948717948714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20</v>
      </c>
      <c r="B63" s="60">
        <v>183.7076923076923</v>
      </c>
      <c r="C63" s="60">
        <v>2</v>
      </c>
      <c r="D63" s="60">
        <v>48.723076923076924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 t="shared" ref="I63:I70" si="2">IF(A63&lt;&gt;0,(B63-(B62-D62))/(A63-A62),"")</f>
        <v>18.463076923076926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26</v>
      </c>
      <c r="B64" s="60">
        <v>249.41538461538462</v>
      </c>
      <c r="C64" s="60">
        <v>3</v>
      </c>
      <c r="D64" s="60">
        <v>46.984615384615381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 t="shared" si="2"/>
        <v>19.071794871794875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32</v>
      </c>
      <c r="B65" s="60">
        <v>318.7923076923077</v>
      </c>
      <c r="C65" s="60">
        <v>4</v>
      </c>
      <c r="D65" s="60">
        <v>64.523076923076914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 t="shared" si="2"/>
        <v>19.393589743589743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40</v>
      </c>
      <c r="B66" s="60">
        <v>398.71538461538461</v>
      </c>
      <c r="C66" s="60">
        <v>5</v>
      </c>
      <c r="D66" s="60">
        <v>92.661538461538456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si="2"/>
        <v>18.055769230769229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48</v>
      </c>
      <c r="B67" s="60">
        <v>427.74615384615385</v>
      </c>
      <c r="C67" s="60">
        <v>6</v>
      </c>
      <c r="D67" s="60">
        <v>83.969230769230762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15.21153846153846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56</v>
      </c>
      <c r="B68" s="60">
        <v>446.47692307692301</v>
      </c>
      <c r="C68" s="60">
        <v>7</v>
      </c>
      <c r="D68" s="60">
        <v>446.47692307692301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12.837499999999991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ref="I71:I81" si="3">IF(A71&lt;&gt;0,(B71-(B70-D70))/(A71-A70),"")</f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Chêne pubescent</v>
      </c>
      <c r="D84" s="229" t="s">
        <v>44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45</v>
      </c>
      <c r="C86" s="258" t="s">
        <v>46</v>
      </c>
      <c r="D86" s="258"/>
      <c r="E86" s="259" t="s">
        <v>47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48</v>
      </c>
      <c r="B87" s="36" t="s">
        <v>49</v>
      </c>
      <c r="C87" s="48" t="s">
        <v>50</v>
      </c>
      <c r="D87" s="48" t="s">
        <v>51</v>
      </c>
      <c r="E87" s="36" t="s">
        <v>52</v>
      </c>
      <c r="F87" s="36" t="s">
        <v>53</v>
      </c>
      <c r="G87" s="36" t="s">
        <v>54</v>
      </c>
      <c r="H87" s="36" t="s">
        <v>55</v>
      </c>
      <c r="I87" s="48" t="s">
        <v>56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121.88461538461537</v>
      </c>
      <c r="C88" s="60" t="s">
        <v>57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4.0628205128205126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35</v>
      </c>
      <c r="B89" s="60">
        <v>162.16666666666669</v>
      </c>
      <c r="C89" s="60">
        <v>1</v>
      </c>
      <c r="D89" s="60">
        <v>60.602564102564102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4">IF(A89&lt;&gt;0,(B89-(B88-D88))/(A89-A88),"")</f>
        <v>8.0564102564102633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41</v>
      </c>
      <c r="B90" s="60">
        <v>157.44871794871796</v>
      </c>
      <c r="C90" s="60">
        <v>2</v>
      </c>
      <c r="D90" s="60">
        <v>38.512820512820511</v>
      </c>
      <c r="E90" s="87">
        <v>0</v>
      </c>
      <c r="F90" s="87">
        <v>0</v>
      </c>
      <c r="G90" s="87">
        <v>0</v>
      </c>
      <c r="H90" s="87">
        <v>1</v>
      </c>
      <c r="I90" s="53">
        <f t="shared" si="4"/>
        <v>9.3141025641025621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48</v>
      </c>
      <c r="B91" s="60">
        <v>184.35256410256409</v>
      </c>
      <c r="C91" s="60">
        <v>3</v>
      </c>
      <c r="D91" s="60">
        <v>48.025641025641022</v>
      </c>
      <c r="E91" s="87">
        <v>0</v>
      </c>
      <c r="F91" s="87">
        <v>0</v>
      </c>
      <c r="G91" s="87">
        <v>0</v>
      </c>
      <c r="H91" s="87">
        <v>1</v>
      </c>
      <c r="I91" s="53">
        <f t="shared" si="4"/>
        <v>9.3452380952380913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55</v>
      </c>
      <c r="B92" s="60">
        <v>198.44230769230768</v>
      </c>
      <c r="C92" s="60">
        <v>4</v>
      </c>
      <c r="D92" s="60">
        <v>45.147435897435898</v>
      </c>
      <c r="E92" s="87">
        <v>0</v>
      </c>
      <c r="F92" s="87">
        <v>0</v>
      </c>
      <c r="G92" s="87">
        <v>0</v>
      </c>
      <c r="H92" s="87">
        <v>1</v>
      </c>
      <c r="I92" s="53">
        <f t="shared" si="4"/>
        <v>8.8736263736263741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63</v>
      </c>
      <c r="B93" s="60">
        <v>220.28846153846152</v>
      </c>
      <c r="C93" s="60">
        <v>5</v>
      </c>
      <c r="D93" s="60">
        <v>41.724358974358978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4"/>
        <v>8.374198717948719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71</v>
      </c>
      <c r="B94" s="60">
        <v>243.36538461538464</v>
      </c>
      <c r="C94" s="60">
        <v>6</v>
      </c>
      <c r="D94" s="60">
        <v>39.935897435897431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4"/>
        <v>8.1001602564102626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80</v>
      </c>
      <c r="B95" s="60">
        <v>274.01282051282055</v>
      </c>
      <c r="C95" s="60">
        <v>7</v>
      </c>
      <c r="D95" s="60">
        <v>45.608974358974358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4"/>
        <v>7.8425925925925934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89</v>
      </c>
      <c r="B96" s="60">
        <v>295.85897435897436</v>
      </c>
      <c r="C96" s="60">
        <v>8</v>
      </c>
      <c r="D96" s="60">
        <v>49.391025641025635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4"/>
        <v>7.4950142450142421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99</v>
      </c>
      <c r="B97" s="60">
        <v>318.25</v>
      </c>
      <c r="C97" s="60">
        <v>9</v>
      </c>
      <c r="D97" s="60">
        <v>48.019230769230766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4"/>
        <v>7.1782051282051267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109</v>
      </c>
      <c r="B98" s="60">
        <v>340.16666666666663</v>
      </c>
      <c r="C98" s="60">
        <v>10</v>
      </c>
      <c r="D98" s="60">
        <v>51.28846153846154</v>
      </c>
      <c r="E98" s="87">
        <v>0.9</v>
      </c>
      <c r="F98" s="87">
        <v>0</v>
      </c>
      <c r="G98" s="87">
        <v>0</v>
      </c>
      <c r="H98" s="87">
        <v>0.1</v>
      </c>
      <c r="I98" s="53">
        <f t="shared" si="4"/>
        <v>6.9935897435897401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119</v>
      </c>
      <c r="B99" s="60">
        <v>357.33974358974359</v>
      </c>
      <c r="C99" s="60">
        <v>11</v>
      </c>
      <c r="D99" s="60">
        <v>150.02564102564102</v>
      </c>
      <c r="E99" s="87">
        <v>0.9</v>
      </c>
      <c r="F99" s="87">
        <v>0</v>
      </c>
      <c r="G99" s="87">
        <v>0</v>
      </c>
      <c r="H99" s="87">
        <v>0.1</v>
      </c>
      <c r="I99" s="53">
        <f t="shared" si="4"/>
        <v>6.8461538461538511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123</v>
      </c>
      <c r="B100" s="60">
        <v>222.63461538461539</v>
      </c>
      <c r="C100" s="60">
        <v>12</v>
      </c>
      <c r="D100" s="60">
        <v>77.17307692307692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4"/>
        <v>3.8301282051282044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127</v>
      </c>
      <c r="B101" s="60">
        <v>154.80128205128204</v>
      </c>
      <c r="C101" s="60">
        <v>13</v>
      </c>
      <c r="D101" s="60">
        <v>49.916666666666671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4"/>
        <v>2.3349358974358978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131</v>
      </c>
      <c r="B102" s="50">
        <v>110.91025641025641</v>
      </c>
      <c r="C102" s="60">
        <v>14</v>
      </c>
      <c r="D102" s="50">
        <v>110.91025641025641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4"/>
        <v>1.5064102564102591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Chêne rouge d'Amérique</v>
      </c>
      <c r="D110" s="229" t="s">
        <v>44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45</v>
      </c>
      <c r="C112" s="258" t="s">
        <v>46</v>
      </c>
      <c r="D112" s="258"/>
      <c r="E112" s="259" t="s">
        <v>47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48</v>
      </c>
      <c r="B113" s="36" t="s">
        <v>49</v>
      </c>
      <c r="C113" s="48" t="s">
        <v>50</v>
      </c>
      <c r="D113" s="48" t="s">
        <v>51</v>
      </c>
      <c r="E113" s="36" t="s">
        <v>52</v>
      </c>
      <c r="F113" s="36" t="s">
        <v>53</v>
      </c>
      <c r="G113" s="36" t="s">
        <v>54</v>
      </c>
      <c r="H113" s="36" t="s">
        <v>55</v>
      </c>
      <c r="I113" s="48" t="s">
        <v>56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10</v>
      </c>
      <c r="B114" s="60">
        <v>35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3.5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15</v>
      </c>
      <c r="B115" s="60">
        <v>88</v>
      </c>
      <c r="C115" s="50">
        <v>0</v>
      </c>
      <c r="D115" s="60" t="s">
        <v>58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5">IF(A115&lt;&gt;0,(B115-(B114-D114))/(A115-A114),"")</f>
        <v>10.6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20</v>
      </c>
      <c r="B116" s="60">
        <v>117</v>
      </c>
      <c r="C116" s="50">
        <v>1</v>
      </c>
      <c r="D116" s="60" t="s">
        <v>59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5"/>
        <v>11.8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25</v>
      </c>
      <c r="B117" s="60">
        <v>145</v>
      </c>
      <c r="C117" s="50">
        <v>2</v>
      </c>
      <c r="D117" s="60" t="s">
        <v>60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5"/>
        <v>11.4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30</v>
      </c>
      <c r="B118" s="60">
        <v>169</v>
      </c>
      <c r="C118" s="50">
        <v>3</v>
      </c>
      <c r="D118" s="60" t="s">
        <v>61</v>
      </c>
      <c r="E118" s="51">
        <v>0</v>
      </c>
      <c r="F118" s="51">
        <v>0.5</v>
      </c>
      <c r="G118" s="51">
        <v>0</v>
      </c>
      <c r="H118" s="51">
        <v>0.5</v>
      </c>
      <c r="I118" s="53">
        <f t="shared" si="5"/>
        <v>11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35</v>
      </c>
      <c r="B119" s="60">
        <v>189</v>
      </c>
      <c r="C119" s="50">
        <v>4</v>
      </c>
      <c r="D119" s="60" t="s">
        <v>61</v>
      </c>
      <c r="E119" s="51">
        <v>0</v>
      </c>
      <c r="F119" s="51">
        <v>0.5</v>
      </c>
      <c r="G119" s="51">
        <v>0</v>
      </c>
      <c r="H119" s="51">
        <v>0.5</v>
      </c>
      <c r="I119" s="53">
        <f t="shared" si="5"/>
        <v>10.4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40</v>
      </c>
      <c r="B120" s="60">
        <v>206</v>
      </c>
      <c r="C120" s="60">
        <v>5</v>
      </c>
      <c r="D120" s="60" t="s">
        <v>60</v>
      </c>
      <c r="E120" s="87">
        <v>0.4</v>
      </c>
      <c r="F120" s="87">
        <v>0.4</v>
      </c>
      <c r="G120" s="87">
        <v>0</v>
      </c>
      <c r="H120" s="87">
        <v>0.2</v>
      </c>
      <c r="I120" s="53">
        <f t="shared" si="5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45</v>
      </c>
      <c r="B121" s="60">
        <v>219</v>
      </c>
      <c r="C121" s="60">
        <v>6</v>
      </c>
      <c r="D121" s="60" t="s">
        <v>58</v>
      </c>
      <c r="E121" s="87">
        <v>0.4</v>
      </c>
      <c r="F121" s="87">
        <v>0.4</v>
      </c>
      <c r="G121" s="87">
        <v>0</v>
      </c>
      <c r="H121" s="87">
        <v>0.2</v>
      </c>
      <c r="I121" s="53">
        <f t="shared" si="5"/>
        <v>8.8000000000000007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50</v>
      </c>
      <c r="B122" s="60">
        <v>230</v>
      </c>
      <c r="C122" s="60">
        <v>7</v>
      </c>
      <c r="D122" s="60" t="s">
        <v>62</v>
      </c>
      <c r="E122" s="87">
        <v>0.4</v>
      </c>
      <c r="F122" s="87">
        <v>0.4</v>
      </c>
      <c r="G122" s="87">
        <v>0</v>
      </c>
      <c r="H122" s="87">
        <v>0.2</v>
      </c>
      <c r="I122" s="53">
        <f t="shared" si="5"/>
        <v>8.1999999999999993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239</v>
      </c>
      <c r="C123" s="60">
        <v>8</v>
      </c>
      <c r="D123" s="60" t="s">
        <v>63</v>
      </c>
      <c r="E123" s="87">
        <v>0.5</v>
      </c>
      <c r="F123" s="87">
        <v>0.4</v>
      </c>
      <c r="G123" s="87">
        <v>0</v>
      </c>
      <c r="H123" s="87">
        <v>0.1</v>
      </c>
      <c r="I123" s="53">
        <f t="shared" si="5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246</v>
      </c>
      <c r="C124" s="60">
        <v>9</v>
      </c>
      <c r="D124" s="60" t="s">
        <v>64</v>
      </c>
      <c r="E124" s="87">
        <v>0.5</v>
      </c>
      <c r="F124" s="87">
        <v>0.4</v>
      </c>
      <c r="G124" s="87">
        <v>0</v>
      </c>
      <c r="H124" s="87">
        <v>0.1</v>
      </c>
      <c r="I124" s="53">
        <f t="shared" si="5"/>
        <v>6.6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252</v>
      </c>
      <c r="C125" s="60">
        <v>10</v>
      </c>
      <c r="D125" s="60" t="s">
        <v>65</v>
      </c>
      <c r="E125" s="87">
        <v>0.6</v>
      </c>
      <c r="F125" s="87">
        <v>0.3</v>
      </c>
      <c r="G125" s="87">
        <v>0</v>
      </c>
      <c r="H125" s="87">
        <v>0.1</v>
      </c>
      <c r="I125" s="53">
        <f t="shared" si="5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257</v>
      </c>
      <c r="C126" s="60">
        <v>11</v>
      </c>
      <c r="D126" s="60" t="s">
        <v>66</v>
      </c>
      <c r="E126" s="65">
        <v>0.6</v>
      </c>
      <c r="F126" s="65">
        <v>0.3</v>
      </c>
      <c r="G126" s="65">
        <v>0</v>
      </c>
      <c r="H126" s="65">
        <v>0.1</v>
      </c>
      <c r="I126" s="53">
        <f t="shared" si="5"/>
        <v>5.4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261</v>
      </c>
      <c r="C127" s="60">
        <v>12</v>
      </c>
      <c r="D127" s="60" t="s">
        <v>67</v>
      </c>
      <c r="E127" s="65">
        <v>0.7</v>
      </c>
      <c r="F127" s="65">
        <v>0.2</v>
      </c>
      <c r="G127" s="65">
        <v>0</v>
      </c>
      <c r="H127" s="65">
        <v>0.1</v>
      </c>
      <c r="I127" s="53">
        <f t="shared" si="5"/>
        <v>5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264</v>
      </c>
      <c r="C128" s="50">
        <v>13</v>
      </c>
      <c r="D128" s="50" t="s">
        <v>68</v>
      </c>
      <c r="E128" s="54">
        <v>0.7</v>
      </c>
      <c r="F128" s="54">
        <v>0.2</v>
      </c>
      <c r="G128" s="54">
        <v>0</v>
      </c>
      <c r="H128" s="54">
        <v>0.1</v>
      </c>
      <c r="I128" s="53">
        <f t="shared" si="5"/>
        <v>4.4000000000000004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85</v>
      </c>
      <c r="B129" s="50">
        <v>267</v>
      </c>
      <c r="C129" s="50">
        <v>14</v>
      </c>
      <c r="D129" s="50" t="s">
        <v>69</v>
      </c>
      <c r="E129" s="54">
        <v>0.8</v>
      </c>
      <c r="F129" s="54">
        <v>0.1</v>
      </c>
      <c r="G129" s="54">
        <v>0</v>
      </c>
      <c r="H129" s="54">
        <v>0.1</v>
      </c>
      <c r="I129" s="53">
        <f t="shared" si="5"/>
        <v>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90</v>
      </c>
      <c r="B130" s="50">
        <v>268</v>
      </c>
      <c r="C130" s="50">
        <v>15</v>
      </c>
      <c r="D130" s="50" t="s">
        <v>70</v>
      </c>
      <c r="E130" s="54">
        <v>0.8</v>
      </c>
      <c r="F130" s="54">
        <v>0.1</v>
      </c>
      <c r="G130" s="54">
        <v>0</v>
      </c>
      <c r="H130" s="54">
        <v>0.1</v>
      </c>
      <c r="I130" s="53">
        <f t="shared" si="5"/>
        <v>3.4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95</v>
      </c>
      <c r="B131" s="50">
        <v>270</v>
      </c>
      <c r="C131" s="50">
        <v>16</v>
      </c>
      <c r="D131" s="50" t="s">
        <v>71</v>
      </c>
      <c r="E131" s="54">
        <v>0.8</v>
      </c>
      <c r="F131" s="54">
        <v>0.1</v>
      </c>
      <c r="G131" s="54">
        <v>0</v>
      </c>
      <c r="H131" s="54">
        <v>0.1</v>
      </c>
      <c r="I131" s="53">
        <f t="shared" si="5"/>
        <v>3.2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100</v>
      </c>
      <c r="B132" s="50">
        <v>273</v>
      </c>
      <c r="C132" s="50">
        <v>17</v>
      </c>
      <c r="D132" s="50" t="s">
        <v>71</v>
      </c>
      <c r="E132" s="54">
        <v>0.8</v>
      </c>
      <c r="F132" s="54">
        <v>0.1</v>
      </c>
      <c r="G132" s="54">
        <v>0</v>
      </c>
      <c r="H132" s="54">
        <v>0.1</v>
      </c>
      <c r="I132" s="53">
        <f t="shared" si="5"/>
        <v>3.2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/>
      </c>
      <c r="D136" s="229" t="s">
        <v>44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45</v>
      </c>
      <c r="C138" s="258" t="s">
        <v>46</v>
      </c>
      <c r="D138" s="258"/>
      <c r="E138" s="259" t="s">
        <v>47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48</v>
      </c>
      <c r="B139" s="36" t="s">
        <v>49</v>
      </c>
      <c r="C139" s="48" t="s">
        <v>50</v>
      </c>
      <c r="D139" s="48" t="s">
        <v>51</v>
      </c>
      <c r="E139" s="36" t="s">
        <v>52</v>
      </c>
      <c r="F139" s="36" t="s">
        <v>53</v>
      </c>
      <c r="G139" s="36" t="s">
        <v>54</v>
      </c>
      <c r="H139" s="36" t="s">
        <v>55</v>
      </c>
      <c r="I139" s="48" t="s">
        <v>56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25</v>
      </c>
      <c r="B162" s="52" t="str">
        <f>IF(B14="","",B14)</f>
        <v/>
      </c>
      <c r="D162" s="229" t="s">
        <v>44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45</v>
      </c>
      <c r="C164" s="258" t="s">
        <v>46</v>
      </c>
      <c r="D164" s="258"/>
      <c r="E164" s="259" t="s">
        <v>47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48</v>
      </c>
      <c r="B165" s="36" t="s">
        <v>49</v>
      </c>
      <c r="C165" s="48" t="s">
        <v>50</v>
      </c>
      <c r="D165" s="48" t="s">
        <v>51</v>
      </c>
      <c r="E165" s="36" t="s">
        <v>52</v>
      </c>
      <c r="F165" s="36" t="s">
        <v>53</v>
      </c>
      <c r="G165" s="36" t="s">
        <v>54</v>
      </c>
      <c r="H165" s="36" t="s">
        <v>55</v>
      </c>
      <c r="I165" s="48" t="s">
        <v>56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26</v>
      </c>
      <c r="B188" s="52" t="str">
        <f>IF(B15="","",B15)</f>
        <v/>
      </c>
      <c r="D188" s="229" t="s">
        <v>44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45</v>
      </c>
      <c r="C190" s="258" t="s">
        <v>46</v>
      </c>
      <c r="D190" s="258"/>
      <c r="E190" s="259" t="s">
        <v>47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48</v>
      </c>
      <c r="B191" s="36" t="s">
        <v>49</v>
      </c>
      <c r="C191" s="48" t="s">
        <v>50</v>
      </c>
      <c r="D191" s="48" t="s">
        <v>51</v>
      </c>
      <c r="E191" s="36" t="s">
        <v>52</v>
      </c>
      <c r="F191" s="36" t="s">
        <v>53</v>
      </c>
      <c r="G191" s="36" t="s">
        <v>54</v>
      </c>
      <c r="H191" s="36" t="s">
        <v>55</v>
      </c>
      <c r="I191" s="48" t="s">
        <v>56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27</v>
      </c>
      <c r="B214" s="52" t="str">
        <f>IF(B16="","",B16)</f>
        <v/>
      </c>
      <c r="D214" s="229" t="s">
        <v>44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45</v>
      </c>
      <c r="C216" s="258" t="s">
        <v>46</v>
      </c>
      <c r="D216" s="258"/>
      <c r="E216" s="259" t="s">
        <v>47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48</v>
      </c>
      <c r="B217" s="36" t="s">
        <v>49</v>
      </c>
      <c r="C217" s="48" t="s">
        <v>50</v>
      </c>
      <c r="D217" s="48" t="s">
        <v>51</v>
      </c>
      <c r="E217" s="36" t="s">
        <v>52</v>
      </c>
      <c r="F217" s="36" t="s">
        <v>53</v>
      </c>
      <c r="G217" s="36" t="s">
        <v>54</v>
      </c>
      <c r="H217" s="36" t="s">
        <v>55</v>
      </c>
      <c r="I217" s="48" t="s">
        <v>56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28</v>
      </c>
      <c r="B240" s="52" t="str">
        <f>IF(B17="","",B17)</f>
        <v/>
      </c>
      <c r="D240" s="229" t="s">
        <v>44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45</v>
      </c>
      <c r="C242" s="258" t="s">
        <v>46</v>
      </c>
      <c r="D242" s="258"/>
      <c r="E242" s="259" t="s">
        <v>47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48</v>
      </c>
      <c r="B243" s="36" t="s">
        <v>49</v>
      </c>
      <c r="C243" s="48" t="s">
        <v>50</v>
      </c>
      <c r="D243" s="48" t="s">
        <v>51</v>
      </c>
      <c r="E243" s="36" t="s">
        <v>52</v>
      </c>
      <c r="F243" s="36" t="s">
        <v>53</v>
      </c>
      <c r="G243" s="36" t="s">
        <v>54</v>
      </c>
      <c r="H243" s="36" t="s">
        <v>55</v>
      </c>
      <c r="I243" s="48" t="s">
        <v>56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29</v>
      </c>
      <c r="B266" s="52" t="str">
        <f>IF(B18="","",B18)</f>
        <v/>
      </c>
      <c r="D266" s="229" t="s">
        <v>44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45</v>
      </c>
      <c r="C268" s="258" t="s">
        <v>46</v>
      </c>
      <c r="D268" s="258"/>
      <c r="E268" s="259" t="s">
        <v>47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48</v>
      </c>
      <c r="B269" s="36" t="s">
        <v>49</v>
      </c>
      <c r="C269" s="48" t="s">
        <v>50</v>
      </c>
      <c r="D269" s="48" t="s">
        <v>51</v>
      </c>
      <c r="E269" s="36" t="s">
        <v>52</v>
      </c>
      <c r="F269" s="36" t="s">
        <v>53</v>
      </c>
      <c r="G269" s="36" t="s">
        <v>54</v>
      </c>
      <c r="H269" s="36" t="s">
        <v>55</v>
      </c>
      <c r="I269" s="48" t="s">
        <v>56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72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73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74</v>
      </c>
      <c r="C7" s="100" t="s">
        <v>75</v>
      </c>
      <c r="D7" s="215"/>
      <c r="E7" s="101"/>
      <c r="F7" s="26" t="s">
        <v>74</v>
      </c>
      <c r="G7" s="100" t="s">
        <v>76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77</v>
      </c>
      <c r="D8" s="23"/>
      <c r="E8" s="105">
        <v>4</v>
      </c>
      <c r="F8" s="61">
        <v>0</v>
      </c>
      <c r="G8" s="102" t="s">
        <v>78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79</v>
      </c>
      <c r="D9" s="23"/>
      <c r="E9" s="105">
        <v>5</v>
      </c>
      <c r="F9" s="61">
        <v>0</v>
      </c>
      <c r="G9" s="103" t="s">
        <v>80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81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82</v>
      </c>
      <c r="D13" s="216"/>
      <c r="E13" s="99"/>
      <c r="F13" s="107"/>
      <c r="G13" s="98" t="s">
        <v>83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84</v>
      </c>
      <c r="D14" s="216"/>
      <c r="E14" s="99"/>
      <c r="F14" s="107"/>
      <c r="G14" s="98" t="s">
        <v>85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74</v>
      </c>
      <c r="C15" s="4"/>
      <c r="D15" s="23"/>
      <c r="E15" s="4"/>
      <c r="F15" s="4"/>
      <c r="G15" s="2" t="s">
        <v>16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86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87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88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89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maritime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rouge d'Amérique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90</v>
      </c>
      <c r="B2" s="72" t="s">
        <v>91</v>
      </c>
      <c r="C2" s="5" t="s">
        <v>92</v>
      </c>
      <c r="D2" s="5" t="s">
        <v>93</v>
      </c>
      <c r="E2" s="5" t="s">
        <v>94</v>
      </c>
      <c r="F2" s="5" t="s">
        <v>95</v>
      </c>
      <c r="G2" s="5" t="s">
        <v>96</v>
      </c>
      <c r="H2" s="66" t="s">
        <v>97</v>
      </c>
      <c r="I2" s="68" t="s">
        <v>94</v>
      </c>
      <c r="J2" s="69" t="s">
        <v>95</v>
      </c>
      <c r="K2" s="6" t="s">
        <v>98</v>
      </c>
      <c r="L2" s="6" t="s">
        <v>99</v>
      </c>
      <c r="M2" s="6" t="s">
        <v>99</v>
      </c>
      <c r="N2" s="6" t="s">
        <v>100</v>
      </c>
      <c r="O2" s="6" t="s">
        <v>101</v>
      </c>
      <c r="P2" s="6" t="s">
        <v>102</v>
      </c>
      <c r="Q2" s="6" t="s">
        <v>96</v>
      </c>
      <c r="R2" s="6" t="s">
        <v>103</v>
      </c>
      <c r="S2" s="6" t="s">
        <v>104</v>
      </c>
      <c r="T2" s="6" t="s">
        <v>105</v>
      </c>
      <c r="U2" s="7" t="s">
        <v>106</v>
      </c>
      <c r="V2" s="8" t="s">
        <v>107</v>
      </c>
      <c r="W2" s="7" t="s">
        <v>52</v>
      </c>
      <c r="X2" s="7" t="s">
        <v>53</v>
      </c>
      <c r="Y2" s="7" t="s">
        <v>108</v>
      </c>
      <c r="Z2" s="8" t="s">
        <v>109</v>
      </c>
      <c r="AA2" s="8" t="s">
        <v>110</v>
      </c>
      <c r="AB2" s="8" t="s">
        <v>111</v>
      </c>
      <c r="AC2" s="9" t="s">
        <v>112</v>
      </c>
      <c r="AD2" s="69" t="s">
        <v>94</v>
      </c>
      <c r="AE2" s="69" t="s">
        <v>95</v>
      </c>
      <c r="AF2" s="6" t="s">
        <v>98</v>
      </c>
      <c r="AG2" s="6" t="s">
        <v>99</v>
      </c>
      <c r="AH2" s="6" t="s">
        <v>99</v>
      </c>
      <c r="AI2" s="6" t="s">
        <v>100</v>
      </c>
      <c r="AJ2" s="6" t="s">
        <v>101</v>
      </c>
      <c r="AK2" s="6" t="s">
        <v>102</v>
      </c>
      <c r="AL2" s="6" t="s">
        <v>96</v>
      </c>
      <c r="AM2" s="6" t="s">
        <v>103</v>
      </c>
      <c r="AN2" s="6" t="s">
        <v>104</v>
      </c>
      <c r="AO2" s="6" t="s">
        <v>105</v>
      </c>
      <c r="AP2" s="7" t="s">
        <v>106</v>
      </c>
      <c r="AQ2" s="8" t="s">
        <v>107</v>
      </c>
      <c r="AR2" s="7" t="s">
        <v>52</v>
      </c>
      <c r="AS2" s="7" t="s">
        <v>53</v>
      </c>
      <c r="AT2" s="8" t="s">
        <v>113</v>
      </c>
      <c r="AU2" s="8" t="s">
        <v>109</v>
      </c>
      <c r="AV2" s="8" t="s">
        <v>110</v>
      </c>
      <c r="AW2" s="8" t="s">
        <v>111</v>
      </c>
      <c r="AX2" s="8" t="s">
        <v>112</v>
      </c>
      <c r="AY2" s="68" t="s">
        <v>94</v>
      </c>
      <c r="AZ2" s="69" t="s">
        <v>95</v>
      </c>
      <c r="BA2" s="6" t="s">
        <v>98</v>
      </c>
      <c r="BB2" s="6" t="s">
        <v>99</v>
      </c>
      <c r="BC2" s="6" t="s">
        <v>99</v>
      </c>
      <c r="BD2" s="6" t="s">
        <v>100</v>
      </c>
      <c r="BE2" s="6" t="s">
        <v>101</v>
      </c>
      <c r="BF2" s="6" t="s">
        <v>102</v>
      </c>
      <c r="BG2" s="6" t="s">
        <v>96</v>
      </c>
      <c r="BH2" s="6" t="s">
        <v>103</v>
      </c>
      <c r="BI2" s="6" t="s">
        <v>104</v>
      </c>
      <c r="BJ2" s="6" t="s">
        <v>105</v>
      </c>
      <c r="BK2" s="7" t="s">
        <v>106</v>
      </c>
      <c r="BL2" s="8" t="s">
        <v>107</v>
      </c>
      <c r="BM2" s="7" t="s">
        <v>52</v>
      </c>
      <c r="BN2" s="7" t="s">
        <v>53</v>
      </c>
      <c r="BO2" s="8" t="s">
        <v>113</v>
      </c>
      <c r="BP2" s="8" t="s">
        <v>109</v>
      </c>
      <c r="BQ2" s="8" t="s">
        <v>110</v>
      </c>
      <c r="BR2" s="8" t="s">
        <v>111</v>
      </c>
      <c r="BS2" s="9" t="s">
        <v>112</v>
      </c>
      <c r="BT2" s="68" t="s">
        <v>94</v>
      </c>
      <c r="BU2" s="69" t="s">
        <v>95</v>
      </c>
      <c r="BV2" s="6" t="s">
        <v>98</v>
      </c>
      <c r="BW2" s="6" t="s">
        <v>99</v>
      </c>
      <c r="BX2" s="6" t="s">
        <v>99</v>
      </c>
      <c r="BY2" s="6" t="s">
        <v>100</v>
      </c>
      <c r="BZ2" s="6" t="s">
        <v>101</v>
      </c>
      <c r="CA2" s="6" t="s">
        <v>102</v>
      </c>
      <c r="CB2" s="6" t="s">
        <v>96</v>
      </c>
      <c r="CC2" s="6" t="s">
        <v>103</v>
      </c>
      <c r="CD2" s="6" t="s">
        <v>104</v>
      </c>
      <c r="CE2" s="6" t="s">
        <v>105</v>
      </c>
      <c r="CF2" s="7" t="s">
        <v>106</v>
      </c>
      <c r="CG2" s="8" t="s">
        <v>107</v>
      </c>
      <c r="CH2" s="7" t="s">
        <v>52</v>
      </c>
      <c r="CI2" s="7" t="s">
        <v>53</v>
      </c>
      <c r="CJ2" s="8" t="s">
        <v>113</v>
      </c>
      <c r="CK2" s="8" t="s">
        <v>109</v>
      </c>
      <c r="CL2" s="8" t="s">
        <v>110</v>
      </c>
      <c r="CM2" s="8" t="s">
        <v>111</v>
      </c>
      <c r="CN2" s="9" t="s">
        <v>112</v>
      </c>
      <c r="CO2" s="68" t="s">
        <v>94</v>
      </c>
      <c r="CP2" s="69" t="s">
        <v>95</v>
      </c>
      <c r="CQ2" s="6" t="s">
        <v>98</v>
      </c>
      <c r="CR2" s="6" t="s">
        <v>99</v>
      </c>
      <c r="CS2" s="6" t="s">
        <v>99</v>
      </c>
      <c r="CT2" s="6" t="s">
        <v>100</v>
      </c>
      <c r="CU2" s="6" t="s">
        <v>101</v>
      </c>
      <c r="CV2" s="6" t="s">
        <v>102</v>
      </c>
      <c r="CW2" s="6" t="s">
        <v>96</v>
      </c>
      <c r="CX2" s="6" t="s">
        <v>103</v>
      </c>
      <c r="CY2" s="6" t="s">
        <v>104</v>
      </c>
      <c r="CZ2" s="6" t="s">
        <v>105</v>
      </c>
      <c r="DA2" s="7" t="s">
        <v>106</v>
      </c>
      <c r="DB2" s="8" t="s">
        <v>107</v>
      </c>
      <c r="DC2" s="7" t="s">
        <v>52</v>
      </c>
      <c r="DD2" s="7" t="s">
        <v>53</v>
      </c>
      <c r="DE2" s="8" t="s">
        <v>113</v>
      </c>
      <c r="DF2" s="8" t="s">
        <v>109</v>
      </c>
      <c r="DG2" s="8" t="s">
        <v>110</v>
      </c>
      <c r="DH2" s="8" t="s">
        <v>111</v>
      </c>
      <c r="DI2" s="9" t="s">
        <v>112</v>
      </c>
      <c r="DJ2" s="68" t="s">
        <v>94</v>
      </c>
      <c r="DK2" s="69" t="s">
        <v>95</v>
      </c>
      <c r="DL2" s="6" t="s">
        <v>98</v>
      </c>
      <c r="DM2" s="6" t="s">
        <v>99</v>
      </c>
      <c r="DN2" s="6" t="s">
        <v>99</v>
      </c>
      <c r="DO2" s="6" t="s">
        <v>100</v>
      </c>
      <c r="DP2" s="6" t="s">
        <v>101</v>
      </c>
      <c r="DQ2" s="6" t="s">
        <v>102</v>
      </c>
      <c r="DR2" s="6" t="s">
        <v>96</v>
      </c>
      <c r="DS2" s="6" t="s">
        <v>103</v>
      </c>
      <c r="DT2" s="6" t="s">
        <v>104</v>
      </c>
      <c r="DU2" s="6" t="s">
        <v>105</v>
      </c>
      <c r="DV2" s="7" t="s">
        <v>106</v>
      </c>
      <c r="DW2" s="8" t="s">
        <v>107</v>
      </c>
      <c r="DX2" s="7" t="s">
        <v>52</v>
      </c>
      <c r="DY2" s="7" t="s">
        <v>53</v>
      </c>
      <c r="DZ2" s="8" t="s">
        <v>113</v>
      </c>
      <c r="EA2" s="8" t="s">
        <v>109</v>
      </c>
      <c r="EB2" s="8" t="s">
        <v>110</v>
      </c>
      <c r="EC2" s="8" t="s">
        <v>111</v>
      </c>
      <c r="ED2" s="9" t="s">
        <v>112</v>
      </c>
      <c r="EE2" s="68" t="s">
        <v>94</v>
      </c>
      <c r="EF2" s="69" t="s">
        <v>95</v>
      </c>
      <c r="EG2" s="6" t="s">
        <v>98</v>
      </c>
      <c r="EH2" s="6" t="s">
        <v>99</v>
      </c>
      <c r="EI2" s="6" t="s">
        <v>99</v>
      </c>
      <c r="EJ2" s="6" t="s">
        <v>100</v>
      </c>
      <c r="EK2" s="6" t="s">
        <v>101</v>
      </c>
      <c r="EL2" s="6" t="s">
        <v>102</v>
      </c>
      <c r="EM2" s="6" t="s">
        <v>96</v>
      </c>
      <c r="EN2" s="6" t="s">
        <v>103</v>
      </c>
      <c r="EO2" s="6" t="s">
        <v>104</v>
      </c>
      <c r="EP2" s="6" t="s">
        <v>105</v>
      </c>
      <c r="EQ2" s="7" t="s">
        <v>106</v>
      </c>
      <c r="ER2" s="8" t="s">
        <v>107</v>
      </c>
      <c r="ES2" s="7" t="s">
        <v>52</v>
      </c>
      <c r="ET2" s="7" t="s">
        <v>53</v>
      </c>
      <c r="EU2" s="8" t="s">
        <v>113</v>
      </c>
      <c r="EV2" s="8" t="s">
        <v>109</v>
      </c>
      <c r="EW2" s="8" t="s">
        <v>110</v>
      </c>
      <c r="EX2" s="8" t="s">
        <v>111</v>
      </c>
      <c r="EY2" s="9" t="s">
        <v>112</v>
      </c>
      <c r="EZ2" s="68" t="s">
        <v>94</v>
      </c>
      <c r="FA2" s="69" t="s">
        <v>95</v>
      </c>
      <c r="FB2" s="6" t="s">
        <v>98</v>
      </c>
      <c r="FC2" s="6" t="s">
        <v>99</v>
      </c>
      <c r="FD2" s="6" t="s">
        <v>99</v>
      </c>
      <c r="FE2" s="6" t="s">
        <v>100</v>
      </c>
      <c r="FF2" s="6" t="s">
        <v>101</v>
      </c>
      <c r="FG2" s="6" t="s">
        <v>102</v>
      </c>
      <c r="FH2" s="6" t="s">
        <v>96</v>
      </c>
      <c r="FI2" s="6" t="s">
        <v>103</v>
      </c>
      <c r="FJ2" s="6" t="s">
        <v>104</v>
      </c>
      <c r="FK2" s="6" t="s">
        <v>105</v>
      </c>
      <c r="FL2" s="7" t="s">
        <v>106</v>
      </c>
      <c r="FM2" s="8" t="s">
        <v>107</v>
      </c>
      <c r="FN2" s="7" t="s">
        <v>52</v>
      </c>
      <c r="FO2" s="7" t="s">
        <v>53</v>
      </c>
      <c r="FP2" s="8" t="s">
        <v>114</v>
      </c>
      <c r="FQ2" s="8" t="s">
        <v>109</v>
      </c>
      <c r="FR2" s="8" t="s">
        <v>110</v>
      </c>
      <c r="FS2" s="8" t="s">
        <v>111</v>
      </c>
      <c r="FT2" s="9" t="s">
        <v>112</v>
      </c>
      <c r="FU2" s="68" t="s">
        <v>94</v>
      </c>
      <c r="FV2" s="69" t="s">
        <v>95</v>
      </c>
      <c r="FW2" s="6" t="s">
        <v>98</v>
      </c>
      <c r="FX2" s="6" t="s">
        <v>99</v>
      </c>
      <c r="FY2" s="6" t="s">
        <v>99</v>
      </c>
      <c r="FZ2" s="6" t="s">
        <v>100</v>
      </c>
      <c r="GA2" s="6" t="s">
        <v>101</v>
      </c>
      <c r="GB2" s="6" t="s">
        <v>102</v>
      </c>
      <c r="GC2" s="6" t="s">
        <v>96</v>
      </c>
      <c r="GD2" s="6" t="s">
        <v>103</v>
      </c>
      <c r="GE2" s="6" t="s">
        <v>104</v>
      </c>
      <c r="GF2" s="6" t="s">
        <v>105</v>
      </c>
      <c r="GG2" s="7" t="s">
        <v>106</v>
      </c>
      <c r="GH2" s="8" t="s">
        <v>107</v>
      </c>
      <c r="GI2" s="7" t="s">
        <v>52</v>
      </c>
      <c r="GJ2" s="7" t="s">
        <v>53</v>
      </c>
      <c r="GK2" s="8" t="s">
        <v>113</v>
      </c>
      <c r="GL2" s="8" t="s">
        <v>109</v>
      </c>
      <c r="GM2" s="8" t="s">
        <v>110</v>
      </c>
      <c r="GN2" s="8" t="s">
        <v>111</v>
      </c>
      <c r="GO2" s="8" t="s">
        <v>112</v>
      </c>
      <c r="GP2" s="68" t="s">
        <v>94</v>
      </c>
      <c r="GQ2" s="69" t="s">
        <v>95</v>
      </c>
      <c r="GR2" s="6" t="s">
        <v>98</v>
      </c>
      <c r="GS2" s="6" t="s">
        <v>99</v>
      </c>
      <c r="GT2" s="6" t="s">
        <v>99</v>
      </c>
      <c r="GU2" s="6" t="s">
        <v>100</v>
      </c>
      <c r="GV2" s="6" t="s">
        <v>101</v>
      </c>
      <c r="GW2" s="6" t="s">
        <v>102</v>
      </c>
      <c r="GX2" s="6" t="s">
        <v>96</v>
      </c>
      <c r="GY2" s="6" t="s">
        <v>103</v>
      </c>
      <c r="GZ2" s="6" t="s">
        <v>104</v>
      </c>
      <c r="HA2" s="6" t="s">
        <v>105</v>
      </c>
      <c r="HB2" s="7" t="s">
        <v>106</v>
      </c>
      <c r="HC2" s="8" t="s">
        <v>107</v>
      </c>
      <c r="HD2" s="7" t="s">
        <v>52</v>
      </c>
      <c r="HE2" s="7" t="s">
        <v>53</v>
      </c>
      <c r="HF2" s="8" t="s">
        <v>113</v>
      </c>
      <c r="HG2" s="8" t="s">
        <v>109</v>
      </c>
      <c r="HH2" s="8" t="s">
        <v>110</v>
      </c>
      <c r="HI2" s="8" t="s">
        <v>111</v>
      </c>
      <c r="HJ2" s="9" t="s">
        <v>112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421.33534980160005</v>
      </c>
      <c r="T3" s="59">
        <f>IF('Données projet'!E9&gt;30,$R$33-$H$33,LOOKUP('Données projet'!$E$9,$A$3:$A$203,R3:R203)-LOOKUP('Données projet'!$E$9,$A$3:$A$203,$H$3:$H$203))</f>
        <v>299.0473530693472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337.99164391755608</v>
      </c>
      <c r="AO3" s="59">
        <f>IF('Données projet'!E10&gt;30,$AM$33-$H$33,LOOKUP('Données projet'!$E$10,$A$3:$A$203,AM3:AM203)-LOOKUP('Données projet'!$E$10,$A$3:$A$203,$H$3:$H$203))</f>
        <v>421.45428231923393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462.74754756814662</v>
      </c>
      <c r="BJ3" s="59">
        <f>IF('Données projet'!E11&gt;30,$BH$33-$H$33,LOOKUP('Données projet'!$E$11,$A$3:$A$203,BH3:BH203)-LOOKUP('Données projet'!$E$11,$A$3:$A$203,$H$3:$H$203))</f>
        <v>327.65191293226667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411.67183422518411</v>
      </c>
      <c r="CE3" s="59">
        <f>IF('Données projet'!E12&gt;30,$CC$33-$H$33,LOOKUP('Données projet'!$E$12,$A$3:$A$203,CC3:CC203)-LOOKUP('Données projet'!$E$12,$A$3:$A$203,$H$3:$H$203))</f>
        <v>379.16642539721556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170.50829182017665</v>
      </c>
      <c r="S4" s="59">
        <f ca="1">AVERAGE(OFFSET($R$3,0,0,'Données projet'!$E$9+1,1))-AVERAGE(OFFSET($H$3,0,0,'Données projet'!$E$9+1,1))</f>
        <v>421.33534980160005</v>
      </c>
      <c r="T4" s="59">
        <f>$T$3</f>
        <v>299.0473530693472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9.4117948717948714</v>
      </c>
      <c r="AI4" s="13">
        <f>IF('Données projet'!$A$62&gt;35,AI3+AH4-AQ3,IF(A4&lt;'Données projet'!$A$62,$AF$205^A4,IF(A4='Données projet'!$A$62,'Données projet'!$B$62,AI3+AH4-AQ3)))</f>
        <v>1.3909694153327172</v>
      </c>
      <c r="AJ4" s="13">
        <f>AI4*VLOOKUP('Données projet'!$B$10,Paramètres!$A$1:$I$89,3,0)*VLOOKUP('Données projet'!$B$10,Paramètres!$A$1:$I$89,5,0)</f>
        <v>0.83179971036896505</v>
      </c>
      <c r="AK4" s="13">
        <f>EXP(-1.0587+0.8836*LN(AJ4)+0.284)</f>
        <v>0.39163423183147406</v>
      </c>
      <c r="AL4" s="20">
        <f t="shared" ref="AL4:AL67" si="4">(AJ4+AK4)*0.475*44/12</f>
        <v>2.1308141159990979</v>
      </c>
      <c r="AM4" s="59">
        <f t="shared" ref="AM4:AM67" si="5">AL4+(AD4+AE4)*44/12</f>
        <v>169.94324806892294</v>
      </c>
      <c r="AN4" s="59">
        <f ca="1">AVERAGE(OFFSET($AM$3,0,0,'Données projet'!$E$10+1,1))-AVERAGE(OFFSET($H$3,0,0,'Données projet'!$E$10+1,1))</f>
        <v>337.99164391755608</v>
      </c>
      <c r="AO4" s="59">
        <f>$AO$3</f>
        <v>421.45428231923393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4.0628205128205126</v>
      </c>
      <c r="BD4" s="12">
        <f>IF('Données projet'!$A$88&gt;35,BD3+BC4-BL3,IF(A4&lt;'Données projet'!$A$88,$BA$205^A4,IF(A4='Données projet'!$A$88,'Données projet'!$B$88,BD3+BC4-BL3)))</f>
        <v>1.1736311550444201</v>
      </c>
      <c r="BE4" s="13">
        <f>BD4*VLOOKUP('Données projet'!$B$11,Paramètres!$A$1:$I$89,3,0)*VLOOKUP('Données projet'!$B$11,Paramètres!$A$1:$I$89,5,0)</f>
        <v>1.1900619912150421</v>
      </c>
      <c r="BF4" s="13">
        <f>EXP(-1.0587+0.8836*LN(BE4)+0.284)</f>
        <v>0.53743426225295832</v>
      </c>
      <c r="BG4" s="20">
        <f t="shared" ref="BG4:BG67" si="7">(BE4+BF4)*0.475*44/12</f>
        <v>3.0087226414567669</v>
      </c>
      <c r="BH4" s="59">
        <f t="shared" ref="BH4:BH67" si="8">BG4+(AY4+AZ4)*44/12</f>
        <v>170.8211565943806</v>
      </c>
      <c r="BI4" s="59">
        <f ca="1">AVERAGE(OFFSET($BH$3,0,0,'Données projet'!$E$11+1,1))-AVERAGE(OFFSET($H$3,0,0,'Données projet'!$E$11+1,1))</f>
        <v>462.74754756814662</v>
      </c>
      <c r="BJ4" s="59">
        <f>$BJ$3</f>
        <v>327.65191293226667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3.5</v>
      </c>
      <c r="BY4" s="12">
        <f>IF('Données projet'!$A$114&gt;35,BY3+BX4-CG3,IF(A4&lt;'Données projet'!$A$114,$BV$205^A4,IF(A4='Données projet'!$A$114,'Données projet'!$B$114,BY3+BX4-CG3)))</f>
        <v>1.4269435884576509</v>
      </c>
      <c r="BZ4" s="13">
        <f>BY4*VLOOKUP('Données projet'!$B$12,Paramètres!$A$1:$I$89,3,0)*VLOOKUP('Données projet'!$B$12,Paramètres!$A$1:$I$89,5,0)</f>
        <v>1.246577918876604</v>
      </c>
      <c r="CA4" s="13">
        <f>EXP(-1.0587+0.8836*LN(BZ4)+0.284)</f>
        <v>0.55992486380829476</v>
      </c>
      <c r="CB4" s="20">
        <f t="shared" ref="CB4:CB67" si="10">(BZ4+CA4)*0.475*44/12</f>
        <v>3.1463256798428652</v>
      </c>
      <c r="CC4" s="59">
        <f t="shared" ref="CC4:CC67" si="11">CB4+(BT4+BU4)*44/12</f>
        <v>170.95875963276671</v>
      </c>
      <c r="CD4" s="59">
        <f ca="1">AVERAGE(OFFSET($CC$3,0,0,'Données projet'!$E$12+1,1))-AVERAGE(OFFSET($H$3,0,0,'Données projet'!$E$12+1,1))</f>
        <v>411.67183422518411</v>
      </c>
      <c r="CE4" s="59">
        <f>$CE$3</f>
        <v>379.16642539721556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173.74288373043026</v>
      </c>
      <c r="S5" s="59">
        <f ca="1">AVERAGE(OFFSET($R$3,0,0,'Données projet'!$E$9+1,1))-AVERAGE(OFFSET($H$3,0,0,'Données projet'!$E$9+1,1))</f>
        <v>421.33534980160005</v>
      </c>
      <c r="T5" s="59">
        <f t="shared" ref="T5:T68" si="34">$T$3</f>
        <v>299.0473530693472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9.4117948717948714</v>
      </c>
      <c r="AI5" s="13">
        <f>IF('Données projet'!$A$62&gt;35,AI4+AH5-AQ4,IF(A5&lt;'Données projet'!$A$62,$AF$205^A5,IF(A5='Données projet'!$A$62,'Données projet'!$B$62,AI4+AH5-AQ4)))</f>
        <v>1.9347959143910411</v>
      </c>
      <c r="AJ5" s="13">
        <f>AI5*VLOOKUP('Données projet'!$B$10,Paramètres!$A$1:$I$89,3,0)*VLOOKUP('Données projet'!$B$10,Paramètres!$A$1:$I$89,5,0)</f>
        <v>1.1570079568058427</v>
      </c>
      <c r="AK5" s="13">
        <f t="shared" ref="AK5:AK68" si="35">EXP(-1.0587+0.8836*LN(AJ5)+0.284)</f>
        <v>0.52422298600197004</v>
      </c>
      <c r="AL5" s="20">
        <f t="shared" si="4"/>
        <v>2.9281438920569403</v>
      </c>
      <c r="AM5" s="59">
        <f t="shared" si="5"/>
        <v>173.52542517955777</v>
      </c>
      <c r="AN5" s="59">
        <f ca="1">AVERAGE(OFFSET($AM$3,0,0,'Données projet'!$E$10+1,1))-AVERAGE(OFFSET($H$3,0,0,'Données projet'!$E$10+1,1))</f>
        <v>337.99164391755608</v>
      </c>
      <c r="AO5" s="59">
        <f t="shared" ref="AO5:AO68" si="36">$AO$3</f>
        <v>421.45428231923393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4.0628205128205126</v>
      </c>
      <c r="BD5" s="12">
        <f>IF('Données projet'!$A$88&gt;35,BD4+BC5-BL4,IF(A5&lt;'Données projet'!$A$88,$BA$205^A5,IF(A5='Données projet'!$A$88,'Données projet'!$B$88,BD4+BC5-BL4)))</f>
        <v>1.3774100880908995</v>
      </c>
      <c r="BE5" s="13">
        <f>BD5*VLOOKUP('Données projet'!$B$11,Paramètres!$A$1:$I$89,3,0)*VLOOKUP('Données projet'!$B$11,Paramètres!$A$1:$I$89,5,0)</f>
        <v>1.3966938293241722</v>
      </c>
      <c r="BF5" s="13">
        <f t="shared" ref="BF5:BF68" si="37">EXP(-1.0587+0.8836*LN(BE5)+0.284)</f>
        <v>0.61910384026408283</v>
      </c>
      <c r="BG5" s="20">
        <f t="shared" si="7"/>
        <v>3.5108476078662108</v>
      </c>
      <c r="BH5" s="59">
        <f t="shared" si="8"/>
        <v>174.10812889536703</v>
      </c>
      <c r="BI5" s="59">
        <f ca="1">AVERAGE(OFFSET($BH$3,0,0,'Données projet'!$E$11+1,1))-AVERAGE(OFFSET($H$3,0,0,'Données projet'!$E$11+1,1))</f>
        <v>462.74754756814662</v>
      </c>
      <c r="BJ5" s="59">
        <f t="shared" ref="BJ5:BJ68" si="38">$BJ$3</f>
        <v>327.65191293226667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3.5</v>
      </c>
      <c r="BY5" s="12">
        <f>IF('Données projet'!$A$114&gt;35,BY4+BX5-CG4,IF(A5&lt;'Données projet'!$A$114,$BV$205^A5,IF(A5='Données projet'!$A$114,'Données projet'!$B$114,BY4+BX5-CG4)))</f>
        <v>2.0361680046403978</v>
      </c>
      <c r="BZ5" s="13">
        <f>BY5*VLOOKUP('Données projet'!$B$12,Paramètres!$A$1:$I$89,3,0)*VLOOKUP('Données projet'!$B$12,Paramètres!$A$1:$I$89,5,0)</f>
        <v>1.7787963688538517</v>
      </c>
      <c r="CA5" s="13">
        <f t="shared" ref="CA5:CA68" si="39">EXP(-1.0587+0.8836*LN(BZ5)+0.284)</f>
        <v>0.76659080447596062</v>
      </c>
      <c r="CB5" s="20">
        <f t="shared" si="10"/>
        <v>4.4332159935494238</v>
      </c>
      <c r="CC5" s="59">
        <f t="shared" si="11"/>
        <v>175.03049728105026</v>
      </c>
      <c r="CD5" s="59">
        <f ca="1">AVERAGE(OFFSET($CC$3,0,0,'Données projet'!$E$12+1,1))-AVERAGE(OFFSET($H$3,0,0,'Données projet'!$E$12+1,1))</f>
        <v>411.67183422518411</v>
      </c>
      <c r="CE5" s="59">
        <f t="shared" ref="CE5:CE68" si="40">$CE$3</f>
        <v>379.16642539721556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177.02567022419751</v>
      </c>
      <c r="S6" s="59">
        <f ca="1">AVERAGE(OFFSET($R$3,0,0,'Données projet'!$E$9+1,1))-AVERAGE(OFFSET($H$3,0,0,'Données projet'!$E$9+1,1))</f>
        <v>421.33534980160005</v>
      </c>
      <c r="T6" s="59">
        <f t="shared" si="34"/>
        <v>299.0473530693472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9.4117948717948714</v>
      </c>
      <c r="AI6" s="13">
        <f>IF('Données projet'!$A$62&gt;35,AI5+AH6-AQ5,IF(A6&lt;'Données projet'!$A$62,$AF$205^A6,IF(A6='Données projet'!$A$62,'Données projet'!$B$62,AI5+AH6-AQ5)))</f>
        <v>2.6912419418286366</v>
      </c>
      <c r="AJ6" s="13">
        <f>AI6*VLOOKUP('Données projet'!$B$10,Paramètres!$A$1:$I$89,3,0)*VLOOKUP('Données projet'!$B$10,Paramètres!$A$1:$I$89,5,0)</f>
        <v>1.6093626812135247</v>
      </c>
      <c r="AK6" s="13">
        <f t="shared" si="35"/>
        <v>0.70169999636568137</v>
      </c>
      <c r="AL6" s="20">
        <f t="shared" si="4"/>
        <v>4.0251008301171156</v>
      </c>
      <c r="AM6" s="59">
        <f t="shared" si="5"/>
        <v>177.380121400002</v>
      </c>
      <c r="AN6" s="59">
        <f ca="1">AVERAGE(OFFSET($AM$3,0,0,'Données projet'!$E$10+1,1))-AVERAGE(OFFSET($H$3,0,0,'Données projet'!$E$10+1,1))</f>
        <v>337.99164391755608</v>
      </c>
      <c r="AO6" s="59">
        <f t="shared" si="36"/>
        <v>421.45428231923393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4.0628205128205126</v>
      </c>
      <c r="BD6" s="12">
        <f>IF('Données projet'!$A$88&gt;35,BD5+BC6-BL5,IF(A6&lt;'Données projet'!$A$88,$BA$205^A6,IF(A6='Données projet'!$A$88,'Données projet'!$B$88,BD5+BC6-BL5)))</f>
        <v>1.6165713926559588</v>
      </c>
      <c r="BE6" s="13">
        <f>BD6*VLOOKUP('Données projet'!$B$11,Paramètres!$A$1:$I$89,3,0)*VLOOKUP('Données projet'!$B$11,Paramètres!$A$1:$I$89,5,0)</f>
        <v>1.6392033921531424</v>
      </c>
      <c r="BF6" s="13">
        <f t="shared" si="37"/>
        <v>0.71318408957211055</v>
      </c>
      <c r="BG6" s="20">
        <f t="shared" si="7"/>
        <v>4.0970748640048145</v>
      </c>
      <c r="BH6" s="59">
        <f t="shared" si="8"/>
        <v>177.4520954338897</v>
      </c>
      <c r="BI6" s="59">
        <f ca="1">AVERAGE(OFFSET($BH$3,0,0,'Données projet'!$E$11+1,1))-AVERAGE(OFFSET($H$3,0,0,'Données projet'!$E$11+1,1))</f>
        <v>462.74754756814662</v>
      </c>
      <c r="BJ6" s="59">
        <f t="shared" si="38"/>
        <v>327.65191293226667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3.5</v>
      </c>
      <c r="BY6" s="12">
        <f>IF('Données projet'!$A$114&gt;35,BY5+BX6-CG5,IF(A6&lt;'Données projet'!$A$114,$BV$205^A6,IF(A6='Données projet'!$A$114,'Données projet'!$B$114,BY5+BX6-CG5)))</f>
        <v>2.905496879244224</v>
      </c>
      <c r="BZ6" s="13">
        <f>BY6*VLOOKUP('Données projet'!$B$12,Paramètres!$A$1:$I$89,3,0)*VLOOKUP('Données projet'!$B$12,Paramètres!$A$1:$I$89,5,0)</f>
        <v>2.5382420737077545</v>
      </c>
      <c r="CA6" s="13">
        <f t="shared" si="39"/>
        <v>1.049536285118966</v>
      </c>
      <c r="CB6" s="20">
        <f t="shared" si="10"/>
        <v>6.2487139749565381</v>
      </c>
      <c r="CC6" s="59">
        <f t="shared" si="11"/>
        <v>179.60373454484142</v>
      </c>
      <c r="CD6" s="59">
        <f ca="1">AVERAGE(OFFSET($CC$3,0,0,'Données projet'!$E$12+1,1))-AVERAGE(OFFSET($H$3,0,0,'Données projet'!$E$12+1,1))</f>
        <v>411.67183422518411</v>
      </c>
      <c r="CE6" s="59">
        <f t="shared" si="40"/>
        <v>379.16642539721556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180.36977292590507</v>
      </c>
      <c r="S7" s="59">
        <f ca="1">AVERAGE(OFFSET($R$3,0,0,'Données projet'!$E$9+1,1))-AVERAGE(OFFSET($H$3,0,0,'Données projet'!$E$9+1,1))</f>
        <v>421.33534980160005</v>
      </c>
      <c r="T7" s="59">
        <f t="shared" si="34"/>
        <v>299.0473530693472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9.4117948717948714</v>
      </c>
      <c r="AI7" s="13">
        <f>IF('Données projet'!$A$62&gt;35,AI6+AH7-AQ6,IF(A7&lt;'Données projet'!$A$62,$AF$205^A7,IF(A7='Données projet'!$A$62,'Données projet'!$B$62,AI6+AH7-AQ6)))</f>
        <v>3.7434352303442648</v>
      </c>
      <c r="AJ7" s="13">
        <f>AI7*VLOOKUP('Données projet'!$B$10,Paramètres!$A$1:$I$89,3,0)*VLOOKUP('Données projet'!$B$10,Paramètres!$A$1:$I$89,5,0)</f>
        <v>2.2385742677458706</v>
      </c>
      <c r="AK7" s="13">
        <f t="shared" si="35"/>
        <v>0.93926229495351976</v>
      </c>
      <c r="AL7" s="20">
        <f t="shared" si="4"/>
        <v>5.5347320133681039</v>
      </c>
      <c r="AM7" s="59">
        <f t="shared" si="5"/>
        <v>181.62085407754506</v>
      </c>
      <c r="AN7" s="59">
        <f ca="1">AVERAGE(OFFSET($AM$3,0,0,'Données projet'!$E$10+1,1))-AVERAGE(OFFSET($H$3,0,0,'Données projet'!$E$10+1,1))</f>
        <v>337.99164391755608</v>
      </c>
      <c r="AO7" s="59">
        <f t="shared" si="36"/>
        <v>421.45428231923393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4.0628205128205126</v>
      </c>
      <c r="BD7" s="12">
        <f>IF('Données projet'!$A$88&gt;35,BD6+BC7-BL6,IF(A7&lt;'Données projet'!$A$88,$BA$205^A7,IF(A7='Données projet'!$A$88,'Données projet'!$B$88,BD6+BC7-BL6)))</f>
        <v>1.8972585507745794</v>
      </c>
      <c r="BE7" s="13">
        <f>BD7*VLOOKUP('Données projet'!$B$11,Paramètres!$A$1:$I$89,3,0)*VLOOKUP('Données projet'!$B$11,Paramètres!$A$1:$I$89,5,0)</f>
        <v>1.9238201704854236</v>
      </c>
      <c r="BF7" s="13">
        <f t="shared" si="37"/>
        <v>0.82156096043894689</v>
      </c>
      <c r="BG7" s="20">
        <f t="shared" si="7"/>
        <v>4.7815388030266117</v>
      </c>
      <c r="BH7" s="59">
        <f t="shared" si="8"/>
        <v>180.86766086720357</v>
      </c>
      <c r="BI7" s="59">
        <f ca="1">AVERAGE(OFFSET($BH$3,0,0,'Données projet'!$E$11+1,1))-AVERAGE(OFFSET($H$3,0,0,'Données projet'!$E$11+1,1))</f>
        <v>462.74754756814662</v>
      </c>
      <c r="BJ7" s="59">
        <f t="shared" si="38"/>
        <v>327.65191293226667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3.5</v>
      </c>
      <c r="BY7" s="12">
        <f>IF('Données projet'!$A$114&gt;35,BY6+BX7-CG6,IF(A7&lt;'Données projet'!$A$114,$BV$205^A7,IF(A7='Données projet'!$A$114,'Données projet'!$B$114,BY6+BX7-CG6)))</f>
        <v>4.1459801431212595</v>
      </c>
      <c r="BZ7" s="13">
        <f>BY7*VLOOKUP('Données projet'!$B$12,Paramètres!$A$1:$I$89,3,0)*VLOOKUP('Données projet'!$B$12,Paramètres!$A$1:$I$89,5,0)</f>
        <v>3.6219282530307328</v>
      </c>
      <c r="CA7" s="13">
        <f t="shared" si="39"/>
        <v>1.4369157669903438</v>
      </c>
      <c r="CB7" s="20">
        <f t="shared" si="10"/>
        <v>8.8108200015367082</v>
      </c>
      <c r="CC7" s="59">
        <f t="shared" si="11"/>
        <v>184.89694206571366</v>
      </c>
      <c r="CD7" s="59">
        <f ca="1">AVERAGE(OFFSET($CC$3,0,0,'Données projet'!$E$12+1,1))-AVERAGE(OFFSET($H$3,0,0,'Données projet'!$E$12+1,1))</f>
        <v>411.67183422518411</v>
      </c>
      <c r="CE7" s="59">
        <f t="shared" si="40"/>
        <v>379.16642539721556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183.7904376128148</v>
      </c>
      <c r="S8" s="59">
        <f ca="1">AVERAGE(OFFSET($R$3,0,0,'Données projet'!$E$9+1,1))-AVERAGE(OFFSET($H$3,0,0,'Données projet'!$E$9+1,1))</f>
        <v>421.33534980160005</v>
      </c>
      <c r="T8" s="59">
        <f t="shared" si="34"/>
        <v>299.0473530693472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9.4117948717948714</v>
      </c>
      <c r="AI8" s="13">
        <f>IF('Données projet'!$A$62&gt;35,AI7+AH8-AQ7,IF(A8&lt;'Données projet'!$A$62,$AF$205^A8,IF(A8='Données projet'!$A$62,'Données projet'!$B$62,AI7+AH8-AQ7)))</f>
        <v>5.2070039136878581</v>
      </c>
      <c r="AJ8" s="13">
        <f>AI8*VLOOKUP('Données projet'!$B$10,Paramètres!$A$1:$I$89,3,0)*VLOOKUP('Données projet'!$B$10,Paramètres!$A$1:$I$89,5,0)</f>
        <v>3.1137883403853395</v>
      </c>
      <c r="AK8" s="13">
        <f t="shared" si="35"/>
        <v>1.2572519072119237</v>
      </c>
      <c r="AL8" s="20">
        <f t="shared" si="4"/>
        <v>7.6128950978985666</v>
      </c>
      <c r="AM8" s="59">
        <f t="shared" si="5"/>
        <v>186.40394297434591</v>
      </c>
      <c r="AN8" s="59">
        <f ca="1">AVERAGE(OFFSET($AM$3,0,0,'Données projet'!$E$10+1,1))-AVERAGE(OFFSET($H$3,0,0,'Données projet'!$E$10+1,1))</f>
        <v>337.99164391755608</v>
      </c>
      <c r="AO8" s="59">
        <f t="shared" si="36"/>
        <v>421.45428231923393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4.0628205128205126</v>
      </c>
      <c r="BD8" s="12">
        <f>IF('Données projet'!$A$88&gt;35,BD7+BC8-BL7,IF(A8&lt;'Données projet'!$A$88,$BA$205^A8,IF(A8='Données projet'!$A$88,'Données projet'!$B$88,BD7+BC8-BL7)))</f>
        <v>2.2266817443634719</v>
      </c>
      <c r="BE8" s="13">
        <f>BD8*VLOOKUP('Données projet'!$B$11,Paramètres!$A$1:$I$89,3,0)*VLOOKUP('Données projet'!$B$11,Paramètres!$A$1:$I$89,5,0)</f>
        <v>2.2578552887845609</v>
      </c>
      <c r="BF8" s="13">
        <f t="shared" si="37"/>
        <v>0.94640699587440658</v>
      </c>
      <c r="BG8" s="20">
        <f t="shared" si="7"/>
        <v>5.5807568124477021</v>
      </c>
      <c r="BH8" s="59">
        <f t="shared" si="8"/>
        <v>184.37180468889505</v>
      </c>
      <c r="BI8" s="59">
        <f ca="1">AVERAGE(OFFSET($BH$3,0,0,'Données projet'!$E$11+1,1))-AVERAGE(OFFSET($H$3,0,0,'Données projet'!$E$11+1,1))</f>
        <v>462.74754756814662</v>
      </c>
      <c r="BJ8" s="59">
        <f t="shared" si="38"/>
        <v>327.65191293226667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3.5</v>
      </c>
      <c r="BY8" s="12">
        <f>IF('Données projet'!$A$114&gt;35,BY7+BX8-CG7,IF(A8&lt;'Données projet'!$A$114,$BV$205^A8,IF(A8='Données projet'!$A$114,'Données projet'!$B$114,BY7+BX8-CG7)))</f>
        <v>5.9160797830996152</v>
      </c>
      <c r="BZ8" s="13">
        <f>BY8*VLOOKUP('Données projet'!$B$12,Paramètres!$A$1:$I$89,3,0)*VLOOKUP('Données projet'!$B$12,Paramètres!$A$1:$I$89,5,0)</f>
        <v>5.1682872985158239</v>
      </c>
      <c r="CA8" s="13">
        <f t="shared" si="39"/>
        <v>1.967275406006004</v>
      </c>
      <c r="CB8" s="20">
        <f t="shared" si="10"/>
        <v>12.427771710375517</v>
      </c>
      <c r="CC8" s="59">
        <f t="shared" si="11"/>
        <v>191.21881958682286</v>
      </c>
      <c r="CD8" s="59">
        <f ca="1">AVERAGE(OFFSET($CC$3,0,0,'Données projet'!$E$12+1,1))-AVERAGE(OFFSET($H$3,0,0,'Données projet'!$E$12+1,1))</f>
        <v>411.67183422518411</v>
      </c>
      <c r="CE8" s="59">
        <f t="shared" si="40"/>
        <v>379.16642539721556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187.30539481195709</v>
      </c>
      <c r="S9" s="59">
        <f ca="1">AVERAGE(OFFSET($R$3,0,0,'Données projet'!$E$9+1,1))-AVERAGE(OFFSET($H$3,0,0,'Données projet'!$E$9+1,1))</f>
        <v>421.33534980160005</v>
      </c>
      <c r="T9" s="59">
        <f t="shared" si="34"/>
        <v>299.0473530693472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9.4117948717948714</v>
      </c>
      <c r="AI9" s="13">
        <f>IF('Données projet'!$A$62&gt;35,AI8+AH9-AQ8,IF(A9&lt;'Données projet'!$A$62,$AF$205^A9,IF(A9='Données projet'!$A$62,'Données projet'!$B$62,AI8+AH9-AQ8)))</f>
        <v>7.2427831894575698</v>
      </c>
      <c r="AJ9" s="13">
        <f>AI9*VLOOKUP('Données projet'!$B$10,Paramètres!$A$1:$I$89,3,0)*VLOOKUP('Données projet'!$B$10,Paramètres!$A$1:$I$89,5,0)</f>
        <v>4.3311843472956273</v>
      </c>
      <c r="AK9" s="13">
        <f t="shared" si="35"/>
        <v>1.6828977024636564</v>
      </c>
      <c r="AL9" s="20">
        <f t="shared" si="4"/>
        <v>10.474526236664085</v>
      </c>
      <c r="AM9" s="59">
        <f t="shared" si="5"/>
        <v>191.94477833292305</v>
      </c>
      <c r="AN9" s="59">
        <f ca="1">AVERAGE(OFFSET($AM$3,0,0,'Données projet'!$E$10+1,1))-AVERAGE(OFFSET($H$3,0,0,'Données projet'!$E$10+1,1))</f>
        <v>337.99164391755608</v>
      </c>
      <c r="AO9" s="59">
        <f t="shared" si="36"/>
        <v>421.45428231923393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4.0628205128205126</v>
      </c>
      <c r="BD9" s="12">
        <f>IF('Données projet'!$A$88&gt;35,BD8+BC9-BL8,IF(A9&lt;'Données projet'!$A$88,$BA$205^A9,IF(A9='Données projet'!$A$88,'Données projet'!$B$88,BD8+BC9-BL8)))</f>
        <v>2.6133030675536255</v>
      </c>
      <c r="BE9" s="13">
        <f>BD9*VLOOKUP('Données projet'!$B$11,Paramètres!$A$1:$I$89,3,0)*VLOOKUP('Données projet'!$B$11,Paramètres!$A$1:$I$89,5,0)</f>
        <v>2.6498893104993768</v>
      </c>
      <c r="BF9" s="13">
        <f t="shared" si="37"/>
        <v>1.0902248828394525</v>
      </c>
      <c r="BG9" s="20">
        <f t="shared" si="7"/>
        <v>6.5140322200651282</v>
      </c>
      <c r="BH9" s="59">
        <f t="shared" si="8"/>
        <v>187.98428431632411</v>
      </c>
      <c r="BI9" s="59">
        <f ca="1">AVERAGE(OFFSET($BH$3,0,0,'Données projet'!$E$11+1,1))-AVERAGE(OFFSET($H$3,0,0,'Données projet'!$E$11+1,1))</f>
        <v>462.74754756814662</v>
      </c>
      <c r="BJ9" s="59">
        <f t="shared" si="38"/>
        <v>327.65191293226667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3.5</v>
      </c>
      <c r="BY9" s="12">
        <f>IF('Données projet'!$A$114&gt;35,BY8+BX9-CG8,IF(A9&lt;'Données projet'!$A$114,$BV$205^A9,IF(A9='Données projet'!$A$114,'Données projet'!$B$114,BY8+BX9-CG8)))</f>
        <v>8.4419121152979262</v>
      </c>
      <c r="BZ9" s="13">
        <f>BY9*VLOOKUP('Données projet'!$B$12,Paramètres!$A$1:$I$89,3,0)*VLOOKUP('Données projet'!$B$12,Paramètres!$A$1:$I$89,5,0)</f>
        <v>7.3748544239242699</v>
      </c>
      <c r="CA9" s="13">
        <f t="shared" si="39"/>
        <v>2.6933885840659002</v>
      </c>
      <c r="CB9" s="20">
        <f t="shared" si="10"/>
        <v>17.535523238916209</v>
      </c>
      <c r="CC9" s="59">
        <f t="shared" si="11"/>
        <v>199.00577533517517</v>
      </c>
      <c r="CD9" s="59">
        <f ca="1">AVERAGE(OFFSET($CC$3,0,0,'Données projet'!$E$12+1,1))-AVERAGE(OFFSET($H$3,0,0,'Données projet'!$E$12+1,1))</f>
        <v>411.67183422518411</v>
      </c>
      <c r="CE9" s="59">
        <f t="shared" si="40"/>
        <v>379.16642539721556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190.93528149468236</v>
      </c>
      <c r="S10" s="59">
        <f ca="1">AVERAGE(OFFSET($R$3,0,0,'Données projet'!$E$9+1,1))-AVERAGE(OFFSET($H$3,0,0,'Données projet'!$E$9+1,1))</f>
        <v>421.33534980160005</v>
      </c>
      <c r="T10" s="59">
        <f t="shared" si="34"/>
        <v>299.0473530693472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9.4117948717948714</v>
      </c>
      <c r="AI10" s="13">
        <f>IF('Données projet'!$A$62&gt;35,AI9+AH10-AQ9,IF(A10&lt;'Données projet'!$A$62,$AF$205^A10,IF(A10='Données projet'!$A$62,'Données projet'!$B$62,AI9+AH10-AQ9)))</f>
        <v>10.07448989842143</v>
      </c>
      <c r="AJ10" s="13">
        <f>AI10*VLOOKUP('Données projet'!$B$10,Paramètres!$A$1:$I$89,3,0)*VLOOKUP('Données projet'!$B$10,Paramètres!$A$1:$I$89,5,0)</f>
        <v>6.0245449592560147</v>
      </c>
      <c r="AK10" s="13">
        <f t="shared" si="35"/>
        <v>2.2526469522229675</v>
      </c>
      <c r="AL10" s="20">
        <f t="shared" si="4"/>
        <v>14.416109245825893</v>
      </c>
      <c r="AM10" s="59">
        <f t="shared" si="5"/>
        <v>198.54029018156211</v>
      </c>
      <c r="AN10" s="59">
        <f ca="1">AVERAGE(OFFSET($AM$3,0,0,'Données projet'!$E$10+1,1))-AVERAGE(OFFSET($H$3,0,0,'Données projet'!$E$10+1,1))</f>
        <v>337.99164391755608</v>
      </c>
      <c r="AO10" s="59">
        <f t="shared" si="36"/>
        <v>421.45428231923393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4.0628205128205126</v>
      </c>
      <c r="BD10" s="12">
        <f>IF('Données projet'!$A$88&gt;35,BD9+BC10-BL9,IF(A10&lt;'Données projet'!$A$88,$BA$205^A10,IF(A10='Données projet'!$A$88,'Données projet'!$B$88,BD9+BC10-BL9)))</f>
        <v>3.067053897654088</v>
      </c>
      <c r="BE10" s="13">
        <f>BD10*VLOOKUP('Données projet'!$B$11,Paramètres!$A$1:$I$89,3,0)*VLOOKUP('Données projet'!$B$11,Paramètres!$A$1:$I$89,5,0)</f>
        <v>3.1099926522212455</v>
      </c>
      <c r="BF10" s="13">
        <f t="shared" si="37"/>
        <v>1.2558976215767859</v>
      </c>
      <c r="BG10" s="20">
        <f t="shared" si="7"/>
        <v>7.6039255601982383</v>
      </c>
      <c r="BH10" s="59">
        <f t="shared" si="8"/>
        <v>191.72810649593447</v>
      </c>
      <c r="BI10" s="59">
        <f ca="1">AVERAGE(OFFSET($BH$3,0,0,'Données projet'!$E$11+1,1))-AVERAGE(OFFSET($H$3,0,0,'Données projet'!$E$11+1,1))</f>
        <v>462.74754756814662</v>
      </c>
      <c r="BJ10" s="59">
        <f t="shared" si="38"/>
        <v>327.65191293226667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3.5</v>
      </c>
      <c r="BY10" s="12">
        <f>IF('Données projet'!$A$114&gt;35,BY9+BX10-CG9,IF(A10&lt;'Données projet'!$A$114,$BV$205^A10,IF(A10='Données projet'!$A$114,'Données projet'!$B$114,BY9+BX10-CG9)))</f>
        <v>12.04613236724734</v>
      </c>
      <c r="BZ10" s="13">
        <f>BY10*VLOOKUP('Données projet'!$B$12,Paramètres!$A$1:$I$89,3,0)*VLOOKUP('Données projet'!$B$12,Paramètres!$A$1:$I$89,5,0)</f>
        <v>10.523501236027279</v>
      </c>
      <c r="CA10" s="13">
        <f t="shared" si="39"/>
        <v>3.6875071190486755</v>
      </c>
      <c r="CB10" s="20">
        <f t="shared" si="10"/>
        <v>24.750839551757284</v>
      </c>
      <c r="CC10" s="59">
        <f t="shared" si="11"/>
        <v>208.87502048749352</v>
      </c>
      <c r="CD10" s="59">
        <f ca="1">AVERAGE(OFFSET($CC$3,0,0,'Données projet'!$E$12+1,1))-AVERAGE(OFFSET($H$3,0,0,'Données projet'!$E$12+1,1))</f>
        <v>411.67183422518411</v>
      </c>
      <c r="CE10" s="59">
        <f t="shared" si="40"/>
        <v>379.16642539721556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194.70413425189906</v>
      </c>
      <c r="S11" s="59">
        <f ca="1">AVERAGE(OFFSET($R$3,0,0,'Données projet'!$E$9+1,1))-AVERAGE(OFFSET($H$3,0,0,'Données projet'!$E$9+1,1))</f>
        <v>421.33534980160005</v>
      </c>
      <c r="T11" s="59">
        <f t="shared" si="34"/>
        <v>299.0473530693472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9.4117948717948714</v>
      </c>
      <c r="AI11" s="13">
        <f>IF('Données projet'!$A$62&gt;35,AI10+AH11-AQ10,IF(A11&lt;'Données projet'!$A$62,$AF$205^A11,IF(A11='Données projet'!$A$62,'Données projet'!$B$62,AI10+AH11-AQ10)))</f>
        <v>14.01330732378262</v>
      </c>
      <c r="AJ11" s="13">
        <f>AI11*VLOOKUP('Données projet'!$B$10,Paramètres!$A$1:$I$89,3,0)*VLOOKUP('Données projet'!$B$10,Paramètres!$A$1:$I$89,5,0)</f>
        <v>8.3799577796220071</v>
      </c>
      <c r="AK11" s="13">
        <f t="shared" si="35"/>
        <v>3.0152862434423646</v>
      </c>
      <c r="AL11" s="20">
        <f t="shared" si="4"/>
        <v>19.846716673503781</v>
      </c>
      <c r="AM11" s="59">
        <f t="shared" si="5"/>
        <v>206.59998953972433</v>
      </c>
      <c r="AN11" s="59">
        <f ca="1">AVERAGE(OFFSET($AM$3,0,0,'Données projet'!$E$10+1,1))-AVERAGE(OFFSET($H$3,0,0,'Données projet'!$E$10+1,1))</f>
        <v>337.99164391755608</v>
      </c>
      <c r="AO11" s="59">
        <f t="shared" si="36"/>
        <v>421.45428231923393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4.0628205128205126</v>
      </c>
      <c r="BD11" s="12">
        <f>IF('Données projet'!$A$88&gt;35,BD10+BC11-BL10,IF(A11&lt;'Données projet'!$A$88,$BA$205^A11,IF(A11='Données projet'!$A$88,'Données projet'!$B$88,BD10+BC11-BL10)))</f>
        <v>3.5995900084872572</v>
      </c>
      <c r="BE11" s="13">
        <f>BD11*VLOOKUP('Données projet'!$B$11,Paramètres!$A$1:$I$89,3,0)*VLOOKUP('Données projet'!$B$11,Paramètres!$A$1:$I$89,5,0)</f>
        <v>3.6499842686060791</v>
      </c>
      <c r="BF11" s="13">
        <f t="shared" si="37"/>
        <v>1.4467463187725633</v>
      </c>
      <c r="BG11" s="20">
        <f t="shared" si="7"/>
        <v>8.8768057730178018</v>
      </c>
      <c r="BH11" s="59">
        <f t="shared" si="8"/>
        <v>195.63007863923835</v>
      </c>
      <c r="BI11" s="59">
        <f ca="1">AVERAGE(OFFSET($BH$3,0,0,'Données projet'!$E$11+1,1))-AVERAGE(OFFSET($H$3,0,0,'Données projet'!$E$11+1,1))</f>
        <v>462.74754756814662</v>
      </c>
      <c r="BJ11" s="59">
        <f t="shared" si="38"/>
        <v>327.65191293226667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3.5</v>
      </c>
      <c r="BY11" s="12">
        <f>IF('Données projet'!$A$114&gt;35,BY10+BX11-CG10,IF(A11&lt;'Données projet'!$A$114,$BV$205^A11,IF(A11='Données projet'!$A$114,'Données projet'!$B$114,BY10+BX11-CG10)))</f>
        <v>17.189151347155779</v>
      </c>
      <c r="BZ11" s="13">
        <f>BY11*VLOOKUP('Données projet'!$B$12,Paramètres!$A$1:$I$89,3,0)*VLOOKUP('Données projet'!$B$12,Paramètres!$A$1:$I$89,5,0)</f>
        <v>15.01644261687529</v>
      </c>
      <c r="CA11" s="13">
        <f t="shared" si="39"/>
        <v>5.0485506745958499</v>
      </c>
      <c r="CB11" s="20">
        <f t="shared" si="10"/>
        <v>34.946529982645565</v>
      </c>
      <c r="CC11" s="59">
        <f t="shared" si="11"/>
        <v>221.69980284886611</v>
      </c>
      <c r="CD11" s="59">
        <f ca="1">AVERAGE(OFFSET($CC$3,0,0,'Données projet'!$E$12+1,1))-AVERAGE(OFFSET($H$3,0,0,'Données projet'!$E$12+1,1))</f>
        <v>411.67183422518411</v>
      </c>
      <c r="CE11" s="59">
        <f t="shared" si="40"/>
        <v>379.16642539721556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198.6399661015663</v>
      </c>
      <c r="S12" s="59">
        <f ca="1">AVERAGE(OFFSET($R$3,0,0,'Données projet'!$E$9+1,1))-AVERAGE(OFFSET($H$3,0,0,'Données projet'!$E$9+1,1))</f>
        <v>421.33534980160005</v>
      </c>
      <c r="T12" s="59">
        <f t="shared" si="34"/>
        <v>299.0473530693472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9.4117948717948714</v>
      </c>
      <c r="AI12" s="13">
        <f>IF('Données projet'!$A$62&gt;35,AI11+AH12-AQ11,IF(A12&lt;'Données projet'!$A$62,$AF$205^A12,IF(A12='Données projet'!$A$62,'Données projet'!$B$62,AI11+AH12-AQ11)))</f>
        <v>19.492081895039593</v>
      </c>
      <c r="AJ12" s="13">
        <f>AI12*VLOOKUP('Données projet'!$B$10,Paramètres!$A$1:$I$89,3,0)*VLOOKUP('Données projet'!$B$10,Paramètres!$A$1:$I$89,5,0)</f>
        <v>11.656264973233679</v>
      </c>
      <c r="AK12" s="13">
        <f t="shared" si="35"/>
        <v>4.0361189847883647</v>
      </c>
      <c r="AL12" s="20">
        <f t="shared" si="4"/>
        <v>27.330902060221728</v>
      </c>
      <c r="AM12" s="59">
        <f t="shared" si="5"/>
        <v>216.68886081277779</v>
      </c>
      <c r="AN12" s="59">
        <f ca="1">AVERAGE(OFFSET($AM$3,0,0,'Données projet'!$E$10+1,1))-AVERAGE(OFFSET($H$3,0,0,'Données projet'!$E$10+1,1))</f>
        <v>337.99164391755608</v>
      </c>
      <c r="AO12" s="59">
        <f t="shared" si="36"/>
        <v>421.45428231923393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4.0628205128205126</v>
      </c>
      <c r="BD12" s="12">
        <f>IF('Données projet'!$A$88&gt;35,BD11+BC12-BL11,IF(A12&lt;'Données projet'!$A$88,$BA$205^A12,IF(A12='Données projet'!$A$88,'Données projet'!$B$88,BD11+BC12-BL11)))</f>
        <v>4.2245909793472531</v>
      </c>
      <c r="BE12" s="13">
        <f>BD12*VLOOKUP('Données projet'!$B$11,Paramètres!$A$1:$I$89,3,0)*VLOOKUP('Données projet'!$B$11,Paramètres!$A$1:$I$89,5,0)</f>
        <v>4.283735253058115</v>
      </c>
      <c r="BF12" s="13">
        <f t="shared" si="37"/>
        <v>1.6665967630817691</v>
      </c>
      <c r="BG12" s="20">
        <f t="shared" si="7"/>
        <v>10.363494928110297</v>
      </c>
      <c r="BH12" s="59">
        <f t="shared" si="8"/>
        <v>199.72145368066637</v>
      </c>
      <c r="BI12" s="59">
        <f ca="1">AVERAGE(OFFSET($BH$3,0,0,'Données projet'!$E$11+1,1))-AVERAGE(OFFSET($H$3,0,0,'Données projet'!$E$11+1,1))</f>
        <v>462.74754756814662</v>
      </c>
      <c r="BJ12" s="59">
        <f t="shared" si="38"/>
        <v>327.65191293226667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3.5</v>
      </c>
      <c r="BY12" s="12">
        <f>IF('Données projet'!$A$114&gt;35,BY11+BX12-CG11,IF(A12&lt;'Données projet'!$A$114,$BV$205^A12,IF(A12='Données projet'!$A$114,'Données projet'!$B$114,BY11+BX12-CG11)))</f>
        <v>24.527949305852133</v>
      </c>
      <c r="BZ12" s="13">
        <f>BY12*VLOOKUP('Données projet'!$B$12,Paramètres!$A$1:$I$89,3,0)*VLOOKUP('Données projet'!$B$12,Paramètres!$A$1:$I$89,5,0)</f>
        <v>21.427616513592426</v>
      </c>
      <c r="CA12" s="13">
        <f t="shared" si="39"/>
        <v>6.9119497511743733</v>
      </c>
      <c r="CB12" s="20">
        <f t="shared" si="10"/>
        <v>49.358077911135503</v>
      </c>
      <c r="CC12" s="59">
        <f t="shared" si="11"/>
        <v>238.71603666369157</v>
      </c>
      <c r="CD12" s="59">
        <f ca="1">AVERAGE(OFFSET($CC$3,0,0,'Données projet'!$E$12+1,1))-AVERAGE(OFFSET($H$3,0,0,'Données projet'!$E$12+1,1))</f>
        <v>411.67183422518411</v>
      </c>
      <c r="CE12" s="59">
        <f t="shared" si="40"/>
        <v>379.16642539721556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202.77544115035215</v>
      </c>
      <c r="S13" s="59">
        <f ca="1">AVERAGE(OFFSET($R$3,0,0,'Données projet'!$E$9+1,1))-AVERAGE(OFFSET($H$3,0,0,'Données projet'!$E$9+1,1))</f>
        <v>421.33534980160005</v>
      </c>
      <c r="T13" s="59">
        <f t="shared" si="34"/>
        <v>299.0473530693472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9.4117948717948714</v>
      </c>
      <c r="AI13" s="13">
        <f>IF('Données projet'!$A$62&gt;35,AI12+AH13-AQ12,IF(A13&lt;'Données projet'!$A$62,$AF$205^A13,IF(A13='Données projet'!$A$62,'Données projet'!$B$62,AI12+AH13-AQ12)))</f>
        <v>27.112889757160666</v>
      </c>
      <c r="AJ13" s="13">
        <f>AI13*VLOOKUP('Données projet'!$B$10,Paramètres!$A$1:$I$89,3,0)*VLOOKUP('Données projet'!$B$10,Paramètres!$A$1:$I$89,5,0)</f>
        <v>16.21350807478208</v>
      </c>
      <c r="AK13" s="13">
        <f t="shared" si="35"/>
        <v>5.4025572181735821</v>
      </c>
      <c r="AL13" s="20">
        <f t="shared" si="4"/>
        <v>37.647980385231108</v>
      </c>
      <c r="AM13" s="59">
        <f t="shared" si="5"/>
        <v>229.586642370276</v>
      </c>
      <c r="AN13" s="59">
        <f ca="1">AVERAGE(OFFSET($AM$3,0,0,'Données projet'!$E$10+1,1))-AVERAGE(OFFSET($H$3,0,0,'Données projet'!$E$10+1,1))</f>
        <v>337.99164391755608</v>
      </c>
      <c r="AO13" s="59">
        <f t="shared" si="36"/>
        <v>421.45428231923393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4.0628205128205126</v>
      </c>
      <c r="BD13" s="12">
        <f>IF('Données projet'!$A$88&gt;35,BD12+BC13-BL12,IF(A13&lt;'Données projet'!$A$88,$BA$205^A13,IF(A13='Données projet'!$A$88,'Données projet'!$B$88,BD12+BC13-BL12)))</f>
        <v>4.9581115906815549</v>
      </c>
      <c r="BE13" s="13">
        <f>BD13*VLOOKUP('Données projet'!$B$11,Paramètres!$A$1:$I$89,3,0)*VLOOKUP('Données projet'!$B$11,Paramètres!$A$1:$I$89,5,0)</f>
        <v>5.0275251529510969</v>
      </c>
      <c r="BF13" s="13">
        <f t="shared" si="37"/>
        <v>1.9198561176026576</v>
      </c>
      <c r="BG13" s="20">
        <f t="shared" si="7"/>
        <v>12.10002237954779</v>
      </c>
      <c r="BH13" s="59">
        <f t="shared" si="8"/>
        <v>204.03868436459268</v>
      </c>
      <c r="BI13" s="59">
        <f ca="1">AVERAGE(OFFSET($BH$3,0,0,'Données projet'!$E$11+1,1))-AVERAGE(OFFSET($H$3,0,0,'Données projet'!$E$11+1,1))</f>
        <v>462.74754756814662</v>
      </c>
      <c r="BJ13" s="59">
        <f t="shared" si="38"/>
        <v>327.65191293226667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35</v>
      </c>
      <c r="BW13" s="12">
        <f>VLOOKUP(A13,'Données projet'!$A$113:$I$133,9,0)</f>
        <v>3.5</v>
      </c>
      <c r="BX13" s="12">
        <f t="array" ref="BX13">INDEX(BW:BW,MIN(IF(ISNUMBER(BW13:BW209),ROW(BW13:BW209),"")))</f>
        <v>3.5</v>
      </c>
      <c r="BY13" s="12">
        <f>IF('Données projet'!$A$114&gt;35,BY12+BX13-CG12,IF(A13&lt;'Données projet'!$A$114,$BV$205^A13,IF(A13='Données projet'!$A$114,'Données projet'!$B$114,BY12+BX13-CG12)))</f>
        <v>35</v>
      </c>
      <c r="BZ13" s="13">
        <f>BY13*VLOOKUP('Données projet'!$B$12,Paramètres!$A$1:$I$89,3,0)*VLOOKUP('Données projet'!$B$12,Paramètres!$A$1:$I$89,5,0)</f>
        <v>30.576000000000004</v>
      </c>
      <c r="CA13" s="13">
        <f t="shared" si="39"/>
        <v>9.4631216842413863</v>
      </c>
      <c r="CB13" s="20">
        <f t="shared" si="10"/>
        <v>69.734803600053766</v>
      </c>
      <c r="CC13" s="59">
        <f t="shared" si="11"/>
        <v>261.67346558509865</v>
      </c>
      <c r="CD13" s="59">
        <f ca="1">AVERAGE(OFFSET($CC$3,0,0,'Données projet'!$E$12+1,1))-AVERAGE(OFFSET($H$3,0,0,'Données projet'!$E$12+1,1))</f>
        <v>411.67183422518411</v>
      </c>
      <c r="CE13" s="59">
        <f t="shared" si="40"/>
        <v>379.16642539721556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207.14866375518821</v>
      </c>
      <c r="S14" s="59">
        <f ca="1">AVERAGE(OFFSET($R$3,0,0,'Données projet'!$E$9+1,1))-AVERAGE(OFFSET($H$3,0,0,'Données projet'!$E$9+1,1))</f>
        <v>421.33534980160005</v>
      </c>
      <c r="T14" s="59">
        <f t="shared" si="34"/>
        <v>299.0473530693472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9.4117948717948714</v>
      </c>
      <c r="AI14" s="13">
        <f>IF('Données projet'!$A$62&gt;35,AI13+AH14-AQ13,IF(A14&lt;'Données projet'!$A$62,$AF$205^A14,IF(A14='Données projet'!$A$62,'Données projet'!$B$62,AI13+AH14-AQ13)))</f>
        <v>37.713200413498193</v>
      </c>
      <c r="AJ14" s="13">
        <f>AI14*VLOOKUP('Données projet'!$B$10,Paramètres!$A$1:$I$89,3,0)*VLOOKUP('Données projet'!$B$10,Paramètres!$A$1:$I$89,5,0)</f>
        <v>22.552493847271922</v>
      </c>
      <c r="AK14" s="13">
        <f t="shared" si="35"/>
        <v>7.2316065521467667</v>
      </c>
      <c r="AL14" s="20">
        <f t="shared" si="4"/>
        <v>51.873974862320885</v>
      </c>
      <c r="AM14" s="59">
        <f t="shared" si="5"/>
        <v>246.36977347143502</v>
      </c>
      <c r="AN14" s="59">
        <f ca="1">AVERAGE(OFFSET($AM$3,0,0,'Données projet'!$E$10+1,1))-AVERAGE(OFFSET($H$3,0,0,'Données projet'!$E$10+1,1))</f>
        <v>337.99164391755608</v>
      </c>
      <c r="AO14" s="59">
        <f t="shared" si="36"/>
        <v>421.45428231923393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4.0628205128205126</v>
      </c>
      <c r="BD14" s="12">
        <f>IF('Données projet'!$A$88&gt;35,BD13+BC14-BL13,IF(A14&lt;'Données projet'!$A$88,$BA$205^A14,IF(A14='Données projet'!$A$88,'Données projet'!$B$88,BD13+BC14-BL13)))</f>
        <v>5.8189942330107201</v>
      </c>
      <c r="BE14" s="13">
        <f>BD14*VLOOKUP('Données projet'!$B$11,Paramètres!$A$1:$I$89,3,0)*VLOOKUP('Données projet'!$B$11,Paramètres!$A$1:$I$89,5,0)</f>
        <v>5.9004601522728706</v>
      </c>
      <c r="BF14" s="13">
        <f t="shared" si="37"/>
        <v>2.2116012666919538</v>
      </c>
      <c r="BG14" s="20">
        <f t="shared" si="7"/>
        <v>14.128506971363736</v>
      </c>
      <c r="BH14" s="59">
        <f t="shared" si="8"/>
        <v>208.62430558047788</v>
      </c>
      <c r="BI14" s="59">
        <f ca="1">AVERAGE(OFFSET($BH$3,0,0,'Données projet'!$E$11+1,1))-AVERAGE(OFFSET($H$3,0,0,'Données projet'!$E$11+1,1))</f>
        <v>462.74754756814662</v>
      </c>
      <c r="BJ14" s="59">
        <f t="shared" si="38"/>
        <v>327.65191293226667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10.6</v>
      </c>
      <c r="BY14" s="12">
        <f>IF('Données projet'!$A$114&gt;35,BY13+BX14-CG13,IF(A14&lt;'Données projet'!$A$114,$BV$205^A14,IF(A14='Données projet'!$A$114,'Données projet'!$B$114,BY13+BX14-CG13)))</f>
        <v>45.6</v>
      </c>
      <c r="BZ14" s="13">
        <f>BY14*VLOOKUP('Données projet'!$B$12,Paramètres!$A$1:$I$89,3,0)*VLOOKUP('Données projet'!$B$12,Paramètres!$A$1:$I$89,5,0)</f>
        <v>39.836160000000007</v>
      </c>
      <c r="CA14" s="13">
        <f t="shared" si="39"/>
        <v>11.955210728675533</v>
      </c>
      <c r="CB14" s="20">
        <f t="shared" si="10"/>
        <v>90.203304019109893</v>
      </c>
      <c r="CC14" s="59">
        <f t="shared" si="11"/>
        <v>284.69910262822401</v>
      </c>
      <c r="CD14" s="59">
        <f ca="1">AVERAGE(OFFSET($CC$3,0,0,'Données projet'!$E$12+1,1))-AVERAGE(OFFSET($H$3,0,0,'Données projet'!$E$12+1,1))</f>
        <v>411.67183422518411</v>
      </c>
      <c r="CE14" s="59">
        <f t="shared" si="40"/>
        <v>379.16642539721556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211.804101668192</v>
      </c>
      <c r="S15" s="59">
        <f ca="1">AVERAGE(OFFSET($R$3,0,0,'Données projet'!$E$9+1,1))-AVERAGE(OFFSET($H$3,0,0,'Données projet'!$E$9+1,1))</f>
        <v>421.33534980160005</v>
      </c>
      <c r="T15" s="59">
        <f t="shared" si="34"/>
        <v>299.0473530693472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9.4117948717948714</v>
      </c>
      <c r="AI15" s="13">
        <f>IF('Données projet'!$A$62&gt;35,AI14+AH15-AQ14,IF(A15&lt;'Données projet'!$A$62,$AF$205^A15,IF(A15='Données projet'!$A$62,'Données projet'!$B$62,AI14+AH15-AQ14)))</f>
        <v>52.457908329489165</v>
      </c>
      <c r="AJ15" s="13">
        <f>AI15*VLOOKUP('Données projet'!$B$10,Paramètres!$A$1:$I$89,3,0)*VLOOKUP('Données projet'!$B$10,Paramètres!$A$1:$I$89,5,0)</f>
        <v>31.369829181034525</v>
      </c>
      <c r="AK15" s="13">
        <f t="shared" si="35"/>
        <v>9.6798851383070676</v>
      </c>
      <c r="AL15" s="20">
        <f t="shared" si="4"/>
        <v>71.4949191061866</v>
      </c>
      <c r="AM15" s="59">
        <f t="shared" si="5"/>
        <v>268.52469655891946</v>
      </c>
      <c r="AN15" s="59">
        <f ca="1">AVERAGE(OFFSET($AM$3,0,0,'Données projet'!$E$10+1,1))-AVERAGE(OFFSET($H$3,0,0,'Données projet'!$E$10+1,1))</f>
        <v>337.99164391755608</v>
      </c>
      <c r="AO15" s="59">
        <f t="shared" si="36"/>
        <v>421.45428231923393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4.0628205128205126</v>
      </c>
      <c r="BD15" s="12">
        <f>IF('Données projet'!$A$88&gt;35,BD14+BC15-BL14,IF(A15&lt;'Données projet'!$A$88,$BA$205^A15,IF(A15='Données projet'!$A$88,'Données projet'!$B$88,BD14+BC15-BL14)))</f>
        <v>6.8293529228851897</v>
      </c>
      <c r="BE15" s="13">
        <f>BD15*VLOOKUP('Données projet'!$B$11,Paramètres!$A$1:$I$89,3,0)*VLOOKUP('Données projet'!$B$11,Paramètres!$A$1:$I$89,5,0)</f>
        <v>6.9249638638055826</v>
      </c>
      <c r="BF15" s="13">
        <f t="shared" si="37"/>
        <v>2.5476805881375704</v>
      </c>
      <c r="BG15" s="20">
        <f t="shared" si="7"/>
        <v>16.498189087134325</v>
      </c>
      <c r="BH15" s="59">
        <f t="shared" si="8"/>
        <v>213.52796653986721</v>
      </c>
      <c r="BI15" s="59">
        <f ca="1">AVERAGE(OFFSET($BH$3,0,0,'Données projet'!$E$11+1,1))-AVERAGE(OFFSET($H$3,0,0,'Données projet'!$E$11+1,1))</f>
        <v>462.74754756814662</v>
      </c>
      <c r="BJ15" s="59">
        <f t="shared" si="38"/>
        <v>327.65191293226667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10.6</v>
      </c>
      <c r="BY15" s="12">
        <f>IF('Données projet'!$A$114&gt;35,BY14+BX15-CG14,IF(A15&lt;'Données projet'!$A$114,$BV$205^A15,IF(A15='Données projet'!$A$114,'Données projet'!$B$114,BY14+BX15-CG14)))</f>
        <v>56.2</v>
      </c>
      <c r="BZ15" s="13">
        <f>BY15*VLOOKUP('Données projet'!$B$12,Paramètres!$A$1:$I$89,3,0)*VLOOKUP('Données projet'!$B$12,Paramètres!$A$1:$I$89,5,0)</f>
        <v>49.096320000000006</v>
      </c>
      <c r="CA15" s="13">
        <f t="shared" si="39"/>
        <v>14.380133207801931</v>
      </c>
      <c r="CB15" s="20">
        <f t="shared" si="10"/>
        <v>110.55482267025504</v>
      </c>
      <c r="CC15" s="59">
        <f t="shared" si="11"/>
        <v>307.58460012298792</v>
      </c>
      <c r="CD15" s="59">
        <f ca="1">AVERAGE(OFFSET($CC$3,0,0,'Données projet'!$E$12+1,1))-AVERAGE(OFFSET($H$3,0,0,'Données projet'!$E$12+1,1))</f>
        <v>411.67183422518411</v>
      </c>
      <c r="CE15" s="59">
        <f t="shared" si="40"/>
        <v>379.16642539721556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216.79366597092417</v>
      </c>
      <c r="S16" s="59">
        <f ca="1">AVERAGE(OFFSET($R$3,0,0,'Données projet'!$E$9+1,1))-AVERAGE(OFFSET($H$3,0,0,'Données projet'!$E$9+1,1))</f>
        <v>421.33534980160005</v>
      </c>
      <c r="T16" s="59">
        <f t="shared" si="34"/>
        <v>299.0473530693472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9.4117948717948714</v>
      </c>
      <c r="AI16" s="13">
        <f>IF('Données projet'!$A$62&gt;35,AI15+AH16-AQ15,IF(A16&lt;'Données projet'!$A$62,$AF$205^A16,IF(A16='Données projet'!$A$62,'Données projet'!$B$62,AI15+AH16-AQ15)))</f>
        <v>72.967346078646827</v>
      </c>
      <c r="AJ16" s="13">
        <f>AI16*VLOOKUP('Données projet'!$B$10,Paramètres!$A$1:$I$89,3,0)*VLOOKUP('Données projet'!$B$10,Paramètres!$A$1:$I$89,5,0)</f>
        <v>43.634472955030802</v>
      </c>
      <c r="AK16" s="13">
        <f t="shared" si="35"/>
        <v>12.957034597381723</v>
      </c>
      <c r="AL16" s="20">
        <f t="shared" si="4"/>
        <v>98.563542320451802</v>
      </c>
      <c r="AM16" s="59">
        <f t="shared" si="5"/>
        <v>298.10454257207061</v>
      </c>
      <c r="AN16" s="59">
        <f ca="1">AVERAGE(OFFSET($AM$3,0,0,'Données projet'!$E$10+1,1))-AVERAGE(OFFSET($H$3,0,0,'Données projet'!$E$10+1,1))</f>
        <v>337.99164391755608</v>
      </c>
      <c r="AO16" s="59">
        <f t="shared" si="36"/>
        <v>421.45428231923393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4.0628205128205126</v>
      </c>
      <c r="BD16" s="12">
        <f>IF('Données projet'!$A$88&gt;35,BD15+BC16-BL15,IF(A16&lt;'Données projet'!$A$88,$BA$205^A16,IF(A16='Données projet'!$A$88,'Données projet'!$B$88,BD15+BC16-BL15)))</f>
        <v>8.0151413590917304</v>
      </c>
      <c r="BE16" s="13">
        <f>BD16*VLOOKUP('Données projet'!$B$11,Paramètres!$A$1:$I$89,3,0)*VLOOKUP('Données projet'!$B$11,Paramètres!$A$1:$I$89,5,0)</f>
        <v>8.1273533381190166</v>
      </c>
      <c r="BF16" s="13">
        <f t="shared" si="37"/>
        <v>2.9348311908328566</v>
      </c>
      <c r="BG16" s="20">
        <f t="shared" si="7"/>
        <v>19.26663805459118</v>
      </c>
      <c r="BH16" s="59">
        <f t="shared" si="8"/>
        <v>218.80763830620998</v>
      </c>
      <c r="BI16" s="59">
        <f ca="1">AVERAGE(OFFSET($BH$3,0,0,'Données projet'!$E$11+1,1))-AVERAGE(OFFSET($H$3,0,0,'Données projet'!$E$11+1,1))</f>
        <v>462.74754756814662</v>
      </c>
      <c r="BJ16" s="59">
        <f t="shared" si="38"/>
        <v>327.65191293226667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10.6</v>
      </c>
      <c r="BY16" s="12">
        <f>IF('Données projet'!$A$114&gt;35,BY15+BX16-CG15,IF(A16&lt;'Données projet'!$A$114,$BV$205^A16,IF(A16='Données projet'!$A$114,'Données projet'!$B$114,BY15+BX16-CG15)))</f>
        <v>66.8</v>
      </c>
      <c r="BZ16" s="13">
        <f>BY16*VLOOKUP('Données projet'!$B$12,Paramètres!$A$1:$I$89,3,0)*VLOOKUP('Données projet'!$B$12,Paramètres!$A$1:$I$89,5,0)</f>
        <v>58.356480000000005</v>
      </c>
      <c r="CA16" s="13">
        <f t="shared" si="39"/>
        <v>16.75206628947662</v>
      </c>
      <c r="CB16" s="20">
        <f t="shared" si="10"/>
        <v>130.81405145417179</v>
      </c>
      <c r="CC16" s="59">
        <f t="shared" si="11"/>
        <v>330.35505170579063</v>
      </c>
      <c r="CD16" s="59">
        <f ca="1">AVERAGE(OFFSET($CC$3,0,0,'Données projet'!$E$12+1,1))-AVERAGE(OFFSET($H$3,0,0,'Données projet'!$E$12+1,1))</f>
        <v>411.67183422518411</v>
      </c>
      <c r="CE16" s="59">
        <f t="shared" si="40"/>
        <v>379.16642539721556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222.17797449414502</v>
      </c>
      <c r="S17" s="59">
        <f ca="1">AVERAGE(OFFSET($R$3,0,0,'Données projet'!$E$9+1,1))-AVERAGE(OFFSET($H$3,0,0,'Données projet'!$E$9+1,1))</f>
        <v>421.33534980160005</v>
      </c>
      <c r="T17" s="59">
        <f t="shared" si="34"/>
        <v>299.0473530693472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9.4117948717948714</v>
      </c>
      <c r="AI17" s="13">
        <f>IF('Données projet'!$A$62&gt;35,AI16+AH17-AQ16,IF(A17&lt;'Données projet'!$A$62,$AF$205^A17,IF(A17='Données projet'!$A$62,'Données projet'!$B$62,AI16+AH17-AQ16)))</f>
        <v>101.49534671339541</v>
      </c>
      <c r="AJ17" s="13">
        <f>AI17*VLOOKUP('Données projet'!$B$10,Paramètres!$A$1:$I$89,3,0)*VLOOKUP('Données projet'!$B$10,Paramètres!$A$1:$I$89,5,0)</f>
        <v>60.694217334610457</v>
      </c>
      <c r="AK17" s="13">
        <f t="shared" si="35"/>
        <v>17.343671248056637</v>
      </c>
      <c r="AL17" s="20">
        <f t="shared" si="4"/>
        <v>135.91598928147849</v>
      </c>
      <c r="AM17" s="59">
        <f t="shared" si="5"/>
        <v>337.94585105375165</v>
      </c>
      <c r="AN17" s="59">
        <f ca="1">AVERAGE(OFFSET($AM$3,0,0,'Données projet'!$E$10+1,1))-AVERAGE(OFFSET($H$3,0,0,'Données projet'!$E$10+1,1))</f>
        <v>337.99164391755608</v>
      </c>
      <c r="AO17" s="59">
        <f t="shared" si="36"/>
        <v>421.45428231923393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4.0628205128205126</v>
      </c>
      <c r="BD17" s="12">
        <f>IF('Données projet'!$A$88&gt;35,BD16+BC17-BL16,IF(A17&lt;'Données projet'!$A$88,$BA$205^A17,IF(A17='Données projet'!$A$88,'Données projet'!$B$88,BD16+BC17-BL16)))</f>
        <v>9.4068196111151305</v>
      </c>
      <c r="BE17" s="13">
        <f>BD17*VLOOKUP('Données projet'!$B$11,Paramètres!$A$1:$I$89,3,0)*VLOOKUP('Données projet'!$B$11,Paramètres!$A$1:$I$89,5,0)</f>
        <v>9.5385150856707419</v>
      </c>
      <c r="BF17" s="13">
        <f t="shared" si="37"/>
        <v>3.3808139681206768</v>
      </c>
      <c r="BG17" s="20">
        <f t="shared" si="7"/>
        <v>22.501164768686721</v>
      </c>
      <c r="BH17" s="59">
        <f t="shared" si="8"/>
        <v>224.53102654095991</v>
      </c>
      <c r="BI17" s="59">
        <f ca="1">AVERAGE(OFFSET($BH$3,0,0,'Données projet'!$E$11+1,1))-AVERAGE(OFFSET($H$3,0,0,'Données projet'!$E$11+1,1))</f>
        <v>462.74754756814662</v>
      </c>
      <c r="BJ17" s="59">
        <f t="shared" si="38"/>
        <v>327.65191293226667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10.6</v>
      </c>
      <c r="BY17" s="12">
        <f>IF('Données projet'!$A$114&gt;35,BY16+BX17-CG16,IF(A17&lt;'Données projet'!$A$114,$BV$205^A17,IF(A17='Données projet'!$A$114,'Données projet'!$B$114,BY16+BX17-CG16)))</f>
        <v>77.399999999999991</v>
      </c>
      <c r="BZ17" s="13">
        <f>BY17*VLOOKUP('Données projet'!$B$12,Paramètres!$A$1:$I$89,3,0)*VLOOKUP('Données projet'!$B$12,Paramètres!$A$1:$I$89,5,0)</f>
        <v>67.616640000000004</v>
      </c>
      <c r="CA17" s="13">
        <f t="shared" si="39"/>
        <v>19.080397298873443</v>
      </c>
      <c r="CB17" s="20">
        <f t="shared" si="10"/>
        <v>150.99733996220459</v>
      </c>
      <c r="CC17" s="59">
        <f t="shared" si="11"/>
        <v>353.02720173447779</v>
      </c>
      <c r="CD17" s="59">
        <f ca="1">AVERAGE(OFFSET($CC$3,0,0,'Données projet'!$E$12+1,1))-AVERAGE(OFFSET($H$3,0,0,'Données projet'!$E$12+1,1))</f>
        <v>411.67183422518411</v>
      </c>
      <c r="CE17" s="59">
        <f t="shared" si="40"/>
        <v>379.16642539721556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228.02782997431032</v>
      </c>
      <c r="S18" s="59">
        <f ca="1">AVERAGE(OFFSET($R$3,0,0,'Données projet'!$E$9+1,1))-AVERAGE(OFFSET($H$3,0,0,'Données projet'!$E$9+1,1))</f>
        <v>421.33534980160005</v>
      </c>
      <c r="T18" s="59">
        <f t="shared" si="34"/>
        <v>299.0473530693472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141.17692307692306</v>
      </c>
      <c r="AG18" s="12">
        <f>VLOOKUP(A18,'Données projet'!$A$61:$I$81,9,0)</f>
        <v>9.4117948717948714</v>
      </c>
      <c r="AH18" s="12">
        <f t="array" ref="AH18">INDEX(AG:AG,MIN(IF(ISNUMBER(AG18:AG214),ROW(AG18:AG214),"")))</f>
        <v>9.4117948717948714</v>
      </c>
      <c r="AI18" s="13">
        <f>IF('Données projet'!$A$62&gt;35,AI17+AH18-AQ17,IF(A18&lt;'Données projet'!$A$62,$AF$205^A18,IF(A18='Données projet'!$A$62,'Données projet'!$B$62,AI17+AH18-AQ17)))</f>
        <v>141.17692307692306</v>
      </c>
      <c r="AJ18" s="13">
        <f>AI18*VLOOKUP('Données projet'!$B$10,Paramètres!$A$1:$I$89,3,0)*VLOOKUP('Données projet'!$B$10,Paramètres!$A$1:$I$89,5,0)</f>
        <v>84.423799999999986</v>
      </c>
      <c r="AK18" s="13">
        <f t="shared" si="35"/>
        <v>23.215414769475935</v>
      </c>
      <c r="AL18" s="20">
        <f t="shared" si="4"/>
        <v>187.47163239017053</v>
      </c>
      <c r="AM18" s="59">
        <f t="shared" si="5"/>
        <v>391.96838232305157</v>
      </c>
      <c r="AN18" s="59">
        <f ca="1">AVERAGE(OFFSET($AM$3,0,0,'Données projet'!$E$10+1,1))-AVERAGE(OFFSET($H$3,0,0,'Données projet'!$E$10+1,1))</f>
        <v>337.99164391755608</v>
      </c>
      <c r="AO18" s="59">
        <f t="shared" si="36"/>
        <v>421.45428231923393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49.784615384615385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0.25200000000000006</v>
      </c>
      <c r="AT18" s="16">
        <f>IF(ISNA(VLOOKUP(A18,'Données projet'!$A$61:$I$81,7,0)),0%,VLOOKUP(A18,'Données projet'!$A$61:$I$81,7,0))</f>
        <v>0.44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9.9131546026642408</v>
      </c>
      <c r="AW18" s="21">
        <f>EXP(-LN(2)/2)*AW17+(1-EXP(-LN(2)/2))/(LN(2)/2)*AQ18*AT18*VLOOKUP('Données projet'!$B$10,Paramètres!$A$1:$I$89,3,0)*0.475*44/12</f>
        <v>14.831482237492764</v>
      </c>
      <c r="AX18" s="21">
        <f t="shared" si="6"/>
        <v>24.744636840157007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4.0628205128205126</v>
      </c>
      <c r="BD18" s="12">
        <f>IF('Données projet'!$A$88&gt;35,BD17+BC18-BL17,IF(A18&lt;'Données projet'!$A$88,$BA$205^A18,IF(A18='Données projet'!$A$88,'Données projet'!$B$88,BD17+BC18-BL17)))</f>
        <v>11.040136565487554</v>
      </c>
      <c r="BE18" s="13">
        <f>BD18*VLOOKUP('Données projet'!$B$11,Paramètres!$A$1:$I$89,3,0)*VLOOKUP('Données projet'!$B$11,Paramètres!$A$1:$I$89,5,0)</f>
        <v>11.194698477404382</v>
      </c>
      <c r="BF18" s="13">
        <f t="shared" si="37"/>
        <v>3.8945691741119406</v>
      </c>
      <c r="BG18" s="20">
        <f t="shared" si="7"/>
        <v>26.280474493057593</v>
      </c>
      <c r="BH18" s="59">
        <f t="shared" si="8"/>
        <v>230.77722442593864</v>
      </c>
      <c r="BI18" s="59">
        <f ca="1">AVERAGE(OFFSET($BH$3,0,0,'Données projet'!$E$11+1,1))-AVERAGE(OFFSET($H$3,0,0,'Données projet'!$E$11+1,1))</f>
        <v>462.74754756814662</v>
      </c>
      <c r="BJ18" s="59">
        <f t="shared" si="38"/>
        <v>327.65191293226667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88</v>
      </c>
      <c r="BW18" s="12">
        <f>VLOOKUP(A18,'Données projet'!$A$113:$I$133,9,0)</f>
        <v>10.6</v>
      </c>
      <c r="BX18" s="12">
        <f t="array" ref="BX18">INDEX(BW:BW,MIN(IF(ISNUMBER(BW18:BW214),ROW(BW18:BW214),"")))</f>
        <v>10.6</v>
      </c>
      <c r="BY18" s="12">
        <f>IF('Données projet'!$A$114&gt;35,BY17+BX18-CG17,IF(A18&lt;'Données projet'!$A$114,$BV$205^A18,IF(A18='Données projet'!$A$114,'Données projet'!$B$114,BY17+BX18-CG17)))</f>
        <v>87.999999999999986</v>
      </c>
      <c r="BZ18" s="13">
        <f>BY18*VLOOKUP('Données projet'!$B$12,Paramètres!$A$1:$I$89,3,0)*VLOOKUP('Données projet'!$B$12,Paramètres!$A$1:$I$89,5,0)</f>
        <v>76.876799999999989</v>
      </c>
      <c r="CA18" s="13">
        <f t="shared" si="39"/>
        <v>21.371784666185118</v>
      </c>
      <c r="CB18" s="20">
        <f t="shared" si="10"/>
        <v>171.1162849602724</v>
      </c>
      <c r="CC18" s="59">
        <f t="shared" si="11"/>
        <v>375.61303489315344</v>
      </c>
      <c r="CD18" s="59">
        <f ca="1">AVERAGE(OFFSET($CC$3,0,0,'Données projet'!$E$12+1,1))-AVERAGE(OFFSET($H$3,0,0,'Données projet'!$E$12+1,1))</f>
        <v>411.67183422518411</v>
      </c>
      <c r="CE18" s="59">
        <f t="shared" si="40"/>
        <v>379.16642539721556</v>
      </c>
      <c r="CF18" s="15">
        <f>IF(ISNA(VLOOKUP(A18,'Données projet'!$A$113:$I$133,3,0)),0,VLOOKUP(A18,'Données projet'!$A$113:$I$133,3,0))</f>
        <v>0</v>
      </c>
      <c r="CG18" s="15" t="str">
        <f>IF(ISNA(VLOOKUP(A18,'Données projet'!$A$113:$I$133,4,0)),0,VLOOKUP(A18,'Données projet'!$A$113:$I$133,4,0))</f>
        <v>30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234.42594953184124</v>
      </c>
      <c r="S19" s="59">
        <f ca="1">AVERAGE(OFFSET($R$3,0,0,'Données projet'!$E$9+1,1))-AVERAGE(OFFSET($H$3,0,0,'Données projet'!$E$9+1,1))</f>
        <v>421.33534980160005</v>
      </c>
      <c r="T19" s="59">
        <f t="shared" si="34"/>
        <v>299.0473530693472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18.463076923076926</v>
      </c>
      <c r="AI19" s="13">
        <f>IF('Données projet'!$A$62&gt;35,AI18+AH19-AQ18,IF(A19&lt;'Données projet'!$A$62,$AF$205^A19,IF(A19='Données projet'!$A$62,'Données projet'!$B$62,AI18+AH19-AQ18)))</f>
        <v>109.85538461538459</v>
      </c>
      <c r="AJ19" s="13">
        <f>AI19*VLOOKUP('Données projet'!$B$10,Paramètres!$A$1:$I$89,3,0)*VLOOKUP('Données projet'!$B$10,Paramètres!$A$1:$I$89,5,0)</f>
        <v>65.693519999999992</v>
      </c>
      <c r="AK19" s="13">
        <f t="shared" si="35"/>
        <v>18.600086973007183</v>
      </c>
      <c r="AL19" s="20">
        <f t="shared" si="4"/>
        <v>146.81136547798749</v>
      </c>
      <c r="AM19" s="59">
        <f t="shared" si="5"/>
        <v>353.75341140010153</v>
      </c>
      <c r="AN19" s="59">
        <f ca="1">AVERAGE(OFFSET($AM$3,0,0,'Données projet'!$E$10+1,1))-AVERAGE(OFFSET($H$3,0,0,'Données projet'!$E$10+1,1))</f>
        <v>337.99164391755608</v>
      </c>
      <c r="AO19" s="59">
        <f t="shared" si="36"/>
        <v>421.45428231923393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9.6420788687442442</v>
      </c>
      <c r="AW19" s="21">
        <f>EXP(-LN(2)/2)*AW18+(1-EXP(-LN(2)/2))/(LN(2)/2)*AQ19*AT19*VLOOKUP('Données projet'!$B$10,Paramètres!$A$1:$I$89,3,0)*0.475*44/12</f>
        <v>10.487441665178963</v>
      </c>
      <c r="AX19" s="21">
        <f t="shared" si="6"/>
        <v>20.129520533923206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4.0628205128205126</v>
      </c>
      <c r="BD19" s="12">
        <f>IF('Données projet'!$A$88&gt;35,BD18+BC19-BL18,IF(A19&lt;'Données projet'!$A$88,$BA$205^A19,IF(A19='Données projet'!$A$88,'Données projet'!$B$88,BD18+BC19-BL18)))</f>
        <v>12.957048229201293</v>
      </c>
      <c r="BE19" s="13">
        <f>BD19*VLOOKUP('Données projet'!$B$11,Paramètres!$A$1:$I$89,3,0)*VLOOKUP('Données projet'!$B$11,Paramètres!$A$1:$I$89,5,0)</f>
        <v>13.138446904410113</v>
      </c>
      <c r="BF19" s="13">
        <f t="shared" si="37"/>
        <v>4.486395641690498</v>
      </c>
      <c r="BG19" s="20">
        <f t="shared" si="7"/>
        <v>30.696600767791892</v>
      </c>
      <c r="BH19" s="59">
        <f t="shared" si="8"/>
        <v>237.63864668990595</v>
      </c>
      <c r="BI19" s="59">
        <f ca="1">AVERAGE(OFFSET($BH$3,0,0,'Données projet'!$E$11+1,1))-AVERAGE(OFFSET($H$3,0,0,'Données projet'!$E$11+1,1))</f>
        <v>462.74754756814662</v>
      </c>
      <c r="BJ19" s="59">
        <f t="shared" si="38"/>
        <v>327.65191293226667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11.8</v>
      </c>
      <c r="BY19" s="12">
        <f>IF('Données projet'!$A$114&gt;35,BY18+BX19-CG18,IF(A19&lt;'Données projet'!$A$114,$BV$205^A19,IF(A19='Données projet'!$A$114,'Données projet'!$B$114,BY18+BX19-CG18)))</f>
        <v>69.799999999999983</v>
      </c>
      <c r="BZ19" s="13">
        <f>BY19*VLOOKUP('Données projet'!$B$12,Paramètres!$A$1:$I$89,3,0)*VLOOKUP('Données projet'!$B$12,Paramètres!$A$1:$I$89,5,0)</f>
        <v>60.977279999999993</v>
      </c>
      <c r="CA19" s="13">
        <f t="shared" si="39"/>
        <v>17.415123237238468</v>
      </c>
      <c r="CB19" s="20">
        <f t="shared" si="10"/>
        <v>136.5334356381903</v>
      </c>
      <c r="CC19" s="59">
        <f t="shared" si="11"/>
        <v>343.47548156030439</v>
      </c>
      <c r="CD19" s="59">
        <f ca="1">AVERAGE(OFFSET($CC$3,0,0,'Données projet'!$E$12+1,1))-AVERAGE(OFFSET($H$3,0,0,'Données projet'!$E$12+1,1))</f>
        <v>411.67183422518411</v>
      </c>
      <c r="CE19" s="59">
        <f t="shared" si="40"/>
        <v>379.16642539721556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241.46898830206896</v>
      </c>
      <c r="S20" s="59">
        <f ca="1">AVERAGE(OFFSET($R$3,0,0,'Données projet'!$E$9+1,1))-AVERAGE(OFFSET($H$3,0,0,'Données projet'!$E$9+1,1))</f>
        <v>421.33534980160005</v>
      </c>
      <c r="T20" s="59">
        <f t="shared" si="34"/>
        <v>299.0473530693472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18.463076923076926</v>
      </c>
      <c r="AI20" s="13">
        <f>IF('Données projet'!$A$62&gt;35,AI19+AH20-AQ19,IF(A20&lt;'Données projet'!$A$62,$AF$205^A20,IF(A20='Données projet'!$A$62,'Données projet'!$B$62,AI19+AH20-AQ19)))</f>
        <v>128.31846153846152</v>
      </c>
      <c r="AJ20" s="13">
        <f>AI20*VLOOKUP('Données projet'!$B$10,Paramètres!$A$1:$I$89,3,0)*VLOOKUP('Données projet'!$B$10,Paramètres!$A$1:$I$89,5,0)</f>
        <v>76.734439999999992</v>
      </c>
      <c r="AK20" s="13">
        <f t="shared" si="35"/>
        <v>21.336811414414317</v>
      </c>
      <c r="AL20" s="20">
        <f t="shared" si="4"/>
        <v>170.80742954677157</v>
      </c>
      <c r="AM20" s="59">
        <f t="shared" si="5"/>
        <v>380.17355386264433</v>
      </c>
      <c r="AN20" s="59">
        <f ca="1">AVERAGE(OFFSET($AM$3,0,0,'Données projet'!$E$10+1,1))-AVERAGE(OFFSET($H$3,0,0,'Données projet'!$E$10+1,1))</f>
        <v>337.99164391755608</v>
      </c>
      <c r="AO20" s="59">
        <f t="shared" si="36"/>
        <v>421.45428231923393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9.378415715023543</v>
      </c>
      <c r="AW20" s="21">
        <f>EXP(-LN(2)/2)*AW19+(1-EXP(-LN(2)/2))/(LN(2)/2)*AQ20*AT20*VLOOKUP('Données projet'!$B$10,Paramètres!$A$1:$I$89,3,0)*0.475*44/12</f>
        <v>7.4157411187463831</v>
      </c>
      <c r="AX20" s="21">
        <f t="shared" si="6"/>
        <v>16.794156833769925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4.0628205128205126</v>
      </c>
      <c r="BD20" s="12">
        <f>IF('Données projet'!$A$88&gt;35,BD19+BC20-BL19,IF(A20&lt;'Données projet'!$A$88,$BA$205^A20,IF(A20='Données projet'!$A$88,'Données projet'!$B$88,BD19+BC20-BL19)))</f>
        <v>15.206795479203771</v>
      </c>
      <c r="BE20" s="13">
        <f>BD20*VLOOKUP('Données projet'!$B$11,Paramètres!$A$1:$I$89,3,0)*VLOOKUP('Données projet'!$B$11,Paramètres!$A$1:$I$89,5,0)</f>
        <v>15.419690615912625</v>
      </c>
      <c r="BF20" s="13">
        <f t="shared" si="37"/>
        <v>5.1681572348420586</v>
      </c>
      <c r="BG20" s="20">
        <f t="shared" si="7"/>
        <v>35.857168340064412</v>
      </c>
      <c r="BH20" s="59">
        <f t="shared" si="8"/>
        <v>245.22329265593714</v>
      </c>
      <c r="BI20" s="59">
        <f ca="1">AVERAGE(OFFSET($BH$3,0,0,'Données projet'!$E$11+1,1))-AVERAGE(OFFSET($H$3,0,0,'Données projet'!$E$11+1,1))</f>
        <v>462.74754756814662</v>
      </c>
      <c r="BJ20" s="59">
        <f t="shared" si="38"/>
        <v>327.65191293226667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11.8</v>
      </c>
      <c r="BY20" s="12">
        <f>IF('Données projet'!$A$114&gt;35,BY19+BX20-CG19,IF(A20&lt;'Données projet'!$A$114,$BV$205^A20,IF(A20='Données projet'!$A$114,'Données projet'!$B$114,BY19+BX20-CG19)))</f>
        <v>81.59999999999998</v>
      </c>
      <c r="BZ20" s="13">
        <f>BY20*VLOOKUP('Données projet'!$B$12,Paramètres!$A$1:$I$89,3,0)*VLOOKUP('Données projet'!$B$12,Paramètres!$A$1:$I$89,5,0)</f>
        <v>71.285759999999982</v>
      </c>
      <c r="CA20" s="13">
        <f t="shared" si="39"/>
        <v>19.992418069182566</v>
      </c>
      <c r="CB20" s="20">
        <f t="shared" si="10"/>
        <v>158.97616013715958</v>
      </c>
      <c r="CC20" s="59">
        <f t="shared" si="11"/>
        <v>368.34228445303233</v>
      </c>
      <c r="CD20" s="59">
        <f ca="1">AVERAGE(OFFSET($CC$3,0,0,'Données projet'!$E$12+1,1))-AVERAGE(OFFSET($H$3,0,0,'Données projet'!$E$12+1,1))</f>
        <v>411.67183422518411</v>
      </c>
      <c r="CE20" s="59">
        <f t="shared" si="40"/>
        <v>379.16642539721556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249.26990736392435</v>
      </c>
      <c r="S21" s="59">
        <f ca="1">AVERAGE(OFFSET($R$3,0,0,'Données projet'!$E$9+1,1))-AVERAGE(OFFSET($H$3,0,0,'Données projet'!$E$9+1,1))</f>
        <v>421.33534980160005</v>
      </c>
      <c r="T21" s="59">
        <f t="shared" si="34"/>
        <v>299.0473530693472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18.463076923076926</v>
      </c>
      <c r="AI21" s="13">
        <f>IF('Données projet'!$A$62&gt;35,AI20+AH21-AQ20,IF(A21&lt;'Données projet'!$A$62,$AF$205^A21,IF(A21='Données projet'!$A$62,'Données projet'!$B$62,AI20+AH21-AQ20)))</f>
        <v>146.78153846153845</v>
      </c>
      <c r="AJ21" s="13">
        <f>AI21*VLOOKUP('Données projet'!$B$10,Paramètres!$A$1:$I$89,3,0)*VLOOKUP('Données projet'!$B$10,Paramètres!$A$1:$I$89,5,0)</f>
        <v>87.775359999999992</v>
      </c>
      <c r="AK21" s="13">
        <f t="shared" si="35"/>
        <v>24.02791634919064</v>
      </c>
      <c r="AL21" s="20">
        <f t="shared" si="4"/>
        <v>194.72403964150703</v>
      </c>
      <c r="AM21" s="59">
        <f t="shared" si="5"/>
        <v>406.49339283351014</v>
      </c>
      <c r="AN21" s="59">
        <f ca="1">AVERAGE(OFFSET($AM$3,0,0,'Données projet'!$E$10+1,1))-AVERAGE(OFFSET($H$3,0,0,'Données projet'!$E$10+1,1))</f>
        <v>337.99164391755608</v>
      </c>
      <c r="AO21" s="59">
        <f t="shared" si="36"/>
        <v>421.45428231923393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9.1219624441067761</v>
      </c>
      <c r="AW21" s="21">
        <f>EXP(-LN(2)/2)*AW20+(1-EXP(-LN(2)/2))/(LN(2)/2)*AQ21*AT21*VLOOKUP('Données projet'!$B$10,Paramètres!$A$1:$I$89,3,0)*0.475*44/12</f>
        <v>5.2437208325894824</v>
      </c>
      <c r="AX21" s="21">
        <f t="shared" si="6"/>
        <v>14.365683276696259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4.0628205128205126</v>
      </c>
      <c r="BD21" s="12">
        <f>IF('Données projet'!$A$88&gt;35,BD20+BC21-BL20,IF(A21&lt;'Données projet'!$A$88,$BA$205^A21,IF(A21='Données projet'!$A$88,'Données projet'!$B$88,BD20+BC21-BL20)))</f>
        <v>17.847168942782186</v>
      </c>
      <c r="BE21" s="13">
        <f>BD21*VLOOKUP('Données projet'!$B$11,Paramètres!$A$1:$I$89,3,0)*VLOOKUP('Données projet'!$B$11,Paramètres!$A$1:$I$89,5,0)</f>
        <v>18.097029307981138</v>
      </c>
      <c r="BF21" s="13">
        <f t="shared" si="37"/>
        <v>5.9535206738890976</v>
      </c>
      <c r="BG21" s="20">
        <f t="shared" si="7"/>
        <v>41.888041218423993</v>
      </c>
      <c r="BH21" s="59">
        <f t="shared" si="8"/>
        <v>253.65739441042712</v>
      </c>
      <c r="BI21" s="59">
        <f ca="1">AVERAGE(OFFSET($BH$3,0,0,'Données projet'!$E$11+1,1))-AVERAGE(OFFSET($H$3,0,0,'Données projet'!$E$11+1,1))</f>
        <v>462.74754756814662</v>
      </c>
      <c r="BJ21" s="59">
        <f t="shared" si="38"/>
        <v>327.65191293226667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11.8</v>
      </c>
      <c r="BY21" s="12">
        <f>IF('Données projet'!$A$114&gt;35,BY20+BX21-CG20,IF(A21&lt;'Données projet'!$A$114,$BV$205^A21,IF(A21='Données projet'!$A$114,'Données projet'!$B$114,BY20+BX21-CG20)))</f>
        <v>93.399999999999977</v>
      </c>
      <c r="BZ21" s="13">
        <f>BY21*VLOOKUP('Données projet'!$B$12,Paramètres!$A$1:$I$89,3,0)*VLOOKUP('Données projet'!$B$12,Paramètres!$A$1:$I$89,5,0)</f>
        <v>81.594239999999999</v>
      </c>
      <c r="CA21" s="13">
        <f t="shared" si="39"/>
        <v>22.526535320646335</v>
      </c>
      <c r="CB21" s="20">
        <f t="shared" si="10"/>
        <v>181.34368368345903</v>
      </c>
      <c r="CC21" s="59">
        <f t="shared" si="11"/>
        <v>393.11303687546217</v>
      </c>
      <c r="CD21" s="59">
        <f ca="1">AVERAGE(OFFSET($CC$3,0,0,'Données projet'!$E$12+1,1))-AVERAGE(OFFSET($H$3,0,0,'Données projet'!$E$12+1,1))</f>
        <v>411.67183422518411</v>
      </c>
      <c r="CE21" s="59">
        <f t="shared" si="40"/>
        <v>379.16642539721556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257.96074467695155</v>
      </c>
      <c r="S22" s="59">
        <f ca="1">AVERAGE(OFFSET($R$3,0,0,'Données projet'!$E$9+1,1))-AVERAGE(OFFSET($H$3,0,0,'Données projet'!$E$9+1,1))</f>
        <v>421.33534980160005</v>
      </c>
      <c r="T22" s="59">
        <f t="shared" si="34"/>
        <v>299.0473530693472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18.463076923076926</v>
      </c>
      <c r="AI22" s="13">
        <f>IF('Données projet'!$A$62&gt;35,AI21+AH22-AQ21,IF(A22&lt;'Données projet'!$A$62,$AF$205^A22,IF(A22='Données projet'!$A$62,'Données projet'!$B$62,AI21+AH22-AQ21)))</f>
        <v>165.24461538461537</v>
      </c>
      <c r="AJ22" s="13">
        <f>AI22*VLOOKUP('Données projet'!$B$10,Paramètres!$A$1:$I$89,3,0)*VLOOKUP('Données projet'!$B$10,Paramètres!$A$1:$I$89,5,0)</f>
        <v>98.816280000000006</v>
      </c>
      <c r="AK22" s="13">
        <f t="shared" si="35"/>
        <v>26.679797439959771</v>
      </c>
      <c r="AL22" s="20">
        <f t="shared" si="4"/>
        <v>218.57233487459663</v>
      </c>
      <c r="AM22" s="59">
        <f t="shared" si="5"/>
        <v>432.72442911762016</v>
      </c>
      <c r="AN22" s="59">
        <f ca="1">AVERAGE(OFFSET($AM$3,0,0,'Données projet'!$E$10+1,1))-AVERAGE(OFFSET($H$3,0,0,'Données projet'!$E$10+1,1))</f>
        <v>337.99164391755608</v>
      </c>
      <c r="AO22" s="59">
        <f t="shared" si="36"/>
        <v>421.45428231923393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8.8725219013695202</v>
      </c>
      <c r="AW22" s="21">
        <f>EXP(-LN(2)/2)*AW21+(1-EXP(-LN(2)/2))/(LN(2)/2)*AQ22*AT22*VLOOKUP('Données projet'!$B$10,Paramètres!$A$1:$I$89,3,0)*0.475*44/12</f>
        <v>3.707870559373192</v>
      </c>
      <c r="AX22" s="21">
        <f t="shared" si="6"/>
        <v>12.580392460742711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4.0628205128205126</v>
      </c>
      <c r="BD22" s="12">
        <f>IF('Données projet'!$A$88&gt;35,BD21+BC22-BL21,IF(A22&lt;'Données projet'!$A$88,$BA$205^A22,IF(A22='Données projet'!$A$88,'Données projet'!$B$88,BD21+BC22-BL21)))</f>
        <v>20.945993500590358</v>
      </c>
      <c r="BE22" s="13">
        <f>BD22*VLOOKUP('Données projet'!$B$11,Paramètres!$A$1:$I$89,3,0)*VLOOKUP('Données projet'!$B$11,Paramètres!$A$1:$I$89,5,0)</f>
        <v>21.239237409598623</v>
      </c>
      <c r="BF22" s="13">
        <f t="shared" si="37"/>
        <v>6.8582295011208343</v>
      </c>
      <c r="BG22" s="20">
        <f t="shared" si="7"/>
        <v>48.936421536169718</v>
      </c>
      <c r="BH22" s="59">
        <f t="shared" si="8"/>
        <v>263.08851577919324</v>
      </c>
      <c r="BI22" s="59">
        <f ca="1">AVERAGE(OFFSET($BH$3,0,0,'Données projet'!$E$11+1,1))-AVERAGE(OFFSET($H$3,0,0,'Données projet'!$E$11+1,1))</f>
        <v>462.74754756814662</v>
      </c>
      <c r="BJ22" s="59">
        <f t="shared" si="38"/>
        <v>327.65191293226667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11.8</v>
      </c>
      <c r="BY22" s="12">
        <f>IF('Données projet'!$A$114&gt;35,BY21+BX22-CG21,IF(A22&lt;'Données projet'!$A$114,$BV$205^A22,IF(A22='Données projet'!$A$114,'Données projet'!$B$114,BY21+BX22-CG21)))</f>
        <v>105.19999999999997</v>
      </c>
      <c r="BZ22" s="13">
        <f>BY22*VLOOKUP('Données projet'!$B$12,Paramètres!$A$1:$I$89,3,0)*VLOOKUP('Données projet'!$B$12,Paramètres!$A$1:$I$89,5,0)</f>
        <v>91.902719999999988</v>
      </c>
      <c r="CA22" s="13">
        <f t="shared" si="39"/>
        <v>25.023555003327861</v>
      </c>
      <c r="CB22" s="20">
        <f t="shared" si="10"/>
        <v>203.64659563079599</v>
      </c>
      <c r="CC22" s="59">
        <f t="shared" si="11"/>
        <v>417.79868987381951</v>
      </c>
      <c r="CD22" s="59">
        <f ca="1">AVERAGE(OFFSET($CC$3,0,0,'Données projet'!$E$12+1,1))-AVERAGE(OFFSET($H$3,0,0,'Données projet'!$E$12+1,1))</f>
        <v>411.67183422518411</v>
      </c>
      <c r="CE22" s="59">
        <f t="shared" si="40"/>
        <v>379.16642539721556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267.69585776850914</v>
      </c>
      <c r="S23" s="59">
        <f ca="1">AVERAGE(OFFSET($R$3,0,0,'Données projet'!$E$9+1,1))-AVERAGE(OFFSET($H$3,0,0,'Données projet'!$E$9+1,1))</f>
        <v>421.33534980160005</v>
      </c>
      <c r="T23" s="59">
        <f t="shared" si="34"/>
        <v>299.0473530693472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183.7076923076923</v>
      </c>
      <c r="AG23" s="12">
        <f>VLOOKUP(A23,'Données projet'!$A$61:$I$81,9,0)</f>
        <v>18.463076923076926</v>
      </c>
      <c r="AH23" s="12">
        <f t="array" ref="AH23">INDEX(AG:AG,MIN(IF(ISNUMBER(AG23:AG219),ROW(AG23:AG219),"")))</f>
        <v>18.463076923076926</v>
      </c>
      <c r="AI23" s="13">
        <f>IF('Données projet'!$A$62&gt;35,AI22+AH23-AQ22,IF(A23&lt;'Données projet'!$A$62,$AF$205^A23,IF(A23='Données projet'!$A$62,'Données projet'!$B$62,AI22+AH23-AQ22)))</f>
        <v>183.7076923076923</v>
      </c>
      <c r="AJ23" s="13">
        <f>AI23*VLOOKUP('Données projet'!$B$10,Paramètres!$A$1:$I$89,3,0)*VLOOKUP('Données projet'!$B$10,Paramètres!$A$1:$I$89,5,0)</f>
        <v>109.85720000000001</v>
      </c>
      <c r="AK23" s="13">
        <f t="shared" si="35"/>
        <v>29.297337235526424</v>
      </c>
      <c r="AL23" s="20">
        <f t="shared" si="4"/>
        <v>242.36081901854183</v>
      </c>
      <c r="AM23" s="59">
        <f t="shared" si="5"/>
        <v>458.87552190543755</v>
      </c>
      <c r="AN23" s="59">
        <f ca="1">AVERAGE(OFFSET($AM$3,0,0,'Données projet'!$E$10+1,1))-AVERAGE(OFFSET($H$3,0,0,'Données projet'!$E$10+1,1))</f>
        <v>337.99164391755608</v>
      </c>
      <c r="AO23" s="59">
        <f t="shared" si="36"/>
        <v>421.45428231923393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48.723076923076924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0.25200000000000006</v>
      </c>
      <c r="AT23" s="16">
        <f>IF(ISNA(VLOOKUP(A23,'Données projet'!$A$61:$I$81,7,0)),0%,VLOOKUP(A23,'Données projet'!$A$61:$I$81,7,0))</f>
        <v>0.44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18.331682492314798</v>
      </c>
      <c r="AW23" s="21">
        <f>EXP(-LN(2)/2)*AW22+(1-EXP(-LN(2)/2))/(LN(2)/2)*AQ23*AT23*VLOOKUP('Données projet'!$B$10,Paramètres!$A$1:$I$89,3,0)*0.475*44/12</f>
        <v>17.137096586300796</v>
      </c>
      <c r="AX23" s="21">
        <f t="shared" si="6"/>
        <v>35.468779078615597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4.0628205128205126</v>
      </c>
      <c r="BD23" s="12">
        <f>IF('Données projet'!$A$88&gt;35,BD22+BC23-BL22,IF(A23&lt;'Données projet'!$A$88,$BA$205^A23,IF(A23='Données projet'!$A$88,'Données projet'!$B$88,BD22+BC23-BL22)))</f>
        <v>24.582870545650774</v>
      </c>
      <c r="BE23" s="13">
        <f>BD23*VLOOKUP('Données projet'!$B$11,Paramètres!$A$1:$I$89,3,0)*VLOOKUP('Données projet'!$B$11,Paramètres!$A$1:$I$89,5,0)</f>
        <v>24.927030733289886</v>
      </c>
      <c r="BF23" s="13">
        <f t="shared" si="37"/>
        <v>7.900419678784556</v>
      </c>
      <c r="BG23" s="20">
        <f t="shared" si="7"/>
        <v>57.174476134362976</v>
      </c>
      <c r="BH23" s="59">
        <f t="shared" si="8"/>
        <v>273.68917902125872</v>
      </c>
      <c r="BI23" s="59">
        <f ca="1">AVERAGE(OFFSET($BH$3,0,0,'Données projet'!$E$11+1,1))-AVERAGE(OFFSET($H$3,0,0,'Données projet'!$E$11+1,1))</f>
        <v>462.74754756814662</v>
      </c>
      <c r="BJ23" s="59">
        <f t="shared" si="38"/>
        <v>327.65191293226667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117</v>
      </c>
      <c r="BW23" s="12">
        <f>VLOOKUP(A23,'Données projet'!$A$113:$I$133,9,0)</f>
        <v>11.8</v>
      </c>
      <c r="BX23" s="12">
        <f t="array" ref="BX23">INDEX(BW:BW,MIN(IF(ISNUMBER(BW23:BW219),ROW(BW23:BW219),"")))</f>
        <v>11.8</v>
      </c>
      <c r="BY23" s="12">
        <f>IF('Données projet'!$A$114&gt;35,BY22+BX23-CG22,IF(A23&lt;'Données projet'!$A$114,$BV$205^A23,IF(A23='Données projet'!$A$114,'Données projet'!$B$114,BY22+BX23-CG22)))</f>
        <v>116.99999999999997</v>
      </c>
      <c r="BZ23" s="13">
        <f>BY23*VLOOKUP('Données projet'!$B$12,Paramètres!$A$1:$I$89,3,0)*VLOOKUP('Données projet'!$B$12,Paramètres!$A$1:$I$89,5,0)</f>
        <v>102.21119999999999</v>
      </c>
      <c r="CA23" s="13">
        <f t="shared" si="39"/>
        <v>27.488113037666018</v>
      </c>
      <c r="CB23" s="20">
        <f t="shared" si="10"/>
        <v>225.89297020726829</v>
      </c>
      <c r="CC23" s="59">
        <f t="shared" si="11"/>
        <v>442.40767309416401</v>
      </c>
      <c r="CD23" s="59">
        <f ca="1">AVERAGE(OFFSET($CC$3,0,0,'Données projet'!$E$12+1,1))-AVERAGE(OFFSET($H$3,0,0,'Données projet'!$E$12+1,1))</f>
        <v>411.67183422518411</v>
      </c>
      <c r="CE23" s="59">
        <f t="shared" si="40"/>
        <v>379.16642539721556</v>
      </c>
      <c r="CF23" s="15">
        <f>IF(ISNA(VLOOKUP(A23,'Données projet'!$A$113:$I$133,3,0)),0,VLOOKUP(A23,'Données projet'!$A$113:$I$133,3,0))</f>
        <v>1</v>
      </c>
      <c r="CG23" s="15" t="str">
        <f>IF(ISNA(VLOOKUP(A23,'Données projet'!$A$113:$I$133,4,0)),0,VLOOKUP(A23,'Données projet'!$A$113:$I$133,4,0))</f>
        <v>29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278.65571866132592</v>
      </c>
      <c r="S24" s="59">
        <f ca="1">AVERAGE(OFFSET($R$3,0,0,'Données projet'!$E$9+1,1))-AVERAGE(OFFSET($H$3,0,0,'Données projet'!$E$9+1,1))</f>
        <v>421.33534980160005</v>
      </c>
      <c r="T24" s="59">
        <f t="shared" si="34"/>
        <v>299.0473530693472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19.071794871794875</v>
      </c>
      <c r="AI24" s="13">
        <f>IF('Données projet'!$A$62&gt;35,AI23+AH24-AQ23,IF(A24&lt;'Données projet'!$A$62,$AF$205^A24,IF(A24='Données projet'!$A$62,'Données projet'!$B$62,AI23+AH24-AQ23)))</f>
        <v>154.05641025641026</v>
      </c>
      <c r="AJ24" s="13">
        <f>AI24*VLOOKUP('Données projet'!$B$10,Paramètres!$A$1:$I$89,3,0)*VLOOKUP('Données projet'!$B$10,Paramètres!$A$1:$I$89,5,0)</f>
        <v>92.125733333333343</v>
      </c>
      <c r="AK24" s="13">
        <f t="shared" si="35"/>
        <v>25.077202059466597</v>
      </c>
      <c r="AL24" s="20">
        <f t="shared" si="4"/>
        <v>204.12844580912656</v>
      </c>
      <c r="AM24" s="59">
        <f t="shared" si="5"/>
        <v>422.98597418500094</v>
      </c>
      <c r="AN24" s="59">
        <f ca="1">AVERAGE(OFFSET($AM$3,0,0,'Données projet'!$E$10+1,1))-AVERAGE(OFFSET($H$3,0,0,'Données projet'!$E$10+1,1))</f>
        <v>337.99164391755608</v>
      </c>
      <c r="AO24" s="59">
        <f t="shared" si="36"/>
        <v>421.45428231923393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17.830401670541164</v>
      </c>
      <c r="AW24" s="21">
        <f>EXP(-LN(2)/2)*AW23+(1-EXP(-LN(2)/2))/(LN(2)/2)*AQ24*AT24*VLOOKUP('Données projet'!$B$10,Paramètres!$A$1:$I$89,3,0)*0.475*44/12</f>
        <v>12.117757206022128</v>
      </c>
      <c r="AX24" s="21">
        <f t="shared" si="6"/>
        <v>29.948158876563291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4.0628205128205126</v>
      </c>
      <c r="BD24" s="12">
        <f>IF('Données projet'!$A$88&gt;35,BD23+BC24-BL23,IF(A24&lt;'Données projet'!$A$88,$BA$205^A24,IF(A24='Données projet'!$A$88,'Données projet'!$B$88,BD23+BC24-BL23)))</f>
        <v>28.851222752799568</v>
      </c>
      <c r="BE24" s="13">
        <f>BD24*VLOOKUP('Données projet'!$B$11,Paramètres!$A$1:$I$89,3,0)*VLOOKUP('Données projet'!$B$11,Paramètres!$A$1:$I$89,5,0)</f>
        <v>29.255139871338766</v>
      </c>
      <c r="BF24" s="13">
        <f t="shared" si="37"/>
        <v>9.1009831459745705</v>
      </c>
      <c r="BG24" s="20">
        <f t="shared" si="7"/>
        <v>66.803580921820739</v>
      </c>
      <c r="BH24" s="59">
        <f t="shared" si="8"/>
        <v>285.66110929769513</v>
      </c>
      <c r="BI24" s="59">
        <f ca="1">AVERAGE(OFFSET($BH$3,0,0,'Données projet'!$E$11+1,1))-AVERAGE(OFFSET($H$3,0,0,'Données projet'!$E$11+1,1))</f>
        <v>462.74754756814662</v>
      </c>
      <c r="BJ24" s="59">
        <f t="shared" si="38"/>
        <v>327.65191293226667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11.4</v>
      </c>
      <c r="BY24" s="12">
        <f>IF('Données projet'!$A$114&gt;35,BY23+BX24-CG23,IF(A24&lt;'Données projet'!$A$114,$BV$205^A24,IF(A24='Données projet'!$A$114,'Données projet'!$B$114,BY23+BX24-CG23)))</f>
        <v>99.399999999999977</v>
      </c>
      <c r="BZ24" s="13">
        <f>BY24*VLOOKUP('Données projet'!$B$12,Paramètres!$A$1:$I$89,3,0)*VLOOKUP('Données projet'!$B$12,Paramètres!$A$1:$I$89,5,0)</f>
        <v>86.83583999999999</v>
      </c>
      <c r="CA24" s="13">
        <f t="shared" si="39"/>
        <v>23.800523515695954</v>
      </c>
      <c r="CB24" s="20">
        <f t="shared" si="10"/>
        <v>192.69166645650375</v>
      </c>
      <c r="CC24" s="59">
        <f t="shared" si="11"/>
        <v>411.54919483237813</v>
      </c>
      <c r="CD24" s="59">
        <f ca="1">AVERAGE(OFFSET($CC$3,0,0,'Données projet'!$E$12+1,1))-AVERAGE(OFFSET($H$3,0,0,'Données projet'!$E$12+1,1))</f>
        <v>411.67183422518411</v>
      </c>
      <c r="CE24" s="59">
        <f t="shared" si="40"/>
        <v>379.16642539721556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291.05135529127796</v>
      </c>
      <c r="S25" s="59">
        <f ca="1">AVERAGE(OFFSET($R$3,0,0,'Données projet'!$E$9+1,1))-AVERAGE(OFFSET($H$3,0,0,'Données projet'!$E$9+1,1))</f>
        <v>421.33534980160005</v>
      </c>
      <c r="T25" s="59">
        <f t="shared" si="34"/>
        <v>299.0473530693472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19.071794871794875</v>
      </c>
      <c r="AI25" s="13">
        <f>IF('Données projet'!$A$62&gt;35,AI24+AH25-AQ24,IF(A25&lt;'Données projet'!$A$62,$AF$205^A25,IF(A25='Données projet'!$A$62,'Données projet'!$B$62,AI24+AH25-AQ24)))</f>
        <v>173.12820512820514</v>
      </c>
      <c r="AJ25" s="13">
        <f>AI25*VLOOKUP('Données projet'!$B$10,Paramètres!$A$1:$I$89,3,0)*VLOOKUP('Données projet'!$B$10,Paramètres!$A$1:$I$89,5,0)</f>
        <v>103.53066666666668</v>
      </c>
      <c r="AK25" s="13">
        <f t="shared" si="35"/>
        <v>27.80142408921413</v>
      </c>
      <c r="AL25" s="20">
        <f t="shared" si="4"/>
        <v>228.73672473315909</v>
      </c>
      <c r="AM25" s="59">
        <f t="shared" si="5"/>
        <v>449.91763863662749</v>
      </c>
      <c r="AN25" s="59">
        <f ca="1">AVERAGE(OFFSET($AM$3,0,0,'Données projet'!$E$10+1,1))-AVERAGE(OFFSET($H$3,0,0,'Données projet'!$E$10+1,1))</f>
        <v>337.99164391755608</v>
      </c>
      <c r="AO25" s="59">
        <f t="shared" si="36"/>
        <v>421.45428231923393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17.342828399200144</v>
      </c>
      <c r="AW25" s="21">
        <f>EXP(-LN(2)/2)*AW24+(1-EXP(-LN(2)/2))/(LN(2)/2)*AQ25*AT25*VLOOKUP('Données projet'!$B$10,Paramètres!$A$1:$I$89,3,0)*0.475*44/12</f>
        <v>8.5685482931503998</v>
      </c>
      <c r="AX25" s="21">
        <f t="shared" si="6"/>
        <v>25.911376692350544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4.0628205128205126</v>
      </c>
      <c r="BD25" s="12">
        <f>IF('Données projet'!$A$88&gt;35,BD24+BC25-BL24,IF(A25&lt;'Données projet'!$A$88,$BA$205^A25,IF(A25='Données projet'!$A$88,'Données projet'!$B$88,BD24+BC25-BL24)))</f>
        <v>33.860693883812012</v>
      </c>
      <c r="BE25" s="13">
        <f>BD25*VLOOKUP('Données projet'!$B$11,Paramètres!$A$1:$I$89,3,0)*VLOOKUP('Données projet'!$B$11,Paramètres!$A$1:$I$89,5,0)</f>
        <v>34.334743598185383</v>
      </c>
      <c r="BF25" s="13">
        <f t="shared" si="37"/>
        <v>10.48398662234813</v>
      </c>
      <c r="BG25" s="20">
        <f t="shared" si="7"/>
        <v>78.059288467429198</v>
      </c>
      <c r="BH25" s="59">
        <f t="shared" si="8"/>
        <v>299.24020237089758</v>
      </c>
      <c r="BI25" s="59">
        <f ca="1">AVERAGE(OFFSET($BH$3,0,0,'Données projet'!$E$11+1,1))-AVERAGE(OFFSET($H$3,0,0,'Données projet'!$E$11+1,1))</f>
        <v>462.74754756814662</v>
      </c>
      <c r="BJ25" s="59">
        <f t="shared" si="38"/>
        <v>327.65191293226667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11.4</v>
      </c>
      <c r="BY25" s="12">
        <f>IF('Données projet'!$A$114&gt;35,BY24+BX25-CG24,IF(A25&lt;'Données projet'!$A$114,$BV$205^A25,IF(A25='Données projet'!$A$114,'Données projet'!$B$114,BY24+BX25-CG24)))</f>
        <v>110.79999999999998</v>
      </c>
      <c r="BZ25" s="13">
        <f>BY25*VLOOKUP('Données projet'!$B$12,Paramètres!$A$1:$I$89,3,0)*VLOOKUP('Données projet'!$B$12,Paramètres!$A$1:$I$89,5,0)</f>
        <v>96.794879999999992</v>
      </c>
      <c r="CA25" s="13">
        <f t="shared" si="39"/>
        <v>26.196980264498734</v>
      </c>
      <c r="CB25" s="20">
        <f t="shared" si="10"/>
        <v>214.21082329400193</v>
      </c>
      <c r="CC25" s="59">
        <f t="shared" si="11"/>
        <v>435.39173719747032</v>
      </c>
      <c r="CD25" s="59">
        <f ca="1">AVERAGE(OFFSET($CC$3,0,0,'Données projet'!$E$12+1,1))-AVERAGE(OFFSET($H$3,0,0,'Données projet'!$E$12+1,1))</f>
        <v>411.67183422518411</v>
      </c>
      <c r="CE25" s="59">
        <f t="shared" si="40"/>
        <v>379.16642539721556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305.12954978125185</v>
      </c>
      <c r="S26" s="59">
        <f ca="1">AVERAGE(OFFSET($R$3,0,0,'Données projet'!$E$9+1,1))-AVERAGE(OFFSET($H$3,0,0,'Données projet'!$E$9+1,1))</f>
        <v>421.33534980160005</v>
      </c>
      <c r="T26" s="59">
        <f t="shared" si="34"/>
        <v>299.0473530693472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19.071794871794875</v>
      </c>
      <c r="AI26" s="13">
        <f>IF('Données projet'!$A$62&gt;35,AI25+AH26-AQ25,IF(A26&lt;'Données projet'!$A$62,$AF$205^A26,IF(A26='Données projet'!$A$62,'Données projet'!$B$62,AI25+AH26-AQ25)))</f>
        <v>192.20000000000002</v>
      </c>
      <c r="AJ26" s="13">
        <f>AI26*VLOOKUP('Données projet'!$B$10,Paramètres!$A$1:$I$89,3,0)*VLOOKUP('Données projet'!$B$10,Paramètres!$A$1:$I$89,5,0)</f>
        <v>114.93560000000001</v>
      </c>
      <c r="AK26" s="13">
        <f t="shared" si="35"/>
        <v>30.49086327624272</v>
      </c>
      <c r="AL26" s="20">
        <f t="shared" si="4"/>
        <v>253.28442353945601</v>
      </c>
      <c r="AM26" s="59">
        <f t="shared" si="5"/>
        <v>476.76962024900251</v>
      </c>
      <c r="AN26" s="59">
        <f ca="1">AVERAGE(OFFSET($AM$3,0,0,'Données projet'!$E$10+1,1))-AVERAGE(OFFSET($H$3,0,0,'Données projet'!$E$10+1,1))</f>
        <v>337.99164391755608</v>
      </c>
      <c r="AO26" s="59">
        <f t="shared" si="36"/>
        <v>421.45428231923393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16.86858784460431</v>
      </c>
      <c r="AW26" s="21">
        <f>EXP(-LN(2)/2)*AW25+(1-EXP(-LN(2)/2))/(LN(2)/2)*AQ26*AT26*VLOOKUP('Données projet'!$B$10,Paramètres!$A$1:$I$89,3,0)*0.475*44/12</f>
        <v>6.0588786030110651</v>
      </c>
      <c r="AX26" s="21">
        <f t="shared" si="6"/>
        <v>22.927466447615373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4.0628205128205126</v>
      </c>
      <c r="BD26" s="12">
        <f>IF('Données projet'!$A$88&gt;35,BD25+BC26-BL25,IF(A26&lt;'Données projet'!$A$88,$BA$205^A26,IF(A26='Données projet'!$A$88,'Données projet'!$B$88,BD25+BC26-BL25)))</f>
        <v>39.739965273463824</v>
      </c>
      <c r="BE26" s="13">
        <f>BD26*VLOOKUP('Données projet'!$B$11,Paramètres!$A$1:$I$89,3,0)*VLOOKUP('Données projet'!$B$11,Paramètres!$A$1:$I$89,5,0)</f>
        <v>40.29632478729232</v>
      </c>
      <c r="BF26" s="13">
        <f t="shared" si="37"/>
        <v>12.077154054085931</v>
      </c>
      <c r="BG26" s="20">
        <f t="shared" si="7"/>
        <v>91.217142315400451</v>
      </c>
      <c r="BH26" s="59">
        <f t="shared" si="8"/>
        <v>314.70233902494692</v>
      </c>
      <c r="BI26" s="59">
        <f ca="1">AVERAGE(OFFSET($BH$3,0,0,'Données projet'!$E$11+1,1))-AVERAGE(OFFSET($H$3,0,0,'Données projet'!$E$11+1,1))</f>
        <v>462.74754756814662</v>
      </c>
      <c r="BJ26" s="59">
        <f t="shared" si="38"/>
        <v>327.65191293226667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11.4</v>
      </c>
      <c r="BY26" s="12">
        <f>IF('Données projet'!$A$114&gt;35,BY25+BX26-CG25,IF(A26&lt;'Données projet'!$A$114,$BV$205^A26,IF(A26='Données projet'!$A$114,'Données projet'!$B$114,BY25+BX26-CG25)))</f>
        <v>122.19999999999999</v>
      </c>
      <c r="BZ26" s="13">
        <f>BY26*VLOOKUP('Données projet'!$B$12,Paramètres!$A$1:$I$89,3,0)*VLOOKUP('Données projet'!$B$12,Paramètres!$A$1:$I$89,5,0)</f>
        <v>106.75392000000001</v>
      </c>
      <c r="CA26" s="13">
        <f t="shared" si="39"/>
        <v>28.564854626855976</v>
      </c>
      <c r="CB26" s="20">
        <f t="shared" si="10"/>
        <v>235.68019914177421</v>
      </c>
      <c r="CC26" s="59">
        <f t="shared" si="11"/>
        <v>459.16539585132068</v>
      </c>
      <c r="CD26" s="59">
        <f ca="1">AVERAGE(OFFSET($CC$3,0,0,'Données projet'!$E$12+1,1))-AVERAGE(OFFSET($H$3,0,0,'Données projet'!$E$12+1,1))</f>
        <v>411.67183422518411</v>
      </c>
      <c r="CE26" s="59">
        <f t="shared" si="40"/>
        <v>379.16642539721556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321.17892281340664</v>
      </c>
      <c r="S27" s="59">
        <f ca="1">AVERAGE(OFFSET($R$3,0,0,'Données projet'!$E$9+1,1))-AVERAGE(OFFSET($H$3,0,0,'Données projet'!$E$9+1,1))</f>
        <v>421.33534980160005</v>
      </c>
      <c r="T27" s="59">
        <f t="shared" si="34"/>
        <v>299.0473530693472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19.071794871794875</v>
      </c>
      <c r="AI27" s="13">
        <f>IF('Données projet'!$A$62&gt;35,AI26+AH27-AQ26,IF(A27&lt;'Données projet'!$A$62,$AF$205^A27,IF(A27='Données projet'!$A$62,'Données projet'!$B$62,AI26+AH27-AQ26)))</f>
        <v>211.2717948717949</v>
      </c>
      <c r="AJ27" s="13">
        <f>AI27*VLOOKUP('Données projet'!$B$10,Paramètres!$A$1:$I$89,3,0)*VLOOKUP('Données projet'!$B$10,Paramètres!$A$1:$I$89,5,0)</f>
        <v>126.34053333333337</v>
      </c>
      <c r="AK27" s="13">
        <f t="shared" si="35"/>
        <v>33.149363946532553</v>
      </c>
      <c r="AL27" s="20">
        <f t="shared" si="4"/>
        <v>277.77823776243309</v>
      </c>
      <c r="AM27" s="59">
        <f t="shared" si="5"/>
        <v>503.54894594605287</v>
      </c>
      <c r="AN27" s="59">
        <f ca="1">AVERAGE(OFFSET($AM$3,0,0,'Données projet'!$E$10+1,1))-AVERAGE(OFFSET($H$3,0,0,'Données projet'!$E$10+1,1))</f>
        <v>337.99164391755608</v>
      </c>
      <c r="AO27" s="59">
        <f t="shared" si="36"/>
        <v>421.45428231923393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16.407315422913126</v>
      </c>
      <c r="AW27" s="21">
        <f>EXP(-LN(2)/2)*AW26+(1-EXP(-LN(2)/2))/(LN(2)/2)*AQ27*AT27*VLOOKUP('Données projet'!$B$10,Paramètres!$A$1:$I$89,3,0)*0.475*44/12</f>
        <v>4.2842741465751999</v>
      </c>
      <c r="AX27" s="21">
        <f t="shared" si="6"/>
        <v>20.691589569488325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4.0628205128205126</v>
      </c>
      <c r="BD27" s="12">
        <f>IF('Données projet'!$A$88&gt;35,BD26+BC27-BL26,IF(A27&lt;'Données projet'!$A$88,$BA$205^A27,IF(A27='Données projet'!$A$88,'Données projet'!$B$88,BD26+BC27-BL26)))</f>
        <v>46.640061345320483</v>
      </c>
      <c r="BE27" s="13">
        <f>BD27*VLOOKUP('Données projet'!$B$11,Paramètres!$A$1:$I$89,3,0)*VLOOKUP('Données projet'!$B$11,Paramètres!$A$1:$I$89,5,0)</f>
        <v>47.293022204154973</v>
      </c>
      <c r="BF27" s="13">
        <f t="shared" si="37"/>
        <v>13.912422373299071</v>
      </c>
      <c r="BG27" s="20">
        <f t="shared" si="7"/>
        <v>106.5994826390658</v>
      </c>
      <c r="BH27" s="59">
        <f t="shared" si="8"/>
        <v>332.37019082268557</v>
      </c>
      <c r="BI27" s="59">
        <f ca="1">AVERAGE(OFFSET($BH$3,0,0,'Données projet'!$E$11+1,1))-AVERAGE(OFFSET($H$3,0,0,'Données projet'!$E$11+1,1))</f>
        <v>462.74754756814662</v>
      </c>
      <c r="BJ27" s="59">
        <f t="shared" si="38"/>
        <v>327.65191293226667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11.4</v>
      </c>
      <c r="BY27" s="12">
        <f>IF('Données projet'!$A$114&gt;35,BY26+BX27-CG26,IF(A27&lt;'Données projet'!$A$114,$BV$205^A27,IF(A27='Données projet'!$A$114,'Données projet'!$B$114,BY26+BX27-CG26)))</f>
        <v>133.6</v>
      </c>
      <c r="BZ27" s="13">
        <f>BY27*VLOOKUP('Données projet'!$B$12,Paramètres!$A$1:$I$89,3,0)*VLOOKUP('Données projet'!$B$12,Paramètres!$A$1:$I$89,5,0)</f>
        <v>116.71296000000001</v>
      </c>
      <c r="CA27" s="13">
        <f t="shared" si="39"/>
        <v>30.90711634982064</v>
      </c>
      <c r="CB27" s="20">
        <f t="shared" si="10"/>
        <v>257.10496630927094</v>
      </c>
      <c r="CC27" s="59">
        <f t="shared" si="11"/>
        <v>482.87567449289077</v>
      </c>
      <c r="CD27" s="59">
        <f ca="1">AVERAGE(OFFSET($CC$3,0,0,'Données projet'!$E$12+1,1))-AVERAGE(OFFSET($H$3,0,0,'Données projet'!$E$12+1,1))</f>
        <v>411.67183422518411</v>
      </c>
      <c r="CE27" s="59">
        <f t="shared" si="40"/>
        <v>379.16642539721556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339.53705545259567</v>
      </c>
      <c r="S28" s="59">
        <f ca="1">AVERAGE(OFFSET($R$3,0,0,'Données projet'!$E$9+1,1))-AVERAGE(OFFSET($H$3,0,0,'Données projet'!$E$9+1,1))</f>
        <v>421.33534980160005</v>
      </c>
      <c r="T28" s="59">
        <f t="shared" si="34"/>
        <v>299.0473530693472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19.071794871794875</v>
      </c>
      <c r="AI28" s="13">
        <f>IF('Données projet'!$A$62&gt;35,AI27+AH28-AQ27,IF(A28&lt;'Données projet'!$A$62,$AF$205^A28,IF(A28='Données projet'!$A$62,'Données projet'!$B$62,AI27+AH28-AQ27)))</f>
        <v>230.34358974358977</v>
      </c>
      <c r="AJ28" s="13">
        <f>AI28*VLOOKUP('Données projet'!$B$10,Paramètres!$A$1:$I$89,3,0)*VLOOKUP('Données projet'!$B$10,Paramètres!$A$1:$I$89,5,0)</f>
        <v>137.74546666666669</v>
      </c>
      <c r="AK28" s="13">
        <f t="shared" si="35"/>
        <v>35.780036573255778</v>
      </c>
      <c r="AL28" s="20">
        <f t="shared" si="4"/>
        <v>302.22358480953159</v>
      </c>
      <c r="AM28" s="59">
        <f t="shared" si="5"/>
        <v>530.26135877586375</v>
      </c>
      <c r="AN28" s="59">
        <f ca="1">AVERAGE(OFFSET($AM$3,0,0,'Données projet'!$E$10+1,1))-AVERAGE(OFFSET($H$3,0,0,'Données projet'!$E$10+1,1))</f>
        <v>337.99164391755608</v>
      </c>
      <c r="AO28" s="59">
        <f t="shared" si="36"/>
        <v>421.45428231923393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15.958656519850347</v>
      </c>
      <c r="AW28" s="21">
        <f>EXP(-LN(2)/2)*AW27+(1-EXP(-LN(2)/2))/(LN(2)/2)*AQ28*AT28*VLOOKUP('Données projet'!$B$10,Paramètres!$A$1:$I$89,3,0)*0.475*44/12</f>
        <v>3.0294393015055325</v>
      </c>
      <c r="AX28" s="21">
        <f t="shared" si="6"/>
        <v>18.988095821355881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4.0628205128205126</v>
      </c>
      <c r="BD28" s="12">
        <f>IF('Données projet'!$A$88&gt;35,BD27+BC28-BL27,IF(A28&lt;'Données projet'!$A$88,$BA$205^A28,IF(A28='Données projet'!$A$88,'Données projet'!$B$88,BD27+BC28-BL27)))</f>
        <v>54.738229068051083</v>
      </c>
      <c r="BE28" s="13">
        <f>BD28*VLOOKUP('Données projet'!$B$11,Paramètres!$A$1:$I$89,3,0)*VLOOKUP('Données projet'!$B$11,Paramètres!$A$1:$I$89,5,0)</f>
        <v>55.504564275003808</v>
      </c>
      <c r="BF28" s="13">
        <f t="shared" si="37"/>
        <v>16.026581711739372</v>
      </c>
      <c r="BG28" s="20">
        <f t="shared" si="7"/>
        <v>124.58341259357769</v>
      </c>
      <c r="BH28" s="59">
        <f t="shared" si="8"/>
        <v>352.6211865599098</v>
      </c>
      <c r="BI28" s="59">
        <f ca="1">AVERAGE(OFFSET($BH$3,0,0,'Données projet'!$E$11+1,1))-AVERAGE(OFFSET($H$3,0,0,'Données projet'!$E$11+1,1))</f>
        <v>462.74754756814662</v>
      </c>
      <c r="BJ28" s="59">
        <f t="shared" si="38"/>
        <v>327.65191293226667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145</v>
      </c>
      <c r="BW28" s="12">
        <f>VLOOKUP(A28,'Données projet'!$A$113:$I$133,9,0)</f>
        <v>11.4</v>
      </c>
      <c r="BX28" s="12">
        <f t="array" ref="BX28">INDEX(BW:BW,MIN(IF(ISNUMBER(BW28:BW224),ROW(BW28:BW224),"")))</f>
        <v>11.4</v>
      </c>
      <c r="BY28" s="12">
        <f>IF('Données projet'!$A$114&gt;35,BY27+BX28-CG27,IF(A28&lt;'Données projet'!$A$114,$BV$205^A28,IF(A28='Données projet'!$A$114,'Données projet'!$B$114,BY27+BX28-CG27)))</f>
        <v>145</v>
      </c>
      <c r="BZ28" s="13">
        <f>BY28*VLOOKUP('Données projet'!$B$12,Paramètres!$A$1:$I$89,3,0)*VLOOKUP('Données projet'!$B$12,Paramètres!$A$1:$I$89,5,0)</f>
        <v>126.67200000000001</v>
      </c>
      <c r="CA28" s="13">
        <f t="shared" si="39"/>
        <v>33.226199426361347</v>
      </c>
      <c r="CB28" s="20">
        <f t="shared" si="10"/>
        <v>278.48936400091276</v>
      </c>
      <c r="CC28" s="59">
        <f t="shared" si="11"/>
        <v>506.52713796724487</v>
      </c>
      <c r="CD28" s="59">
        <f ca="1">AVERAGE(OFFSET($CC$3,0,0,'Données projet'!$E$12+1,1))-AVERAGE(OFFSET($H$3,0,0,'Données projet'!$E$12+1,1))</f>
        <v>411.67183422518411</v>
      </c>
      <c r="CE28" s="59">
        <f t="shared" si="40"/>
        <v>379.16642539721556</v>
      </c>
      <c r="CF28" s="15">
        <f>IF(ISNA(VLOOKUP(A28,'Données projet'!$A$113:$I$133,3,0)),0,VLOOKUP(A28,'Données projet'!$A$113:$I$133,3,0))</f>
        <v>2</v>
      </c>
      <c r="CG28" s="15" t="str">
        <f>IF(ISNA(VLOOKUP(A28,'Données projet'!$A$113:$I$133,4,0)),0,VLOOKUP(A28,'Données projet'!$A$113:$I$133,4,0))</f>
        <v>31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360.59882567306897</v>
      </c>
      <c r="S29" s="59">
        <f ca="1">AVERAGE(OFFSET($R$3,0,0,'Données projet'!$E$9+1,1))-AVERAGE(OFFSET($H$3,0,0,'Données projet'!$E$9+1,1))</f>
        <v>421.33534980160005</v>
      </c>
      <c r="T29" s="59">
        <f t="shared" si="34"/>
        <v>299.0473530693472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>
        <f>VLOOKUP(A29,'Données projet'!$A$61:$I$81,2,0)</f>
        <v>249.41538461538462</v>
      </c>
      <c r="AG29" s="12">
        <f>VLOOKUP(A29,'Données projet'!$A$61:$I$81,9,0)</f>
        <v>19.071794871794875</v>
      </c>
      <c r="AH29" s="12">
        <f t="array" ref="AH29">INDEX(AG:AG,MIN(IF(ISNUMBER(AG29:AG225),ROW(AG29:AG225),"")))</f>
        <v>19.071794871794875</v>
      </c>
      <c r="AI29" s="13">
        <f>IF('Données projet'!$A$62&gt;35,AI28+AH29-AQ28,IF(A29&lt;'Données projet'!$A$62,$AF$205^A29,IF(A29='Données projet'!$A$62,'Données projet'!$B$62,AI28+AH29-AQ28)))</f>
        <v>249.41538461538465</v>
      </c>
      <c r="AJ29" s="13">
        <f>AI29*VLOOKUP('Données projet'!$B$10,Paramètres!$A$1:$I$89,3,0)*VLOOKUP('Données projet'!$B$10,Paramètres!$A$1:$I$89,5,0)</f>
        <v>149.15040000000002</v>
      </c>
      <c r="AK29" s="13">
        <f t="shared" si="35"/>
        <v>38.385447191571515</v>
      </c>
      <c r="AL29" s="20">
        <f t="shared" si="4"/>
        <v>326.62493385865372</v>
      </c>
      <c r="AM29" s="59">
        <f t="shared" si="5"/>
        <v>556.91164790784387</v>
      </c>
      <c r="AN29" s="59">
        <f ca="1">AVERAGE(OFFSET($AM$3,0,0,'Données projet'!$E$10+1,1))-AVERAGE(OFFSET($H$3,0,0,'Données projet'!$E$10+1,1))</f>
        <v>337.99164391755608</v>
      </c>
      <c r="AO29" s="59">
        <f t="shared" si="36"/>
        <v>421.45428231923393</v>
      </c>
      <c r="AP29" s="15">
        <f>IF(ISNA(VLOOKUP(A29,'Données projet'!$A$61:$I$81,3,0)),0,VLOOKUP(A29,'Données projet'!$A$61:$I$81,3,0))</f>
        <v>3</v>
      </c>
      <c r="AQ29" s="15">
        <f>IF(ISNA(VLOOKUP(A29,'Données projet'!$A$61:$I$81,4,0)),0,VLOOKUP(A29,'Données projet'!$A$61:$I$81,4,0))</f>
        <v>46.984615384615381</v>
      </c>
      <c r="AR29" s="16">
        <f>IF(ISNA(VLOOKUP(A29,'Données projet'!$A$61:$I$81,5,0)),0%,VLOOKUP(A29,'Données projet'!$A$61:$I$81,5,0)*VLOOKUP('Données projet'!$B$10,Paramètres!$A$1:$I$89,7,0))</f>
        <v>0.315</v>
      </c>
      <c r="AS29" s="16">
        <f>IF(ISNA(VLOOKUP(A29,'Données projet'!$A$61:$I$81,6,0)),0%,VLOOKUP(A29,'Données projet'!$A$61:$I$81,6,0)*VLOOKUP('Données projet'!$B$10,Paramètres!$A$1:$I$89,7,0))</f>
        <v>7.5600000000000001E-2</v>
      </c>
      <c r="AT29" s="16">
        <f>IF(ISNA(VLOOKUP(A29,'Données projet'!$A$61:$I$81,7,0)),0%,VLOOKUP(A29,'Données projet'!$A$61:$I$81,7,0))</f>
        <v>0.13200000000000001</v>
      </c>
      <c r="AU29" s="21">
        <f>EXP(-LN(2)/35)*AU28+(1-EXP(-LN(2)/35))/(LN(2)/35)*AQ29*AR29*VLOOKUP('Données projet'!$B$10,Paramètres!$A$1:$I$89,3,0)*0.475*44/12</f>
        <v>11.740748100352008</v>
      </c>
      <c r="AV29" s="21">
        <f>EXP(-LN(2)/25)*AV28+(1-EXP(-LN(2)/25))/(LN(2)/25)*Calculateur!AQ29*Calculateur!AS29*VLOOKUP('Données projet'!$B$10,Paramètres!$A$1:$I$89,3,0)*0.475*44/12</f>
        <v>18.328951090447006</v>
      </c>
      <c r="AW29" s="21">
        <f>EXP(-LN(2)/2)*AW28+(1-EXP(-LN(2)/2))/(LN(2)/2)*AQ29*AT29*VLOOKUP('Données projet'!$B$10,Paramètres!$A$1:$I$89,3,0)*0.475*44/12</f>
        <v>6.3413348563502918</v>
      </c>
      <c r="AX29" s="21">
        <f t="shared" si="6"/>
        <v>36.411034047149307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4.0628205128205126</v>
      </c>
      <c r="BD29" s="12">
        <f>IF('Données projet'!$A$88&gt;35,BD28+BC29-BL28,IF(A29&lt;'Données projet'!$A$88,$BA$205^A29,IF(A29='Données projet'!$A$88,'Données projet'!$B$88,BD28+BC29-BL28)))</f>
        <v>64.242491006222849</v>
      </c>
      <c r="BE29" s="13">
        <f>BD29*VLOOKUP('Données projet'!$B$11,Paramètres!$A$1:$I$89,3,0)*VLOOKUP('Données projet'!$B$11,Paramètres!$A$1:$I$89,5,0)</f>
        <v>65.141885880309971</v>
      </c>
      <c r="BF29" s="13">
        <f t="shared" si="37"/>
        <v>18.462012902656809</v>
      </c>
      <c r="BG29" s="20">
        <f t="shared" si="7"/>
        <v>145.61012371366715</v>
      </c>
      <c r="BH29" s="59">
        <f t="shared" si="8"/>
        <v>375.89683776285733</v>
      </c>
      <c r="BI29" s="59">
        <f ca="1">AVERAGE(OFFSET($BH$3,0,0,'Données projet'!$E$11+1,1))-AVERAGE(OFFSET($H$3,0,0,'Données projet'!$E$11+1,1))</f>
        <v>462.74754756814662</v>
      </c>
      <c r="BJ29" s="59">
        <f t="shared" si="38"/>
        <v>327.65191293226667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</v>
      </c>
      <c r="BY29" s="12">
        <f>IF('Données projet'!$A$114&gt;35,BY28+BX29-CG28,IF(A29&lt;'Données projet'!$A$114,$BV$205^A29,IF(A29='Données projet'!$A$114,'Données projet'!$B$114,BY28+BX29-CG28)))</f>
        <v>125</v>
      </c>
      <c r="BZ29" s="13">
        <f>BY29*VLOOKUP('Données projet'!$B$12,Paramètres!$A$1:$I$89,3,0)*VLOOKUP('Données projet'!$B$12,Paramètres!$A$1:$I$89,5,0)</f>
        <v>109.2</v>
      </c>
      <c r="CA29" s="13">
        <f t="shared" si="39"/>
        <v>29.142418334948612</v>
      </c>
      <c r="CB29" s="20">
        <f t="shared" si="10"/>
        <v>240.94637860003544</v>
      </c>
      <c r="CC29" s="59">
        <f t="shared" si="11"/>
        <v>471.23309264922563</v>
      </c>
      <c r="CD29" s="59">
        <f ca="1">AVERAGE(OFFSET($CC$3,0,0,'Données projet'!$E$12+1,1))-AVERAGE(OFFSET($H$3,0,0,'Données projet'!$E$12+1,1))</f>
        <v>411.67183422518411</v>
      </c>
      <c r="CE29" s="59">
        <f t="shared" si="40"/>
        <v>379.16642539721556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384.82616717909605</v>
      </c>
      <c r="S30" s="59">
        <f ca="1">AVERAGE(OFFSET($R$3,0,0,'Données projet'!$E$9+1,1))-AVERAGE(OFFSET($H$3,0,0,'Données projet'!$E$9+1,1))</f>
        <v>421.33534980160005</v>
      </c>
      <c r="T30" s="59">
        <f t="shared" si="34"/>
        <v>299.0473530693472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19.393589743589743</v>
      </c>
      <c r="AI30" s="13">
        <f>IF('Données projet'!$A$62&gt;35,AI29+AH30-AQ29,IF(A30&lt;'Données projet'!$A$62,$AF$205^A30,IF(A30='Données projet'!$A$62,'Données projet'!$B$62,AI29+AH30-AQ29)))</f>
        <v>221.82435897435903</v>
      </c>
      <c r="AJ30" s="13">
        <f>AI30*VLOOKUP('Données projet'!$B$10,Paramètres!$A$1:$I$89,3,0)*VLOOKUP('Données projet'!$B$10,Paramètres!$A$1:$I$89,5,0)</f>
        <v>132.6509666666667</v>
      </c>
      <c r="AK30" s="13">
        <f t="shared" si="35"/>
        <v>34.608198355283058</v>
      </c>
      <c r="AL30" s="20">
        <f t="shared" si="4"/>
        <v>291.30971241322919</v>
      </c>
      <c r="AM30" s="59">
        <f t="shared" si="5"/>
        <v>523.82755528579264</v>
      </c>
      <c r="AN30" s="59">
        <f ca="1">AVERAGE(OFFSET($AM$3,0,0,'Données projet'!$E$10+1,1))-AVERAGE(OFFSET($H$3,0,0,'Données projet'!$E$10+1,1))</f>
        <v>337.99164391755608</v>
      </c>
      <c r="AO30" s="59">
        <f t="shared" si="36"/>
        <v>421.45428231923393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11.510519191253341</v>
      </c>
      <c r="AV30" s="21">
        <f>EXP(-LN(2)/25)*AV29+(1-EXP(-LN(2)/25))/(LN(2)/25)*Calculateur!AQ30*Calculateur!AS30*VLOOKUP('Données projet'!$B$10,Paramètres!$A$1:$I$89,3,0)*0.475*44/12</f>
        <v>17.827744959001087</v>
      </c>
      <c r="AW30" s="21">
        <f>EXP(-LN(2)/2)*AW29+(1-EXP(-LN(2)/2))/(LN(2)/2)*AQ30*AT30*VLOOKUP('Données projet'!$B$10,Paramètres!$A$1:$I$89,3,0)*0.475*44/12</f>
        <v>4.4840008786999128</v>
      </c>
      <c r="AX30" s="21">
        <f t="shared" si="6"/>
        <v>33.822265028954341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4.0628205128205126</v>
      </c>
      <c r="BD30" s="12">
        <f>IF('Données projet'!$A$88&gt;35,BD29+BC30-BL29,IF(A30&lt;'Données projet'!$A$88,$BA$205^A30,IF(A30='Données projet'!$A$88,'Données projet'!$B$88,BD29+BC30-BL29)))</f>
        <v>75.396988922564091</v>
      </c>
      <c r="BE30" s="13">
        <f>BD30*VLOOKUP('Données projet'!$B$11,Paramètres!$A$1:$I$89,3,0)*VLOOKUP('Données projet'!$B$11,Paramètres!$A$1:$I$89,5,0)</f>
        <v>76.452546767480001</v>
      </c>
      <c r="BF30" s="13">
        <f t="shared" si="37"/>
        <v>21.267537054904178</v>
      </c>
      <c r="BG30" s="20">
        <f t="shared" si="7"/>
        <v>170.19581265731912</v>
      </c>
      <c r="BH30" s="59">
        <f t="shared" si="8"/>
        <v>402.71365552988266</v>
      </c>
      <c r="BI30" s="59">
        <f ca="1">AVERAGE(OFFSET($BH$3,0,0,'Données projet'!$E$11+1,1))-AVERAGE(OFFSET($H$3,0,0,'Données projet'!$E$11+1,1))</f>
        <v>462.74754756814662</v>
      </c>
      <c r="BJ30" s="59">
        <f t="shared" si="38"/>
        <v>327.65191293226667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</v>
      </c>
      <c r="BY30" s="12">
        <f>IF('Données projet'!$A$114&gt;35,BY29+BX30-CG29,IF(A30&lt;'Données projet'!$A$114,$BV$205^A30,IF(A30='Données projet'!$A$114,'Données projet'!$B$114,BY29+BX30-CG29)))</f>
        <v>136</v>
      </c>
      <c r="BZ30" s="13">
        <f>BY30*VLOOKUP('Données projet'!$B$12,Paramètres!$A$1:$I$89,3,0)*VLOOKUP('Données projet'!$B$12,Paramètres!$A$1:$I$89,5,0)</f>
        <v>118.80960000000002</v>
      </c>
      <c r="CA30" s="13">
        <f t="shared" si="39"/>
        <v>31.39719715333722</v>
      </c>
      <c r="CB30" s="20">
        <f t="shared" si="10"/>
        <v>261.61017170872901</v>
      </c>
      <c r="CC30" s="59">
        <f t="shared" si="11"/>
        <v>494.12801458129252</v>
      </c>
      <c r="CD30" s="59">
        <f ca="1">AVERAGE(OFFSET($CC$3,0,0,'Données projet'!$E$12+1,1))-AVERAGE(OFFSET($H$3,0,0,'Données projet'!$E$12+1,1))</f>
        <v>411.67183422518411</v>
      </c>
      <c r="CE30" s="59">
        <f t="shared" si="40"/>
        <v>379.16642539721556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412.75949364982785</v>
      </c>
      <c r="S31" s="59">
        <f ca="1">AVERAGE(OFFSET($R$3,0,0,'Données projet'!$E$9+1,1))-AVERAGE(OFFSET($H$3,0,0,'Données projet'!$E$9+1,1))</f>
        <v>421.33534980160005</v>
      </c>
      <c r="T31" s="59">
        <f t="shared" si="34"/>
        <v>299.0473530693472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19.393589743589743</v>
      </c>
      <c r="AI31" s="13">
        <f>IF('Données projet'!$A$62&gt;35,AI30+AH31-AQ30,IF(A31&lt;'Données projet'!$A$62,$AF$205^A31,IF(A31='Données projet'!$A$62,'Données projet'!$B$62,AI30+AH31-AQ30)))</f>
        <v>241.21794871794879</v>
      </c>
      <c r="AJ31" s="13">
        <f>AI31*VLOOKUP('Données projet'!$B$10,Paramètres!$A$1:$I$89,3,0)*VLOOKUP('Données projet'!$B$10,Paramètres!$A$1:$I$89,5,0)</f>
        <v>144.24833333333339</v>
      </c>
      <c r="AK31" s="13">
        <f t="shared" si="35"/>
        <v>37.268539287745227</v>
      </c>
      <c r="AL31" s="20">
        <f t="shared" si="4"/>
        <v>316.14188648171188</v>
      </c>
      <c r="AM31" s="59">
        <f t="shared" si="5"/>
        <v>550.87335590369594</v>
      </c>
      <c r="AN31" s="59">
        <f ca="1">AVERAGE(OFFSET($AM$3,0,0,'Données projet'!$E$10+1,1))-AVERAGE(OFFSET($H$3,0,0,'Données projet'!$E$10+1,1))</f>
        <v>337.99164391755608</v>
      </c>
      <c r="AO31" s="59">
        <f t="shared" si="36"/>
        <v>421.45428231923393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11.28480493063633</v>
      </c>
      <c r="AV31" s="21">
        <f>EXP(-LN(2)/25)*AV30+(1-EXP(-LN(2)/25))/(LN(2)/25)*Calculateur!AQ31*Calculateur!AS31*VLOOKUP('Données projet'!$B$10,Paramètres!$A$1:$I$89,3,0)*0.475*44/12</f>
        <v>17.340244335576841</v>
      </c>
      <c r="AW31" s="21">
        <f>EXP(-LN(2)/2)*AW30+(1-EXP(-LN(2)/2))/(LN(2)/2)*AQ31*AT31*VLOOKUP('Données projet'!$B$10,Paramètres!$A$1:$I$89,3,0)*0.475*44/12</f>
        <v>3.1706674281751464</v>
      </c>
      <c r="AX31" s="21">
        <f t="shared" si="6"/>
        <v>31.795716694388318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4.0628205128205126</v>
      </c>
      <c r="BD31" s="12">
        <f>IF('Données projet'!$A$88&gt;35,BD30+BC31-BL30,IF(A31&lt;'Données projet'!$A$88,$BA$205^A31,IF(A31='Données projet'!$A$88,'Données projet'!$B$88,BD30+BC31-BL30)))</f>
        <v>88.488255196060223</v>
      </c>
      <c r="BE31" s="13">
        <f>BD31*VLOOKUP('Données projet'!$B$11,Paramètres!$A$1:$I$89,3,0)*VLOOKUP('Données projet'!$B$11,Paramètres!$A$1:$I$89,5,0)</f>
        <v>89.72709076880507</v>
      </c>
      <c r="BF31" s="13">
        <f t="shared" si="37"/>
        <v>24.499394230010086</v>
      </c>
      <c r="BG31" s="20">
        <f t="shared" si="7"/>
        <v>198.94446137293639</v>
      </c>
      <c r="BH31" s="59">
        <f t="shared" si="8"/>
        <v>433.67593079492048</v>
      </c>
      <c r="BI31" s="59">
        <f ca="1">AVERAGE(OFFSET($BH$3,0,0,'Données projet'!$E$11+1,1))-AVERAGE(OFFSET($H$3,0,0,'Données projet'!$E$11+1,1))</f>
        <v>462.74754756814662</v>
      </c>
      <c r="BJ31" s="59">
        <f t="shared" si="38"/>
        <v>327.65191293226667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</v>
      </c>
      <c r="BY31" s="12">
        <f>IF('Données projet'!$A$114&gt;35,BY30+BX31-CG30,IF(A31&lt;'Données projet'!$A$114,$BV$205^A31,IF(A31='Données projet'!$A$114,'Données projet'!$B$114,BY30+BX31-CG30)))</f>
        <v>147</v>
      </c>
      <c r="BZ31" s="13">
        <f>BY31*VLOOKUP('Données projet'!$B$12,Paramètres!$A$1:$I$89,3,0)*VLOOKUP('Données projet'!$B$12,Paramètres!$A$1:$I$89,5,0)</f>
        <v>128.41920000000002</v>
      </c>
      <c r="CA31" s="13">
        <f t="shared" si="39"/>
        <v>33.630823177860762</v>
      </c>
      <c r="CB31" s="20">
        <f t="shared" si="10"/>
        <v>282.23712370144091</v>
      </c>
      <c r="CC31" s="59">
        <f t="shared" si="11"/>
        <v>516.96859312342497</v>
      </c>
      <c r="CD31" s="59">
        <f ca="1">AVERAGE(OFFSET($CC$3,0,0,'Données projet'!$E$12+1,1))-AVERAGE(OFFSET($H$3,0,0,'Données projet'!$E$12+1,1))</f>
        <v>411.67183422518411</v>
      </c>
      <c r="CE31" s="59">
        <f t="shared" si="40"/>
        <v>379.16642539721556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445.03107317252352</v>
      </c>
      <c r="S32" s="59">
        <f ca="1">AVERAGE(OFFSET($R$3,0,0,'Données projet'!$E$9+1,1))-AVERAGE(OFFSET($H$3,0,0,'Données projet'!$E$9+1,1))</f>
        <v>421.33534980160005</v>
      </c>
      <c r="T32" s="59">
        <f t="shared" si="34"/>
        <v>299.0473530693472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19.393589743589743</v>
      </c>
      <c r="AI32" s="13">
        <f>IF('Données projet'!$A$62&gt;35,AI31+AH32-AQ31,IF(A32&lt;'Données projet'!$A$62,$AF$205^A32,IF(A32='Données projet'!$A$62,'Données projet'!$B$62,AI31+AH32-AQ31)))</f>
        <v>260.61153846153854</v>
      </c>
      <c r="AJ32" s="13">
        <f>AI32*VLOOKUP('Données projet'!$B$10,Paramètres!$A$1:$I$89,3,0)*VLOOKUP('Données projet'!$B$10,Paramètres!$A$1:$I$89,5,0)</f>
        <v>155.84570000000005</v>
      </c>
      <c r="AK32" s="13">
        <f t="shared" si="35"/>
        <v>39.904071626695313</v>
      </c>
      <c r="AL32" s="20">
        <f t="shared" si="4"/>
        <v>340.93085224982775</v>
      </c>
      <c r="AM32" s="59">
        <f t="shared" si="5"/>
        <v>577.85874957260353</v>
      </c>
      <c r="AN32" s="59">
        <f ca="1">AVERAGE(OFFSET($AM$3,0,0,'Données projet'!$E$10+1,1))-AVERAGE(OFFSET($H$3,0,0,'Données projet'!$E$10+1,1))</f>
        <v>337.99164391755608</v>
      </c>
      <c r="AO32" s="59">
        <f t="shared" si="36"/>
        <v>421.45428231923393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11.063516788997914</v>
      </c>
      <c r="AV32" s="21">
        <f>EXP(-LN(2)/25)*AV31+(1-EXP(-LN(2)/25))/(LN(2)/25)*Calculateur!AQ32*Calculateur!AS32*VLOOKUP('Données projet'!$B$10,Paramètres!$A$1:$I$89,3,0)*0.475*44/12</f>
        <v>16.866074442336675</v>
      </c>
      <c r="AW32" s="21">
        <f>EXP(-LN(2)/2)*AW31+(1-EXP(-LN(2)/2))/(LN(2)/2)*AQ32*AT32*VLOOKUP('Données projet'!$B$10,Paramètres!$A$1:$I$89,3,0)*0.475*44/12</f>
        <v>2.2420004393499569</v>
      </c>
      <c r="AX32" s="21">
        <f t="shared" si="6"/>
        <v>30.171591670684549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4.0628205128205126</v>
      </c>
      <c r="BD32" s="12">
        <f>IF('Données projet'!$A$88&gt;35,BD31+BC32-BL31,IF(A32&lt;'Données projet'!$A$88,$BA$205^A32,IF(A32='Données projet'!$A$88,'Données projet'!$B$88,BD31+BC32-BL31)))</f>
        <v>103.85257315361756</v>
      </c>
      <c r="BE32" s="13">
        <f>BD32*VLOOKUP('Données projet'!$B$11,Paramètres!$A$1:$I$89,3,0)*VLOOKUP('Données projet'!$B$11,Paramètres!$A$1:$I$89,5,0)</f>
        <v>105.30650917776822</v>
      </c>
      <c r="BF32" s="13">
        <f t="shared" si="37"/>
        <v>28.222370840964146</v>
      </c>
      <c r="BG32" s="20">
        <f t="shared" si="7"/>
        <v>232.56279936595885</v>
      </c>
      <c r="BH32" s="59">
        <f t="shared" si="8"/>
        <v>469.49069668873472</v>
      </c>
      <c r="BI32" s="59">
        <f ca="1">AVERAGE(OFFSET($BH$3,0,0,'Données projet'!$E$11+1,1))-AVERAGE(OFFSET($H$3,0,0,'Données projet'!$E$11+1,1))</f>
        <v>462.74754756814662</v>
      </c>
      <c r="BJ32" s="59">
        <f t="shared" si="38"/>
        <v>327.65191293226667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</v>
      </c>
      <c r="BY32" s="12">
        <f>IF('Données projet'!$A$114&gt;35,BY31+BX32-CG31,IF(A32&lt;'Données projet'!$A$114,$BV$205^A32,IF(A32='Données projet'!$A$114,'Données projet'!$B$114,BY31+BX32-CG31)))</f>
        <v>158</v>
      </c>
      <c r="BZ32" s="13">
        <f>BY32*VLOOKUP('Données projet'!$B$12,Paramètres!$A$1:$I$89,3,0)*VLOOKUP('Données projet'!$B$12,Paramètres!$A$1:$I$89,5,0)</f>
        <v>138.02880000000002</v>
      </c>
      <c r="CA32" s="13">
        <f t="shared" si="39"/>
        <v>35.845059256813073</v>
      </c>
      <c r="CB32" s="20">
        <f t="shared" si="10"/>
        <v>302.8303048722828</v>
      </c>
      <c r="CC32" s="59">
        <f t="shared" si="11"/>
        <v>539.75820219505863</v>
      </c>
      <c r="CD32" s="59">
        <f ca="1">AVERAGE(OFFSET($CC$3,0,0,'Données projet'!$E$12+1,1))-AVERAGE(OFFSET($H$3,0,0,'Données projet'!$E$12+1,1))</f>
        <v>411.67183422518411</v>
      </c>
      <c r="CE32" s="59">
        <f t="shared" si="40"/>
        <v>379.16642539721556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482.38068640268057</v>
      </c>
      <c r="S33" s="59">
        <f ca="1">AVERAGE(OFFSET($R$3,0,0,'Données projet'!$E$9+1,1))-AVERAGE(OFFSET($H$3,0,0,'Données projet'!$E$9+1,1))</f>
        <v>421.33534980160005</v>
      </c>
      <c r="T33" s="59">
        <f t="shared" si="34"/>
        <v>299.0473530693472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19.393589743589743</v>
      </c>
      <c r="AI33" s="13">
        <f>IF('Données projet'!$A$62&gt;35,AI32+AH33-AQ32,IF(A33&lt;'Données projet'!$A$62,$AF$205^A33,IF(A33='Données projet'!$A$62,'Données projet'!$B$62,AI32+AH33-AQ32)))</f>
        <v>280.0051282051283</v>
      </c>
      <c r="AJ33" s="13">
        <f>AI33*VLOOKUP('Données projet'!$B$10,Paramètres!$A$1:$I$89,3,0)*VLOOKUP('Données projet'!$B$10,Paramètres!$A$1:$I$89,5,0)</f>
        <v>167.44306666666677</v>
      </c>
      <c r="AK33" s="13">
        <f t="shared" si="35"/>
        <v>42.516851449807113</v>
      </c>
      <c r="AL33" s="20">
        <f t="shared" si="4"/>
        <v>365.68019071952534</v>
      </c>
      <c r="AM33" s="59">
        <f t="shared" si="5"/>
        <v>604.7876156525673</v>
      </c>
      <c r="AN33" s="59">
        <f ca="1">AVERAGE(OFFSET($AM$3,0,0,'Données projet'!$E$10+1,1))-AVERAGE(OFFSET($H$3,0,0,'Données projet'!$E$10+1,1))</f>
        <v>337.99164391755608</v>
      </c>
      <c r="AO33" s="59">
        <f t="shared" si="36"/>
        <v>421.45428231923393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10.846567972844589</v>
      </c>
      <c r="AV33" s="21">
        <f>EXP(-LN(2)/25)*AV32+(1-EXP(-LN(2)/25))/(LN(2)/25)*Calculateur!AQ33*Calculateur!AS33*VLOOKUP('Données projet'!$B$10,Paramètres!$A$1:$I$89,3,0)*0.475*44/12</f>
        <v>16.404870749762672</v>
      </c>
      <c r="AW33" s="21">
        <f>EXP(-LN(2)/2)*AW32+(1-EXP(-LN(2)/2))/(LN(2)/2)*AQ33*AT33*VLOOKUP('Données projet'!$B$10,Paramètres!$A$1:$I$89,3,0)*0.475*44/12</f>
        <v>1.5853337140875734</v>
      </c>
      <c r="AX33" s="21">
        <f t="shared" si="6"/>
        <v>28.836772436694837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121.88461538461537</v>
      </c>
      <c r="BB33" s="12">
        <f>VLOOKUP(A33,'Données projet'!$A$87:$I$107,9,0)</f>
        <v>4.0628205128205126</v>
      </c>
      <c r="BC33" s="12">
        <f t="array" ref="BC33">INDEX(BB:BB,MIN(IF(ISNUMBER(BB33:BB229),ROW(BB33:BB229),"")))</f>
        <v>4.0628205128205126</v>
      </c>
      <c r="BD33" s="12">
        <f>IF('Données projet'!$A$88&gt;35,BD32+BC33-BL32,IF(A33&lt;'Données projet'!$A$88,$BA$205^A33,IF(A33='Données projet'!$A$88,'Données projet'!$B$88,BD32+BC33-BL32)))</f>
        <v>121.88461538461537</v>
      </c>
      <c r="BE33" s="13">
        <f>BD33*VLOOKUP('Données projet'!$B$11,Paramètres!$A$1:$I$89,3,0)*VLOOKUP('Données projet'!$B$11,Paramètres!$A$1:$I$89,5,0)</f>
        <v>123.59099999999999</v>
      </c>
      <c r="BF33" s="13">
        <f t="shared" si="37"/>
        <v>32.511098372760657</v>
      </c>
      <c r="BG33" s="20">
        <f t="shared" si="7"/>
        <v>271.87782133255809</v>
      </c>
      <c r="BH33" s="59">
        <f t="shared" si="8"/>
        <v>510.98524626560004</v>
      </c>
      <c r="BI33" s="59">
        <f ca="1">AVERAGE(OFFSET($BH$3,0,0,'Données projet'!$E$11+1,1))-AVERAGE(OFFSET($H$3,0,0,'Données projet'!$E$11+1,1))</f>
        <v>462.74754756814662</v>
      </c>
      <c r="BJ33" s="59">
        <f t="shared" si="38"/>
        <v>327.65191293226667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169</v>
      </c>
      <c r="BW33" s="12">
        <f>VLOOKUP(A33,'Données projet'!$A$113:$I$133,9,0)</f>
        <v>11</v>
      </c>
      <c r="BX33" s="12">
        <f t="array" ref="BX33">INDEX(BW:BW,MIN(IF(ISNUMBER(BW33:BW229),ROW(BW33:BW229),"")))</f>
        <v>11</v>
      </c>
      <c r="BY33" s="12">
        <f>IF('Données projet'!$A$114&gt;35,BY32+BX33-CG32,IF(A33&lt;'Données projet'!$A$114,$BV$205^A33,IF(A33='Données projet'!$A$114,'Données projet'!$B$114,BY32+BX33-CG32)))</f>
        <v>169</v>
      </c>
      <c r="BZ33" s="13">
        <f>BY33*VLOOKUP('Données projet'!$B$12,Paramètres!$A$1:$I$89,3,0)*VLOOKUP('Données projet'!$B$12,Paramètres!$A$1:$I$89,5,0)</f>
        <v>147.63840000000002</v>
      </c>
      <c r="CA33" s="13">
        <f t="shared" si="39"/>
        <v>38.04140887895133</v>
      </c>
      <c r="CB33" s="20">
        <f t="shared" si="10"/>
        <v>323.39233379750692</v>
      </c>
      <c r="CC33" s="59">
        <f t="shared" si="11"/>
        <v>562.49975873054893</v>
      </c>
      <c r="CD33" s="59">
        <f ca="1">AVERAGE(OFFSET($CC$3,0,0,'Données projet'!$E$12+1,1))-AVERAGE(OFFSET($H$3,0,0,'Données projet'!$E$12+1,1))</f>
        <v>411.67183422518411</v>
      </c>
      <c r="CE33" s="59">
        <f t="shared" si="40"/>
        <v>379.16642539721556</v>
      </c>
      <c r="CF33" s="15">
        <f>IF(ISNA(VLOOKUP(A33,'Données projet'!$A$113:$I$133,3,0)),0,VLOOKUP(A33,'Données projet'!$A$113:$I$133,3,0))</f>
        <v>3</v>
      </c>
      <c r="CG33" s="15" t="str">
        <f>IF(ISNA(VLOOKUP(A33,'Données projet'!$A$113:$I$133,4,0)),0,VLOOKUP(A33,'Données projet'!$A$113:$I$133,4,0))</f>
        <v>32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0.215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6.6181227171247512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6.6181227171247512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129.94102564102565</v>
      </c>
      <c r="O34" s="13">
        <f>N34*VLOOKUP('Données projet'!$B$9,Paramètres!$A$1:$I$89,3,0)*VLOOKUP('Données projet'!$B$9,Paramètres!$A$1:$I$89,5,0)</f>
        <v>117.57064000000001</v>
      </c>
      <c r="P34" s="13">
        <f t="shared" si="33"/>
        <v>31.107718284302781</v>
      </c>
      <c r="Q34" s="20">
        <f t="shared" si="2"/>
        <v>258.94814067849398</v>
      </c>
      <c r="R34" s="59">
        <f t="shared" si="0"/>
        <v>498.99626389131151</v>
      </c>
      <c r="S34" s="59">
        <f ca="1">AVERAGE(OFFSET($R$3,0,0,'Données projet'!$E$9+1,1))-AVERAGE(OFFSET($H$3,0,0,'Données projet'!$E$9+1,1))</f>
        <v>421.33534980160005</v>
      </c>
      <c r="T34" s="59">
        <f t="shared" si="34"/>
        <v>299.0473530693472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19.393589743589743</v>
      </c>
      <c r="AI34" s="13">
        <f>IF('Données projet'!$A$62&gt;35,AI33+AH34-AQ33,IF(A34&lt;'Données projet'!$A$62,$AF$205^A34,IF(A34='Données projet'!$A$62,'Données projet'!$B$62,AI33+AH34-AQ33)))</f>
        <v>299.39871794871806</v>
      </c>
      <c r="AJ34" s="13">
        <f>AI34*VLOOKUP('Données projet'!$B$10,Paramètres!$A$1:$I$89,3,0)*VLOOKUP('Données projet'!$B$10,Paramètres!$A$1:$I$89,5,0)</f>
        <v>179.04043333333343</v>
      </c>
      <c r="AK34" s="13">
        <f t="shared" si="35"/>
        <v>45.108633894312518</v>
      </c>
      <c r="AL34" s="20">
        <f t="shared" si="4"/>
        <v>390.39295875481668</v>
      </c>
      <c r="AM34" s="59">
        <f t="shared" si="5"/>
        <v>630.4410819676342</v>
      </c>
      <c r="AN34" s="59">
        <f ca="1">AVERAGE(OFFSET($AM$3,0,0,'Données projet'!$E$10+1,1))-AVERAGE(OFFSET($H$3,0,0,'Données projet'!$E$10+1,1))</f>
        <v>337.99164391755608</v>
      </c>
      <c r="AO34" s="59">
        <f t="shared" si="36"/>
        <v>421.45428231923393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10.633873390650319</v>
      </c>
      <c r="AV34" s="21">
        <f>EXP(-LN(2)/25)*AV33+(1-EXP(-LN(2)/25))/(LN(2)/25)*Calculateur!AQ34*Calculateur!AS34*VLOOKUP('Données projet'!$B$10,Paramètres!$A$1:$I$89,3,0)*0.475*44/12</f>
        <v>15.956278696415753</v>
      </c>
      <c r="AW34" s="21">
        <f>EXP(-LN(2)/2)*AW33+(1-EXP(-LN(2)/2))/(LN(2)/2)*AQ34*AT34*VLOOKUP('Données projet'!$B$10,Paramètres!$A$1:$I$89,3,0)*0.475*44/12</f>
        <v>1.1210002196749784</v>
      </c>
      <c r="AX34" s="21">
        <f t="shared" si="6"/>
        <v>27.711152306741052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8.0564102564102633</v>
      </c>
      <c r="BD34" s="12">
        <f>IF('Données projet'!$A$88&gt;35,BD33+BC34-BL33,IF(A34&lt;'Données projet'!$A$88,$BA$205^A34,IF(A34='Données projet'!$A$88,'Données projet'!$B$88,BD33+BC34-BL33)))</f>
        <v>129.94102564102565</v>
      </c>
      <c r="BE34" s="13">
        <f>BD34*VLOOKUP('Données projet'!$B$11,Paramètres!$A$1:$I$89,3,0)*VLOOKUP('Données projet'!$B$11,Paramètres!$A$1:$I$89,5,0)</f>
        <v>131.76020000000003</v>
      </c>
      <c r="BF34" s="13">
        <f t="shared" si="37"/>
        <v>34.402770960054035</v>
      </c>
      <c r="BG34" s="20">
        <f t="shared" si="7"/>
        <v>289.40050775542744</v>
      </c>
      <c r="BH34" s="59">
        <f t="shared" si="8"/>
        <v>529.44863096824497</v>
      </c>
      <c r="BI34" s="59">
        <f ca="1">AVERAGE(OFFSET($BH$3,0,0,'Données projet'!$E$11+1,1))-AVERAGE(OFFSET($H$3,0,0,'Données projet'!$E$11+1,1))</f>
        <v>462.74754756814662</v>
      </c>
      <c r="BJ34" s="59">
        <f t="shared" si="38"/>
        <v>327.65191293226667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10.4</v>
      </c>
      <c r="BY34" s="12">
        <f>IF('Données projet'!$A$114&gt;35,BY33+BX34-CG33,IF(A34&lt;'Données projet'!$A$114,$BV$205^A34,IF(A34='Données projet'!$A$114,'Données projet'!$B$114,BY33+BX34-CG33)))</f>
        <v>147.4</v>
      </c>
      <c r="BZ34" s="13">
        <f>BY34*VLOOKUP('Données projet'!$B$12,Paramètres!$A$1:$I$89,3,0)*VLOOKUP('Données projet'!$B$12,Paramètres!$A$1:$I$89,5,0)</f>
        <v>128.76864000000003</v>
      </c>
      <c r="CA34" s="13">
        <f t="shared" si="39"/>
        <v>33.711670780700224</v>
      </c>
      <c r="CB34" s="20">
        <f t="shared" si="10"/>
        <v>282.98654127638628</v>
      </c>
      <c r="CC34" s="59">
        <f t="shared" si="11"/>
        <v>523.03466448920381</v>
      </c>
      <c r="CD34" s="59">
        <f ca="1">AVERAGE(OFFSET($CC$3,0,0,'Données projet'!$E$12+1,1))-AVERAGE(OFFSET($H$3,0,0,'Données projet'!$E$12+1,1))</f>
        <v>411.67183422518411</v>
      </c>
      <c r="CE34" s="59">
        <f t="shared" si="40"/>
        <v>379.16642539721556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6.4371498033930274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6.4371498033930274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137.99743589743591</v>
      </c>
      <c r="O35" s="13">
        <f>N35*VLOOKUP('Données projet'!$B$9,Paramètres!$A$1:$I$89,3,0)*VLOOKUP('Données projet'!$B$9,Paramètres!$A$1:$I$89,5,0)</f>
        <v>124.86008000000001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515.57408548787305</v>
      </c>
      <c r="S35" s="59">
        <f ca="1">AVERAGE(OFFSET($R$3,0,0,'Données projet'!$E$9+1,1))-AVERAGE(OFFSET($H$3,0,0,'Données projet'!$E$9+1,1))</f>
        <v>421.33534980160005</v>
      </c>
      <c r="T35" s="59">
        <f t="shared" si="34"/>
        <v>299.0473530693472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318.7923076923077</v>
      </c>
      <c r="AG35" s="12">
        <f>VLOOKUP(A35,'Données projet'!$A$61:$I$81,9,0)</f>
        <v>19.393589743589743</v>
      </c>
      <c r="AH35" s="12">
        <f t="array" ref="AH35">INDEX(AG:AG,MIN(IF(ISNUMBER(AG35:AG231),ROW(AG35:AG231),"")))</f>
        <v>19.393589743589743</v>
      </c>
      <c r="AI35" s="13">
        <f>IF('Données projet'!$A$62&gt;35,AI34+AH35-AQ34,IF(A35&lt;'Données projet'!$A$62,$AF$205^A35,IF(A35='Données projet'!$A$62,'Données projet'!$B$62,AI34+AH35-AQ34)))</f>
        <v>318.79230769230782</v>
      </c>
      <c r="AJ35" s="13">
        <f>AI35*VLOOKUP('Données projet'!$B$10,Paramètres!$A$1:$I$89,3,0)*VLOOKUP('Données projet'!$B$10,Paramètres!$A$1:$I$89,5,0)</f>
        <v>190.63780000000008</v>
      </c>
      <c r="AK35" s="13">
        <f t="shared" si="35"/>
        <v>47.680933861376609</v>
      </c>
      <c r="AL35" s="20">
        <f t="shared" si="4"/>
        <v>415.07179480856439</v>
      </c>
      <c r="AM35" s="59">
        <f t="shared" si="5"/>
        <v>656.04429728908974</v>
      </c>
      <c r="AN35" s="59">
        <f ca="1">AVERAGE(OFFSET($AM$3,0,0,'Données projet'!$E$10+1,1))-AVERAGE(OFFSET($H$3,0,0,'Données projet'!$E$10+1,1))</f>
        <v>337.99164391755608</v>
      </c>
      <c r="AO35" s="59">
        <f t="shared" si="36"/>
        <v>421.45428231923393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64.523076923076914</v>
      </c>
      <c r="AR35" s="16">
        <f>IF(ISNA(VLOOKUP(A35,'Données projet'!$A$61:$I$81,5,0)),0%,VLOOKUP(A35,'Données projet'!$A$61:$I$81,5,0)*VLOOKUP('Données projet'!$B$10,Paramètres!$A$1:$I$89,7,0))</f>
        <v>0.315</v>
      </c>
      <c r="AS35" s="16">
        <f>IF(ISNA(VLOOKUP(A35,'Données projet'!$A$61:$I$81,6,0)),0%,VLOOKUP(A35,'Données projet'!$A$61:$I$81,6,0)*VLOOKUP('Données projet'!$B$10,Paramètres!$A$1:$I$89,7,0))</f>
        <v>7.5600000000000001E-2</v>
      </c>
      <c r="AT35" s="16">
        <f>IF(ISNA(VLOOKUP(A35,'Données projet'!$A$61:$I$81,7,0)),0%,VLOOKUP(A35,'Données projet'!$A$61:$I$81,7,0))</f>
        <v>0.13200000000000001</v>
      </c>
      <c r="AU35" s="21">
        <f>EXP(-LN(2)/35)*AU34+(1-EXP(-LN(2)/35))/(LN(2)/35)*AQ35*AR35*VLOOKUP('Données projet'!$B$10,Paramètres!$A$1:$I$89,3,0)*0.475*44/12</f>
        <v>26.548695242558715</v>
      </c>
      <c r="AV35" s="21">
        <f>EXP(-LN(2)/25)*AV34+(1-EXP(-LN(2)/25))/(LN(2)/25)*Calculateur!AQ35*Calculateur!AS35*VLOOKUP('Données projet'!$B$10,Paramètres!$A$1:$I$89,3,0)*0.475*44/12</f>
        <v>19.374320264649796</v>
      </c>
      <c r="AW35" s="21">
        <f>EXP(-LN(2)/2)*AW34+(1-EXP(-LN(2)/2))/(LN(2)/2)*AQ35*AT35*VLOOKUP('Données projet'!$B$10,Paramètres!$A$1:$I$89,3,0)*0.475*44/12</f>
        <v>6.5593451485188776</v>
      </c>
      <c r="AX35" s="21">
        <f t="shared" si="6"/>
        <v>52.482360655727391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8.0564102564102633</v>
      </c>
      <c r="BD35" s="12">
        <f>IF('Données projet'!$A$88&gt;35,BD34+BC35-BL34,IF(A35&lt;'Données projet'!$A$88,$BA$205^A35,IF(A35='Données projet'!$A$88,'Données projet'!$B$88,BD34+BC35-BL34)))</f>
        <v>137.99743589743591</v>
      </c>
      <c r="BE35" s="13">
        <f>BD35*VLOOKUP('Données projet'!$B$11,Paramètres!$A$1:$I$89,3,0)*VLOOKUP('Données projet'!$B$11,Paramètres!$A$1:$I$89,5,0)</f>
        <v>139.92940000000002</v>
      </c>
      <c r="BF35" s="13">
        <f t="shared" si="37"/>
        <v>36.280831551634627</v>
      </c>
      <c r="BG35" s="20">
        <f t="shared" si="7"/>
        <v>306.89948661909699</v>
      </c>
      <c r="BH35" s="59">
        <f t="shared" si="8"/>
        <v>547.87198909962228</v>
      </c>
      <c r="BI35" s="59">
        <f ca="1">AVERAGE(OFFSET($BH$3,0,0,'Données projet'!$E$11+1,1))-AVERAGE(OFFSET($H$3,0,0,'Données projet'!$E$11+1,1))</f>
        <v>462.74754756814662</v>
      </c>
      <c r="BJ35" s="59">
        <f t="shared" si="38"/>
        <v>327.65191293226667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10.4</v>
      </c>
      <c r="BY35" s="12">
        <f>IF('Données projet'!$A$114&gt;35,BY34+BX35-CG34,IF(A35&lt;'Données projet'!$A$114,$BV$205^A35,IF(A35='Données projet'!$A$114,'Données projet'!$B$114,BY34+BX35-CG34)))</f>
        <v>157.80000000000001</v>
      </c>
      <c r="BZ35" s="13">
        <f>BY35*VLOOKUP('Données projet'!$B$12,Paramètres!$A$1:$I$89,3,0)*VLOOKUP('Données projet'!$B$12,Paramètres!$A$1:$I$89,5,0)</f>
        <v>137.85408000000001</v>
      </c>
      <c r="CA35" s="13">
        <f t="shared" si="39"/>
        <v>35.804964283629964</v>
      </c>
      <c r="CB35" s="20">
        <f t="shared" si="10"/>
        <v>302.45616879398887</v>
      </c>
      <c r="CC35" s="59">
        <f t="shared" si="11"/>
        <v>543.42867127451416</v>
      </c>
      <c r="CD35" s="59">
        <f ca="1">AVERAGE(OFFSET($CC$3,0,0,'Données projet'!$E$12+1,1))-AVERAGE(OFFSET($H$3,0,0,'Données projet'!$E$12+1,1))</f>
        <v>411.67183422518411</v>
      </c>
      <c r="CE35" s="59">
        <f t="shared" si="40"/>
        <v>379.16642539721556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6.2611256035042491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6.2611256035042491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146.05384615384617</v>
      </c>
      <c r="O36" s="13">
        <f>N36*VLOOKUP('Données projet'!$B$9,Paramètres!$A$1:$I$89,3,0)*VLOOKUP('Données projet'!$B$9,Paramètres!$A$1:$I$89,5,0)</f>
        <v>132.14952</v>
      </c>
      <c r="P36" s="13">
        <f t="shared" si="33"/>
        <v>34.49257523106499</v>
      </c>
      <c r="Q36" s="20">
        <f t="shared" si="53"/>
        <v>290.23498252743815</v>
      </c>
      <c r="R36" s="59">
        <f t="shared" si="0"/>
        <v>532.11582836197886</v>
      </c>
      <c r="S36" s="59">
        <f ca="1">AVERAGE(OFFSET($R$3,0,0,'Données projet'!$E$9+1,1))-AVERAGE(OFFSET($H$3,0,0,'Données projet'!$E$9+1,1))</f>
        <v>421.33534980160005</v>
      </c>
      <c r="T36" s="59">
        <f t="shared" si="34"/>
        <v>299.0473530693472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18.055769230769229</v>
      </c>
      <c r="AI36" s="13">
        <f>IF('Données projet'!$A$62&gt;35,AI35+AH36-AQ35,IF(A36&lt;'Données projet'!$A$62,$AF$205^A36,IF(A36='Données projet'!$A$62,'Données projet'!$B$62,AI35+AH36-AQ35)))</f>
        <v>272.3250000000001</v>
      </c>
      <c r="AJ36" s="13">
        <f>AI36*VLOOKUP('Données projet'!$B$10,Paramètres!$A$1:$I$89,3,0)*VLOOKUP('Données projet'!$B$10,Paramètres!$A$1:$I$89,5,0)</f>
        <v>162.85035000000008</v>
      </c>
      <c r="AK36" s="13">
        <f t="shared" si="35"/>
        <v>41.484757610477807</v>
      </c>
      <c r="AL36" s="20">
        <f t="shared" si="4"/>
        <v>355.88364575491568</v>
      </c>
      <c r="AM36" s="59">
        <f t="shared" si="5"/>
        <v>597.76449158945638</v>
      </c>
      <c r="AN36" s="59">
        <f ca="1">AVERAGE(OFFSET($AM$3,0,0,'Données projet'!$E$10+1,1))-AVERAGE(OFFSET($H$3,0,0,'Données projet'!$E$10+1,1))</f>
        <v>337.99164391755608</v>
      </c>
      <c r="AO36" s="59">
        <f t="shared" si="36"/>
        <v>421.45428231923393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26.0280915219573</v>
      </c>
      <c r="AV36" s="21">
        <f>EXP(-LN(2)/25)*AV35+(1-EXP(-LN(2)/25))/(LN(2)/25)*Calculateur!AQ36*Calculateur!AS36*VLOOKUP('Données projet'!$B$10,Paramètres!$A$1:$I$89,3,0)*0.475*44/12</f>
        <v>18.844528458161726</v>
      </c>
      <c r="AW36" s="21">
        <f>EXP(-LN(2)/2)*AW35+(1-EXP(-LN(2)/2))/(LN(2)/2)*AQ36*AT36*VLOOKUP('Données projet'!$B$10,Paramètres!$A$1:$I$89,3,0)*0.475*44/12</f>
        <v>4.6381574346607808</v>
      </c>
      <c r="AX36" s="21">
        <f t="shared" si="6"/>
        <v>49.51077741477981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8.0564102564102633</v>
      </c>
      <c r="BD36" s="12">
        <f>IF('Données projet'!$A$88&gt;35,BD35+BC36-BL35,IF(A36&lt;'Données projet'!$A$88,$BA$205^A36,IF(A36='Données projet'!$A$88,'Données projet'!$B$88,BD35+BC36-BL35)))</f>
        <v>146.05384615384617</v>
      </c>
      <c r="BE36" s="13">
        <f>BD36*VLOOKUP('Données projet'!$B$11,Paramètres!$A$1:$I$89,3,0)*VLOOKUP('Données projet'!$B$11,Paramètres!$A$1:$I$89,5,0)</f>
        <v>148.09860000000003</v>
      </c>
      <c r="BF36" s="13">
        <f t="shared" si="37"/>
        <v>38.146165355224731</v>
      </c>
      <c r="BG36" s="20">
        <f t="shared" si="7"/>
        <v>324.37629966034979</v>
      </c>
      <c r="BH36" s="59">
        <f t="shared" si="8"/>
        <v>566.25714549489055</v>
      </c>
      <c r="BI36" s="59">
        <f ca="1">AVERAGE(OFFSET($BH$3,0,0,'Données projet'!$E$11+1,1))-AVERAGE(OFFSET($H$3,0,0,'Données projet'!$E$11+1,1))</f>
        <v>462.74754756814662</v>
      </c>
      <c r="BJ36" s="59">
        <f t="shared" si="38"/>
        <v>327.65191293226667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10.4</v>
      </c>
      <c r="BY36" s="12">
        <f>IF('Données projet'!$A$114&gt;35,BY35+BX36-CG35,IF(A36&lt;'Données projet'!$A$114,$BV$205^A36,IF(A36='Données projet'!$A$114,'Données projet'!$B$114,BY35+BX36-CG35)))</f>
        <v>168.20000000000002</v>
      </c>
      <c r="BZ36" s="13">
        <f>BY36*VLOOKUP('Données projet'!$B$12,Paramètres!$A$1:$I$89,3,0)*VLOOKUP('Données projet'!$B$12,Paramètres!$A$1:$I$89,5,0)</f>
        <v>146.93952000000004</v>
      </c>
      <c r="CA36" s="13">
        <f t="shared" si="39"/>
        <v>37.882248330654257</v>
      </c>
      <c r="CB36" s="20">
        <f t="shared" si="10"/>
        <v>321.89791317588953</v>
      </c>
      <c r="CC36" s="59">
        <f t="shared" si="11"/>
        <v>563.77875901043024</v>
      </c>
      <c r="CD36" s="59">
        <f ca="1">AVERAGE(OFFSET($CC$3,0,0,'Données projet'!$E$12+1,1))-AVERAGE(OFFSET($H$3,0,0,'Données projet'!$E$12+1,1))</f>
        <v>411.67183422518411</v>
      </c>
      <c r="CE36" s="59">
        <f t="shared" si="40"/>
        <v>379.16642539721556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6.0899147946181396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6.0899147946181396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154.11025641025643</v>
      </c>
      <c r="O37" s="13">
        <f>N37*VLOOKUP('Données projet'!$B$9,Paramètres!$A$1:$I$89,3,0)*VLOOKUP('Données projet'!$B$9,Paramètres!$A$1:$I$89,5,0)</f>
        <v>139.43896000000001</v>
      </c>
      <c r="P37" s="13">
        <f t="shared" si="33"/>
        <v>36.168449088081644</v>
      </c>
      <c r="Q37" s="20">
        <f t="shared" si="53"/>
        <v>305.8495708284089</v>
      </c>
      <c r="R37" s="59">
        <f t="shared" si="0"/>
        <v>548.62300229052448</v>
      </c>
      <c r="S37" s="59">
        <f ca="1">AVERAGE(OFFSET($R$3,0,0,'Données projet'!$E$9+1,1))-AVERAGE(OFFSET($H$3,0,0,'Données projet'!$E$9+1,1))</f>
        <v>421.33534980160005</v>
      </c>
      <c r="T37" s="59">
        <f t="shared" si="34"/>
        <v>299.0473530693472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18.055769230769229</v>
      </c>
      <c r="AI37" s="13">
        <f>IF('Données projet'!$A$62&gt;35,AI36+AH37-AQ36,IF(A37&lt;'Données projet'!$A$62,$AF$205^A37,IF(A37='Données projet'!$A$62,'Données projet'!$B$62,AI36+AH37-AQ36)))</f>
        <v>290.38076923076932</v>
      </c>
      <c r="AJ37" s="13">
        <f>AI37*VLOOKUP('Données projet'!$B$10,Paramètres!$A$1:$I$89,3,0)*VLOOKUP('Données projet'!$B$10,Paramètres!$A$1:$I$89,5,0)</f>
        <v>173.64770000000004</v>
      </c>
      <c r="AK37" s="13">
        <f t="shared" si="35"/>
        <v>43.905974872685142</v>
      </c>
      <c r="AL37" s="20">
        <f t="shared" si="4"/>
        <v>378.90598373659333</v>
      </c>
      <c r="AM37" s="59">
        <f t="shared" si="5"/>
        <v>621.67941519870897</v>
      </c>
      <c r="AN37" s="59">
        <f ca="1">AVERAGE(OFFSET($AM$3,0,0,'Données projet'!$E$10+1,1))-AVERAGE(OFFSET($H$3,0,0,'Données projet'!$E$10+1,1))</f>
        <v>337.99164391755608</v>
      </c>
      <c r="AO37" s="59">
        <f t="shared" si="36"/>
        <v>421.45428231923393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25.517696522779964</v>
      </c>
      <c r="AV37" s="21">
        <f>EXP(-LN(2)/25)*AV36+(1-EXP(-LN(2)/25))/(LN(2)/25)*Calculateur!AQ37*Calculateur!AS37*VLOOKUP('Données projet'!$B$10,Paramètres!$A$1:$I$89,3,0)*0.475*44/12</f>
        <v>18.329223836482612</v>
      </c>
      <c r="AW37" s="21">
        <f>EXP(-LN(2)/2)*AW36+(1-EXP(-LN(2)/2))/(LN(2)/2)*AQ37*AT37*VLOOKUP('Données projet'!$B$10,Paramètres!$A$1:$I$89,3,0)*0.475*44/12</f>
        <v>3.2796725742594397</v>
      </c>
      <c r="AX37" s="21">
        <f t="shared" si="6"/>
        <v>47.126592933522019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8.0564102564102633</v>
      </c>
      <c r="BD37" s="12">
        <f>IF('Données projet'!$A$88&gt;35,BD36+BC37-BL36,IF(A37&lt;'Données projet'!$A$88,$BA$205^A37,IF(A37='Données projet'!$A$88,'Données projet'!$B$88,BD36+BC37-BL36)))</f>
        <v>154.11025641025643</v>
      </c>
      <c r="BE37" s="13">
        <f>BD37*VLOOKUP('Données projet'!$B$11,Paramètres!$A$1:$I$89,3,0)*VLOOKUP('Données projet'!$B$11,Paramètres!$A$1:$I$89,5,0)</f>
        <v>156.26780000000002</v>
      </c>
      <c r="BF37" s="13">
        <f t="shared" si="37"/>
        <v>39.999554405940785</v>
      </c>
      <c r="BG37" s="20">
        <f t="shared" si="7"/>
        <v>341.83230892368027</v>
      </c>
      <c r="BH37" s="59">
        <f t="shared" si="8"/>
        <v>584.6057403857958</v>
      </c>
      <c r="BI37" s="59">
        <f ca="1">AVERAGE(OFFSET($BH$3,0,0,'Données projet'!$E$11+1,1))-AVERAGE(OFFSET($H$3,0,0,'Données projet'!$E$11+1,1))</f>
        <v>462.74754756814662</v>
      </c>
      <c r="BJ37" s="59">
        <f t="shared" si="38"/>
        <v>327.65191293226667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10.4</v>
      </c>
      <c r="BY37" s="12">
        <f>IF('Données projet'!$A$114&gt;35,BY36+BX37-CG36,IF(A37&lt;'Données projet'!$A$114,$BV$205^A37,IF(A37='Données projet'!$A$114,'Données projet'!$B$114,BY36+BX37-CG36)))</f>
        <v>178.60000000000002</v>
      </c>
      <c r="BZ37" s="13">
        <f>BY37*VLOOKUP('Données projet'!$B$12,Paramètres!$A$1:$I$89,3,0)*VLOOKUP('Données projet'!$B$12,Paramètres!$A$1:$I$89,5,0)</f>
        <v>156.02496000000005</v>
      </c>
      <c r="CA37" s="13">
        <f t="shared" si="39"/>
        <v>39.944625507905997</v>
      </c>
      <c r="CB37" s="20">
        <f t="shared" si="10"/>
        <v>341.31369475960304</v>
      </c>
      <c r="CC37" s="59">
        <f t="shared" si="11"/>
        <v>584.08712622171856</v>
      </c>
      <c r="CD37" s="59">
        <f ca="1">AVERAGE(OFFSET($CC$3,0,0,'Données projet'!$E$12+1,1))-AVERAGE(OFFSET($H$3,0,0,'Données projet'!$E$12+1,1))</f>
        <v>411.67183422518411</v>
      </c>
      <c r="CE37" s="59">
        <f t="shared" si="40"/>
        <v>379.16642539721556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5.923385754304606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5.923385754304606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162.16666666666669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162.16666666666669</v>
      </c>
      <c r="O38" s="13">
        <f>N38*VLOOKUP('Données projet'!$B$9,Paramètres!$A$1:$I$89,3,0)*VLOOKUP('Données projet'!$B$9,Paramètres!$A$1:$I$89,5,0)</f>
        <v>146.72840000000002</v>
      </c>
      <c r="P38" s="13">
        <f t="shared" si="33"/>
        <v>37.834151268675086</v>
      </c>
      <c r="Q38" s="20">
        <f t="shared" si="53"/>
        <v>321.44644345960916</v>
      </c>
      <c r="R38" s="59">
        <f t="shared" si="0"/>
        <v>565.09697618418363</v>
      </c>
      <c r="S38" s="59">
        <f ca="1">AVERAGE(OFFSET($R$3,0,0,'Données projet'!$E$9+1,1))-AVERAGE(OFFSET($H$3,0,0,'Données projet'!$E$9+1,1))</f>
        <v>421.33534980160005</v>
      </c>
      <c r="T38" s="59">
        <f t="shared" si="34"/>
        <v>299.0473530693472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18.055769230769229</v>
      </c>
      <c r="AI38" s="13">
        <f>IF('Données projet'!$A$62&gt;35,AI37+AH38-AQ37,IF(A38&lt;'Données projet'!$A$62,$AF$205^A38,IF(A38='Données projet'!$A$62,'Données projet'!$B$62,AI37+AH38-AQ37)))</f>
        <v>308.43653846153853</v>
      </c>
      <c r="AJ38" s="13">
        <f>AI38*VLOOKUP('Données projet'!$B$10,Paramètres!$A$1:$I$89,3,0)*VLOOKUP('Données projet'!$B$10,Paramètres!$A$1:$I$89,5,0)</f>
        <v>184.44505000000007</v>
      </c>
      <c r="AK38" s="13">
        <f t="shared" si="35"/>
        <v>46.309719450497106</v>
      </c>
      <c r="AL38" s="20">
        <f t="shared" si="4"/>
        <v>401.89789012628256</v>
      </c>
      <c r="AM38" s="59">
        <f t="shared" si="5"/>
        <v>645.54842285085704</v>
      </c>
      <c r="AN38" s="59">
        <f ca="1">AVERAGE(OFFSET($AM$3,0,0,'Données projet'!$E$10+1,1))-AVERAGE(OFFSET($H$3,0,0,'Données projet'!$E$10+1,1))</f>
        <v>337.99164391755608</v>
      </c>
      <c r="AO38" s="59">
        <f t="shared" si="36"/>
        <v>421.45428231923393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25.017310058226286</v>
      </c>
      <c r="AV38" s="21">
        <f>EXP(-LN(2)/25)*AV37+(1-EXP(-LN(2)/25))/(LN(2)/25)*Calculateur!AQ38*Calculateur!AS38*VLOOKUP('Données projet'!$B$10,Paramètres!$A$1:$I$89,3,0)*0.475*44/12</f>
        <v>17.828010246782004</v>
      </c>
      <c r="AW38" s="21">
        <f>EXP(-LN(2)/2)*AW37+(1-EXP(-LN(2)/2))/(LN(2)/2)*AQ38*AT38*VLOOKUP('Données projet'!$B$10,Paramètres!$A$1:$I$89,3,0)*0.475*44/12</f>
        <v>2.3190787173303908</v>
      </c>
      <c r="AX38" s="21">
        <f t="shared" si="6"/>
        <v>45.164399022338678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162.16666666666669</v>
      </c>
      <c r="BB38" s="12">
        <f>VLOOKUP(A38,'Données projet'!$A$87:$I$107,9,0)</f>
        <v>8.0564102564102633</v>
      </c>
      <c r="BC38" s="12">
        <f t="array" ref="BC38">INDEX(BB:BB,MIN(IF(ISNUMBER(BB38:BB234),ROW(BB38:BB234),"")))</f>
        <v>8.0564102564102633</v>
      </c>
      <c r="BD38" s="12">
        <f>IF('Données projet'!$A$88&gt;35,BD37+BC38-BL37,IF(A38&lt;'Données projet'!$A$88,$BA$205^A38,IF(A38='Données projet'!$A$88,'Données projet'!$B$88,BD37+BC38-BL37)))</f>
        <v>162.16666666666669</v>
      </c>
      <c r="BE38" s="13">
        <f>BD38*VLOOKUP('Données projet'!$B$11,Paramètres!$A$1:$I$89,3,0)*VLOOKUP('Données projet'!$B$11,Paramètres!$A$1:$I$89,5,0)</f>
        <v>164.43700000000001</v>
      </c>
      <c r="BF38" s="13">
        <f t="shared" si="37"/>
        <v>41.841694355997333</v>
      </c>
      <c r="BG38" s="20">
        <f t="shared" si="7"/>
        <v>359.26872600336202</v>
      </c>
      <c r="BH38" s="59">
        <f t="shared" si="8"/>
        <v>602.91925872793649</v>
      </c>
      <c r="BI38" s="59">
        <f ca="1">AVERAGE(OFFSET($BH$3,0,0,'Données projet'!$E$11+1,1))-AVERAGE(OFFSET($H$3,0,0,'Données projet'!$E$11+1,1))</f>
        <v>462.74754756814662</v>
      </c>
      <c r="BJ38" s="59">
        <f t="shared" si="38"/>
        <v>327.65191293226667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60.602564102564102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189</v>
      </c>
      <c r="BW38" s="12">
        <f>VLOOKUP(A38,'Données projet'!$A$113:$I$133,9,0)</f>
        <v>10.4</v>
      </c>
      <c r="BX38" s="12">
        <f t="array" ref="BX38">INDEX(BW:BW,MIN(IF(ISNUMBER(BW38:BW234),ROW(BW38:BW234),"")))</f>
        <v>10.4</v>
      </c>
      <c r="BY38" s="12">
        <f>IF('Données projet'!$A$114&gt;35,BY37+BX38-CG37,IF(A38&lt;'Données projet'!$A$114,$BV$205^A38,IF(A38='Données projet'!$A$114,'Données projet'!$B$114,BY37+BX38-CG37)))</f>
        <v>189.00000000000003</v>
      </c>
      <c r="BZ38" s="13">
        <f>BY38*VLOOKUP('Données projet'!$B$12,Paramètres!$A$1:$I$89,3,0)*VLOOKUP('Données projet'!$B$12,Paramètres!$A$1:$I$89,5,0)</f>
        <v>165.11040000000006</v>
      </c>
      <c r="CA38" s="13">
        <f t="shared" si="39"/>
        <v>41.993062739333482</v>
      </c>
      <c r="CB38" s="20">
        <f t="shared" si="10"/>
        <v>360.70519760433922</v>
      </c>
      <c r="CC38" s="59">
        <f t="shared" si="11"/>
        <v>604.35573032891375</v>
      </c>
      <c r="CD38" s="59">
        <f ca="1">AVERAGE(OFFSET($CC$3,0,0,'Données projet'!$E$12+1,1))-AVERAGE(OFFSET($H$3,0,0,'Données projet'!$E$12+1,1))</f>
        <v>411.67183422518411</v>
      </c>
      <c r="CE38" s="59">
        <f t="shared" si="40"/>
        <v>379.16642539721556</v>
      </c>
      <c r="CF38" s="15">
        <f>IF(ISNA(VLOOKUP(A38,'Données projet'!$A$113:$I$133,3,0)),0,VLOOKUP(A38,'Données projet'!$A$113:$I$133,3,0))</f>
        <v>4</v>
      </c>
      <c r="CG38" s="15" t="str">
        <f>IF(ISNA(VLOOKUP(A38,'Données projet'!$A$113:$I$133,4,0)),0,VLOOKUP(A38,'Données projet'!$A$113:$I$133,4,0))</f>
        <v>32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0.215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12.379533176480578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12.379533176480578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9.3141025641025621</v>
      </c>
      <c r="N39" s="13">
        <f>IF('Données projet'!$A$36&gt;35,N38+M39-V38,IF(A39&lt;'Données projet'!$A$36,$K$205^A39,IF(A39='Données projet'!$A$36,'Données projet'!$B$36,N38+M39-V38)))</f>
        <v>110.87820512820515</v>
      </c>
      <c r="O39" s="13">
        <f>N39*VLOOKUP('Données projet'!$B$9,Paramètres!$A$1:$I$89,3,0)*VLOOKUP('Données projet'!$B$9,Paramètres!$A$1:$I$89,5,0)</f>
        <v>100.32260000000002</v>
      </c>
      <c r="P39" s="13">
        <f t="shared" si="33"/>
        <v>27.038838137326771</v>
      </c>
      <c r="Q39" s="20">
        <f t="shared" si="53"/>
        <v>221.82117142251082</v>
      </c>
      <c r="R39" s="59">
        <f t="shared" si="0"/>
        <v>466.33358966354524</v>
      </c>
      <c r="S39" s="59">
        <f ca="1">AVERAGE(OFFSET($R$3,0,0,'Données projet'!$E$9+1,1))-AVERAGE(OFFSET($H$3,0,0,'Données projet'!$E$9+1,1))</f>
        <v>421.33534980160005</v>
      </c>
      <c r="T39" s="59">
        <f t="shared" si="34"/>
        <v>299.0473530693472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18.055769230769229</v>
      </c>
      <c r="AI39" s="13">
        <f>IF('Données projet'!$A$62&gt;35,AI38+AH39-AQ38,IF(A39&lt;'Données projet'!$A$62,$AF$205^A39,IF(A39='Données projet'!$A$62,'Données projet'!$B$62,AI38+AH39-AQ38)))</f>
        <v>326.49230769230775</v>
      </c>
      <c r="AJ39" s="13">
        <f>AI39*VLOOKUP('Données projet'!$B$10,Paramètres!$A$1:$I$89,3,0)*VLOOKUP('Données projet'!$B$10,Paramètres!$A$1:$I$89,5,0)</f>
        <v>195.24240000000006</v>
      </c>
      <c r="AK39" s="13">
        <f t="shared" si="35"/>
        <v>48.697130705157392</v>
      </c>
      <c r="AL39" s="20">
        <f t="shared" si="4"/>
        <v>424.86134931148257</v>
      </c>
      <c r="AM39" s="59">
        <f t="shared" si="5"/>
        <v>669.37376755251694</v>
      </c>
      <c r="AN39" s="59">
        <f ca="1">AVERAGE(OFFSET($AM$3,0,0,'Données projet'!$E$10+1,1))-AVERAGE(OFFSET($H$3,0,0,'Données projet'!$E$10+1,1))</f>
        <v>337.99164391755608</v>
      </c>
      <c r="AO39" s="59">
        <f t="shared" si="36"/>
        <v>421.45428231923393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24.526735867036898</v>
      </c>
      <c r="AV39" s="21">
        <f>EXP(-LN(2)/25)*AV38+(1-EXP(-LN(2)/25))/(LN(2)/25)*Calculateur!AQ39*Calculateur!AS39*VLOOKUP('Données projet'!$B$10,Paramètres!$A$1:$I$89,3,0)*0.475*44/12</f>
        <v>17.340502369049439</v>
      </c>
      <c r="AW39" s="21">
        <f>EXP(-LN(2)/2)*AW38+(1-EXP(-LN(2)/2))/(LN(2)/2)*AQ39*AT39*VLOOKUP('Données projet'!$B$10,Paramètres!$A$1:$I$89,3,0)*0.475*44/12</f>
        <v>1.6398362871297201</v>
      </c>
      <c r="AX39" s="21">
        <f t="shared" si="6"/>
        <v>43.507074523216055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9.3141025641025621</v>
      </c>
      <c r="BD39" s="12">
        <f>IF('Données projet'!$A$88&gt;35,BD38+BC39-BL38,IF(A39&lt;'Données projet'!$A$88,$BA$205^A39,IF(A39='Données projet'!$A$88,'Données projet'!$B$88,BD38+BC39-BL38)))</f>
        <v>110.87820512820515</v>
      </c>
      <c r="BE39" s="13">
        <f>BD39*VLOOKUP('Données projet'!$B$11,Paramètres!$A$1:$I$89,3,0)*VLOOKUP('Données projet'!$B$11,Paramètres!$A$1:$I$89,5,0)</f>
        <v>112.43050000000004</v>
      </c>
      <c r="BF39" s="13">
        <f t="shared" si="37"/>
        <v>29.902898919263393</v>
      </c>
      <c r="BG39" s="20">
        <f t="shared" si="7"/>
        <v>247.89733645105048</v>
      </c>
      <c r="BH39" s="59">
        <f t="shared" si="8"/>
        <v>492.4097546920849</v>
      </c>
      <c r="BI39" s="59">
        <f ca="1">AVERAGE(OFFSET($BH$3,0,0,'Données projet'!$E$11+1,1))-AVERAGE(OFFSET($H$3,0,0,'Données projet'!$E$11+1,1))</f>
        <v>462.74754756814662</v>
      </c>
      <c r="BJ39" s="59">
        <f t="shared" si="38"/>
        <v>327.65191293226667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9.8000000000000007</v>
      </c>
      <c r="BY39" s="12">
        <f>IF('Données projet'!$A$114&gt;35,BY38+BX39-CG38,IF(A39&lt;'Données projet'!$A$114,$BV$205^A39,IF(A39='Données projet'!$A$114,'Données projet'!$B$114,BY38+BX39-CG38)))</f>
        <v>166.80000000000004</v>
      </c>
      <c r="BZ39" s="13">
        <f>BY39*VLOOKUP('Données projet'!$B$12,Paramètres!$A$1:$I$89,3,0)*VLOOKUP('Données projet'!$B$12,Paramètres!$A$1:$I$89,5,0)</f>
        <v>145.71648000000005</v>
      </c>
      <c r="CA39" s="13">
        <f t="shared" si="39"/>
        <v>37.60350500083149</v>
      </c>
      <c r="CB39" s="20">
        <f t="shared" si="10"/>
        <v>319.28230720978155</v>
      </c>
      <c r="CC39" s="59">
        <f t="shared" si="11"/>
        <v>563.79472545081603</v>
      </c>
      <c r="CD39" s="59">
        <f ca="1">AVERAGE(OFFSET($CC$3,0,0,'Données projet'!$E$12+1,1))-AVERAGE(OFFSET($H$3,0,0,'Données projet'!$E$12+1,1))</f>
        <v>411.67183422518411</v>
      </c>
      <c r="CE39" s="59">
        <f t="shared" si="40"/>
        <v>379.16642539721556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12.041014190758361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12.041014190758361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9.3141025641025621</v>
      </c>
      <c r="N40" s="13">
        <f>IF('Données projet'!$A$36&gt;35,N39+M40-V39,IF(A40&lt;'Données projet'!$A$36,$K$205^A40,IF(A40='Données projet'!$A$36,'Données projet'!$B$36,N39+M40-V39)))</f>
        <v>120.19230769230771</v>
      </c>
      <c r="O40" s="13">
        <f>N40*VLOOKUP('Données projet'!$B$9,Paramètres!$A$1:$I$89,3,0)*VLOOKUP('Données projet'!$B$9,Paramètres!$A$1:$I$89,5,0)</f>
        <v>108.75000000000001</v>
      </c>
      <c r="P40" s="13">
        <f t="shared" si="33"/>
        <v>29.036279216217448</v>
      </c>
      <c r="Q40" s="20">
        <f t="shared" si="53"/>
        <v>239.97776963491205</v>
      </c>
      <c r="R40" s="59">
        <f t="shared" si="0"/>
        <v>485.33712160558315</v>
      </c>
      <c r="S40" s="59">
        <f ca="1">AVERAGE(OFFSET($R$3,0,0,'Données projet'!$E$9+1,1))-AVERAGE(OFFSET($H$3,0,0,'Données projet'!$E$9+1,1))</f>
        <v>421.33534980160005</v>
      </c>
      <c r="T40" s="59">
        <f t="shared" si="34"/>
        <v>299.0473530693472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18.055769230769229</v>
      </c>
      <c r="AI40" s="13">
        <f>IF('Données projet'!$A$62&gt;35,AI39+AH40-AQ39,IF(A40&lt;'Données projet'!$A$62,$AF$205^A40,IF(A40='Données projet'!$A$62,'Données projet'!$B$62,AI39+AH40-AQ39)))</f>
        <v>344.54807692307696</v>
      </c>
      <c r="AJ40" s="13">
        <f>AI40*VLOOKUP('Données projet'!$B$10,Paramètres!$A$1:$I$89,3,0)*VLOOKUP('Données projet'!$B$10,Paramètres!$A$1:$I$89,5,0)</f>
        <v>206.03975000000003</v>
      </c>
      <c r="AK40" s="13">
        <f t="shared" si="35"/>
        <v>51.069214862008621</v>
      </c>
      <c r="AL40" s="20">
        <f t="shared" si="4"/>
        <v>447.79811380133168</v>
      </c>
      <c r="AM40" s="59">
        <f t="shared" si="5"/>
        <v>693.15746577200275</v>
      </c>
      <c r="AN40" s="59">
        <f ca="1">AVERAGE(OFFSET($AM$3,0,0,'Données projet'!$E$10+1,1))-AVERAGE(OFFSET($H$3,0,0,'Données projet'!$E$10+1,1))</f>
        <v>337.99164391755608</v>
      </c>
      <c r="AO40" s="59">
        <f t="shared" si="36"/>
        <v>421.45428231923393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24.045781536516021</v>
      </c>
      <c r="AV40" s="21">
        <f>EXP(-LN(2)/25)*AV39+(1-EXP(-LN(2)/25))/(LN(2)/25)*Calculateur!AQ40*Calculateur!AS40*VLOOKUP('Données projet'!$B$10,Paramètres!$A$1:$I$89,3,0)*0.475*44/12</f>
        <v>16.866325419870396</v>
      </c>
      <c r="AW40" s="21">
        <f>EXP(-LN(2)/2)*AW39+(1-EXP(-LN(2)/2))/(LN(2)/2)*AQ40*AT40*VLOOKUP('Données projet'!$B$10,Paramètres!$A$1:$I$89,3,0)*0.475*44/12</f>
        <v>1.1595393586651956</v>
      </c>
      <c r="AX40" s="21">
        <f t="shared" si="6"/>
        <v>42.071646315051609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9.3141025641025621</v>
      </c>
      <c r="BD40" s="12">
        <f>IF('Données projet'!$A$88&gt;35,BD39+BC40-BL39,IF(A40&lt;'Données projet'!$A$88,$BA$205^A40,IF(A40='Données projet'!$A$88,'Données projet'!$B$88,BD39+BC40-BL39)))</f>
        <v>120.19230769230771</v>
      </c>
      <c r="BE40" s="13">
        <f>BD40*VLOOKUP('Données projet'!$B$11,Paramètres!$A$1:$I$89,3,0)*VLOOKUP('Données projet'!$B$11,Paramètres!$A$1:$I$89,5,0)</f>
        <v>121.87500000000003</v>
      </c>
      <c r="BF40" s="13">
        <f t="shared" si="37"/>
        <v>32.111916865075052</v>
      </c>
      <c r="BG40" s="20">
        <f t="shared" si="7"/>
        <v>268.19388020667242</v>
      </c>
      <c r="BH40" s="59">
        <f t="shared" si="8"/>
        <v>513.55323217734349</v>
      </c>
      <c r="BI40" s="59">
        <f ca="1">AVERAGE(OFFSET($BH$3,0,0,'Données projet'!$E$11+1,1))-AVERAGE(OFFSET($H$3,0,0,'Données projet'!$E$11+1,1))</f>
        <v>462.74754756814662</v>
      </c>
      <c r="BJ40" s="59">
        <f t="shared" si="38"/>
        <v>327.65191293226667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9.8000000000000007</v>
      </c>
      <c r="BY40" s="12">
        <f>IF('Données projet'!$A$114&gt;35,BY39+BX40-CG39,IF(A40&lt;'Données projet'!$A$114,$BV$205^A40,IF(A40='Données projet'!$A$114,'Données projet'!$B$114,BY39+BX40-CG39)))</f>
        <v>176.60000000000005</v>
      </c>
      <c r="BZ40" s="13">
        <f>BY40*VLOOKUP('Données projet'!$B$12,Paramètres!$A$1:$I$89,3,0)*VLOOKUP('Données projet'!$B$12,Paramètres!$A$1:$I$89,5,0)</f>
        <v>154.27776000000009</v>
      </c>
      <c r="CA40" s="13">
        <f t="shared" si="39"/>
        <v>39.549125277353333</v>
      </c>
      <c r="CB40" s="20">
        <f t="shared" si="10"/>
        <v>337.58182519139058</v>
      </c>
      <c r="CC40" s="59">
        <f t="shared" si="11"/>
        <v>582.94117716206165</v>
      </c>
      <c r="CD40" s="59">
        <f ca="1">AVERAGE(OFFSET($CC$3,0,0,'Données projet'!$E$12+1,1))-AVERAGE(OFFSET($H$3,0,0,'Données projet'!$E$12+1,1))</f>
        <v>411.67183422518411</v>
      </c>
      <c r="CE40" s="59">
        <f t="shared" si="40"/>
        <v>379.16642539721556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11.711752024502657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11.711752024502657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9.3141025641025621</v>
      </c>
      <c r="N41" s="13">
        <f>IF('Données projet'!$A$36&gt;35,N40+M41-V40,IF(A41&lt;'Données projet'!$A$36,$K$205^A41,IF(A41='Données projet'!$A$36,'Données projet'!$B$36,N40+M41-V40)))</f>
        <v>129.50641025641028</v>
      </c>
      <c r="O41" s="13">
        <f>N41*VLOOKUP('Données projet'!$B$9,Paramètres!$A$1:$I$89,3,0)*VLOOKUP('Données projet'!$B$9,Paramètres!$A$1:$I$89,5,0)</f>
        <v>117.17740000000002</v>
      </c>
      <c r="P41" s="13">
        <f t="shared" si="33"/>
        <v>31.015764986886897</v>
      </c>
      <c r="Q41" s="20">
        <f t="shared" si="53"/>
        <v>258.10309568549474</v>
      </c>
      <c r="R41" s="59">
        <f t="shared" si="0"/>
        <v>504.29468897905349</v>
      </c>
      <c r="S41" s="59">
        <f ca="1">AVERAGE(OFFSET($R$3,0,0,'Données projet'!$E$9+1,1))-AVERAGE(OFFSET($H$3,0,0,'Données projet'!$E$9+1,1))</f>
        <v>421.33534980160005</v>
      </c>
      <c r="T41" s="59">
        <f t="shared" si="34"/>
        <v>299.0473530693472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18.055769230769229</v>
      </c>
      <c r="AI41" s="13">
        <f>IF('Données projet'!$A$62&gt;35,AI40+AH41-AQ40,IF(A41&lt;'Données projet'!$A$62,$AF$205^A41,IF(A41='Données projet'!$A$62,'Données projet'!$B$62,AI40+AH41-AQ40)))</f>
        <v>362.60384615384618</v>
      </c>
      <c r="AJ41" s="13">
        <f>AI41*VLOOKUP('Données projet'!$B$10,Paramètres!$A$1:$I$89,3,0)*VLOOKUP('Données projet'!$B$10,Paramètres!$A$1:$I$89,5,0)</f>
        <v>216.83710000000005</v>
      </c>
      <c r="AK41" s="13">
        <f t="shared" si="35"/>
        <v>53.426866729052094</v>
      </c>
      <c r="AL41" s="20">
        <f t="shared" si="4"/>
        <v>470.70974205309909</v>
      </c>
      <c r="AM41" s="59">
        <f t="shared" si="5"/>
        <v>716.90133534665779</v>
      </c>
      <c r="AN41" s="59">
        <f ca="1">AVERAGE(OFFSET($AM$3,0,0,'Données projet'!$E$10+1,1))-AVERAGE(OFFSET($H$3,0,0,'Données projet'!$E$10+1,1))</f>
        <v>337.99164391755608</v>
      </c>
      <c r="AO41" s="59">
        <f t="shared" si="36"/>
        <v>421.45428231923393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23.574258427063484</v>
      </c>
      <c r="AV41" s="21">
        <f>EXP(-LN(2)/25)*AV40+(1-EXP(-LN(2)/25))/(LN(2)/25)*Calculateur!AQ41*Calculateur!AS41*VLOOKUP('Données projet'!$B$10,Paramètres!$A$1:$I$89,3,0)*0.475*44/12</f>
        <v>16.405114864302536</v>
      </c>
      <c r="AW41" s="21">
        <f>EXP(-LN(2)/2)*AW40+(1-EXP(-LN(2)/2))/(LN(2)/2)*AQ41*AT41*VLOOKUP('Données projet'!$B$10,Paramètres!$A$1:$I$89,3,0)*0.475*44/12</f>
        <v>0.81991814356486015</v>
      </c>
      <c r="AX41" s="21">
        <f t="shared" si="6"/>
        <v>40.799291434930879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9.3141025641025621</v>
      </c>
      <c r="BD41" s="12">
        <f>IF('Données projet'!$A$88&gt;35,BD40+BC41-BL40,IF(A41&lt;'Données projet'!$A$88,$BA$205^A41,IF(A41='Données projet'!$A$88,'Données projet'!$B$88,BD40+BC41-BL40)))</f>
        <v>129.50641025641028</v>
      </c>
      <c r="BE41" s="13">
        <f>BD41*VLOOKUP('Données projet'!$B$11,Paramètres!$A$1:$I$89,3,0)*VLOOKUP('Données projet'!$B$11,Paramètres!$A$1:$I$89,5,0)</f>
        <v>131.31950000000003</v>
      </c>
      <c r="BF41" s="13">
        <f t="shared" si="37"/>
        <v>34.301077605333901</v>
      </c>
      <c r="BG41" s="20">
        <f t="shared" si="7"/>
        <v>288.45583932928992</v>
      </c>
      <c r="BH41" s="59">
        <f t="shared" si="8"/>
        <v>534.64743262284867</v>
      </c>
      <c r="BI41" s="59">
        <f ca="1">AVERAGE(OFFSET($BH$3,0,0,'Données projet'!$E$11+1,1))-AVERAGE(OFFSET($H$3,0,0,'Données projet'!$E$11+1,1))</f>
        <v>462.74754756814662</v>
      </c>
      <c r="BJ41" s="59">
        <f t="shared" si="38"/>
        <v>327.65191293226667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9.8000000000000007</v>
      </c>
      <c r="BY41" s="12">
        <f>IF('Données projet'!$A$114&gt;35,BY40+BX41-CG40,IF(A41&lt;'Données projet'!$A$114,$BV$205^A41,IF(A41='Données projet'!$A$114,'Données projet'!$B$114,BY40+BX41-CG40)))</f>
        <v>186.40000000000006</v>
      </c>
      <c r="BZ41" s="13">
        <f>BY41*VLOOKUP('Données projet'!$B$12,Paramètres!$A$1:$I$89,3,0)*VLOOKUP('Données projet'!$B$12,Paramètres!$A$1:$I$89,5,0)</f>
        <v>162.83904000000007</v>
      </c>
      <c r="CA41" s="13">
        <f t="shared" si="39"/>
        <v>41.482211836000111</v>
      </c>
      <c r="CB41" s="20">
        <f t="shared" si="10"/>
        <v>355.85951361436696</v>
      </c>
      <c r="CC41" s="59">
        <f t="shared" si="11"/>
        <v>602.05110690792571</v>
      </c>
      <c r="CD41" s="59">
        <f ca="1">AVERAGE(OFFSET($CC$3,0,0,'Données projet'!$E$12+1,1))-AVERAGE(OFFSET($H$3,0,0,'Données projet'!$E$12+1,1))</f>
        <v>411.67183422518411</v>
      </c>
      <c r="CE41" s="59">
        <f t="shared" si="40"/>
        <v>379.16642539721556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11.39149354949836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11.39149354949836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9.3141025641025621</v>
      </c>
      <c r="N42" s="13">
        <f>IF('Données projet'!$A$36&gt;35,N41+M42-V41,IF(A42&lt;'Données projet'!$A$36,$K$205^A42,IF(A42='Données projet'!$A$36,'Données projet'!$B$36,N41+M42-V41)))</f>
        <v>138.82051282051285</v>
      </c>
      <c r="O42" s="13">
        <f>N42*VLOOKUP('Données projet'!$B$9,Paramètres!$A$1:$I$89,3,0)*VLOOKUP('Données projet'!$B$9,Paramètres!$A$1:$I$89,5,0)</f>
        <v>125.60480000000001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523.20905154727018</v>
      </c>
      <c r="S42" s="59">
        <f ca="1">AVERAGE(OFFSET($R$3,0,0,'Données projet'!$E$9+1,1))-AVERAGE(OFFSET($H$3,0,0,'Données projet'!$E$9+1,1))</f>
        <v>421.33534980160005</v>
      </c>
      <c r="T42" s="59">
        <f t="shared" si="34"/>
        <v>299.0473530693472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18.055769230769229</v>
      </c>
      <c r="AI42" s="13">
        <f>IF('Données projet'!$A$62&gt;35,AI41+AH42-AQ41,IF(A42&lt;'Données projet'!$A$62,$AF$205^A42,IF(A42='Données projet'!$A$62,'Données projet'!$B$62,AI41+AH42-AQ41)))</f>
        <v>380.65961538461539</v>
      </c>
      <c r="AJ42" s="13">
        <f>AI42*VLOOKUP('Données projet'!$B$10,Paramètres!$A$1:$I$89,3,0)*VLOOKUP('Données projet'!$B$10,Paramètres!$A$1:$I$89,5,0)</f>
        <v>227.63445000000002</v>
      </c>
      <c r="AK42" s="13">
        <f t="shared" si="35"/>
        <v>55.770886966725193</v>
      </c>
      <c r="AL42" s="20">
        <f t="shared" si="4"/>
        <v>493.59762855037974</v>
      </c>
      <c r="AM42" s="59">
        <f t="shared" si="5"/>
        <v>740.60702564048688</v>
      </c>
      <c r="AN42" s="59">
        <f ca="1">AVERAGE(OFFSET($AM$3,0,0,'Données projet'!$E$10+1,1))-AVERAGE(OFFSET($H$3,0,0,'Données projet'!$E$10+1,1))</f>
        <v>337.99164391755608</v>
      </c>
      <c r="AO42" s="59">
        <f t="shared" si="36"/>
        <v>421.45428231923393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23.111981598186613</v>
      </c>
      <c r="AV42" s="21">
        <f>EXP(-LN(2)/25)*AV41+(1-EXP(-LN(2)/25))/(LN(2)/25)*Calculateur!AQ42*Calculateur!AS42*VLOOKUP('Données projet'!$B$10,Paramètres!$A$1:$I$89,3,0)*0.475*44/12</f>
        <v>15.956516135630688</v>
      </c>
      <c r="AW42" s="21">
        <f>EXP(-LN(2)/2)*AW41+(1-EXP(-LN(2)/2))/(LN(2)/2)*AQ42*AT42*VLOOKUP('Données projet'!$B$10,Paramètres!$A$1:$I$89,3,0)*0.475*44/12</f>
        <v>0.57976967933259782</v>
      </c>
      <c r="AX42" s="21">
        <f t="shared" si="6"/>
        <v>39.648267413149902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9.3141025641025621</v>
      </c>
      <c r="BD42" s="12">
        <f>IF('Données projet'!$A$88&gt;35,BD41+BC42-BL41,IF(A42&lt;'Données projet'!$A$88,$BA$205^A42,IF(A42='Données projet'!$A$88,'Données projet'!$B$88,BD41+BC42-BL41)))</f>
        <v>138.82051282051285</v>
      </c>
      <c r="BE42" s="13">
        <f>BD42*VLOOKUP('Données projet'!$B$11,Paramètres!$A$1:$I$89,3,0)*VLOOKUP('Données projet'!$B$11,Paramètres!$A$1:$I$89,5,0)</f>
        <v>140.76400000000004</v>
      </c>
      <c r="BF42" s="13">
        <f t="shared" si="37"/>
        <v>36.471971691246594</v>
      </c>
      <c r="BG42" s="20">
        <f t="shared" si="7"/>
        <v>308.68598402892115</v>
      </c>
      <c r="BH42" s="59">
        <f t="shared" si="8"/>
        <v>555.6953811190283</v>
      </c>
      <c r="BI42" s="59">
        <f ca="1">AVERAGE(OFFSET($BH$3,0,0,'Données projet'!$E$11+1,1))-AVERAGE(OFFSET($H$3,0,0,'Données projet'!$E$11+1,1))</f>
        <v>462.74754756814662</v>
      </c>
      <c r="BJ42" s="59">
        <f t="shared" si="38"/>
        <v>327.65191293226667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9.8000000000000007</v>
      </c>
      <c r="BY42" s="12">
        <f>IF('Données projet'!$A$114&gt;35,BY41+BX42-CG41,IF(A42&lt;'Données projet'!$A$114,$BV$205^A42,IF(A42='Données projet'!$A$114,'Données projet'!$B$114,BY41+BX42-CG41)))</f>
        <v>196.20000000000007</v>
      </c>
      <c r="BZ42" s="13">
        <f>BY42*VLOOKUP('Données projet'!$B$12,Paramètres!$A$1:$I$89,3,0)*VLOOKUP('Données projet'!$B$12,Paramètres!$A$1:$I$89,5,0)</f>
        <v>171.40032000000011</v>
      </c>
      <c r="CA42" s="13">
        <f t="shared" si="39"/>
        <v>43.40349878862115</v>
      </c>
      <c r="CB42" s="20">
        <f t="shared" si="10"/>
        <v>374.11665105684864</v>
      </c>
      <c r="CC42" s="59">
        <f t="shared" si="11"/>
        <v>621.12604814695578</v>
      </c>
      <c r="CD42" s="59">
        <f ca="1">AVERAGE(OFFSET($CC$3,0,0,'Données projet'!$E$12+1,1))-AVERAGE(OFFSET($H$3,0,0,'Données projet'!$E$12+1,1))</f>
        <v>411.67183422518411</v>
      </c>
      <c r="CE42" s="59">
        <f t="shared" si="40"/>
        <v>379.16642539721556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11.079992559334718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11.079992559334718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9.3141025641025621</v>
      </c>
      <c r="N43" s="13">
        <f>IF('Données projet'!$A$36&gt;35,N42+M43-V42,IF(A43&lt;'Données projet'!$A$36,$K$205^A43,IF(A43='Données projet'!$A$36,'Données projet'!$B$36,N42+M43-V42)))</f>
        <v>148.13461538461542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542.08260950523436</v>
      </c>
      <c r="S43" s="59">
        <f ca="1">AVERAGE(OFFSET($R$3,0,0,'Données projet'!$E$9+1,1))-AVERAGE(OFFSET($H$3,0,0,'Données projet'!$E$9+1,1))</f>
        <v>421.33534980160005</v>
      </c>
      <c r="T43" s="59">
        <f t="shared" si="34"/>
        <v>299.0473530693472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398.71538461538461</v>
      </c>
      <c r="AG43" s="12">
        <f>VLOOKUP(A43,'Données projet'!$A$61:$I$81,9,0)</f>
        <v>18.055769230769229</v>
      </c>
      <c r="AH43" s="12">
        <f t="array" ref="AH43">INDEX(AG:AG,MIN(IF(ISNUMBER(AG43:AG239),ROW(AG43:AG239),"")))</f>
        <v>18.055769230769229</v>
      </c>
      <c r="AI43" s="13">
        <f>IF('Données projet'!$A$62&gt;35,AI42+AH43-AQ42,IF(A43&lt;'Données projet'!$A$62,$AF$205^A43,IF(A43='Données projet'!$A$62,'Données projet'!$B$62,AI42+AH43-AQ42)))</f>
        <v>398.71538461538461</v>
      </c>
      <c r="AJ43" s="13">
        <f>AI43*VLOOKUP('Données projet'!$B$10,Paramètres!$A$1:$I$89,3,0)*VLOOKUP('Données projet'!$B$10,Paramètres!$A$1:$I$89,5,0)</f>
        <v>238.43180000000001</v>
      </c>
      <c r="AK43" s="13">
        <f t="shared" si="35"/>
        <v>58.101995988242535</v>
      </c>
      <c r="AL43" s="20">
        <f t="shared" si="4"/>
        <v>516.46302801285583</v>
      </c>
      <c r="AM43" s="59">
        <f t="shared" si="5"/>
        <v>764.27604183197661</v>
      </c>
      <c r="AN43" s="59">
        <f ca="1">AVERAGE(OFFSET($AM$3,0,0,'Données projet'!$E$10+1,1))-AVERAGE(OFFSET($H$3,0,0,'Données projet'!$E$10+1,1))</f>
        <v>337.99164391755608</v>
      </c>
      <c r="AO43" s="59">
        <f t="shared" si="36"/>
        <v>421.45428231923393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92.661538461538456</v>
      </c>
      <c r="AR43" s="16">
        <f>IF(ISNA(VLOOKUP(A43,'Données projet'!$A$61:$I$81,5,0)),0%,VLOOKUP(A43,'Données projet'!$A$61:$I$81,5,0)*VLOOKUP('Données projet'!$B$10,Paramètres!$A$1:$I$89,7,0))</f>
        <v>0.315</v>
      </c>
      <c r="AS43" s="16">
        <f>IF(ISNA(VLOOKUP(A43,'Données projet'!$A$61:$I$81,6,0)),0%,VLOOKUP(A43,'Données projet'!$A$61:$I$81,6,0)*VLOOKUP('Données projet'!$B$10,Paramètres!$A$1:$I$89,7,0))</f>
        <v>7.5600000000000001E-2</v>
      </c>
      <c r="AT43" s="16">
        <f>IF(ISNA(VLOOKUP(A43,'Données projet'!$A$61:$I$81,7,0)),0%,VLOOKUP(A43,'Données projet'!$A$61:$I$81,7,0))</f>
        <v>0.13200000000000001</v>
      </c>
      <c r="AU43" s="21">
        <f>EXP(-LN(2)/35)*AU42+(1-EXP(-LN(2)/35))/(LN(2)/35)*AQ43*AR43*VLOOKUP('Données projet'!$B$10,Paramètres!$A$1:$I$89,3,0)*0.475*44/12</f>
        <v>45.813493314358581</v>
      </c>
      <c r="AV43" s="21">
        <f>EXP(-LN(2)/25)*AV42+(1-EXP(-LN(2)/25))/(LN(2)/25)*Calculateur!AQ43*Calculateur!AS43*VLOOKUP('Données projet'!$B$10,Paramètres!$A$1:$I$89,3,0)*0.475*44/12</f>
        <v>21.055437468951411</v>
      </c>
      <c r="AW43" s="21">
        <f>EXP(-LN(2)/2)*AW42+(1-EXP(-LN(2)/2))/(LN(2)/2)*AQ43*AT43*VLOOKUP('Données projet'!$B$10,Paramètres!$A$1:$I$89,3,0)*0.475*44/12</f>
        <v>8.6914810912279421</v>
      </c>
      <c r="AX43" s="21">
        <f t="shared" si="6"/>
        <v>75.560411874537934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9.3141025641025621</v>
      </c>
      <c r="BD43" s="12">
        <f>IF('Données projet'!$A$88&gt;35,BD42+BC43-BL42,IF(A43&lt;'Données projet'!$A$88,$BA$205^A43,IF(A43='Données projet'!$A$88,'Données projet'!$B$88,BD42+BC43-BL42)))</f>
        <v>148.13461538461542</v>
      </c>
      <c r="BE43" s="13">
        <f>BD43*VLOOKUP('Données projet'!$B$11,Paramètres!$A$1:$I$89,3,0)*VLOOKUP('Données projet'!$B$11,Paramètres!$A$1:$I$89,5,0)</f>
        <v>150.20850000000004</v>
      </c>
      <c r="BF43" s="13">
        <f t="shared" si="37"/>
        <v>38.625964162869636</v>
      </c>
      <c r="BG43" s="20">
        <f t="shared" si="7"/>
        <v>328.88669175033129</v>
      </c>
      <c r="BH43" s="59">
        <f t="shared" si="8"/>
        <v>576.69970556945214</v>
      </c>
      <c r="BI43" s="59">
        <f ca="1">AVERAGE(OFFSET($BH$3,0,0,'Données projet'!$E$11+1,1))-AVERAGE(OFFSET($H$3,0,0,'Données projet'!$E$11+1,1))</f>
        <v>462.74754756814662</v>
      </c>
      <c r="BJ43" s="59">
        <f t="shared" si="38"/>
        <v>327.65191293226667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206</v>
      </c>
      <c r="BW43" s="12">
        <f>VLOOKUP(A43,'Données projet'!$A$113:$I$133,9,0)</f>
        <v>9.8000000000000007</v>
      </c>
      <c r="BX43" s="12">
        <f t="array" ref="BX43">INDEX(BW:BW,MIN(IF(ISNUMBER(BW43:BW239),ROW(BW43:BW239),"")))</f>
        <v>9.8000000000000007</v>
      </c>
      <c r="BY43" s="12">
        <f>IF('Données projet'!$A$114&gt;35,BY42+BX43-CG42,IF(A43&lt;'Données projet'!$A$114,$BV$205^A43,IF(A43='Données projet'!$A$114,'Données projet'!$B$114,BY42+BX43-CG42)))</f>
        <v>206.00000000000009</v>
      </c>
      <c r="BZ43" s="13">
        <f>BY43*VLOOKUP('Données projet'!$B$12,Paramètres!$A$1:$I$89,3,0)*VLOOKUP('Données projet'!$B$12,Paramètres!$A$1:$I$89,5,0)</f>
        <v>179.96160000000009</v>
      </c>
      <c r="CA43" s="13">
        <f t="shared" si="39"/>
        <v>45.313642767960104</v>
      </c>
      <c r="CB43" s="20">
        <f t="shared" si="10"/>
        <v>392.35438115419737</v>
      </c>
      <c r="CC43" s="59">
        <f t="shared" si="11"/>
        <v>640.16739497331821</v>
      </c>
      <c r="CD43" s="59">
        <f ca="1">AVERAGE(OFFSET($CC$3,0,0,'Données projet'!$E$12+1,1))-AVERAGE(OFFSET($H$3,0,0,'Données projet'!$E$12+1,1))</f>
        <v>411.67183422518411</v>
      </c>
      <c r="CE43" s="59">
        <f t="shared" si="40"/>
        <v>379.16642539721556</v>
      </c>
      <c r="CF43" s="15">
        <f>IF(ISNA(VLOOKUP(A43,'Données projet'!$A$113:$I$133,3,0)),0,VLOOKUP(A43,'Données projet'!$A$113:$I$133,3,0))</f>
        <v>5</v>
      </c>
      <c r="CG43" s="15" t="str">
        <f>IF(ISNA(VLOOKUP(A43,'Données projet'!$A$113:$I$133,4,0)),0,VLOOKUP(A43,'Données projet'!$A$113:$I$133,4,0))</f>
        <v>31</v>
      </c>
      <c r="CH43" s="16">
        <f>IF(ISNA(VLOOKUP(A43,'Données projet'!$A$113:$I$133,5,0)),0%,VLOOKUP(A43,'Données projet'!$A$113:$I$133,5,0)*VLOOKUP('Données projet'!$B$12,Paramètres!$A$1:$I$89,7,0))</f>
        <v>0.17200000000000001</v>
      </c>
      <c r="CI43" s="16">
        <f>IF(ISNA(VLOOKUP(A43,'Données projet'!$A$113:$I$133,6,0)),0%,VLOOKUP(A43,'Données projet'!$A$113:$I$133,6,0)*VLOOKUP('Données projet'!$B$12,Paramètres!$A$1:$I$89,7,0))</f>
        <v>0.17200000000000001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5.1493199404218428</v>
      </c>
      <c r="CL43" s="21">
        <f>EXP(-LN(2)/25)*CL42+(1-EXP(-LN(2)/25))/(LN(2)/25)*Calculateur!CG43*Calculateur!CI43*VLOOKUP('Données projet'!$B$12,Paramètres!$A$1:$I$89,3,0)*0.475*44/12</f>
        <v>15.906054685899907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21.05537462632175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9.3141025641025621</v>
      </c>
      <c r="M44" s="12">
        <f t="array" ref="M44">INDEX(L:L,MIN(IF(ISNUMBER(L44:L240),ROW(L44:L240),"")))</f>
        <v>9.3141025641025621</v>
      </c>
      <c r="N44" s="13">
        <f>IF('Données projet'!$A$36&gt;35,N43+M44-V43,IF(A44&lt;'Données projet'!$A$36,$K$205^A44,IF(A44='Données projet'!$A$36,'Données projet'!$B$36,N43+M44-V43)))</f>
        <v>157.44871794871798</v>
      </c>
      <c r="O44" s="13">
        <f>N44*VLOOKUP('Données projet'!$B$9,Paramètres!$A$1:$I$89,3,0)*VLOOKUP('Données projet'!$B$9,Paramètres!$A$1:$I$89,5,0)</f>
        <v>142.45960000000002</v>
      </c>
      <c r="P44" s="13">
        <f t="shared" si="33"/>
        <v>36.859892915688405</v>
      </c>
      <c r="Q44" s="20">
        <f t="shared" si="53"/>
        <v>312.31478349482404</v>
      </c>
      <c r="R44" s="59">
        <f t="shared" si="0"/>
        <v>560.91747308932804</v>
      </c>
      <c r="S44" s="59">
        <f ca="1">AVERAGE(OFFSET($R$3,0,0,'Données projet'!$E$9+1,1))-AVERAGE(OFFSET($H$3,0,0,'Données projet'!$E$9+1,1))</f>
        <v>421.33534980160005</v>
      </c>
      <c r="T44" s="59">
        <f t="shared" si="34"/>
        <v>299.0473530693472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15.21153846153846</v>
      </c>
      <c r="AI44" s="13">
        <f>IF('Données projet'!$A$62&gt;35,AI43+AH44-AQ43,IF(A44&lt;'Données projet'!$A$62,$AF$205^A44,IF(A44='Données projet'!$A$62,'Données projet'!$B$62,AI43+AH44-AQ43)))</f>
        <v>321.26538461538462</v>
      </c>
      <c r="AJ44" s="13">
        <f>AI44*VLOOKUP('Données projet'!$B$10,Paramètres!$A$1:$I$89,3,0)*VLOOKUP('Données projet'!$B$10,Paramètres!$A$1:$I$89,5,0)</f>
        <v>192.11670000000004</v>
      </c>
      <c r="AK44" s="13">
        <f t="shared" si="35"/>
        <v>48.007622995174927</v>
      </c>
      <c r="AL44" s="20">
        <f t="shared" si="4"/>
        <v>418.21652921659637</v>
      </c>
      <c r="AM44" s="59">
        <f t="shared" si="5"/>
        <v>666.81921881110031</v>
      </c>
      <c r="AN44" s="59">
        <f ca="1">AVERAGE(OFFSET($AM$3,0,0,'Données projet'!$E$10+1,1))-AVERAGE(OFFSET($H$3,0,0,'Données projet'!$E$10+1,1))</f>
        <v>337.99164391755608</v>
      </c>
      <c r="AO44" s="59">
        <f t="shared" si="36"/>
        <v>421.45428231923393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44.915118653935743</v>
      </c>
      <c r="AV44" s="21">
        <f>EXP(-LN(2)/25)*AV43+(1-EXP(-LN(2)/25))/(LN(2)/25)*Calculateur!AQ44*Calculateur!AS44*VLOOKUP('Données projet'!$B$10,Paramètres!$A$1:$I$89,3,0)*0.475*44/12</f>
        <v>20.479675424105601</v>
      </c>
      <c r="AW44" s="21">
        <f>EXP(-LN(2)/2)*AW43+(1-EXP(-LN(2)/2))/(LN(2)/2)*AQ44*AT44*VLOOKUP('Données projet'!$B$10,Paramètres!$A$1:$I$89,3,0)*0.475*44/12</f>
        <v>6.1458052181619323</v>
      </c>
      <c r="AX44" s="21">
        <f t="shared" si="6"/>
        <v>71.540599296203283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157.44871794871796</v>
      </c>
      <c r="BB44" s="12">
        <f>VLOOKUP(A44,'Données projet'!$A$87:$I$107,9,0)</f>
        <v>9.3141025641025621</v>
      </c>
      <c r="BC44" s="12">
        <f t="array" ref="BC44">INDEX(BB:BB,MIN(IF(ISNUMBER(BB44:BB240),ROW(BB44:BB240),"")))</f>
        <v>9.3141025641025621</v>
      </c>
      <c r="BD44" s="12">
        <f>IF('Données projet'!$A$88&gt;35,BD43+BC44-BL43,IF(A44&lt;'Données projet'!$A$88,$BA$205^A44,IF(A44='Données projet'!$A$88,'Données projet'!$B$88,BD43+BC44-BL43)))</f>
        <v>157.44871794871798</v>
      </c>
      <c r="BE44" s="13">
        <f>BD44*VLOOKUP('Données projet'!$B$11,Paramètres!$A$1:$I$89,3,0)*VLOOKUP('Données projet'!$B$11,Paramètres!$A$1:$I$89,5,0)</f>
        <v>159.65300000000005</v>
      </c>
      <c r="BF44" s="13">
        <f t="shared" si="37"/>
        <v>40.764238701185349</v>
      </c>
      <c r="BG44" s="20">
        <f t="shared" si="7"/>
        <v>349.06002407123123</v>
      </c>
      <c r="BH44" s="59">
        <f t="shared" si="8"/>
        <v>597.66271366573517</v>
      </c>
      <c r="BI44" s="59">
        <f ca="1">AVERAGE(OFFSET($BH$3,0,0,'Données projet'!$E$11+1,1))-AVERAGE(OFFSET($H$3,0,0,'Données projet'!$E$11+1,1))</f>
        <v>462.74754756814662</v>
      </c>
      <c r="BJ44" s="59">
        <f t="shared" si="38"/>
        <v>327.65191293226667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38.512820512820511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8.8000000000000007</v>
      </c>
      <c r="BY44" s="12">
        <f>IF('Données projet'!$A$114&gt;35,BY43+BX44-CG43,IF(A44&lt;'Données projet'!$A$114,$BV$205^A44,IF(A44='Données projet'!$A$114,'Données projet'!$B$114,BY43+BX44-CG43)))</f>
        <v>183.8000000000001</v>
      </c>
      <c r="BZ44" s="13">
        <f>BY44*VLOOKUP('Données projet'!$B$12,Paramètres!$A$1:$I$89,3,0)*VLOOKUP('Données projet'!$B$12,Paramètres!$A$1:$I$89,5,0)</f>
        <v>160.56768000000011</v>
      </c>
      <c r="CA44" s="13">
        <f t="shared" si="39"/>
        <v>40.970530810309917</v>
      </c>
      <c r="CB44" s="20">
        <f t="shared" si="10"/>
        <v>351.01238382795663</v>
      </c>
      <c r="CC44" s="59">
        <f t="shared" si="11"/>
        <v>599.61507342246057</v>
      </c>
      <c r="CD44" s="59">
        <f ca="1">AVERAGE(OFFSET($CC$3,0,0,'Données projet'!$E$12+1,1))-AVERAGE(OFFSET($H$3,0,0,'Données projet'!$E$12+1,1))</f>
        <v>411.67183422518411</v>
      </c>
      <c r="CE44" s="59">
        <f t="shared" si="40"/>
        <v>379.16642539721556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5.0483449171652079</v>
      </c>
      <c r="CL44" s="21">
        <f>EXP(-LN(2)/25)*CL43+(1-EXP(-LN(2)/25))/(LN(2)/25)*Calculateur!CG44*Calculateur!CI44*VLOOKUP('Données projet'!$B$12,Paramètres!$A$1:$I$89,3,0)*0.475*44/12</f>
        <v>15.471102784050911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20.519447701216119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33"/>
        <v>30.75633490516044</v>
      </c>
      <c r="Q45" s="20">
        <f t="shared" si="53"/>
        <v>255.72039353124975</v>
      </c>
      <c r="R45" s="59">
        <f t="shared" si="0"/>
        <v>505.09905979188449</v>
      </c>
      <c r="S45" s="59">
        <f ca="1">AVERAGE(OFFSET($R$3,0,0,'Données projet'!$E$9+1,1))-AVERAGE(OFFSET($H$3,0,0,'Données projet'!$E$9+1,1))</f>
        <v>421.33534980160005</v>
      </c>
      <c r="T45" s="59">
        <f t="shared" si="34"/>
        <v>299.0473530693472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15.21153846153846</v>
      </c>
      <c r="AI45" s="13">
        <f>IF('Données projet'!$A$62&gt;35,AI44+AH45-AQ44,IF(A45&lt;'Données projet'!$A$62,$AF$205^A45,IF(A45='Données projet'!$A$62,'Données projet'!$B$62,AI44+AH45-AQ44)))</f>
        <v>336.47692307692307</v>
      </c>
      <c r="AJ45" s="13">
        <f>AI45*VLOOKUP('Données projet'!$B$10,Paramètres!$A$1:$I$89,3,0)*VLOOKUP('Données projet'!$B$10,Paramètres!$A$1:$I$89,5,0)</f>
        <v>201.21320000000003</v>
      </c>
      <c r="AK45" s="13">
        <f t="shared" si="35"/>
        <v>50.010698447793764</v>
      </c>
      <c r="AL45" s="20">
        <f t="shared" si="4"/>
        <v>437.54828979657418</v>
      </c>
      <c r="AM45" s="59">
        <f t="shared" si="5"/>
        <v>686.92695605720894</v>
      </c>
      <c r="AN45" s="59">
        <f ca="1">AVERAGE(OFFSET($AM$3,0,0,'Données projet'!$E$10+1,1))-AVERAGE(OFFSET($H$3,0,0,'Données projet'!$E$10+1,1))</f>
        <v>337.99164391755608</v>
      </c>
      <c r="AO45" s="59">
        <f t="shared" si="36"/>
        <v>421.45428231923393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44.034360572649362</v>
      </c>
      <c r="AV45" s="21">
        <f>EXP(-LN(2)/25)*AV44+(1-EXP(-LN(2)/25))/(LN(2)/25)*Calculateur!AQ45*Calculateur!AS45*VLOOKUP('Données projet'!$B$10,Paramètres!$A$1:$I$89,3,0)*0.475*44/12</f>
        <v>19.91965762265411</v>
      </c>
      <c r="AW45" s="21">
        <f>EXP(-LN(2)/2)*AW44+(1-EXP(-LN(2)/2))/(LN(2)/2)*AQ45*AT45*VLOOKUP('Données projet'!$B$10,Paramètres!$A$1:$I$89,3,0)*0.475*44/12</f>
        <v>4.3457405456139719</v>
      </c>
      <c r="AX45" s="21">
        <f t="shared" si="6"/>
        <v>68.299758740917454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9.3452380952380913</v>
      </c>
      <c r="BD45" s="12">
        <f>IF('Données projet'!$A$88&gt;35,BD44+BC45-BL44,IF(A45&lt;'Données projet'!$A$88,$BA$205^A45,IF(A45='Données projet'!$A$88,'Données projet'!$B$88,BD44+BC45-BL44)))</f>
        <v>128.28113553113559</v>
      </c>
      <c r="BE45" s="13">
        <f>BD45*VLOOKUP('Données projet'!$B$11,Paramètres!$A$1:$I$89,3,0)*VLOOKUP('Données projet'!$B$11,Paramètres!$A$1:$I$89,5,0)</f>
        <v>130.07707142857151</v>
      </c>
      <c r="BF45" s="13">
        <f t="shared" si="37"/>
        <v>34.014167662270417</v>
      </c>
      <c r="BG45" s="20">
        <f t="shared" si="7"/>
        <v>285.79224141654964</v>
      </c>
      <c r="BH45" s="59">
        <f t="shared" si="8"/>
        <v>535.17090767718435</v>
      </c>
      <c r="BI45" s="59">
        <f ca="1">AVERAGE(OFFSET($BH$3,0,0,'Données projet'!$E$11+1,1))-AVERAGE(OFFSET($H$3,0,0,'Données projet'!$E$11+1,1))</f>
        <v>462.74754756814662</v>
      </c>
      <c r="BJ45" s="59">
        <f t="shared" si="38"/>
        <v>327.65191293226667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8.8000000000000007</v>
      </c>
      <c r="BY45" s="12">
        <f>IF('Données projet'!$A$114&gt;35,BY44+BX45-CG44,IF(A45&lt;'Données projet'!$A$114,$BV$205^A45,IF(A45='Données projet'!$A$114,'Données projet'!$B$114,BY44+BX45-CG44)))</f>
        <v>192.60000000000011</v>
      </c>
      <c r="BZ45" s="13">
        <f>BY45*VLOOKUP('Données projet'!$B$12,Paramètres!$A$1:$I$89,3,0)*VLOOKUP('Données projet'!$B$12,Paramètres!$A$1:$I$89,5,0)</f>
        <v>168.25536000000011</v>
      </c>
      <c r="CA45" s="13">
        <f t="shared" si="39"/>
        <v>42.699047982710923</v>
      </c>
      <c r="CB45" s="20">
        <f t="shared" si="10"/>
        <v>367.41226056988836</v>
      </c>
      <c r="CC45" s="59">
        <f t="shared" si="11"/>
        <v>616.79092683052306</v>
      </c>
      <c r="CD45" s="59">
        <f ca="1">AVERAGE(OFFSET($CC$3,0,0,'Données projet'!$E$12+1,1))-AVERAGE(OFFSET($H$3,0,0,'Données projet'!$E$12+1,1))</f>
        <v>411.67183422518411</v>
      </c>
      <c r="CE45" s="59">
        <f t="shared" si="40"/>
        <v>379.16642539721556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4.949349952525953</v>
      </c>
      <c r="CL45" s="21">
        <f>EXP(-LN(2)/25)*CL44+(1-EXP(-LN(2)/25))/(LN(2)/25)*Calculateur!CG45*Calculateur!CI45*VLOOKUP('Données projet'!$B$12,Paramètres!$A$1:$I$89,3,0)*0.475*44/12</f>
        <v>15.048044664831103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19.997394617357056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137.62637362637369</v>
      </c>
      <c r="O46" s="13">
        <f>N46*VLOOKUP('Données projet'!$B$9,Paramètres!$A$1:$I$89,3,0)*VLOOKUP('Données projet'!$B$9,Paramètres!$A$1:$I$89,5,0)</f>
        <v>124.52434285714291</v>
      </c>
      <c r="P46" s="13">
        <f t="shared" si="33"/>
        <v>32.727944326790649</v>
      </c>
      <c r="Q46" s="20">
        <f t="shared" si="53"/>
        <v>273.88106684535092</v>
      </c>
      <c r="R46" s="59">
        <f t="shared" si="0"/>
        <v>524.02224831178296</v>
      </c>
      <c r="S46" s="59">
        <f ca="1">AVERAGE(OFFSET($R$3,0,0,'Données projet'!$E$9+1,1))-AVERAGE(OFFSET($H$3,0,0,'Données projet'!$E$9+1,1))</f>
        <v>421.33534980160005</v>
      </c>
      <c r="T46" s="59">
        <f t="shared" si="34"/>
        <v>299.0473530693472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15.21153846153846</v>
      </c>
      <c r="AI46" s="13">
        <f>IF('Données projet'!$A$62&gt;35,AI45+AH46-AQ45,IF(A46&lt;'Données projet'!$A$62,$AF$205^A46,IF(A46='Données projet'!$A$62,'Données projet'!$B$62,AI45+AH46-AQ45)))</f>
        <v>351.68846153846152</v>
      </c>
      <c r="AJ46" s="13">
        <f>AI46*VLOOKUP('Données projet'!$B$10,Paramètres!$A$1:$I$89,3,0)*VLOOKUP('Données projet'!$B$10,Paramètres!$A$1:$I$89,5,0)</f>
        <v>210.30970000000002</v>
      </c>
      <c r="AK46" s="13">
        <f t="shared" si="35"/>
        <v>52.003257134609832</v>
      </c>
      <c r="AL46" s="20">
        <f t="shared" si="4"/>
        <v>456.86173367611218</v>
      </c>
      <c r="AM46" s="59">
        <f t="shared" si="5"/>
        <v>707.00291514254423</v>
      </c>
      <c r="AN46" s="59">
        <f ca="1">AVERAGE(OFFSET($AM$3,0,0,'Données projet'!$E$10+1,1))-AVERAGE(OFFSET($H$3,0,0,'Données projet'!$E$10+1,1))</f>
        <v>337.99164391755608</v>
      </c>
      <c r="AO46" s="59">
        <f t="shared" si="36"/>
        <v>421.45428231923393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43.170873620127622</v>
      </c>
      <c r="AV46" s="21">
        <f>EXP(-LN(2)/25)*AV45+(1-EXP(-LN(2)/25))/(LN(2)/25)*Calculateur!AQ46*Calculateur!AS46*VLOOKUP('Données projet'!$B$10,Paramètres!$A$1:$I$89,3,0)*0.475*44/12</f>
        <v>19.374953537433367</v>
      </c>
      <c r="AW46" s="21">
        <f>EXP(-LN(2)/2)*AW45+(1-EXP(-LN(2)/2))/(LN(2)/2)*AQ46*AT46*VLOOKUP('Données projet'!$B$10,Paramètres!$A$1:$I$89,3,0)*0.475*44/12</f>
        <v>3.0729026090809666</v>
      </c>
      <c r="AX46" s="21">
        <f t="shared" si="6"/>
        <v>65.618729766641962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9.3452380952380913</v>
      </c>
      <c r="BD46" s="12">
        <f>IF('Données projet'!$A$88&gt;35,BD45+BC46-BL45,IF(A46&lt;'Données projet'!$A$88,$BA$205^A46,IF(A46='Données projet'!$A$88,'Données projet'!$B$88,BD45+BC46-BL45)))</f>
        <v>137.62637362637369</v>
      </c>
      <c r="BE46" s="13">
        <f>BD46*VLOOKUP('Données projet'!$B$11,Paramètres!$A$1:$I$89,3,0)*VLOOKUP('Données projet'!$B$11,Paramètres!$A$1:$I$89,5,0)</f>
        <v>139.55314285714292</v>
      </c>
      <c r="BF46" s="13">
        <f t="shared" si="37"/>
        <v>36.19461775941739</v>
      </c>
      <c r="BG46" s="20">
        <f t="shared" si="7"/>
        <v>306.09401640717584</v>
      </c>
      <c r="BH46" s="59">
        <f t="shared" si="8"/>
        <v>556.23519787360783</v>
      </c>
      <c r="BI46" s="59">
        <f ca="1">AVERAGE(OFFSET($BH$3,0,0,'Données projet'!$E$11+1,1))-AVERAGE(OFFSET($H$3,0,0,'Données projet'!$E$11+1,1))</f>
        <v>462.74754756814662</v>
      </c>
      <c r="BJ46" s="59">
        <f t="shared" si="38"/>
        <v>327.65191293226667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8.8000000000000007</v>
      </c>
      <c r="BY46" s="12">
        <f>IF('Données projet'!$A$114&gt;35,BY45+BX46-CG45,IF(A46&lt;'Données projet'!$A$114,$BV$205^A46,IF(A46='Données projet'!$A$114,'Données projet'!$B$114,BY45+BX46-CG45)))</f>
        <v>201.40000000000012</v>
      </c>
      <c r="BZ46" s="13">
        <f>BY46*VLOOKUP('Données projet'!$B$12,Paramètres!$A$1:$I$89,3,0)*VLOOKUP('Données projet'!$B$12,Paramètres!$A$1:$I$89,5,0)</f>
        <v>175.94304000000014</v>
      </c>
      <c r="CA46" s="13">
        <f t="shared" si="39"/>
        <v>44.418393276556458</v>
      </c>
      <c r="CB46" s="20">
        <f t="shared" si="10"/>
        <v>383.79616295666938</v>
      </c>
      <c r="CC46" s="59">
        <f t="shared" si="11"/>
        <v>633.93734442310142</v>
      </c>
      <c r="CD46" s="59">
        <f ca="1">AVERAGE(OFFSET($CC$3,0,0,'Données projet'!$E$12+1,1))-AVERAGE(OFFSET($H$3,0,0,'Données projet'!$E$12+1,1))</f>
        <v>411.67183422518411</v>
      </c>
      <c r="CE46" s="59">
        <f t="shared" si="40"/>
        <v>379.16642539721556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4.8522962187623078</v>
      </c>
      <c r="CL46" s="21">
        <f>EXP(-LN(2)/25)*CL45+(1-EXP(-LN(2)/25))/(LN(2)/25)*Calculateur!CG46*Calculateur!CI46*VLOOKUP('Données projet'!$B$12,Paramètres!$A$1:$I$89,3,0)*0.475*44/12</f>
        <v>14.63655509212902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19.488851310891327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146.97161172161179</v>
      </c>
      <c r="O47" s="13">
        <f>N47*VLOOKUP('Données projet'!$B$9,Paramètres!$A$1:$I$89,3,0)*VLOOKUP('Données projet'!$B$9,Paramètres!$A$1:$I$89,5,0)</f>
        <v>132.97991428571436</v>
      </c>
      <c r="P47" s="13">
        <f t="shared" si="33"/>
        <v>34.684019161942608</v>
      </c>
      <c r="Q47" s="20">
        <f t="shared" si="53"/>
        <v>292.01468408800253</v>
      </c>
      <c r="R47" s="59">
        <f t="shared" si="0"/>
        <v>542.90515282614001</v>
      </c>
      <c r="S47" s="59">
        <f ca="1">AVERAGE(OFFSET($R$3,0,0,'Données projet'!$E$9+1,1))-AVERAGE(OFFSET($H$3,0,0,'Données projet'!$E$9+1,1))</f>
        <v>421.33534980160005</v>
      </c>
      <c r="T47" s="59">
        <f t="shared" si="34"/>
        <v>299.0473530693472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15.21153846153846</v>
      </c>
      <c r="AI47" s="13">
        <f>IF('Données projet'!$A$62&gt;35,AI46+AH47-AQ46,IF(A47&lt;'Données projet'!$A$62,$AF$205^A47,IF(A47='Données projet'!$A$62,'Données projet'!$B$62,AI46+AH47-AQ46)))</f>
        <v>366.9</v>
      </c>
      <c r="AJ47" s="13">
        <f>AI47*VLOOKUP('Données projet'!$B$10,Paramètres!$A$1:$I$89,3,0)*VLOOKUP('Données projet'!$B$10,Paramètres!$A$1:$I$89,5,0)</f>
        <v>219.40620000000001</v>
      </c>
      <c r="AK47" s="13">
        <f t="shared" si="35"/>
        <v>53.985805930473333</v>
      </c>
      <c r="AL47" s="20">
        <f t="shared" si="4"/>
        <v>476.15774366224105</v>
      </c>
      <c r="AM47" s="59">
        <f t="shared" si="5"/>
        <v>727.04821240037847</v>
      </c>
      <c r="AN47" s="59">
        <f ca="1">AVERAGE(OFFSET($AM$3,0,0,'Données projet'!$E$10+1,1))-AVERAGE(OFFSET($H$3,0,0,'Données projet'!$E$10+1,1))</f>
        <v>337.99164391755608</v>
      </c>
      <c r="AO47" s="59">
        <f t="shared" si="36"/>
        <v>421.45428231923393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42.324319120069795</v>
      </c>
      <c r="AV47" s="21">
        <f>EXP(-LN(2)/25)*AV46+(1-EXP(-LN(2)/25))/(LN(2)/25)*Calculateur!AQ47*Calculateur!AS47*VLOOKUP('Données projet'!$B$10,Paramètres!$A$1:$I$89,3,0)*0.475*44/12</f>
        <v>18.845144414067725</v>
      </c>
      <c r="AW47" s="21">
        <f>EXP(-LN(2)/2)*AW46+(1-EXP(-LN(2)/2))/(LN(2)/2)*AQ47*AT47*VLOOKUP('Données projet'!$B$10,Paramètres!$A$1:$I$89,3,0)*0.475*44/12</f>
        <v>2.172870272806986</v>
      </c>
      <c r="AX47" s="21">
        <f t="shared" si="6"/>
        <v>63.342333806944509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9.3452380952380913</v>
      </c>
      <c r="BD47" s="12">
        <f>IF('Données projet'!$A$88&gt;35,BD46+BC47-BL46,IF(A47&lt;'Données projet'!$A$88,$BA$205^A47,IF(A47='Données projet'!$A$88,'Données projet'!$B$88,BD46+BC47-BL46)))</f>
        <v>146.97161172161179</v>
      </c>
      <c r="BE47" s="13">
        <f>BD47*VLOOKUP('Données projet'!$B$11,Paramètres!$A$1:$I$89,3,0)*VLOOKUP('Données projet'!$B$11,Paramètres!$A$1:$I$89,5,0)</f>
        <v>149.02921428571437</v>
      </c>
      <c r="BF47" s="13">
        <f t="shared" si="37"/>
        <v>38.357887785185099</v>
      </c>
      <c r="BG47" s="20">
        <f t="shared" si="7"/>
        <v>326.36586944014988</v>
      </c>
      <c r="BH47" s="59">
        <f t="shared" si="8"/>
        <v>577.25633817828725</v>
      </c>
      <c r="BI47" s="59">
        <f ca="1">AVERAGE(OFFSET($BH$3,0,0,'Données projet'!$E$11+1,1))-AVERAGE(OFFSET($H$3,0,0,'Données projet'!$E$11+1,1))</f>
        <v>462.74754756814662</v>
      </c>
      <c r="BJ47" s="59">
        <f t="shared" si="38"/>
        <v>327.65191293226667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8.8000000000000007</v>
      </c>
      <c r="BY47" s="12">
        <f>IF('Données projet'!$A$114&gt;35,BY46+BX47-CG46,IF(A47&lt;'Données projet'!$A$114,$BV$205^A47,IF(A47='Données projet'!$A$114,'Données projet'!$B$114,BY46+BX47-CG46)))</f>
        <v>210.20000000000013</v>
      </c>
      <c r="BZ47" s="13">
        <f>BY47*VLOOKUP('Données projet'!$B$12,Paramètres!$A$1:$I$89,3,0)*VLOOKUP('Données projet'!$B$12,Paramètres!$A$1:$I$89,5,0)</f>
        <v>183.63072000000014</v>
      </c>
      <c r="CA47" s="13">
        <f t="shared" si="39"/>
        <v>46.129013251634483</v>
      </c>
      <c r="CB47" s="20">
        <f t="shared" si="10"/>
        <v>400.16486874659699</v>
      </c>
      <c r="CC47" s="59">
        <f t="shared" si="11"/>
        <v>651.05533748473442</v>
      </c>
      <c r="CD47" s="59">
        <f ca="1">AVERAGE(OFFSET($CC$3,0,0,'Données projet'!$E$12+1,1))-AVERAGE(OFFSET($H$3,0,0,'Données projet'!$E$12+1,1))</f>
        <v>411.67183422518411</v>
      </c>
      <c r="CE47" s="59">
        <f t="shared" si="40"/>
        <v>379.16642539721556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4.7571456495208349</v>
      </c>
      <c r="CL47" s="21">
        <f>EXP(-LN(2)/25)*CL46+(1-EXP(-LN(2)/25))/(LN(2)/25)*Calculateur!CG47*Calculateur!CI47*VLOOKUP('Données projet'!$B$12,Paramètres!$A$1:$I$89,3,0)*0.475*44/12</f>
        <v>14.236317723431773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18.993463372952608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156.3168498168499</v>
      </c>
      <c r="O48" s="13">
        <f>N48*VLOOKUP('Données projet'!$B$9,Paramètres!$A$1:$I$89,3,0)*VLOOKUP('Données projet'!$B$9,Paramètres!$A$1:$I$89,5,0)</f>
        <v>141.43548571428576</v>
      </c>
      <c r="P48" s="13">
        <f t="shared" si="33"/>
        <v>36.625659617511197</v>
      </c>
      <c r="Q48" s="20">
        <f t="shared" si="53"/>
        <v>310.12316145287969</v>
      </c>
      <c r="R48" s="59">
        <f t="shared" si="0"/>
        <v>561.74991900371379</v>
      </c>
      <c r="S48" s="59">
        <f ca="1">AVERAGE(OFFSET($R$3,0,0,'Données projet'!$E$9+1,1))-AVERAGE(OFFSET($H$3,0,0,'Données projet'!$E$9+1,1))</f>
        <v>421.33534980160005</v>
      </c>
      <c r="T48" s="59">
        <f t="shared" si="34"/>
        <v>299.0473530693472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15.21153846153846</v>
      </c>
      <c r="AI48" s="13">
        <f>IF('Données projet'!$A$62&gt;35,AI47+AH48-AQ47,IF(A48&lt;'Données projet'!$A$62,$AF$205^A48,IF(A48='Données projet'!$A$62,'Données projet'!$B$62,AI47+AH48-AQ47)))</f>
        <v>382.11153846153843</v>
      </c>
      <c r="AJ48" s="13">
        <f>AI48*VLOOKUP('Données projet'!$B$10,Paramètres!$A$1:$I$89,3,0)*VLOOKUP('Données projet'!$B$10,Paramètres!$A$1:$I$89,5,0)</f>
        <v>228.5027</v>
      </c>
      <c r="AK48" s="13">
        <f t="shared" si="35"/>
        <v>55.958807302542631</v>
      </c>
      <c r="AL48" s="20">
        <f t="shared" si="4"/>
        <v>495.4371252185951</v>
      </c>
      <c r="AM48" s="59">
        <f t="shared" si="5"/>
        <v>747.06388276942926</v>
      </c>
      <c r="AN48" s="59">
        <f ca="1">AVERAGE(OFFSET($AM$3,0,0,'Données projet'!$E$10+1,1))-AVERAGE(OFFSET($H$3,0,0,'Données projet'!$E$10+1,1))</f>
        <v>337.99164391755608</v>
      </c>
      <c r="AO48" s="59">
        <f t="shared" si="36"/>
        <v>421.45428231923393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41.494365037410844</v>
      </c>
      <c r="AV48" s="21">
        <f>EXP(-LN(2)/25)*AV47+(1-EXP(-LN(2)/25))/(LN(2)/25)*Calculateur!AQ48*Calculateur!AS48*VLOOKUP('Données projet'!$B$10,Paramètres!$A$1:$I$89,3,0)*0.475*44/12</f>
        <v>18.329822949041969</v>
      </c>
      <c r="AW48" s="21">
        <f>EXP(-LN(2)/2)*AW47+(1-EXP(-LN(2)/2))/(LN(2)/2)*AQ48*AT48*VLOOKUP('Données projet'!$B$10,Paramètres!$A$1:$I$89,3,0)*0.475*44/12</f>
        <v>1.5364513045404833</v>
      </c>
      <c r="AX48" s="21">
        <f t="shared" si="6"/>
        <v>61.360639290993298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9.3452380952380913</v>
      </c>
      <c r="BD48" s="12">
        <f>IF('Données projet'!$A$88&gt;35,BD47+BC48-BL47,IF(A48&lt;'Données projet'!$A$88,$BA$205^A48,IF(A48='Données projet'!$A$88,'Données projet'!$B$88,BD47+BC48-BL47)))</f>
        <v>156.3168498168499</v>
      </c>
      <c r="BE48" s="13">
        <f>BD48*VLOOKUP('Données projet'!$B$11,Paramètres!$A$1:$I$89,3,0)*VLOOKUP('Données projet'!$B$11,Paramètres!$A$1:$I$89,5,0)</f>
        <v>158.5052857142858</v>
      </c>
      <c r="BF48" s="13">
        <f t="shared" si="37"/>
        <v>40.505194484738432</v>
      </c>
      <c r="BG48" s="20">
        <f t="shared" si="7"/>
        <v>346.60991967996728</v>
      </c>
      <c r="BH48" s="59">
        <f t="shared" si="8"/>
        <v>598.23667723080143</v>
      </c>
      <c r="BI48" s="59">
        <f ca="1">AVERAGE(OFFSET($BH$3,0,0,'Données projet'!$E$11+1,1))-AVERAGE(OFFSET($H$3,0,0,'Données projet'!$E$11+1,1))</f>
        <v>462.74754756814662</v>
      </c>
      <c r="BJ48" s="59">
        <f t="shared" si="38"/>
        <v>327.65191293226667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219</v>
      </c>
      <c r="BW48" s="12">
        <f>VLOOKUP(A48,'Données projet'!$A$113:$I$133,9,0)</f>
        <v>8.8000000000000007</v>
      </c>
      <c r="BX48" s="12">
        <f t="array" ref="BX48">INDEX(BW:BW,MIN(IF(ISNUMBER(BW48:BW244),ROW(BW48:BW244),"")))</f>
        <v>8.8000000000000007</v>
      </c>
      <c r="BY48" s="12">
        <f>IF('Données projet'!$A$114&gt;35,BY47+BX48-CG47,IF(A48&lt;'Données projet'!$A$114,$BV$205^A48,IF(A48='Données projet'!$A$114,'Données projet'!$B$114,BY47+BX48-CG47)))</f>
        <v>219.00000000000014</v>
      </c>
      <c r="BZ48" s="13">
        <f>BY48*VLOOKUP('Données projet'!$B$12,Paramètres!$A$1:$I$89,3,0)*VLOOKUP('Données projet'!$B$12,Paramètres!$A$1:$I$89,5,0)</f>
        <v>191.31840000000014</v>
      </c>
      <c r="CA48" s="13">
        <f t="shared" si="39"/>
        <v>47.831314962098396</v>
      </c>
      <c r="CB48" s="20">
        <f t="shared" si="10"/>
        <v>416.51908689232158</v>
      </c>
      <c r="CC48" s="59">
        <f t="shared" si="11"/>
        <v>668.14584444315574</v>
      </c>
      <c r="CD48" s="59">
        <f ca="1">AVERAGE(OFFSET($CC$3,0,0,'Données projet'!$E$12+1,1))-AVERAGE(OFFSET($H$3,0,0,'Données projet'!$E$12+1,1))</f>
        <v>411.67183422518411</v>
      </c>
      <c r="CE48" s="59">
        <f t="shared" si="40"/>
        <v>379.16642539721556</v>
      </c>
      <c r="CF48" s="15">
        <f>IF(ISNA(VLOOKUP(A48,'Données projet'!$A$113:$I$133,3,0)),0,VLOOKUP(A48,'Données projet'!$A$113:$I$133,3,0))</f>
        <v>6</v>
      </c>
      <c r="CG48" s="15" t="str">
        <f>IF(ISNA(VLOOKUP(A48,'Données projet'!$A$113:$I$133,4,0)),0,VLOOKUP(A48,'Données projet'!$A$113:$I$133,4,0))</f>
        <v>30</v>
      </c>
      <c r="CH48" s="16">
        <f>IF(ISNA(VLOOKUP(A48,'Données projet'!$A$113:$I$133,5,0)),0%,VLOOKUP(A48,'Données projet'!$A$113:$I$133,5,0)*VLOOKUP('Données projet'!$B$12,Paramètres!$A$1:$I$89,7,0))</f>
        <v>0.17200000000000001</v>
      </c>
      <c r="CI48" s="16">
        <f>IF(ISNA(VLOOKUP(A48,'Données projet'!$A$113:$I$133,6,0)),0%,VLOOKUP(A48,'Données projet'!$A$113:$I$133,6,0)*VLOOKUP('Données projet'!$B$12,Paramètres!$A$1:$I$89,7,0))</f>
        <v>0.17200000000000001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9.6470737704755969</v>
      </c>
      <c r="CL48" s="21">
        <f>EXP(-LN(2)/25)*CL47+(1-EXP(-LN(2)/25))/(LN(2)/25)*Calculateur!CG48*Calculateur!CI48*VLOOKUP('Données projet'!$B$12,Paramètres!$A$1:$I$89,3,0)*0.475*44/12</f>
        <v>18.810616904472685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28.457690674948282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165.662087912088</v>
      </c>
      <c r="O49" s="13">
        <f>N49*VLOOKUP('Données projet'!$B$9,Paramètres!$A$1:$I$89,3,0)*VLOOKUP('Données projet'!$B$9,Paramètres!$A$1:$I$89,5,0)</f>
        <v>149.89105714285722</v>
      </c>
      <c r="P49" s="13">
        <f t="shared" si="33"/>
        <v>38.553826918856579</v>
      </c>
      <c r="Q49" s="20">
        <f t="shared" si="53"/>
        <v>328.20817307415149</v>
      </c>
      <c r="R49" s="59">
        <f t="shared" si="0"/>
        <v>580.55844647287711</v>
      </c>
      <c r="S49" s="59">
        <f ca="1">AVERAGE(OFFSET($R$3,0,0,'Données projet'!$E$9+1,1))-AVERAGE(OFFSET($H$3,0,0,'Données projet'!$E$9+1,1))</f>
        <v>421.33534980160005</v>
      </c>
      <c r="T49" s="59">
        <f t="shared" si="34"/>
        <v>299.0473530693472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15.21153846153846</v>
      </c>
      <c r="AI49" s="13">
        <f>IF('Données projet'!$A$62&gt;35,AI48+AH49-AQ48,IF(A49&lt;'Données projet'!$A$62,$AF$205^A49,IF(A49='Données projet'!$A$62,'Données projet'!$B$62,AI48+AH49-AQ48)))</f>
        <v>397.32307692307688</v>
      </c>
      <c r="AJ49" s="13">
        <f>AI49*VLOOKUP('Données projet'!$B$10,Paramètres!$A$1:$I$89,3,0)*VLOOKUP('Données projet'!$B$10,Paramètres!$A$1:$I$89,5,0)</f>
        <v>237.5992</v>
      </c>
      <c r="AK49" s="13">
        <f t="shared" si="35"/>
        <v>57.922684812819405</v>
      </c>
      <c r="AL49" s="20">
        <f t="shared" si="4"/>
        <v>514.70061604899377</v>
      </c>
      <c r="AM49" s="59">
        <f t="shared" si="5"/>
        <v>767.05088944771944</v>
      </c>
      <c r="AN49" s="59">
        <f ca="1">AVERAGE(OFFSET($AM$3,0,0,'Données projet'!$E$10+1,1))-AVERAGE(OFFSET($H$3,0,0,'Données projet'!$E$10+1,1))</f>
        <v>337.99164391755608</v>
      </c>
      <c r="AO49" s="59">
        <f t="shared" si="36"/>
        <v>421.45428231923393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40.680685848090825</v>
      </c>
      <c r="AV49" s="21">
        <f>EXP(-LN(2)/25)*AV48+(1-EXP(-LN(2)/25))/(LN(2)/25)*Calculateur!AQ49*Calculateur!AS49*VLOOKUP('Données projet'!$B$10,Paramètres!$A$1:$I$89,3,0)*0.475*44/12</f>
        <v>17.828592976576921</v>
      </c>
      <c r="AW49" s="21">
        <f>EXP(-LN(2)/2)*AW48+(1-EXP(-LN(2)/2))/(LN(2)/2)*AQ49*AT49*VLOOKUP('Données projet'!$B$10,Paramètres!$A$1:$I$89,3,0)*0.475*44/12</f>
        <v>1.086435136403493</v>
      </c>
      <c r="AX49" s="21">
        <f t="shared" si="6"/>
        <v>59.59571396107124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9.3452380952380913</v>
      </c>
      <c r="BD49" s="12">
        <f>IF('Données projet'!$A$88&gt;35,BD48+BC49-BL48,IF(A49&lt;'Données projet'!$A$88,$BA$205^A49,IF(A49='Données projet'!$A$88,'Données projet'!$B$88,BD48+BC49-BL48)))</f>
        <v>165.662087912088</v>
      </c>
      <c r="BE49" s="13">
        <f>BD49*VLOOKUP('Données projet'!$B$11,Paramètres!$A$1:$I$89,3,0)*VLOOKUP('Données projet'!$B$11,Paramètres!$A$1:$I$89,5,0)</f>
        <v>167.98135714285723</v>
      </c>
      <c r="BF49" s="13">
        <f t="shared" si="37"/>
        <v>42.637600900233188</v>
      </c>
      <c r="BG49" s="20">
        <f t="shared" si="7"/>
        <v>366.82801859171582</v>
      </c>
      <c r="BH49" s="59">
        <f t="shared" si="8"/>
        <v>619.17829199044149</v>
      </c>
      <c r="BI49" s="59">
        <f ca="1">AVERAGE(OFFSET($BH$3,0,0,'Données projet'!$E$11+1,1))-AVERAGE(OFFSET($H$3,0,0,'Données projet'!$E$11+1,1))</f>
        <v>462.74754756814662</v>
      </c>
      <c r="BJ49" s="59">
        <f t="shared" si="38"/>
        <v>327.65191293226667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197.20000000000013</v>
      </c>
      <c r="BZ49" s="13">
        <f>BY49*VLOOKUP('Données projet'!$B$12,Paramètres!$A$1:$I$89,3,0)*VLOOKUP('Données projet'!$B$12,Paramètres!$A$1:$I$89,5,0)</f>
        <v>172.27392000000015</v>
      </c>
      <c r="CA49" s="13">
        <f t="shared" si="39"/>
        <v>43.59891151369964</v>
      </c>
      <c r="CB49" s="20">
        <f t="shared" si="10"/>
        <v>375.97851488636047</v>
      </c>
      <c r="CC49" s="59">
        <f t="shared" si="11"/>
        <v>628.32878828508615</v>
      </c>
      <c r="CD49" s="59">
        <f ca="1">AVERAGE(OFFSET($CC$3,0,0,'Données projet'!$E$12+1,1))-AVERAGE(OFFSET($H$3,0,0,'Données projet'!$E$12+1,1))</f>
        <v>411.67183422518411</v>
      </c>
      <c r="CE49" s="59">
        <f t="shared" si="40"/>
        <v>379.16642539721556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9.457900537970561</v>
      </c>
      <c r="CL49" s="21">
        <f>EXP(-LN(2)/25)*CL48+(1-EXP(-LN(2)/25))/(LN(2)/25)*Calculateur!CG49*Calculateur!CI49*VLOOKUP('Données projet'!$B$12,Paramètres!$A$1:$I$89,3,0)*0.475*44/12</f>
        <v>18.29623959601253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27.754140133983093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175.0073260073261</v>
      </c>
      <c r="O50" s="13">
        <f>N50*VLOOKUP('Données projet'!$B$9,Paramètres!$A$1:$I$89,3,0)*VLOOKUP('Données projet'!$B$9,Paramètres!$A$1:$I$89,5,0)</f>
        <v>158.34662857142865</v>
      </c>
      <c r="P50" s="13">
        <f t="shared" si="33"/>
        <v>40.469367717876509</v>
      </c>
      <c r="Q50" s="20">
        <f t="shared" si="53"/>
        <v>346.2711935372065</v>
      </c>
      <c r="R50" s="59">
        <f t="shared" si="0"/>
        <v>599.33243140140189</v>
      </c>
      <c r="S50" s="59">
        <f ca="1">AVERAGE(OFFSET($R$3,0,0,'Données projet'!$E$9+1,1))-AVERAGE(OFFSET($H$3,0,0,'Données projet'!$E$9+1,1))</f>
        <v>421.33534980160005</v>
      </c>
      <c r="T50" s="59">
        <f t="shared" si="34"/>
        <v>299.0473530693472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15.21153846153846</v>
      </c>
      <c r="AI50" s="13">
        <f>IF('Données projet'!$A$62&gt;35,AI49+AH50-AQ49,IF(A50&lt;'Données projet'!$A$62,$AF$205^A50,IF(A50='Données projet'!$A$62,'Données projet'!$B$62,AI49+AH50-AQ49)))</f>
        <v>412.53461538461534</v>
      </c>
      <c r="AJ50" s="13">
        <f>AI50*VLOOKUP('Données projet'!$B$10,Paramètres!$A$1:$I$89,3,0)*VLOOKUP('Données projet'!$B$10,Paramètres!$A$1:$I$89,5,0)</f>
        <v>246.69569999999999</v>
      </c>
      <c r="AK50" s="13">
        <f t="shared" si="35"/>
        <v>59.877827754324372</v>
      </c>
      <c r="AL50" s="20">
        <f t="shared" si="4"/>
        <v>533.94889417211482</v>
      </c>
      <c r="AM50" s="59">
        <f t="shared" si="5"/>
        <v>787.01013203631021</v>
      </c>
      <c r="AN50" s="59">
        <f ca="1">AVERAGE(OFFSET($AM$3,0,0,'Données projet'!$E$10+1,1))-AVERAGE(OFFSET($H$3,0,0,'Données projet'!$E$10+1,1))</f>
        <v>337.99164391755608</v>
      </c>
      <c r="AO50" s="59">
        <f t="shared" si="36"/>
        <v>421.45428231923393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39.882962411378074</v>
      </c>
      <c r="AV50" s="21">
        <f>EXP(-LN(2)/25)*AV49+(1-EXP(-LN(2)/25))/(LN(2)/25)*Calculateur!AQ50*Calculateur!AS50*VLOOKUP('Données projet'!$B$10,Paramètres!$A$1:$I$89,3,0)*0.475*44/12</f>
        <v>17.34106916406747</v>
      </c>
      <c r="AW50" s="21">
        <f>EXP(-LN(2)/2)*AW49+(1-EXP(-LN(2)/2))/(LN(2)/2)*AQ50*AT50*VLOOKUP('Données projet'!$B$10,Paramètres!$A$1:$I$89,3,0)*0.475*44/12</f>
        <v>0.76822565227024164</v>
      </c>
      <c r="AX50" s="21">
        <f t="shared" si="6"/>
        <v>57.992257227715783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9.3452380952380913</v>
      </c>
      <c r="BD50" s="12">
        <f>IF('Données projet'!$A$88&gt;35,BD49+BC50-BL49,IF(A50&lt;'Données projet'!$A$88,$BA$205^A50,IF(A50='Données projet'!$A$88,'Données projet'!$B$88,BD49+BC50-BL49)))</f>
        <v>175.0073260073261</v>
      </c>
      <c r="BE50" s="13">
        <f>BD50*VLOOKUP('Données projet'!$B$11,Paramètres!$A$1:$I$89,3,0)*VLOOKUP('Données projet'!$B$11,Paramètres!$A$1:$I$89,5,0)</f>
        <v>177.45742857142866</v>
      </c>
      <c r="BF50" s="13">
        <f t="shared" si="37"/>
        <v>44.75604336428804</v>
      </c>
      <c r="BG50" s="20">
        <f t="shared" si="7"/>
        <v>387.02179695470659</v>
      </c>
      <c r="BH50" s="59">
        <f t="shared" si="8"/>
        <v>640.08303481890198</v>
      </c>
      <c r="BI50" s="59">
        <f ca="1">AVERAGE(OFFSET($BH$3,0,0,'Données projet'!$E$11+1,1))-AVERAGE(OFFSET($H$3,0,0,'Données projet'!$E$11+1,1))</f>
        <v>462.74754756814662</v>
      </c>
      <c r="BJ50" s="59">
        <f t="shared" si="38"/>
        <v>327.65191293226667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205.40000000000012</v>
      </c>
      <c r="BZ50" s="13">
        <f>BY50*VLOOKUP('Données projet'!$B$12,Paramètres!$A$1:$I$89,3,0)*VLOOKUP('Données projet'!$B$12,Paramètres!$A$1:$I$89,5,0)</f>
        <v>179.43744000000012</v>
      </c>
      <c r="CA50" s="13">
        <f t="shared" si="39"/>
        <v>45.197004138831659</v>
      </c>
      <c r="CB50" s="20">
        <f t="shared" si="10"/>
        <v>391.23832354179859</v>
      </c>
      <c r="CC50" s="59">
        <f t="shared" si="11"/>
        <v>644.29956140599393</v>
      </c>
      <c r="CD50" s="59">
        <f ca="1">AVERAGE(OFFSET($CC$3,0,0,'Données projet'!$E$12+1,1))-AVERAGE(OFFSET($H$3,0,0,'Données projet'!$E$12+1,1))</f>
        <v>411.67183422518411</v>
      </c>
      <c r="CE50" s="59">
        <f t="shared" si="40"/>
        <v>379.16642539721556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9.2724368771706693</v>
      </c>
      <c r="CL50" s="21">
        <f>EXP(-LN(2)/25)*CL49+(1-EXP(-LN(2)/25))/(LN(2)/25)*Calculateur!CG50*Calculateur!CI50*VLOOKUP('Données projet'!$B$12,Paramètres!$A$1:$I$89,3,0)*0.475*44/12</f>
        <v>17.795927962102144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27.068364839272814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184.3525641025642</v>
      </c>
      <c r="O51" s="13">
        <f>N51*VLOOKUP('Données projet'!$B$9,Paramètres!$A$1:$I$89,3,0)*VLOOKUP('Données projet'!$B$9,Paramètres!$A$1:$I$89,5,0)</f>
        <v>166.80220000000008</v>
      </c>
      <c r="P51" s="13">
        <f t="shared" si="33"/>
        <v>42.373033138688463</v>
      </c>
      <c r="Q51" s="20">
        <f t="shared" si="53"/>
        <v>364.31353104988256</v>
      </c>
      <c r="R51" s="59">
        <f t="shared" si="0"/>
        <v>618.07339973555031</v>
      </c>
      <c r="S51" s="59">
        <f ca="1">AVERAGE(OFFSET($R$3,0,0,'Données projet'!$E$9+1,1))-AVERAGE(OFFSET($H$3,0,0,'Données projet'!$E$9+1,1))</f>
        <v>421.33534980160005</v>
      </c>
      <c r="T51" s="59">
        <f t="shared" si="34"/>
        <v>299.0473530693472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427.74615384615385</v>
      </c>
      <c r="AG51" s="12">
        <f>VLOOKUP(A51,'Données projet'!$A$61:$I$81,9,0)</f>
        <v>15.21153846153846</v>
      </c>
      <c r="AH51" s="12">
        <f t="array" ref="AH51">INDEX(AG:AG,MIN(IF(ISNUMBER(AG51:AG247),ROW(AG51:AG247),"")))</f>
        <v>15.21153846153846</v>
      </c>
      <c r="AI51" s="13">
        <f>IF('Données projet'!$A$62&gt;35,AI50+AH51-AQ50,IF(A51&lt;'Données projet'!$A$62,$AF$205^A51,IF(A51='Données projet'!$A$62,'Données projet'!$B$62,AI50+AH51-AQ50)))</f>
        <v>427.74615384615379</v>
      </c>
      <c r="AJ51" s="13">
        <f>AI51*VLOOKUP('Données projet'!$B$10,Paramètres!$A$1:$I$89,3,0)*VLOOKUP('Données projet'!$B$10,Paramètres!$A$1:$I$89,5,0)</f>
        <v>255.79219999999998</v>
      </c>
      <c r="AK51" s="13">
        <f t="shared" si="35"/>
        <v>61.824595084245523</v>
      </c>
      <c r="AL51" s="20">
        <f t="shared" si="4"/>
        <v>553.18258477172765</v>
      </c>
      <c r="AM51" s="59">
        <f t="shared" si="5"/>
        <v>806.94245345739535</v>
      </c>
      <c r="AN51" s="59">
        <f ca="1">AVERAGE(OFFSET($AM$3,0,0,'Données projet'!$E$10+1,1))-AVERAGE(OFFSET($H$3,0,0,'Données projet'!$E$10+1,1))</f>
        <v>337.99164391755608</v>
      </c>
      <c r="AO51" s="59">
        <f t="shared" si="36"/>
        <v>421.45428231923393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83.969230769230762</v>
      </c>
      <c r="AR51" s="16">
        <f>IF(ISNA(VLOOKUP(A51,'Données projet'!$A$61:$I$81,5,0)),0%,VLOOKUP(A51,'Données projet'!$A$61:$I$81,5,0)*VLOOKUP('Données projet'!$B$10,Paramètres!$A$1:$I$89,7,0))</f>
        <v>0.315</v>
      </c>
      <c r="AS51" s="16">
        <f>IF(ISNA(VLOOKUP(A51,'Données projet'!$A$61:$I$81,6,0)),0%,VLOOKUP(A51,'Données projet'!$A$61:$I$81,6,0)*VLOOKUP('Données projet'!$B$10,Paramètres!$A$1:$I$89,7,0))</f>
        <v>7.5600000000000001E-2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60.083528580688551</v>
      </c>
      <c r="AV51" s="21">
        <f>EXP(-LN(2)/25)*AV50+(1-EXP(-LN(2)/25))/(LN(2)/25)*Calculateur!AQ51*Calculateur!AS51*VLOOKUP('Données projet'!$B$10,Paramètres!$A$1:$I$89,3,0)*0.475*44/12</f>
        <v>21.882883930435508</v>
      </c>
      <c r="AW51" s="21">
        <f>EXP(-LN(2)/2)*AW50+(1-EXP(-LN(2)/2))/(LN(2)/2)*AQ51*AT51*VLOOKUP('Données projet'!$B$10,Paramètres!$A$1:$I$89,3,0)*0.475*44/12</f>
        <v>8.0478742479516399</v>
      </c>
      <c r="AX51" s="21">
        <f t="shared" si="6"/>
        <v>90.014286759075702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184.35256410256409</v>
      </c>
      <c r="BB51" s="12">
        <f>VLOOKUP(A51,'Données projet'!$A$87:$I$107,9,0)</f>
        <v>9.3452380952380913</v>
      </c>
      <c r="BC51" s="12">
        <f t="array" ref="BC51">INDEX(BB:BB,MIN(IF(ISNUMBER(BB51:BB247),ROW(BB51:BB247),"")))</f>
        <v>9.3452380952380913</v>
      </c>
      <c r="BD51" s="12">
        <f>IF('Données projet'!$A$88&gt;35,BD50+BC51-BL50,IF(A51&lt;'Données projet'!$A$88,$BA$205^A51,IF(A51='Données projet'!$A$88,'Données projet'!$B$88,BD50+BC51-BL50)))</f>
        <v>184.3525641025642</v>
      </c>
      <c r="BE51" s="13">
        <f>BD51*VLOOKUP('Données projet'!$B$11,Paramètres!$A$1:$I$89,3,0)*VLOOKUP('Données projet'!$B$11,Paramètres!$A$1:$I$89,5,0)</f>
        <v>186.93350000000012</v>
      </c>
      <c r="BF51" s="13">
        <f t="shared" si="37"/>
        <v>46.861352563060628</v>
      </c>
      <c r="BG51" s="20">
        <f t="shared" si="7"/>
        <v>407.19270154733073</v>
      </c>
      <c r="BH51" s="59">
        <f t="shared" si="8"/>
        <v>660.95257023299837</v>
      </c>
      <c r="BI51" s="59">
        <f ca="1">AVERAGE(OFFSET($BH$3,0,0,'Données projet'!$E$11+1,1))-AVERAGE(OFFSET($H$3,0,0,'Données projet'!$E$11+1,1))</f>
        <v>462.74754756814662</v>
      </c>
      <c r="BJ51" s="59">
        <f t="shared" si="38"/>
        <v>327.65191293226667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48.025641025641022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213.60000000000011</v>
      </c>
      <c r="BZ51" s="13">
        <f>BY51*VLOOKUP('Données projet'!$B$12,Paramètres!$A$1:$I$89,3,0)*VLOOKUP('Données projet'!$B$12,Paramètres!$A$1:$I$89,5,0)</f>
        <v>186.60096000000013</v>
      </c>
      <c r="CA51" s="13">
        <f t="shared" si="39"/>
        <v>46.787685683664144</v>
      </c>
      <c r="CB51" s="20">
        <f t="shared" si="10"/>
        <v>406.48522456571527</v>
      </c>
      <c r="CC51" s="59">
        <f t="shared" si="11"/>
        <v>660.24509325138297</v>
      </c>
      <c r="CD51" s="59">
        <f ca="1">AVERAGE(OFFSET($CC$3,0,0,'Données projet'!$E$12+1,1))-AVERAGE(OFFSET($H$3,0,0,'Données projet'!$E$12+1,1))</f>
        <v>411.67183422518411</v>
      </c>
      <c r="CE51" s="59">
        <f t="shared" si="40"/>
        <v>379.16642539721556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9.0906100456374013</v>
      </c>
      <c r="CL51" s="21">
        <f>EXP(-LN(2)/25)*CL50+(1-EXP(-LN(2)/25))/(LN(2)/25)*Calculateur!CG51*Calculateur!CI51*VLOOKUP('Données projet'!$B$12,Paramètres!$A$1:$I$89,3,0)*0.475*44/12</f>
        <v>17.309297376131283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26.399907421768685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145.20054945054954</v>
      </c>
      <c r="O52" s="13">
        <f>N52*VLOOKUP('Données projet'!$B$9,Paramètres!$A$1:$I$89,3,0)*VLOOKUP('Données projet'!$B$9,Paramètres!$A$1:$I$89,5,0)</f>
        <v>131.37745714285722</v>
      </c>
      <c r="P52" s="13">
        <f t="shared" si="33"/>
        <v>34.314453722516539</v>
      </c>
      <c r="Q52" s="20">
        <f t="shared" si="53"/>
        <v>288.58007809052594</v>
      </c>
      <c r="R52" s="59">
        <f t="shared" si="0"/>
        <v>543.02645791481791</v>
      </c>
      <c r="S52" s="59">
        <f ca="1">AVERAGE(OFFSET($R$3,0,0,'Données projet'!$E$9+1,1))-AVERAGE(OFFSET($H$3,0,0,'Données projet'!$E$9+1,1))</f>
        <v>421.33534980160005</v>
      </c>
      <c r="T52" s="59">
        <f t="shared" si="34"/>
        <v>299.0473530693472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12.837499999999991</v>
      </c>
      <c r="AI52" s="13">
        <f>IF('Données projet'!$A$62&gt;35,AI51+AH52-AQ51,IF(A52&lt;'Données projet'!$A$62,$AF$205^A52,IF(A52='Données projet'!$A$62,'Données projet'!$B$62,AI51+AH52-AQ51)))</f>
        <v>356.614423076923</v>
      </c>
      <c r="AJ52" s="13">
        <f>AI52*VLOOKUP('Données projet'!$B$10,Paramètres!$A$1:$I$89,3,0)*VLOOKUP('Données projet'!$B$10,Paramètres!$A$1:$I$89,5,0)</f>
        <v>213.25542499999997</v>
      </c>
      <c r="AK52" s="13">
        <f t="shared" si="35"/>
        <v>52.646339807871037</v>
      </c>
      <c r="AL52" s="20">
        <f t="shared" si="4"/>
        <v>463.11224037370863</v>
      </c>
      <c r="AM52" s="59">
        <f t="shared" si="5"/>
        <v>717.55862019800065</v>
      </c>
      <c r="AN52" s="59">
        <f ca="1">AVERAGE(OFFSET($AM$3,0,0,'Données projet'!$E$10+1,1))-AVERAGE(OFFSET($H$3,0,0,'Données projet'!$E$10+1,1))</f>
        <v>337.99164391755608</v>
      </c>
      <c r="AO52" s="59">
        <f t="shared" si="36"/>
        <v>421.45428231923393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58.905327232555059</v>
      </c>
      <c r="AV52" s="21">
        <f>EXP(-LN(2)/25)*AV51+(1-EXP(-LN(2)/25))/(LN(2)/25)*Calculateur!AQ52*Calculateur!AS52*VLOOKUP('Données projet'!$B$10,Paramètres!$A$1:$I$89,3,0)*0.475*44/12</f>
        <v>21.284495318586895</v>
      </c>
      <c r="AW52" s="21">
        <f>EXP(-LN(2)/2)*AW51+(1-EXP(-LN(2)/2))/(LN(2)/2)*AQ52*AT52*VLOOKUP('Données projet'!$B$10,Paramètres!$A$1:$I$89,3,0)*0.475*44/12</f>
        <v>5.6907064548631912</v>
      </c>
      <c r="AX52" s="21">
        <f t="shared" si="6"/>
        <v>85.880529006005148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8.8736263736263741</v>
      </c>
      <c r="BD52" s="12">
        <f>IF('Données projet'!$A$88&gt;35,BD51+BC52-BL51,IF(A52&lt;'Données projet'!$A$88,$BA$205^A52,IF(A52='Données projet'!$A$88,'Données projet'!$B$88,BD51+BC52-BL51)))</f>
        <v>145.20054945054954</v>
      </c>
      <c r="BE52" s="13">
        <f>BD52*VLOOKUP('Données projet'!$B$11,Paramètres!$A$1:$I$89,3,0)*VLOOKUP('Données projet'!$B$11,Paramètres!$A$1:$I$89,5,0)</f>
        <v>147.23335714285724</v>
      </c>
      <c r="BF52" s="13">
        <f t="shared" si="37"/>
        <v>37.949176511309943</v>
      </c>
      <c r="BG52" s="20">
        <f t="shared" si="7"/>
        <v>322.52624611434112</v>
      </c>
      <c r="BH52" s="59">
        <f t="shared" si="8"/>
        <v>576.97262593863309</v>
      </c>
      <c r="BI52" s="59">
        <f ca="1">AVERAGE(OFFSET($BH$3,0,0,'Données projet'!$E$11+1,1))-AVERAGE(OFFSET($H$3,0,0,'Données projet'!$E$11+1,1))</f>
        <v>462.74754756814662</v>
      </c>
      <c r="BJ52" s="59">
        <f t="shared" si="38"/>
        <v>327.65191293226667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221.8000000000001</v>
      </c>
      <c r="BZ52" s="13">
        <f>BY52*VLOOKUP('Données projet'!$B$12,Paramètres!$A$1:$I$89,3,0)*VLOOKUP('Données projet'!$B$12,Paramètres!$A$1:$I$89,5,0)</f>
        <v>193.76448000000011</v>
      </c>
      <c r="CA52" s="13">
        <f t="shared" si="39"/>
        <v>48.371273222646494</v>
      </c>
      <c r="CB52" s="20">
        <f t="shared" si="10"/>
        <v>421.71977019610949</v>
      </c>
      <c r="CC52" s="59">
        <f t="shared" si="11"/>
        <v>676.16615002040146</v>
      </c>
      <c r="CD52" s="59">
        <f ca="1">AVERAGE(OFFSET($CC$3,0,0,'Données projet'!$E$12+1,1))-AVERAGE(OFFSET($H$3,0,0,'Données projet'!$E$12+1,1))</f>
        <v>411.67183422518411</v>
      </c>
      <c r="CE52" s="59">
        <f t="shared" si="40"/>
        <v>379.16642539721556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8.9123487273670836</v>
      </c>
      <c r="CL52" s="21">
        <f>EXP(-LN(2)/25)*CL51+(1-EXP(-LN(2)/25))/(LN(2)/25)*Calculateur!CG52*Calculateur!CI52*VLOOKUP('Données projet'!$B$12,Paramètres!$A$1:$I$89,3,0)*0.475*44/12</f>
        <v>16.835973729124586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25.748322456491671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154.07417582417591</v>
      </c>
      <c r="O53" s="13">
        <f>N53*VLOOKUP('Données projet'!$B$9,Paramètres!$A$1:$I$89,3,0)*VLOOKUP('Données projet'!$B$9,Paramètres!$A$1:$I$89,5,0)</f>
        <v>139.40631428571436</v>
      </c>
      <c r="P53" s="13">
        <f t="shared" si="33"/>
        <v>36.160966815041384</v>
      </c>
      <c r="Q53" s="20">
        <f t="shared" si="53"/>
        <v>305.77968125048289</v>
      </c>
      <c r="R53" s="59">
        <f t="shared" si="0"/>
        <v>560.900662779953</v>
      </c>
      <c r="S53" s="59">
        <f ca="1">AVERAGE(OFFSET($R$3,0,0,'Données projet'!$E$9+1,1))-AVERAGE(OFFSET($H$3,0,0,'Données projet'!$E$9+1,1))</f>
        <v>421.33534980160005</v>
      </c>
      <c r="T53" s="59">
        <f t="shared" si="34"/>
        <v>299.0473530693472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12.837499999999991</v>
      </c>
      <c r="AI53" s="13">
        <f>IF('Données projet'!$A$62&gt;35,AI52+AH53-AQ52,IF(A53&lt;'Données projet'!$A$62,$AF$205^A53,IF(A53='Données projet'!$A$62,'Données projet'!$B$62,AI52+AH53-AQ52)))</f>
        <v>369.45192307692298</v>
      </c>
      <c r="AJ53" s="13">
        <f>AI53*VLOOKUP('Données projet'!$B$10,Paramètres!$A$1:$I$89,3,0)*VLOOKUP('Données projet'!$B$10,Paramètres!$A$1:$I$89,5,0)</f>
        <v>220.93224999999995</v>
      </c>
      <c r="AK53" s="13">
        <f t="shared" si="35"/>
        <v>54.31745576001893</v>
      </c>
      <c r="AL53" s="20">
        <f t="shared" si="4"/>
        <v>479.3932375320328</v>
      </c>
      <c r="AM53" s="59">
        <f t="shared" si="5"/>
        <v>734.5142190615029</v>
      </c>
      <c r="AN53" s="59">
        <f ca="1">AVERAGE(OFFSET($AM$3,0,0,'Données projet'!$E$10+1,1))-AVERAGE(OFFSET($H$3,0,0,'Données projet'!$E$10+1,1))</f>
        <v>337.99164391755608</v>
      </c>
      <c r="AO53" s="59">
        <f t="shared" si="36"/>
        <v>421.45428231923393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57.750229694226604</v>
      </c>
      <c r="AV53" s="21">
        <f>EXP(-LN(2)/25)*AV52+(1-EXP(-LN(2)/25))/(LN(2)/25)*Calculateur!AQ53*Calculateur!AS53*VLOOKUP('Données projet'!$B$10,Paramètres!$A$1:$I$89,3,0)*0.475*44/12</f>
        <v>20.702469674797175</v>
      </c>
      <c r="AW53" s="21">
        <f>EXP(-LN(2)/2)*AW52+(1-EXP(-LN(2)/2))/(LN(2)/2)*AQ53*AT53*VLOOKUP('Données projet'!$B$10,Paramètres!$A$1:$I$89,3,0)*0.475*44/12</f>
        <v>4.0239371239758199</v>
      </c>
      <c r="AX53" s="21">
        <f t="shared" si="6"/>
        <v>82.476636492999603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8.8736263736263741</v>
      </c>
      <c r="BD53" s="12">
        <f>IF('Données projet'!$A$88&gt;35,BD52+BC53-BL52,IF(A53&lt;'Données projet'!$A$88,$BA$205^A53,IF(A53='Données projet'!$A$88,'Données projet'!$B$88,BD52+BC53-BL52)))</f>
        <v>154.07417582417591</v>
      </c>
      <c r="BE53" s="13">
        <f>BD53*VLOOKUP('Données projet'!$B$11,Paramètres!$A$1:$I$89,3,0)*VLOOKUP('Données projet'!$B$11,Paramètres!$A$1:$I$89,5,0)</f>
        <v>156.23121428571437</v>
      </c>
      <c r="BF53" s="13">
        <f t="shared" si="37"/>
        <v>39.991279580917869</v>
      </c>
      <c r="BG53" s="20">
        <f t="shared" si="7"/>
        <v>341.75417681771779</v>
      </c>
      <c r="BH53" s="59">
        <f t="shared" si="8"/>
        <v>596.87515834718783</v>
      </c>
      <c r="BI53" s="59">
        <f ca="1">AVERAGE(OFFSET($BH$3,0,0,'Données projet'!$E$11+1,1))-AVERAGE(OFFSET($H$3,0,0,'Données projet'!$E$11+1,1))</f>
        <v>462.74754756814662</v>
      </c>
      <c r="BJ53" s="59">
        <f t="shared" si="38"/>
        <v>327.65191293226667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230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230.00000000000009</v>
      </c>
      <c r="BZ53" s="13">
        <f>BY53*VLOOKUP('Données projet'!$B$12,Paramètres!$A$1:$I$89,3,0)*VLOOKUP('Données projet'!$B$12,Paramètres!$A$1:$I$89,5,0)</f>
        <v>200.92800000000011</v>
      </c>
      <c r="CA53" s="13">
        <f t="shared" si="39"/>
        <v>49.948059057189084</v>
      </c>
      <c r="CB53" s="20">
        <f t="shared" si="10"/>
        <v>436.94246952460452</v>
      </c>
      <c r="CC53" s="59">
        <f t="shared" si="11"/>
        <v>692.06345105407468</v>
      </c>
      <c r="CD53" s="59">
        <f ca="1">AVERAGE(OFFSET($CC$3,0,0,'Données projet'!$E$12+1,1))-AVERAGE(OFFSET($H$3,0,0,'Données projet'!$E$12+1,1))</f>
        <v>411.67183422518411</v>
      </c>
      <c r="CE53" s="59">
        <f t="shared" si="40"/>
        <v>379.16642539721556</v>
      </c>
      <c r="CF53" s="15">
        <f>IF(ISNA(VLOOKUP(A53,'Données projet'!$A$113:$I$133,3,0)),0,VLOOKUP(A53,'Données projet'!$A$113:$I$133,3,0))</f>
        <v>7</v>
      </c>
      <c r="CG53" s="15" t="str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0.17200000000000001</v>
      </c>
      <c r="CI53" s="16">
        <f>IF(ISNA(VLOOKUP(A53,'Données projet'!$A$113:$I$133,6,0)),0%,VLOOKUP(A53,'Données projet'!$A$113:$I$133,6,0)*VLOOKUP('Données projet'!$B$12,Paramètres!$A$1:$I$89,7,0))</f>
        <v>0.17200000000000001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13.38858166068427</v>
      </c>
      <c r="CL53" s="21">
        <f>EXP(-LN(2)/25)*CL52+(1-EXP(-LN(2)/25))/(LN(2)/25)*Calculateur!CG53*Calculateur!CI53*VLOOKUP('Données projet'!$B$12,Paramètres!$A$1:$I$89,3,0)*0.475*44/12</f>
        <v>21.008279044123622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34.396860704807892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162.94780219780228</v>
      </c>
      <c r="O54" s="13">
        <f>N54*VLOOKUP('Données projet'!$B$9,Paramètres!$A$1:$I$89,3,0)*VLOOKUP('Données projet'!$B$9,Paramètres!$A$1:$I$89,5,0)</f>
        <v>147.43517142857149</v>
      </c>
      <c r="P54" s="13">
        <f t="shared" si="33"/>
        <v>37.995135358244994</v>
      </c>
      <c r="Q54" s="20">
        <f t="shared" si="53"/>
        <v>322.95778432037201</v>
      </c>
      <c r="R54" s="59">
        <f t="shared" si="0"/>
        <v>578.7416647236189</v>
      </c>
      <c r="S54" s="59">
        <f ca="1">AVERAGE(OFFSET($R$3,0,0,'Données projet'!$E$9+1,1))-AVERAGE(OFFSET($H$3,0,0,'Données projet'!$E$9+1,1))</f>
        <v>421.33534980160005</v>
      </c>
      <c r="T54" s="59">
        <f t="shared" si="34"/>
        <v>299.0473530693472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12.837499999999991</v>
      </c>
      <c r="AI54" s="13">
        <f>IF('Données projet'!$A$62&gt;35,AI53+AH54-AQ53,IF(A54&lt;'Données projet'!$A$62,$AF$205^A54,IF(A54='Données projet'!$A$62,'Données projet'!$B$62,AI53+AH54-AQ53)))</f>
        <v>382.28942307692296</v>
      </c>
      <c r="AJ54" s="13">
        <f>AI54*VLOOKUP('Données projet'!$B$10,Paramètres!$A$1:$I$89,3,0)*VLOOKUP('Données projet'!$B$10,Paramètres!$A$1:$I$89,5,0)</f>
        <v>228.60907499999993</v>
      </c>
      <c r="AK54" s="13">
        <f t="shared" si="35"/>
        <v>55.981824933821947</v>
      </c>
      <c r="AL54" s="20">
        <f t="shared" si="4"/>
        <v>495.66248405140641</v>
      </c>
      <c r="AM54" s="59">
        <f t="shared" si="5"/>
        <v>751.44636445465324</v>
      </c>
      <c r="AN54" s="59">
        <f ca="1">AVERAGE(OFFSET($AM$3,0,0,'Données projet'!$E$10+1,1))-AVERAGE(OFFSET($H$3,0,0,'Données projet'!$E$10+1,1))</f>
        <v>337.99164391755608</v>
      </c>
      <c r="AO54" s="59">
        <f t="shared" si="36"/>
        <v>421.45428231923393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56.617782914084835</v>
      </c>
      <c r="AV54" s="21">
        <f>EXP(-LN(2)/25)*AV53+(1-EXP(-LN(2)/25))/(LN(2)/25)*Calculateur!AQ54*Calculateur!AS54*VLOOKUP('Données projet'!$B$10,Paramètres!$A$1:$I$89,3,0)*0.475*44/12</f>
        <v>20.136359552844283</v>
      </c>
      <c r="AW54" s="21">
        <f>EXP(-LN(2)/2)*AW53+(1-EXP(-LN(2)/2))/(LN(2)/2)*AQ54*AT54*VLOOKUP('Données projet'!$B$10,Paramètres!$A$1:$I$89,3,0)*0.475*44/12</f>
        <v>2.8453532274315956</v>
      </c>
      <c r="AX54" s="21">
        <f t="shared" si="6"/>
        <v>79.599495694360726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8.8736263736263741</v>
      </c>
      <c r="BD54" s="12">
        <f>IF('Données projet'!$A$88&gt;35,BD53+BC54-BL53,IF(A54&lt;'Données projet'!$A$88,$BA$205^A54,IF(A54='Données projet'!$A$88,'Données projet'!$B$88,BD53+BC54-BL53)))</f>
        <v>162.94780219780228</v>
      </c>
      <c r="BE54" s="13">
        <f>BD54*VLOOKUP('Données projet'!$B$11,Paramètres!$A$1:$I$89,3,0)*VLOOKUP('Données projet'!$B$11,Paramètres!$A$1:$I$89,5,0)</f>
        <v>165.22907142857153</v>
      </c>
      <c r="BF54" s="13">
        <f t="shared" si="37"/>
        <v>42.019730517668535</v>
      </c>
      <c r="BG54" s="20">
        <f t="shared" si="7"/>
        <v>360.95833005636814</v>
      </c>
      <c r="BH54" s="59">
        <f t="shared" si="8"/>
        <v>616.74221045961497</v>
      </c>
      <c r="BI54" s="59">
        <f ca="1">AVERAGE(OFFSET($BH$3,0,0,'Données projet'!$E$11+1,1))-AVERAGE(OFFSET($H$3,0,0,'Données projet'!$E$11+1,1))</f>
        <v>462.74754756814662</v>
      </c>
      <c r="BJ54" s="59">
        <f t="shared" si="38"/>
        <v>327.65191293226667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209.40000000000009</v>
      </c>
      <c r="BZ54" s="13">
        <f>BY54*VLOOKUP('Données projet'!$B$12,Paramètres!$A$1:$I$89,3,0)*VLOOKUP('Données projet'!$B$12,Paramètres!$A$1:$I$89,5,0)</f>
        <v>182.93184000000011</v>
      </c>
      <c r="CA54" s="13">
        <f t="shared" si="39"/>
        <v>45.973851929814685</v>
      </c>
      <c r="CB54" s="20">
        <f t="shared" si="10"/>
        <v>398.67741344442743</v>
      </c>
      <c r="CC54" s="59">
        <f t="shared" si="11"/>
        <v>654.46129384767426</v>
      </c>
      <c r="CD54" s="59">
        <f ca="1">AVERAGE(OFFSET($CC$3,0,0,'Données projet'!$E$12+1,1))-AVERAGE(OFFSET($H$3,0,0,'Données projet'!$E$12+1,1))</f>
        <v>411.67183422518411</v>
      </c>
      <c r="CE54" s="59">
        <f t="shared" si="40"/>
        <v>379.16642539721556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13.126039740546716</v>
      </c>
      <c r="CL54" s="21">
        <f>EXP(-LN(2)/25)*CL53+(1-EXP(-LN(2)/25))/(LN(2)/25)*Calculateur!CG54*Calculateur!CI54*VLOOKUP('Données projet'!$B$12,Paramètres!$A$1:$I$89,3,0)*0.475*44/12</f>
        <v>20.433806548884682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33.559846289431398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171.82142857142864</v>
      </c>
      <c r="O55" s="13">
        <f>N55*VLOOKUP('Données projet'!$B$9,Paramètres!$A$1:$I$89,3,0)*VLOOKUP('Données projet'!$B$9,Paramètres!$A$1:$I$89,5,0)</f>
        <v>155.46402857142863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596.55097106501921</v>
      </c>
      <c r="S55" s="59">
        <f ca="1">AVERAGE(OFFSET($R$3,0,0,'Données projet'!$E$9+1,1))-AVERAGE(OFFSET($H$3,0,0,'Données projet'!$E$9+1,1))</f>
        <v>421.33534980160005</v>
      </c>
      <c r="T55" s="59">
        <f t="shared" si="34"/>
        <v>299.0473530693472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12.837499999999991</v>
      </c>
      <c r="AI55" s="13">
        <f>IF('Données projet'!$A$62&gt;35,AI54+AH55-AQ54,IF(A55&lt;'Données projet'!$A$62,$AF$205^A55,IF(A55='Données projet'!$A$62,'Données projet'!$B$62,AI54+AH55-AQ54)))</f>
        <v>395.12692307692294</v>
      </c>
      <c r="AJ55" s="13">
        <f>AI55*VLOOKUP('Données projet'!$B$10,Paramètres!$A$1:$I$89,3,0)*VLOOKUP('Données projet'!$B$10,Paramètres!$A$1:$I$89,5,0)</f>
        <v>236.28589999999994</v>
      </c>
      <c r="AK55" s="13">
        <f t="shared" si="35"/>
        <v>57.639699864397812</v>
      </c>
      <c r="AL55" s="20">
        <f t="shared" si="4"/>
        <v>511.92041976382615</v>
      </c>
      <c r="AM55" s="59">
        <f t="shared" si="5"/>
        <v>768.35569922740956</v>
      </c>
      <c r="AN55" s="59">
        <f ca="1">AVERAGE(OFFSET($AM$3,0,0,'Données projet'!$E$10+1,1))-AVERAGE(OFFSET($H$3,0,0,'Données projet'!$E$10+1,1))</f>
        <v>337.99164391755608</v>
      </c>
      <c r="AO55" s="59">
        <f t="shared" si="36"/>
        <v>421.45428231923393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55.507542724577313</v>
      </c>
      <c r="AV55" s="21">
        <f>EXP(-LN(2)/25)*AV54+(1-EXP(-LN(2)/25))/(LN(2)/25)*Calculateur!AQ55*Calculateur!AS55*VLOOKUP('Données projet'!$B$10,Paramètres!$A$1:$I$89,3,0)*0.475*44/12</f>
        <v>19.585729741946629</v>
      </c>
      <c r="AW55" s="21">
        <f>EXP(-LN(2)/2)*AW54+(1-EXP(-LN(2)/2))/(LN(2)/2)*AQ55*AT55*VLOOKUP('Données projet'!$B$10,Paramètres!$A$1:$I$89,3,0)*0.475*44/12</f>
        <v>2.01196856198791</v>
      </c>
      <c r="AX55" s="21">
        <f t="shared" si="6"/>
        <v>77.105241028511855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8.8736263736263741</v>
      </c>
      <c r="BD55" s="12">
        <f>IF('Données projet'!$A$88&gt;35,BD54+BC55-BL54,IF(A55&lt;'Données projet'!$A$88,$BA$205^A55,IF(A55='Données projet'!$A$88,'Données projet'!$B$88,BD54+BC55-BL54)))</f>
        <v>171.82142857142864</v>
      </c>
      <c r="BE55" s="13">
        <f>BD55*VLOOKUP('Données projet'!$B$11,Paramètres!$A$1:$I$89,3,0)*VLOOKUP('Données projet'!$B$11,Paramètres!$A$1:$I$89,5,0)</f>
        <v>174.22692857142866</v>
      </c>
      <c r="BF55" s="13">
        <f t="shared" si="37"/>
        <v>44.035357527108694</v>
      </c>
      <c r="BG55" s="20">
        <f t="shared" si="7"/>
        <v>380.1401482882859</v>
      </c>
      <c r="BH55" s="59">
        <f t="shared" si="8"/>
        <v>636.57542775186926</v>
      </c>
      <c r="BI55" s="59">
        <f ca="1">AVERAGE(OFFSET($BH$3,0,0,'Données projet'!$E$11+1,1))-AVERAGE(OFFSET($H$3,0,0,'Données projet'!$E$11+1,1))</f>
        <v>462.74754756814662</v>
      </c>
      <c r="BJ55" s="59">
        <f t="shared" si="38"/>
        <v>327.65191293226667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216.8000000000001</v>
      </c>
      <c r="BZ55" s="13">
        <f>BY55*VLOOKUP('Données projet'!$B$12,Paramètres!$A$1:$I$89,3,0)*VLOOKUP('Données projet'!$B$12,Paramètres!$A$1:$I$89,5,0)</f>
        <v>189.39648000000011</v>
      </c>
      <c r="CA55" s="13">
        <f t="shared" si="39"/>
        <v>47.406498452084548</v>
      </c>
      <c r="CB55" s="20">
        <f t="shared" si="10"/>
        <v>412.43185413738075</v>
      </c>
      <c r="CC55" s="59">
        <f t="shared" si="11"/>
        <v>668.86713360096405</v>
      </c>
      <c r="CD55" s="59">
        <f ca="1">AVERAGE(OFFSET($CC$3,0,0,'Données projet'!$E$12+1,1))-AVERAGE(OFFSET($H$3,0,0,'Données projet'!$E$12+1,1))</f>
        <v>411.67183422518411</v>
      </c>
      <c r="CE55" s="59">
        <f t="shared" si="40"/>
        <v>379.16642539721556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12.868646107328301</v>
      </c>
      <c r="CL55" s="21">
        <f>EXP(-LN(2)/25)*CL54+(1-EXP(-LN(2)/25))/(LN(2)/25)*Calculateur!CG55*Calculateur!CI55*VLOOKUP('Données projet'!$B$12,Paramètres!$A$1:$I$89,3,0)*0.475*44/12</f>
        <v>19.875043034238246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32.743689141566549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180.69505494505501</v>
      </c>
      <c r="O56" s="13">
        <f>N56*VLOOKUP('Données projet'!$B$9,Paramètres!$A$1:$I$89,3,0)*VLOOKUP('Données projet'!$B$9,Paramètres!$A$1:$I$89,5,0)</f>
        <v>163.49288571428576</v>
      </c>
      <c r="P56" s="13">
        <f t="shared" si="33"/>
        <v>41.629352600963465</v>
      </c>
      <c r="Q56" s="20">
        <f t="shared" si="53"/>
        <v>357.25456506572573</v>
      </c>
      <c r="R56" s="59">
        <f t="shared" si="0"/>
        <v>614.32994327225902</v>
      </c>
      <c r="S56" s="59">
        <f ca="1">AVERAGE(OFFSET($R$3,0,0,'Données projet'!$E$9+1,1))-AVERAGE(OFFSET($H$3,0,0,'Données projet'!$E$9+1,1))</f>
        <v>421.33534980160005</v>
      </c>
      <c r="T56" s="59">
        <f t="shared" si="34"/>
        <v>299.0473530693472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12.837499999999991</v>
      </c>
      <c r="AI56" s="13">
        <f>IF('Données projet'!$A$62&gt;35,AI55+AH56-AQ55,IF(A56&lt;'Données projet'!$A$62,$AF$205^A56,IF(A56='Données projet'!$A$62,'Données projet'!$B$62,AI55+AH56-AQ55)))</f>
        <v>407.96442307692291</v>
      </c>
      <c r="AJ56" s="13">
        <f>AI56*VLOOKUP('Données projet'!$B$10,Paramètres!$A$1:$I$89,3,0)*VLOOKUP('Données projet'!$B$10,Paramètres!$A$1:$I$89,5,0)</f>
        <v>243.96272499999992</v>
      </c>
      <c r="AK56" s="13">
        <f t="shared" si="35"/>
        <v>59.291315745845196</v>
      </c>
      <c r="AL56" s="20">
        <f t="shared" si="4"/>
        <v>528.16745429901368</v>
      </c>
      <c r="AM56" s="59">
        <f t="shared" si="5"/>
        <v>785.24283250554686</v>
      </c>
      <c r="AN56" s="59">
        <f ca="1">AVERAGE(OFFSET($AM$3,0,0,'Données projet'!$E$10+1,1))-AVERAGE(OFFSET($H$3,0,0,'Données projet'!$E$10+1,1))</f>
        <v>337.99164391755608</v>
      </c>
      <c r="AO56" s="59">
        <f t="shared" si="36"/>
        <v>421.45428231923393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54.419073668006384</v>
      </c>
      <c r="AV56" s="21">
        <f>EXP(-LN(2)/25)*AV55+(1-EXP(-LN(2)/25))/(LN(2)/25)*Calculateur!AQ56*Calculateur!AS56*VLOOKUP('Données projet'!$B$10,Paramètres!$A$1:$I$89,3,0)*0.475*44/12</f>
        <v>19.050156932184336</v>
      </c>
      <c r="AW56" s="21">
        <f>EXP(-LN(2)/2)*AW55+(1-EXP(-LN(2)/2))/(LN(2)/2)*AQ56*AT56*VLOOKUP('Données projet'!$B$10,Paramètres!$A$1:$I$89,3,0)*0.475*44/12</f>
        <v>1.4226766137157978</v>
      </c>
      <c r="AX56" s="21">
        <f t="shared" si="6"/>
        <v>74.891907213906507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8.8736263736263741</v>
      </c>
      <c r="BD56" s="12">
        <f>IF('Données projet'!$A$88&gt;35,BD55+BC56-BL55,IF(A56&lt;'Données projet'!$A$88,$BA$205^A56,IF(A56='Données projet'!$A$88,'Données projet'!$B$88,BD55+BC56-BL55)))</f>
        <v>180.69505494505501</v>
      </c>
      <c r="BE56" s="13">
        <f>BD56*VLOOKUP('Données projet'!$B$11,Paramètres!$A$1:$I$89,3,0)*VLOOKUP('Données projet'!$B$11,Paramètres!$A$1:$I$89,5,0)</f>
        <v>183.22478571428579</v>
      </c>
      <c r="BF56" s="13">
        <f t="shared" si="37"/>
        <v>46.038898438557553</v>
      </c>
      <c r="BG56" s="20">
        <f t="shared" si="7"/>
        <v>399.30091656620215</v>
      </c>
      <c r="BH56" s="59">
        <f t="shared" si="8"/>
        <v>656.37629477273538</v>
      </c>
      <c r="BI56" s="59">
        <f ca="1">AVERAGE(OFFSET($BH$3,0,0,'Données projet'!$E$11+1,1))-AVERAGE(OFFSET($H$3,0,0,'Données projet'!$E$11+1,1))</f>
        <v>462.74754756814662</v>
      </c>
      <c r="BJ56" s="59">
        <f t="shared" si="38"/>
        <v>327.65191293226667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224.2000000000001</v>
      </c>
      <c r="BZ56" s="13">
        <f>BY56*VLOOKUP('Données projet'!$B$12,Paramètres!$A$1:$I$89,3,0)*VLOOKUP('Données projet'!$B$12,Paramètres!$A$1:$I$89,5,0)</f>
        <v>195.86112000000011</v>
      </c>
      <c r="CA56" s="13">
        <f t="shared" si="39"/>
        <v>48.833463106716465</v>
      </c>
      <c r="CB56" s="20">
        <f t="shared" si="10"/>
        <v>426.17639891086469</v>
      </c>
      <c r="CC56" s="59">
        <f t="shared" si="11"/>
        <v>683.25177711739798</v>
      </c>
      <c r="CD56" s="59">
        <f ca="1">AVERAGE(OFFSET($CC$3,0,0,'Données projet'!$E$12+1,1))-AVERAGE(OFFSET($H$3,0,0,'Données projet'!$E$12+1,1))</f>
        <v>411.67183422518411</v>
      </c>
      <c r="CE56" s="59">
        <f t="shared" si="40"/>
        <v>379.16642539721556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12.616299806262685</v>
      </c>
      <c r="CL56" s="21">
        <f>EXP(-LN(2)/25)*CL55+(1-EXP(-LN(2)/25))/(LN(2)/25)*Calculateur!CG56*Calculateur!CI56*VLOOKUP('Données projet'!$B$12,Paramètres!$A$1:$I$89,3,0)*0.475*44/12</f>
        <v>19.331558937283912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31.947858743546597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189.56868131868137</v>
      </c>
      <c r="O57" s="13">
        <f>N57*VLOOKUP('Données projet'!$B$9,Paramètres!$A$1:$I$89,3,0)*VLOOKUP('Données projet'!$B$9,Paramètres!$A$1:$I$89,5,0)</f>
        <v>171.5217428571429</v>
      </c>
      <c r="P57" s="13">
        <f t="shared" si="33"/>
        <v>43.430666394282092</v>
      </c>
      <c r="Q57" s="20">
        <f t="shared" si="53"/>
        <v>374.37544611289854</v>
      </c>
      <c r="R57" s="59">
        <f t="shared" si="0"/>
        <v>632.07981878023793</v>
      </c>
      <c r="S57" s="59">
        <f ca="1">AVERAGE(OFFSET($R$3,0,0,'Données projet'!$E$9+1,1))-AVERAGE(OFFSET($H$3,0,0,'Données projet'!$E$9+1,1))</f>
        <v>421.33534980160005</v>
      </c>
      <c r="T57" s="59">
        <f t="shared" si="34"/>
        <v>299.0473530693472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12.837499999999991</v>
      </c>
      <c r="AI57" s="13">
        <f>IF('Données projet'!$A$62&gt;35,AI56+AH57-AQ56,IF(A57&lt;'Données projet'!$A$62,$AF$205^A57,IF(A57='Données projet'!$A$62,'Données projet'!$B$62,AI56+AH57-AQ56)))</f>
        <v>420.80192307692289</v>
      </c>
      <c r="AJ57" s="13">
        <f>AI57*VLOOKUP('Données projet'!$B$10,Paramètres!$A$1:$I$89,3,0)*VLOOKUP('Données projet'!$B$10,Paramètres!$A$1:$I$89,5,0)</f>
        <v>251.63954999999993</v>
      </c>
      <c r="AK57" s="13">
        <f t="shared" si="35"/>
        <v>60.936892129812684</v>
      </c>
      <c r="AL57" s="20">
        <f t="shared" si="4"/>
        <v>544.4039700427569</v>
      </c>
      <c r="AM57" s="59">
        <f t="shared" si="5"/>
        <v>802.10834271009617</v>
      </c>
      <c r="AN57" s="59">
        <f ca="1">AVERAGE(OFFSET($AM$3,0,0,'Données projet'!$E$10+1,1))-AVERAGE(OFFSET($H$3,0,0,'Données projet'!$E$10+1,1))</f>
        <v>337.99164391755608</v>
      </c>
      <c r="AO57" s="59">
        <f t="shared" si="36"/>
        <v>421.45428231923393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53.35194882573424</v>
      </c>
      <c r="AV57" s="21">
        <f>EXP(-LN(2)/25)*AV56+(1-EXP(-LN(2)/25))/(LN(2)/25)*Calculateur!AQ57*Calculateur!AS57*VLOOKUP('Données projet'!$B$10,Paramètres!$A$1:$I$89,3,0)*0.475*44/12</f>
        <v>18.529229389069542</v>
      </c>
      <c r="AW57" s="21">
        <f>EXP(-LN(2)/2)*AW56+(1-EXP(-LN(2)/2))/(LN(2)/2)*AQ57*AT57*VLOOKUP('Données projet'!$B$10,Paramètres!$A$1:$I$89,3,0)*0.475*44/12</f>
        <v>1.005984280993955</v>
      </c>
      <c r="AX57" s="21">
        <f t="shared" si="6"/>
        <v>72.887162495797739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8.8736263736263741</v>
      </c>
      <c r="BD57" s="12">
        <f>IF('Données projet'!$A$88&gt;35,BD56+BC57-BL56,IF(A57&lt;'Données projet'!$A$88,$BA$205^A57,IF(A57='Données projet'!$A$88,'Données projet'!$B$88,BD56+BC57-BL56)))</f>
        <v>189.56868131868137</v>
      </c>
      <c r="BE57" s="13">
        <f>BD57*VLOOKUP('Données projet'!$B$11,Paramètres!$A$1:$I$89,3,0)*VLOOKUP('Données projet'!$B$11,Paramètres!$A$1:$I$89,5,0)</f>
        <v>192.22264285714294</v>
      </c>
      <c r="BF57" s="13">
        <f t="shared" si="37"/>
        <v>48.031014520243914</v>
      </c>
      <c r="BG57" s="20">
        <f t="shared" si="7"/>
        <v>418.44178659894874</v>
      </c>
      <c r="BH57" s="59">
        <f t="shared" si="8"/>
        <v>676.14615926628812</v>
      </c>
      <c r="BI57" s="59">
        <f ca="1">AVERAGE(OFFSET($BH$3,0,0,'Données projet'!$E$11+1,1))-AVERAGE(OFFSET($H$3,0,0,'Données projet'!$E$11+1,1))</f>
        <v>462.74754756814662</v>
      </c>
      <c r="BJ57" s="59">
        <f t="shared" si="38"/>
        <v>327.65191293226667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231.60000000000011</v>
      </c>
      <c r="BZ57" s="13">
        <f>BY57*VLOOKUP('Données projet'!$B$12,Paramètres!$A$1:$I$89,3,0)*VLOOKUP('Données projet'!$B$12,Paramètres!$A$1:$I$89,5,0)</f>
        <v>202.32576000000014</v>
      </c>
      <c r="CA57" s="13">
        <f t="shared" si="39"/>
        <v>50.254954935552938</v>
      </c>
      <c r="CB57" s="20">
        <f t="shared" si="10"/>
        <v>439.91141184608824</v>
      </c>
      <c r="CC57" s="59">
        <f t="shared" si="11"/>
        <v>697.61578451342757</v>
      </c>
      <c r="CD57" s="59">
        <f ca="1">AVERAGE(OFFSET($CC$3,0,0,'Données projet'!$E$12+1,1))-AVERAGE(OFFSET($H$3,0,0,'Données projet'!$E$12+1,1))</f>
        <v>411.67183422518411</v>
      </c>
      <c r="CE57" s="59">
        <f t="shared" si="40"/>
        <v>379.16642539721556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12.368901862244918</v>
      </c>
      <c r="CL57" s="21">
        <f>EXP(-LN(2)/25)*CL56+(1-EXP(-LN(2)/25))/(LN(2)/25)*Calculateur!CG57*Calculateur!CI57*VLOOKUP('Données projet'!$B$12,Paramètres!$A$1:$I$89,3,0)*0.475*44/12</f>
        <v>18.80293644154138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31.171838303786298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198.44230769230774</v>
      </c>
      <c r="O58" s="13">
        <f>N58*VLOOKUP('Données projet'!$B$9,Paramètres!$A$1:$I$89,3,0)*VLOOKUP('Données projet'!$B$9,Paramètres!$A$1:$I$89,5,0)</f>
        <v>179.55060000000003</v>
      </c>
      <c r="P58" s="13">
        <f t="shared" si="33"/>
        <v>45.22218840459005</v>
      </c>
      <c r="Q58" s="20">
        <f t="shared" si="53"/>
        <v>391.47927313799437</v>
      </c>
      <c r="R58" s="59">
        <f t="shared" si="0"/>
        <v>649.80172861846575</v>
      </c>
      <c r="S58" s="59">
        <f ca="1">AVERAGE(OFFSET($R$3,0,0,'Données projet'!$E$9+1,1))-AVERAGE(OFFSET($H$3,0,0,'Données projet'!$E$9+1,1))</f>
        <v>421.33534980160005</v>
      </c>
      <c r="T58" s="59">
        <f t="shared" si="34"/>
        <v>299.0473530693472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12.837499999999991</v>
      </c>
      <c r="AI58" s="13">
        <f>IF('Données projet'!$A$62&gt;35,AI57+AH58-AQ57,IF(A58&lt;'Données projet'!$A$62,$AF$205^A58,IF(A58='Données projet'!$A$62,'Données projet'!$B$62,AI57+AH58-AQ57)))</f>
        <v>433.63942307692287</v>
      </c>
      <c r="AJ58" s="13">
        <f>AI58*VLOOKUP('Données projet'!$B$10,Paramètres!$A$1:$I$89,3,0)*VLOOKUP('Données projet'!$B$10,Paramètres!$A$1:$I$89,5,0)</f>
        <v>259.31637499999988</v>
      </c>
      <c r="AK58" s="13">
        <f t="shared" si="35"/>
        <v>62.576634410968637</v>
      </c>
      <c r="AL58" s="20">
        <f t="shared" si="4"/>
        <v>560.63032472410339</v>
      </c>
      <c r="AM58" s="59">
        <f t="shared" si="5"/>
        <v>818.95278020457476</v>
      </c>
      <c r="AN58" s="59">
        <f ca="1">AVERAGE(OFFSET($AM$3,0,0,'Données projet'!$E$10+1,1))-AVERAGE(OFFSET($H$3,0,0,'Données projet'!$E$10+1,1))</f>
        <v>337.99164391755608</v>
      </c>
      <c r="AO58" s="59">
        <f t="shared" si="36"/>
        <v>421.45428231923393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52.30574965073717</v>
      </c>
      <c r="AV58" s="21">
        <f>EXP(-LN(2)/25)*AV57+(1-EXP(-LN(2)/25))/(LN(2)/25)*Calculateur!AQ58*Calculateur!AS58*VLOOKUP('Données projet'!$B$10,Paramètres!$A$1:$I$89,3,0)*0.475*44/12</f>
        <v>18.022546637015612</v>
      </c>
      <c r="AW58" s="21">
        <f>EXP(-LN(2)/2)*AW57+(1-EXP(-LN(2)/2))/(LN(2)/2)*AQ58*AT58*VLOOKUP('Données projet'!$B$10,Paramètres!$A$1:$I$89,3,0)*0.475*44/12</f>
        <v>0.71133830685789889</v>
      </c>
      <c r="AX58" s="21">
        <f t="shared" si="6"/>
        <v>71.039634594610675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198.44230769230768</v>
      </c>
      <c r="BB58" s="12">
        <f>VLOOKUP(A58,'Données projet'!$A$87:$I$107,9,0)</f>
        <v>8.8736263736263741</v>
      </c>
      <c r="BC58" s="12">
        <f t="array" ref="BC58">INDEX(BB:BB,MIN(IF(ISNUMBER(BB58:BB254),ROW(BB58:BB254),"")))</f>
        <v>8.8736263736263741</v>
      </c>
      <c r="BD58" s="12">
        <f>IF('Données projet'!$A$88&gt;35,BD57+BC58-BL57,IF(A58&lt;'Données projet'!$A$88,$BA$205^A58,IF(A58='Données projet'!$A$88,'Données projet'!$B$88,BD57+BC58-BL57)))</f>
        <v>198.44230769230774</v>
      </c>
      <c r="BE58" s="13">
        <f>BD58*VLOOKUP('Données projet'!$B$11,Paramètres!$A$1:$I$89,3,0)*VLOOKUP('Données projet'!$B$11,Paramètres!$A$1:$I$89,5,0)</f>
        <v>201.22050000000007</v>
      </c>
      <c r="BF58" s="13">
        <f t="shared" si="37"/>
        <v>50.012301634497518</v>
      </c>
      <c r="BG58" s="20">
        <f t="shared" si="7"/>
        <v>437.56379618008327</v>
      </c>
      <c r="BH58" s="59">
        <f t="shared" si="8"/>
        <v>695.88625166055465</v>
      </c>
      <c r="BI58" s="59">
        <f ca="1">AVERAGE(OFFSET($BH$3,0,0,'Données projet'!$E$11+1,1))-AVERAGE(OFFSET($H$3,0,0,'Données projet'!$E$11+1,1))</f>
        <v>462.74754756814662</v>
      </c>
      <c r="BJ58" s="59">
        <f t="shared" si="38"/>
        <v>327.65191293226667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45.147435897435898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239.00000000000011</v>
      </c>
      <c r="BZ58" s="13">
        <f>BY58*VLOOKUP('Données projet'!$B$12,Paramètres!$A$1:$I$89,3,0)*VLOOKUP('Données projet'!$B$12,Paramètres!$A$1:$I$89,5,0)</f>
        <v>208.79040000000015</v>
      </c>
      <c r="CA58" s="13">
        <f t="shared" si="39"/>
        <v>51.671168863475195</v>
      </c>
      <c r="CB58" s="20">
        <f t="shared" si="10"/>
        <v>453.63723243721955</v>
      </c>
      <c r="CC58" s="59">
        <f t="shared" si="11"/>
        <v>711.95968791769087</v>
      </c>
      <c r="CD58" s="59">
        <f ca="1">AVERAGE(OFFSET($CC$3,0,0,'Données projet'!$E$12+1,1))-AVERAGE(OFFSET($H$3,0,0,'Données projet'!$E$12+1,1))</f>
        <v>411.67183422518411</v>
      </c>
      <c r="CE58" s="59">
        <f t="shared" si="40"/>
        <v>379.16642539721556</v>
      </c>
      <c r="CF58" s="15">
        <f>IF(ISNA(VLOOKUP(A58,'Données projet'!$A$113:$I$133,3,0)),0,VLOOKUP(A58,'Données projet'!$A$113:$I$133,3,0))</f>
        <v>8</v>
      </c>
      <c r="CG58" s="15" t="str">
        <f>IF(ISNA(VLOOKUP(A58,'Données projet'!$A$113:$I$133,4,0)),0,VLOOKUP(A58,'Données projet'!$A$113:$I$133,4,0))</f>
        <v>26</v>
      </c>
      <c r="CH58" s="16">
        <f>IF(ISNA(VLOOKUP(A58,'Données projet'!$A$113:$I$133,5,0)),0%,VLOOKUP(A58,'Données projet'!$A$113:$I$133,5,0)*VLOOKUP('Données projet'!$B$12,Paramètres!$A$1:$I$89,7,0))</f>
        <v>0.215</v>
      </c>
      <c r="CI58" s="16">
        <f>IF(ISNA(VLOOKUP(A58,'Données projet'!$A$113:$I$133,6,0)),0%,VLOOKUP(A58,'Données projet'!$A$113:$I$133,6,0)*VLOOKUP('Données projet'!$B$12,Paramètres!$A$1:$I$89,7,0))</f>
        <v>0.17200000000000001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17.524835823711815</v>
      </c>
      <c r="CL58" s="21">
        <f>EXP(-LN(2)/25)*CL57+(1-EXP(-LN(2)/25))/(LN(2)/25)*Calculateur!CG58*Calculateur!CI58*VLOOKUP('Données projet'!$B$12,Paramètres!$A$1:$I$89,3,0)*0.475*44/12</f>
        <v>22.590548921875065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40.11538474558688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161.66907051282055</v>
      </c>
      <c r="O59" s="13">
        <f>N59*VLOOKUP('Données projet'!$B$9,Paramètres!$A$1:$I$89,3,0)*VLOOKUP('Données projet'!$B$9,Paramètres!$A$1:$I$89,5,0)</f>
        <v>146.27817500000003</v>
      </c>
      <c r="P59" s="13">
        <f t="shared" si="33"/>
        <v>37.731554716297467</v>
      </c>
      <c r="Q59" s="20">
        <f t="shared" si="53"/>
        <v>320.48361258921813</v>
      </c>
      <c r="R59" s="59">
        <f t="shared" si="0"/>
        <v>579.41342852783987</v>
      </c>
      <c r="S59" s="59">
        <f ca="1">AVERAGE(OFFSET($R$3,0,0,'Données projet'!$E$9+1,1))-AVERAGE(OFFSET($H$3,0,0,'Données projet'!$E$9+1,1))</f>
        <v>421.33534980160005</v>
      </c>
      <c r="T59" s="59">
        <f t="shared" si="34"/>
        <v>299.0473530693472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446.47692307692301</v>
      </c>
      <c r="AG59" s="12">
        <f>VLOOKUP(A59,'Données projet'!$A$61:$I$81,9,0)</f>
        <v>12.837499999999991</v>
      </c>
      <c r="AH59" s="12">
        <f t="array" ref="AH59">INDEX(AG:AG,MIN(IF(ISNUMBER(AG59:AG255),ROW(AG59:AG255),"")))</f>
        <v>12.837499999999991</v>
      </c>
      <c r="AI59" s="13">
        <f>IF('Données projet'!$A$62&gt;35,AI58+AH59-AQ58,IF(A59&lt;'Données projet'!$A$62,$AF$205^A59,IF(A59='Données projet'!$A$62,'Données projet'!$B$62,AI58+AH59-AQ58)))</f>
        <v>446.47692307692284</v>
      </c>
      <c r="AJ59" s="13">
        <f>AI59*VLOOKUP('Données projet'!$B$10,Paramètres!$A$1:$I$89,3,0)*VLOOKUP('Données projet'!$B$10,Paramètres!$A$1:$I$89,5,0)</f>
        <v>266.99319999999989</v>
      </c>
      <c r="AK59" s="13">
        <f t="shared" si="35"/>
        <v>64.210735131625498</v>
      </c>
      <c r="AL59" s="20">
        <f t="shared" si="4"/>
        <v>576.84685368758085</v>
      </c>
      <c r="AM59" s="59">
        <f t="shared" si="5"/>
        <v>835.77666962620265</v>
      </c>
      <c r="AN59" s="59">
        <f ca="1">AVERAGE(OFFSET($AM$3,0,0,'Données projet'!$E$10+1,1))-AVERAGE(OFFSET($H$3,0,0,'Données projet'!$E$10+1,1))</f>
        <v>337.99164391755608</v>
      </c>
      <c r="AO59" s="59">
        <f t="shared" si="36"/>
        <v>421.45428231923393</v>
      </c>
      <c r="AP59" s="15">
        <f>IF(ISNA(VLOOKUP(A59,'Données projet'!$A$61:$I$81,3,0)),0,VLOOKUP(A59,'Données projet'!$A$61:$I$81,3,0))</f>
        <v>7</v>
      </c>
      <c r="AQ59" s="15">
        <f>IF(ISNA(VLOOKUP(A59,'Données projet'!$A$61:$I$81,4,0)),0,VLOOKUP(A59,'Données projet'!$A$61:$I$81,4,0))</f>
        <v>446.47692307692301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162.84792782712228</v>
      </c>
      <c r="AV59" s="21">
        <f>EXP(-LN(2)/25)*AV58+(1-EXP(-LN(2)/25))/(LN(2)/25)*Calculateur!AQ59*Calculateur!AS59*VLOOKUP('Données projet'!$B$10,Paramètres!$A$1:$I$89,3,0)*0.475*44/12</f>
        <v>44.200577593110729</v>
      </c>
      <c r="AW59" s="21">
        <f>EXP(-LN(2)/2)*AW58+(1-EXP(-LN(2)/2))/(LN(2)/2)*AQ59*AT59*VLOOKUP('Données projet'!$B$10,Paramètres!$A$1:$I$89,3,0)*0.475*44/12</f>
        <v>40.406370942809481</v>
      </c>
      <c r="AX59" s="21">
        <f t="shared" si="6"/>
        <v>247.45487636304247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8.374198717948719</v>
      </c>
      <c r="BD59" s="12">
        <f>IF('Données projet'!$A$88&gt;35,BD58+BC59-BL58,IF(A59&lt;'Données projet'!$A$88,$BA$205^A59,IF(A59='Données projet'!$A$88,'Données projet'!$B$88,BD58+BC59-BL58)))</f>
        <v>161.66907051282055</v>
      </c>
      <c r="BE59" s="13">
        <f>BD59*VLOOKUP('Données projet'!$B$11,Paramètres!$A$1:$I$89,3,0)*VLOOKUP('Données projet'!$B$11,Paramètres!$A$1:$I$89,5,0)</f>
        <v>163.93243750000005</v>
      </c>
      <c r="BF59" s="13">
        <f t="shared" si="37"/>
        <v>41.728230370613375</v>
      </c>
      <c r="BG59" s="20">
        <f t="shared" si="7"/>
        <v>358.1923298746517</v>
      </c>
      <c r="BH59" s="59">
        <f t="shared" si="8"/>
        <v>617.12214581327339</v>
      </c>
      <c r="BI59" s="59">
        <f ca="1">AVERAGE(OFFSET($BH$3,0,0,'Données projet'!$E$11+1,1))-AVERAGE(OFFSET($H$3,0,0,'Données projet'!$E$11+1,1))</f>
        <v>462.74754756814662</v>
      </c>
      <c r="BJ59" s="59">
        <f t="shared" si="38"/>
        <v>327.65191293226667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6.6</v>
      </c>
      <c r="BY59" s="12">
        <f>IF('Données projet'!$A$114&gt;35,BY58+BX59-CG58,IF(A59&lt;'Données projet'!$A$114,$BV$205^A59,IF(A59='Données projet'!$A$114,'Données projet'!$B$114,BY58+BX59-CG58)))</f>
        <v>219.60000000000011</v>
      </c>
      <c r="BZ59" s="13">
        <f>BY59*VLOOKUP('Données projet'!$B$12,Paramètres!$A$1:$I$89,3,0)*VLOOKUP('Données projet'!$B$12,Paramètres!$A$1:$I$89,5,0)</f>
        <v>191.84256000000011</v>
      </c>
      <c r="CA59" s="13">
        <f t="shared" si="39"/>
        <v>47.947087613384845</v>
      </c>
      <c r="CB59" s="20">
        <f t="shared" si="10"/>
        <v>417.6336362599788</v>
      </c>
      <c r="CC59" s="59">
        <f t="shared" si="11"/>
        <v>676.56345219860054</v>
      </c>
      <c r="CD59" s="59">
        <f ca="1">AVERAGE(OFFSET($CC$3,0,0,'Données projet'!$E$12+1,1))-AVERAGE(OFFSET($H$3,0,0,'Données projet'!$E$12+1,1))</f>
        <v>411.67183422518411</v>
      </c>
      <c r="CE59" s="59">
        <f t="shared" si="40"/>
        <v>379.16642539721556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17.18118448230322</v>
      </c>
      <c r="CL59" s="21">
        <f>EXP(-LN(2)/25)*CL58+(1-EXP(-LN(2)/25))/(LN(2)/25)*Calculateur!CG59*Calculateur!CI59*VLOOKUP('Données projet'!$B$12,Paramètres!$A$1:$I$89,3,0)*0.475*44/12</f>
        <v>21.972809173621055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39.153993655924275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170.04326923076928</v>
      </c>
      <c r="O60" s="13">
        <f>N60*VLOOKUP('Données projet'!$B$9,Paramètres!$A$1:$I$89,3,0)*VLOOKUP('Données projet'!$B$9,Paramètres!$A$1:$I$89,5,0)</f>
        <v>153.85515000000004</v>
      </c>
      <c r="P60" s="13">
        <f t="shared" si="33"/>
        <v>39.453384193994481</v>
      </c>
      <c r="Q60" s="20">
        <f t="shared" si="53"/>
        <v>336.67903038787375</v>
      </c>
      <c r="R60" s="59">
        <f t="shared" si="0"/>
        <v>596.20567043855146</v>
      </c>
      <c r="S60" s="59">
        <f ca="1">AVERAGE(OFFSET($R$3,0,0,'Données projet'!$E$9+1,1))-AVERAGE(OFFSET($H$3,0,0,'Données projet'!$E$9+1,1))</f>
        <v>421.33534980160005</v>
      </c>
      <c r="T60" s="59">
        <f t="shared" si="34"/>
        <v>299.0473530693472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-1.7053025658242404E-13</v>
      </c>
      <c r="AJ60" s="13">
        <f>AI60*VLOOKUP('Données projet'!$B$10,Paramètres!$A$1:$I$89,3,0)*VLOOKUP('Données projet'!$B$10,Paramètres!$A$1:$I$89,5,0)</f>
        <v>-1.0197709343628959E-13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337.99164391755608</v>
      </c>
      <c r="AO60" s="59">
        <f t="shared" si="36"/>
        <v>421.45428231923393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159.65457928986061</v>
      </c>
      <c r="AV60" s="21">
        <f>EXP(-LN(2)/25)*AV59+(1-EXP(-LN(2)/25))/(LN(2)/25)*Calculateur!AQ60*Calculateur!AS60*VLOOKUP('Données projet'!$B$10,Paramètres!$A$1:$I$89,3,0)*0.475*44/12</f>
        <v>42.991910474419761</v>
      </c>
      <c r="AW60" s="21">
        <f>EXP(-LN(2)/2)*AW59+(1-EXP(-LN(2)/2))/(LN(2)/2)*AQ60*AT60*VLOOKUP('Données projet'!$B$10,Paramètres!$A$1:$I$89,3,0)*0.475*44/12</f>
        <v>28.571618896799659</v>
      </c>
      <c r="AX60" s="21">
        <f t="shared" si="6"/>
        <v>231.21810866108004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8.374198717948719</v>
      </c>
      <c r="BD60" s="12">
        <f>IF('Données projet'!$A$88&gt;35,BD59+BC60-BL59,IF(A60&lt;'Données projet'!$A$88,$BA$205^A60,IF(A60='Données projet'!$A$88,'Données projet'!$B$88,BD59+BC60-BL59)))</f>
        <v>170.04326923076928</v>
      </c>
      <c r="BE60" s="13">
        <f>BD60*VLOOKUP('Données projet'!$B$11,Paramètres!$A$1:$I$89,3,0)*VLOOKUP('Données projet'!$B$11,Paramètres!$A$1:$I$89,5,0)</f>
        <v>172.42387500000007</v>
      </c>
      <c r="BF60" s="13">
        <f t="shared" si="37"/>
        <v>43.632442843290029</v>
      </c>
      <c r="BG60" s="20">
        <f t="shared" si="7"/>
        <v>376.29808691039688</v>
      </c>
      <c r="BH60" s="59">
        <f t="shared" si="8"/>
        <v>635.82472696107459</v>
      </c>
      <c r="BI60" s="59">
        <f ca="1">AVERAGE(OFFSET($BH$3,0,0,'Données projet'!$E$11+1,1))-AVERAGE(OFFSET($H$3,0,0,'Données projet'!$E$11+1,1))</f>
        <v>462.74754756814662</v>
      </c>
      <c r="BJ60" s="59">
        <f t="shared" si="38"/>
        <v>327.65191293226667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6.6</v>
      </c>
      <c r="BY60" s="12">
        <f>IF('Données projet'!$A$114&gt;35,BY59+BX60-CG59,IF(A60&lt;'Données projet'!$A$114,$BV$205^A60,IF(A60='Données projet'!$A$114,'Données projet'!$B$114,BY59+BX60-CG59)))</f>
        <v>226.2000000000001</v>
      </c>
      <c r="BZ60" s="13">
        <f>BY60*VLOOKUP('Données projet'!$B$12,Paramètres!$A$1:$I$89,3,0)*VLOOKUP('Données projet'!$B$12,Paramètres!$A$1:$I$89,5,0)</f>
        <v>197.60832000000011</v>
      </c>
      <c r="CA60" s="13">
        <f t="shared" si="39"/>
        <v>49.218181392381403</v>
      </c>
      <c r="CB60" s="20">
        <f t="shared" si="10"/>
        <v>429.88948992506448</v>
      </c>
      <c r="CC60" s="59">
        <f t="shared" si="11"/>
        <v>689.41612997574225</v>
      </c>
      <c r="CD60" s="59">
        <f ca="1">AVERAGE(OFFSET($CC$3,0,0,'Données projet'!$E$12+1,1))-AVERAGE(OFFSET($H$3,0,0,'Données projet'!$E$12+1,1))</f>
        <v>411.67183422518411</v>
      </c>
      <c r="CE60" s="59">
        <f t="shared" si="40"/>
        <v>379.16642539721556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16.844271934093022</v>
      </c>
      <c r="CL60" s="21">
        <f>EXP(-LN(2)/25)*CL59+(1-EXP(-LN(2)/25))/(LN(2)/25)*Calculateur!CG60*Calculateur!CI60*VLOOKUP('Données projet'!$B$12,Paramètres!$A$1:$I$89,3,0)*0.475*44/12</f>
        <v>21.371961551268573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38.216233485361599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178.41746794871801</v>
      </c>
      <c r="O61" s="13">
        <f>N61*VLOOKUP('Données projet'!$B$9,Paramètres!$A$1:$I$89,3,0)*VLOOKUP('Données projet'!$B$9,Paramètres!$A$1:$I$89,5,0)</f>
        <v>161.43212500000007</v>
      </c>
      <c r="P61" s="13">
        <f t="shared" si="33"/>
        <v>41.16536748337429</v>
      </c>
      <c r="Q61" s="20">
        <f t="shared" si="53"/>
        <v>352.85729940854367</v>
      </c>
      <c r="R61" s="59">
        <f t="shared" si="0"/>
        <v>612.97041000723209</v>
      </c>
      <c r="S61" s="59">
        <f ca="1">AVERAGE(OFFSET($R$3,0,0,'Données projet'!$E$9+1,1))-AVERAGE(OFFSET($H$3,0,0,'Données projet'!$E$9+1,1))</f>
        <v>421.33534980160005</v>
      </c>
      <c r="T61" s="59">
        <f t="shared" si="34"/>
        <v>299.0473530693472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-1.7053025658242404E-13</v>
      </c>
      <c r="AJ61" s="13">
        <f>AI61*VLOOKUP('Données projet'!$B$10,Paramètres!$A$1:$I$89,3,0)*VLOOKUP('Données projet'!$B$10,Paramètres!$A$1:$I$89,5,0)</f>
        <v>-1.0197709343628959E-13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337.99164391755608</v>
      </c>
      <c r="AO61" s="59">
        <f t="shared" si="36"/>
        <v>421.45428231923393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156.52385036966436</v>
      </c>
      <c r="AV61" s="21">
        <f>EXP(-LN(2)/25)*AV60+(1-EXP(-LN(2)/25))/(LN(2)/25)*Calculateur!AQ61*Calculateur!AS61*VLOOKUP('Données projet'!$B$10,Paramètres!$A$1:$I$89,3,0)*0.475*44/12</f>
        <v>41.81629442165044</v>
      </c>
      <c r="AW61" s="21">
        <f>EXP(-LN(2)/2)*AW60+(1-EXP(-LN(2)/2))/(LN(2)/2)*AQ61*AT61*VLOOKUP('Données projet'!$B$10,Paramètres!$A$1:$I$89,3,0)*0.475*44/12</f>
        <v>20.203185471404744</v>
      </c>
      <c r="AX61" s="21">
        <f t="shared" si="6"/>
        <v>218.54333026271954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8.374198717948719</v>
      </c>
      <c r="BD61" s="12">
        <f>IF('Données projet'!$A$88&gt;35,BD60+BC61-BL60,IF(A61&lt;'Données projet'!$A$88,$BA$205^A61,IF(A61='Données projet'!$A$88,'Données projet'!$B$88,BD60+BC61-BL60)))</f>
        <v>178.41746794871801</v>
      </c>
      <c r="BE61" s="13">
        <f>BD61*VLOOKUP('Données projet'!$B$11,Paramètres!$A$1:$I$89,3,0)*VLOOKUP('Données projet'!$B$11,Paramètres!$A$1:$I$89,5,0)</f>
        <v>180.91531250000008</v>
      </c>
      <c r="BF61" s="13">
        <f t="shared" si="37"/>
        <v>45.525766180401902</v>
      </c>
      <c r="BG61" s="20">
        <f t="shared" si="7"/>
        <v>394.38487870170007</v>
      </c>
      <c r="BH61" s="59">
        <f t="shared" si="8"/>
        <v>654.49798930038855</v>
      </c>
      <c r="BI61" s="59">
        <f ca="1">AVERAGE(OFFSET($BH$3,0,0,'Données projet'!$E$11+1,1))-AVERAGE(OFFSET($H$3,0,0,'Données projet'!$E$11+1,1))</f>
        <v>462.74754756814662</v>
      </c>
      <c r="BJ61" s="59">
        <f t="shared" si="38"/>
        <v>327.65191293226667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6.6</v>
      </c>
      <c r="BY61" s="12">
        <f>IF('Données projet'!$A$114&gt;35,BY60+BX61-CG60,IF(A61&lt;'Données projet'!$A$114,$BV$205^A61,IF(A61='Données projet'!$A$114,'Données projet'!$B$114,BY60+BX61-CG60)))</f>
        <v>232.8000000000001</v>
      </c>
      <c r="BZ61" s="13">
        <f>BY61*VLOOKUP('Données projet'!$B$12,Paramètres!$A$1:$I$89,3,0)*VLOOKUP('Données projet'!$B$12,Paramètres!$A$1:$I$89,5,0)</f>
        <v>203.37408000000013</v>
      </c>
      <c r="CA61" s="13">
        <f t="shared" si="39"/>
        <v>50.484964849140624</v>
      </c>
      <c r="CB61" s="20">
        <f t="shared" si="10"/>
        <v>442.1378364455868</v>
      </c>
      <c r="CC61" s="59">
        <f t="shared" si="11"/>
        <v>702.25094704427522</v>
      </c>
      <c r="CD61" s="59">
        <f ca="1">AVERAGE(OFFSET($CC$3,0,0,'Données projet'!$E$12+1,1))-AVERAGE(OFFSET($H$3,0,0,'Données projet'!$E$12+1,1))</f>
        <v>411.67183422518411</v>
      </c>
      <c r="CE61" s="59">
        <f t="shared" si="40"/>
        <v>379.16642539721556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16.513966035456864</v>
      </c>
      <c r="CL61" s="21">
        <f>EXP(-LN(2)/25)*CL60+(1-EXP(-LN(2)/25))/(LN(2)/25)*Calculateur!CG61*Calculateur!CI61*VLOOKUP('Données projet'!$B$12,Paramètres!$A$1:$I$89,3,0)*0.475*44/12</f>
        <v>20.787544138746522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37.301510174203386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186.79166666666674</v>
      </c>
      <c r="O62" s="13">
        <f>N62*VLOOKUP('Données projet'!$B$9,Paramètres!$A$1:$I$89,3,0)*VLOOKUP('Données projet'!$B$9,Paramètres!$A$1:$I$89,5,0)</f>
        <v>169.00910000000005</v>
      </c>
      <c r="P62" s="13">
        <f t="shared" si="33"/>
        <v>42.868019497909927</v>
      </c>
      <c r="Q62" s="20">
        <f t="shared" si="53"/>
        <v>369.01931645885981</v>
      </c>
      <c r="R62" s="59">
        <f t="shared" si="0"/>
        <v>629.70872365270259</v>
      </c>
      <c r="S62" s="59">
        <f ca="1">AVERAGE(OFFSET($R$3,0,0,'Données projet'!$E$9+1,1))-AVERAGE(OFFSET($H$3,0,0,'Données projet'!$E$9+1,1))</f>
        <v>421.33534980160005</v>
      </c>
      <c r="T62" s="59">
        <f t="shared" si="34"/>
        <v>299.0473530693472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-1.7053025658242404E-13</v>
      </c>
      <c r="AJ62" s="13">
        <f>AI62*VLOOKUP('Données projet'!$B$10,Paramètres!$A$1:$I$89,3,0)*VLOOKUP('Données projet'!$B$10,Paramètres!$A$1:$I$89,5,0)</f>
        <v>-1.0197709343628959E-13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337.99164391755608</v>
      </c>
      <c r="AO62" s="59">
        <f t="shared" si="36"/>
        <v>421.45428231923393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153.45451313403709</v>
      </c>
      <c r="AV62" s="21">
        <f>EXP(-LN(2)/25)*AV61+(1-EXP(-LN(2)/25))/(LN(2)/25)*Calculateur!AQ62*Calculateur!AS62*VLOOKUP('Données projet'!$B$10,Paramètres!$A$1:$I$89,3,0)*0.475*44/12</f>
        <v>40.672825651667054</v>
      </c>
      <c r="AW62" s="21">
        <f>EXP(-LN(2)/2)*AW61+(1-EXP(-LN(2)/2))/(LN(2)/2)*AQ62*AT62*VLOOKUP('Données projet'!$B$10,Paramètres!$A$1:$I$89,3,0)*0.475*44/12</f>
        <v>14.285809448399831</v>
      </c>
      <c r="AX62" s="21">
        <f t="shared" si="6"/>
        <v>208.41314823410397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8.374198717948719</v>
      </c>
      <c r="BD62" s="12">
        <f>IF('Données projet'!$A$88&gt;35,BD61+BC62-BL61,IF(A62&lt;'Données projet'!$A$88,$BA$205^A62,IF(A62='Données projet'!$A$88,'Données projet'!$B$88,BD61+BC62-BL61)))</f>
        <v>186.79166666666674</v>
      </c>
      <c r="BE62" s="13">
        <f>BD62*VLOOKUP('Données projet'!$B$11,Paramètres!$A$1:$I$89,3,0)*VLOOKUP('Données projet'!$B$11,Paramètres!$A$1:$I$89,5,0)</f>
        <v>189.40675000000007</v>
      </c>
      <c r="BF62" s="13">
        <f t="shared" si="37"/>
        <v>47.408769837095797</v>
      </c>
      <c r="BG62" s="20">
        <f t="shared" si="7"/>
        <v>412.45369704960859</v>
      </c>
      <c r="BH62" s="59">
        <f t="shared" si="8"/>
        <v>673.14310424345138</v>
      </c>
      <c r="BI62" s="59">
        <f ca="1">AVERAGE(OFFSET($BH$3,0,0,'Données projet'!$E$11+1,1))-AVERAGE(OFFSET($H$3,0,0,'Données projet'!$E$11+1,1))</f>
        <v>462.74754756814662</v>
      </c>
      <c r="BJ62" s="59">
        <f t="shared" si="38"/>
        <v>327.65191293226667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6.6</v>
      </c>
      <c r="BY62" s="12">
        <f>IF('Données projet'!$A$114&gt;35,BY61+BX62-CG61,IF(A62&lt;'Données projet'!$A$114,$BV$205^A62,IF(A62='Données projet'!$A$114,'Données projet'!$B$114,BY61+BX62-CG61)))</f>
        <v>239.40000000000009</v>
      </c>
      <c r="BZ62" s="13">
        <f>BY62*VLOOKUP('Données projet'!$B$12,Paramètres!$A$1:$I$89,3,0)*VLOOKUP('Données projet'!$B$12,Paramètres!$A$1:$I$89,5,0)</f>
        <v>209.13984000000008</v>
      </c>
      <c r="CA62" s="13">
        <f t="shared" si="39"/>
        <v>51.747574219710266</v>
      </c>
      <c r="CB62" s="20">
        <f t="shared" si="10"/>
        <v>454.37891309932888</v>
      </c>
      <c r="CC62" s="59">
        <f t="shared" si="11"/>
        <v>715.06832029317161</v>
      </c>
      <c r="CD62" s="59">
        <f ca="1">AVERAGE(OFFSET($CC$3,0,0,'Données projet'!$E$12+1,1))-AVERAGE(OFFSET($H$3,0,0,'Données projet'!$E$12+1,1))</f>
        <v>411.67183422518411</v>
      </c>
      <c r="CE62" s="59">
        <f t="shared" si="40"/>
        <v>379.16642539721556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16.190137234026256</v>
      </c>
      <c r="CL62" s="21">
        <f>EXP(-LN(2)/25)*CL61+(1-EXP(-LN(2)/25))/(LN(2)/25)*Calculateur!CG62*Calculateur!CI62*VLOOKUP('Données projet'!$B$12,Paramètres!$A$1:$I$89,3,0)*0.475*44/12</f>
        <v>20.219107651103062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36.409244885129318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195.16586538461547</v>
      </c>
      <c r="O63" s="13">
        <f>N63*VLOOKUP('Données projet'!$B$9,Paramètres!$A$1:$I$89,3,0)*VLOOKUP('Données projet'!$B$9,Paramètres!$A$1:$I$89,5,0)</f>
        <v>176.58607500000008</v>
      </c>
      <c r="P63" s="13">
        <f t="shared" si="33"/>
        <v>44.561806372041367</v>
      </c>
      <c r="Q63" s="20">
        <f t="shared" si="53"/>
        <v>385.16589338963877</v>
      </c>
      <c r="R63" s="59">
        <f t="shared" si="0"/>
        <v>646.42159972111631</v>
      </c>
      <c r="S63" s="59">
        <f ca="1">AVERAGE(OFFSET($R$3,0,0,'Données projet'!$E$9+1,1))-AVERAGE(OFFSET($H$3,0,0,'Données projet'!$E$9+1,1))</f>
        <v>421.33534980160005</v>
      </c>
      <c r="T63" s="59">
        <f t="shared" si="34"/>
        <v>299.0473530693472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-1.7053025658242404E-13</v>
      </c>
      <c r="AJ63" s="13">
        <f>AI63*VLOOKUP('Données projet'!$B$10,Paramètres!$A$1:$I$89,3,0)*VLOOKUP('Données projet'!$B$10,Paramètres!$A$1:$I$89,5,0)</f>
        <v>-1.0197709343628959E-13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337.99164391755608</v>
      </c>
      <c r="AO63" s="59">
        <f t="shared" si="36"/>
        <v>421.45428231923393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150.4453637294896</v>
      </c>
      <c r="AV63" s="21">
        <f>EXP(-LN(2)/25)*AV62+(1-EXP(-LN(2)/25))/(LN(2)/25)*Calculateur!AQ63*Calculateur!AS63*VLOOKUP('Données projet'!$B$10,Paramètres!$A$1:$I$89,3,0)*0.475*44/12</f>
        <v>39.560625095331275</v>
      </c>
      <c r="AW63" s="21">
        <f>EXP(-LN(2)/2)*AW62+(1-EXP(-LN(2)/2))/(LN(2)/2)*AQ63*AT63*VLOOKUP('Données projet'!$B$10,Paramètres!$A$1:$I$89,3,0)*0.475*44/12</f>
        <v>10.101592735702374</v>
      </c>
      <c r="AX63" s="21">
        <f t="shared" si="6"/>
        <v>200.10758156052324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8.374198717948719</v>
      </c>
      <c r="BD63" s="12">
        <f>IF('Données projet'!$A$88&gt;35,BD62+BC63-BL62,IF(A63&lt;'Données projet'!$A$88,$BA$205^A63,IF(A63='Données projet'!$A$88,'Données projet'!$B$88,BD62+BC63-BL62)))</f>
        <v>195.16586538461547</v>
      </c>
      <c r="BE63" s="13">
        <f>BD63*VLOOKUP('Données projet'!$B$11,Paramètres!$A$1:$I$89,3,0)*VLOOKUP('Données projet'!$B$11,Paramètres!$A$1:$I$89,5,0)</f>
        <v>197.89818750000012</v>
      </c>
      <c r="BF63" s="13">
        <f t="shared" si="37"/>
        <v>49.281969322616803</v>
      </c>
      <c r="BG63" s="20">
        <f t="shared" si="7"/>
        <v>430.50543979939113</v>
      </c>
      <c r="BH63" s="59">
        <f t="shared" si="8"/>
        <v>691.76114613086861</v>
      </c>
      <c r="BI63" s="59">
        <f ca="1">AVERAGE(OFFSET($BH$3,0,0,'Données projet'!$E$11+1,1))-AVERAGE(OFFSET($H$3,0,0,'Données projet'!$E$11+1,1))</f>
        <v>462.74754756814662</v>
      </c>
      <c r="BJ63" s="59">
        <f t="shared" si="38"/>
        <v>327.65191293226667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246</v>
      </c>
      <c r="BW63" s="12">
        <f>VLOOKUP(A63,'Données projet'!$A$113:$I$133,9,0)</f>
        <v>6.6</v>
      </c>
      <c r="BX63" s="12">
        <f t="array" ref="BX63">INDEX(BW:BW,MIN(IF(ISNUMBER(BW63:BW259),ROW(BW63:BW259),"")))</f>
        <v>6.6</v>
      </c>
      <c r="BY63" s="12">
        <f>IF('Données projet'!$A$114&gt;35,BY62+BX63-CG62,IF(A63&lt;'Données projet'!$A$114,$BV$205^A63,IF(A63='Données projet'!$A$114,'Données projet'!$B$114,BY62+BX63-CG62)))</f>
        <v>246.00000000000009</v>
      </c>
      <c r="BZ63" s="13">
        <f>BY63*VLOOKUP('Données projet'!$B$12,Paramètres!$A$1:$I$89,3,0)*VLOOKUP('Données projet'!$B$12,Paramètres!$A$1:$I$89,5,0)</f>
        <v>214.90560000000008</v>
      </c>
      <c r="CA63" s="13">
        <f t="shared" si="39"/>
        <v>53.006137800892326</v>
      </c>
      <c r="CB63" s="20">
        <f t="shared" si="10"/>
        <v>466.61294333655428</v>
      </c>
      <c r="CC63" s="59">
        <f t="shared" si="11"/>
        <v>727.86864966803182</v>
      </c>
      <c r="CD63" s="59">
        <f ca="1">AVERAGE(OFFSET($CC$3,0,0,'Données projet'!$E$12+1,1))-AVERAGE(OFFSET($H$3,0,0,'Données projet'!$E$12+1,1))</f>
        <v>411.67183422518411</v>
      </c>
      <c r="CE63" s="59">
        <f t="shared" si="40"/>
        <v>379.16642539721556</v>
      </c>
      <c r="CF63" s="15">
        <f>IF(ISNA(VLOOKUP(A63,'Données projet'!$A$113:$I$133,3,0)),0,VLOOKUP(A63,'Données projet'!$A$113:$I$133,3,0))</f>
        <v>9</v>
      </c>
      <c r="CG63" s="15" t="str">
        <f>IF(ISNA(VLOOKUP(A63,'Données projet'!$A$113:$I$133,4,0)),0,VLOOKUP(A63,'Données projet'!$A$113:$I$133,4,0))</f>
        <v>24</v>
      </c>
      <c r="CH63" s="16">
        <f>IF(ISNA(VLOOKUP(A63,'Données projet'!$A$113:$I$133,5,0)),0%,VLOOKUP(A63,'Données projet'!$A$113:$I$133,5,0)*VLOOKUP('Données projet'!$B$12,Paramètres!$A$1:$I$89,7,0))</f>
        <v>0.215</v>
      </c>
      <c r="CI63" s="16">
        <f>IF(ISNA(VLOOKUP(A63,'Données projet'!$A$113:$I$133,6,0)),0%,VLOOKUP(A63,'Données projet'!$A$113:$I$133,6,0)*VLOOKUP('Données projet'!$B$12,Paramètres!$A$1:$I$89,7,0))</f>
        <v>0.17200000000000001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20.855871363445164</v>
      </c>
      <c r="CL63" s="21">
        <f>EXP(-LN(2)/25)*CL62+(1-EXP(-LN(2)/25))/(LN(2)/25)*Calculateur!CG63*Calculateur!CI63*VLOOKUP('Données projet'!$B$12,Paramètres!$A$1:$I$89,3,0)*0.475*44/12</f>
        <v>23.63708871938184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44.492960082827004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203.5400641025642</v>
      </c>
      <c r="O64" s="13">
        <f>N64*VLOOKUP('Données projet'!$B$9,Paramètres!$A$1:$I$89,3,0)*VLOOKUP('Données projet'!$B$9,Paramètres!$A$1:$I$89,5,0)</f>
        <v>184.16305000000008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663.10994988647667</v>
      </c>
      <c r="S64" s="59">
        <f ca="1">AVERAGE(OFFSET($R$3,0,0,'Données projet'!$E$9+1,1))-AVERAGE(OFFSET($H$3,0,0,'Données projet'!$E$9+1,1))</f>
        <v>421.33534980160005</v>
      </c>
      <c r="T64" s="59">
        <f t="shared" si="34"/>
        <v>299.0473530693472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-1.7053025658242404E-13</v>
      </c>
      <c r="AJ64" s="13">
        <f>AI64*VLOOKUP('Données projet'!$B$10,Paramètres!$A$1:$I$89,3,0)*VLOOKUP('Données projet'!$B$10,Paramètres!$A$1:$I$89,5,0)</f>
        <v>-1.0197709343628959E-13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337.99164391755608</v>
      </c>
      <c r="AO64" s="59">
        <f t="shared" si="36"/>
        <v>421.45428231923393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147.49522190936537</v>
      </c>
      <c r="AV64" s="21">
        <f>EXP(-LN(2)/25)*AV63+(1-EXP(-LN(2)/25))/(LN(2)/25)*Calculateur!AQ64*Calculateur!AS64*VLOOKUP('Données projet'!$B$10,Paramètres!$A$1:$I$89,3,0)*0.475*44/12</f>
        <v>38.478837721696586</v>
      </c>
      <c r="AW64" s="21">
        <f>EXP(-LN(2)/2)*AW63+(1-EXP(-LN(2)/2))/(LN(2)/2)*AQ64*AT64*VLOOKUP('Données projet'!$B$10,Paramètres!$A$1:$I$89,3,0)*0.475*44/12</f>
        <v>7.1429047241999166</v>
      </c>
      <c r="AX64" s="21">
        <f t="shared" si="6"/>
        <v>193.11696435526187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8.374198717948719</v>
      </c>
      <c r="BD64" s="12">
        <f>IF('Données projet'!$A$88&gt;35,BD63+BC64-BL63,IF(A64&lt;'Données projet'!$A$88,$BA$205^A64,IF(A64='Données projet'!$A$88,'Données projet'!$B$88,BD63+BC64-BL63)))</f>
        <v>203.5400641025642</v>
      </c>
      <c r="BE64" s="13">
        <f>BD64*VLOOKUP('Données projet'!$B$11,Paramètres!$A$1:$I$89,3,0)*VLOOKUP('Données projet'!$B$11,Paramètres!$A$1:$I$89,5,0)</f>
        <v>206.38962500000014</v>
      </c>
      <c r="BF64" s="13">
        <f t="shared" si="37"/>
        <v>51.145833405091373</v>
      </c>
      <c r="BG64" s="20">
        <f t="shared" si="7"/>
        <v>448.54092338886767</v>
      </c>
      <c r="BH64" s="59">
        <f t="shared" si="8"/>
        <v>710.35310483399701</v>
      </c>
      <c r="BI64" s="59">
        <f ca="1">AVERAGE(OFFSET($BH$3,0,0,'Données projet'!$E$11+1,1))-AVERAGE(OFFSET($H$3,0,0,'Données projet'!$E$11+1,1))</f>
        <v>462.74754756814662</v>
      </c>
      <c r="BJ64" s="59">
        <f t="shared" si="38"/>
        <v>327.65191293226667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228.00000000000009</v>
      </c>
      <c r="BZ64" s="13">
        <f>BY64*VLOOKUP('Données projet'!$B$12,Paramètres!$A$1:$I$89,3,0)*VLOOKUP('Données projet'!$B$12,Paramètres!$A$1:$I$89,5,0)</f>
        <v>199.18080000000012</v>
      </c>
      <c r="CA64" s="13">
        <f t="shared" si="39"/>
        <v>49.564089376413726</v>
      </c>
      <c r="CB64" s="20">
        <f t="shared" si="10"/>
        <v>433.2306823305874</v>
      </c>
      <c r="CC64" s="59">
        <f t="shared" si="11"/>
        <v>695.0428637757168</v>
      </c>
      <c r="CD64" s="59">
        <f ca="1">AVERAGE(OFFSET($CC$3,0,0,'Données projet'!$E$12+1,1))-AVERAGE(OFFSET($H$3,0,0,'Données projet'!$E$12+1,1))</f>
        <v>411.67183422518411</v>
      </c>
      <c r="CE64" s="59">
        <f t="shared" si="40"/>
        <v>379.16642539721556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20.44690044683346</v>
      </c>
      <c r="CL64" s="21">
        <f>EXP(-LN(2)/25)*CL63+(1-EXP(-LN(2)/25))/(LN(2)/25)*Calculateur!CG64*Calculateur!CI64*VLOOKUP('Données projet'!$B$12,Paramètres!$A$1:$I$89,3,0)*0.475*44/12</f>
        <v>22.990731285329872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43.437631732163332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211.91426282051293</v>
      </c>
      <c r="O65" s="13">
        <f>N65*VLOOKUP('Données projet'!$B$9,Paramètres!$A$1:$I$89,3,0)*VLOOKUP('Données projet'!$B$9,Paramètres!$A$1:$I$89,5,0)</f>
        <v>191.74002500000009</v>
      </c>
      <c r="P65" s="13">
        <f t="shared" si="33"/>
        <v>47.924443327659169</v>
      </c>
      <c r="Q65" s="20">
        <f t="shared" si="53"/>
        <v>417.41561567067316</v>
      </c>
      <c r="R65" s="59">
        <f t="shared" si="0"/>
        <v>679.77461863032454</v>
      </c>
      <c r="S65" s="59">
        <f ca="1">AVERAGE(OFFSET($R$3,0,0,'Données projet'!$E$9+1,1))-AVERAGE(OFFSET($H$3,0,0,'Données projet'!$E$9+1,1))</f>
        <v>421.33534980160005</v>
      </c>
      <c r="T65" s="59">
        <f t="shared" si="34"/>
        <v>299.0473530693472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-1.7053025658242404E-13</v>
      </c>
      <c r="AJ65" s="13">
        <f>AI65*VLOOKUP('Données projet'!$B$10,Paramètres!$A$1:$I$89,3,0)*VLOOKUP('Données projet'!$B$10,Paramètres!$A$1:$I$89,5,0)</f>
        <v>-1.0197709343628959E-13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337.99164391755608</v>
      </c>
      <c r="AO65" s="59">
        <f t="shared" si="36"/>
        <v>421.45428231923393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144.60293057092494</v>
      </c>
      <c r="AV65" s="21">
        <f>EXP(-LN(2)/25)*AV64+(1-EXP(-LN(2)/25))/(LN(2)/25)*Calculateur!AQ65*Calculateur!AS65*VLOOKUP('Données projet'!$B$10,Paramètres!$A$1:$I$89,3,0)*0.475*44/12</f>
        <v>37.426631880682663</v>
      </c>
      <c r="AW65" s="21">
        <f>EXP(-LN(2)/2)*AW64+(1-EXP(-LN(2)/2))/(LN(2)/2)*AQ65*AT65*VLOOKUP('Données projet'!$B$10,Paramètres!$A$1:$I$89,3,0)*0.475*44/12</f>
        <v>5.0507963678511878</v>
      </c>
      <c r="AX65" s="21">
        <f t="shared" si="6"/>
        <v>187.08035881945878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8.374198717948719</v>
      </c>
      <c r="BD65" s="12">
        <f>IF('Données projet'!$A$88&gt;35,BD64+BC65-BL64,IF(A65&lt;'Données projet'!$A$88,$BA$205^A65,IF(A65='Données projet'!$A$88,'Données projet'!$B$88,BD64+BC65-BL64)))</f>
        <v>211.91426282051293</v>
      </c>
      <c r="BE65" s="13">
        <f>BD65*VLOOKUP('Données projet'!$B$11,Paramètres!$A$1:$I$89,3,0)*VLOOKUP('Données projet'!$B$11,Paramètres!$A$1:$I$89,5,0)</f>
        <v>214.88106250000013</v>
      </c>
      <c r="BF65" s="13">
        <f t="shared" si="37"/>
        <v>53.000790097212402</v>
      </c>
      <c r="BG65" s="20">
        <f t="shared" si="7"/>
        <v>466.56089327347848</v>
      </c>
      <c r="BH65" s="59">
        <f t="shared" si="8"/>
        <v>728.91989623312975</v>
      </c>
      <c r="BI65" s="59">
        <f ca="1">AVERAGE(OFFSET($BH$3,0,0,'Données projet'!$E$11+1,1))-AVERAGE(OFFSET($H$3,0,0,'Données projet'!$E$11+1,1))</f>
        <v>462.74754756814662</v>
      </c>
      <c r="BJ65" s="59">
        <f t="shared" si="38"/>
        <v>327.65191293226667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234.00000000000009</v>
      </c>
      <c r="BZ65" s="13">
        <f>BY65*VLOOKUP('Données projet'!$B$12,Paramètres!$A$1:$I$89,3,0)*VLOOKUP('Données projet'!$B$12,Paramètres!$A$1:$I$89,5,0)</f>
        <v>204.4224000000001</v>
      </c>
      <c r="CA65" s="13">
        <f t="shared" si="39"/>
        <v>50.714836797527312</v>
      </c>
      <c r="CB65" s="20">
        <f t="shared" si="10"/>
        <v>444.3640207556935</v>
      </c>
      <c r="CC65" s="59">
        <f t="shared" si="11"/>
        <v>706.72302371534488</v>
      </c>
      <c r="CD65" s="59">
        <f ca="1">AVERAGE(OFFSET($CC$3,0,0,'Données projet'!$E$12+1,1))-AVERAGE(OFFSET($H$3,0,0,'Données projet'!$E$12+1,1))</f>
        <v>411.67183422518411</v>
      </c>
      <c r="CE65" s="59">
        <f t="shared" si="40"/>
        <v>379.16642539721556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20.045949200448881</v>
      </c>
      <c r="CL65" s="21">
        <f>EXP(-LN(2)/25)*CL64+(1-EXP(-LN(2)/25))/(LN(2)/25)*Calculateur!CG65*Calculateur!CI65*VLOOKUP('Données projet'!$B$12,Paramètres!$A$1:$I$89,3,0)*0.475*44/12</f>
        <v>22.362048529302513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42.407997729751393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220.28846153846166</v>
      </c>
      <c r="O66" s="13">
        <f>N66*VLOOKUP('Données projet'!$B$9,Paramètres!$A$1:$I$89,3,0)*VLOOKUP('Données projet'!$B$9,Paramètres!$A$1:$I$89,5,0)</f>
        <v>199.31700000000009</v>
      </c>
      <c r="P66" s="13">
        <f t="shared" si="33"/>
        <v>49.594035126387503</v>
      </c>
      <c r="Q66" s="20">
        <f t="shared" si="53"/>
        <v>433.52005284512506</v>
      </c>
      <c r="R66" s="59">
        <f t="shared" si="0"/>
        <v>696.41639118853118</v>
      </c>
      <c r="S66" s="59">
        <f ca="1">AVERAGE(OFFSET($R$3,0,0,'Données projet'!$E$9+1,1))-AVERAGE(OFFSET($H$3,0,0,'Données projet'!$E$9+1,1))</f>
        <v>421.33534980160005</v>
      </c>
      <c r="T66" s="59">
        <f t="shared" si="34"/>
        <v>299.0473530693472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-1.7053025658242404E-13</v>
      </c>
      <c r="AJ66" s="13">
        <f>AI66*VLOOKUP('Données projet'!$B$10,Paramètres!$A$1:$I$89,3,0)*VLOOKUP('Données projet'!$B$10,Paramètres!$A$1:$I$89,5,0)</f>
        <v>-1.0197709343628959E-13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337.99164391755608</v>
      </c>
      <c r="AO66" s="59">
        <f t="shared" si="36"/>
        <v>421.45428231923393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141.76735530150782</v>
      </c>
      <c r="AV66" s="21">
        <f>EXP(-LN(2)/25)*AV65+(1-EXP(-LN(2)/25))/(LN(2)/25)*Calculateur!AQ66*Calculateur!AS66*VLOOKUP('Données projet'!$B$10,Paramètres!$A$1:$I$89,3,0)*0.475*44/12</f>
        <v>36.403198663724368</v>
      </c>
      <c r="AW66" s="21">
        <f>EXP(-LN(2)/2)*AW65+(1-EXP(-LN(2)/2))/(LN(2)/2)*AQ66*AT66*VLOOKUP('Données projet'!$B$10,Paramètres!$A$1:$I$89,3,0)*0.475*44/12</f>
        <v>3.5714523620999592</v>
      </c>
      <c r="AX66" s="21">
        <f t="shared" si="6"/>
        <v>181.74200632733215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220.28846153846152</v>
      </c>
      <c r="BB66" s="12">
        <f>VLOOKUP(A66,'Données projet'!$A$87:$I$107,9,0)</f>
        <v>8.374198717948719</v>
      </c>
      <c r="BC66" s="12">
        <f t="array" ref="BC66">INDEX(BB:BB,MIN(IF(ISNUMBER(BB66:BB262),ROW(BB66:BB262),"")))</f>
        <v>8.374198717948719</v>
      </c>
      <c r="BD66" s="12">
        <f>IF('Données projet'!$A$88&gt;35,BD65+BC66-BL65,IF(A66&lt;'Données projet'!$A$88,$BA$205^A66,IF(A66='Données projet'!$A$88,'Données projet'!$B$88,BD65+BC66-BL65)))</f>
        <v>220.28846153846166</v>
      </c>
      <c r="BE66" s="13">
        <f>BD66*VLOOKUP('Données projet'!$B$11,Paramètres!$A$1:$I$89,3,0)*VLOOKUP('Données projet'!$B$11,Paramètres!$A$1:$I$89,5,0)</f>
        <v>223.37250000000014</v>
      </c>
      <c r="BF66" s="13">
        <f t="shared" si="37"/>
        <v>54.84723166915564</v>
      </c>
      <c r="BG66" s="20">
        <f t="shared" si="7"/>
        <v>484.566032657113</v>
      </c>
      <c r="BH66" s="59">
        <f t="shared" si="8"/>
        <v>747.46237100051917</v>
      </c>
      <c r="BI66" s="59">
        <f ca="1">AVERAGE(OFFSET($BH$3,0,0,'Données projet'!$E$11+1,1))-AVERAGE(OFFSET($H$3,0,0,'Données projet'!$E$11+1,1))</f>
        <v>462.74754756814662</v>
      </c>
      <c r="BJ66" s="59">
        <f t="shared" si="38"/>
        <v>327.65191293226667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41.724358974358978</v>
      </c>
      <c r="BM66" s="16">
        <f>IF(ISNA(VLOOKUP(A66,'Données projet'!$A$87:$I$107,5,0)),0%,VLOOKUP(A66,'Données projet'!$A$87:$I$107,5,0)*VLOOKUP('Données projet'!$B$11,Paramètres!$A$1:$I$89,7,0))</f>
        <v>0.30099999999999999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14.078008859293417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14.078008859293417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240.00000000000009</v>
      </c>
      <c r="BZ66" s="13">
        <f>BY66*VLOOKUP('Données projet'!$B$12,Paramètres!$A$1:$I$89,3,0)*VLOOKUP('Données projet'!$B$12,Paramètres!$A$1:$I$89,5,0)</f>
        <v>209.6640000000001</v>
      </c>
      <c r="CA66" s="13">
        <f t="shared" si="39"/>
        <v>51.862154403304537</v>
      </c>
      <c r="CB66" s="20">
        <f t="shared" si="10"/>
        <v>455.49138558575561</v>
      </c>
      <c r="CC66" s="59">
        <f t="shared" si="11"/>
        <v>718.38772392916167</v>
      </c>
      <c r="CD66" s="59">
        <f ca="1">AVERAGE(OFFSET($CC$3,0,0,'Données projet'!$E$12+1,1))-AVERAGE(OFFSET($H$3,0,0,'Données projet'!$E$12+1,1))</f>
        <v>411.67183422518411</v>
      </c>
      <c r="CE66" s="59">
        <f t="shared" si="40"/>
        <v>379.16642539721556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19.652860363449793</v>
      </c>
      <c r="CL66" s="21">
        <f>EXP(-LN(2)/25)*CL65+(1-EXP(-LN(2)/25))/(LN(2)/25)*Calculateur!CG66*Calculateur!CI66*VLOOKUP('Données projet'!$B$12,Paramètres!$A$1:$I$89,3,0)*0.475*44/12</f>
        <v>21.750557136299712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41.403417499749509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186.66426282051296</v>
      </c>
      <c r="O67" s="13">
        <f>N67*VLOOKUP('Données projet'!$B$9,Paramètres!$A$1:$I$89,3,0)*VLOOKUP('Données projet'!$B$9,Paramètres!$A$1:$I$89,5,0)</f>
        <v>168.89382500000013</v>
      </c>
      <c r="P67" s="13">
        <f t="shared" si="33"/>
        <v>42.842183132845896</v>
      </c>
      <c r="Q67" s="20">
        <f t="shared" ref="Q67:Q98" si="54">(O67+P67)*0.475*44/12</f>
        <v>368.77354749804016</v>
      </c>
      <c r="R67" s="59">
        <f t="shared" ref="R67:R130" si="55">Q67+(I67+J67)*44/12</f>
        <v>632.19789965759492</v>
      </c>
      <c r="S67" s="59">
        <f ca="1">AVERAGE(OFFSET($R$3,0,0,'Données projet'!$E$9+1,1))-AVERAGE(OFFSET($H$3,0,0,'Données projet'!$E$9+1,1))</f>
        <v>421.33534980160005</v>
      </c>
      <c r="T67" s="59">
        <f t="shared" si="34"/>
        <v>299.0473530693472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-1.7053025658242404E-13</v>
      </c>
      <c r="AJ67" s="13">
        <f>AI67*VLOOKUP('Données projet'!$B$10,Paramètres!$A$1:$I$89,3,0)*VLOOKUP('Données projet'!$B$10,Paramètres!$A$1:$I$89,5,0)</f>
        <v>-1.0197709343628959E-13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337.99164391755608</v>
      </c>
      <c r="AO67" s="59">
        <f t="shared" si="36"/>
        <v>421.45428231923393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138.98738393359383</v>
      </c>
      <c r="AV67" s="21">
        <f>EXP(-LN(2)/25)*AV66+(1-EXP(-LN(2)/25))/(LN(2)/25)*Calculateur!AQ67*Calculateur!AS67*VLOOKUP('Données projet'!$B$10,Paramètres!$A$1:$I$89,3,0)*0.475*44/12</f>
        <v>35.407751281903806</v>
      </c>
      <c r="AW67" s="21">
        <f>EXP(-LN(2)/2)*AW66+(1-EXP(-LN(2)/2))/(LN(2)/2)*AQ67*AT67*VLOOKUP('Données projet'!$B$10,Paramètres!$A$1:$I$89,3,0)*0.475*44/12</f>
        <v>2.5253981839255943</v>
      </c>
      <c r="AX67" s="21">
        <f t="shared" si="6"/>
        <v>176.92053339942325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8.1001602564102626</v>
      </c>
      <c r="BD67" s="12">
        <f>IF('Données projet'!$A$88&gt;35,BD66+BC67-BL66,IF(A67&lt;'Données projet'!$A$88,$BA$205^A67,IF(A67='Données projet'!$A$88,'Données projet'!$B$88,BD66+BC67-BL66)))</f>
        <v>186.66426282051296</v>
      </c>
      <c r="BE67" s="13">
        <f>BD67*VLOOKUP('Données projet'!$B$11,Paramètres!$A$1:$I$89,3,0)*VLOOKUP('Données projet'!$B$11,Paramètres!$A$1:$I$89,5,0)</f>
        <v>189.27756250000016</v>
      </c>
      <c r="BF67" s="13">
        <f t="shared" si="37"/>
        <v>47.380196781958283</v>
      </c>
      <c r="BG67" s="20">
        <f t="shared" si="7"/>
        <v>412.17893074941094</v>
      </c>
      <c r="BH67" s="59">
        <f t="shared" si="8"/>
        <v>675.60328290896564</v>
      </c>
      <c r="BI67" s="59">
        <f ca="1">AVERAGE(OFFSET($BH$3,0,0,'Données projet'!$E$11+1,1))-AVERAGE(OFFSET($H$3,0,0,'Données projet'!$E$11+1,1))</f>
        <v>462.74754756814662</v>
      </c>
      <c r="BJ67" s="59">
        <f t="shared" si="38"/>
        <v>327.65191293226667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13.801947692300208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13.801947692300208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246.00000000000009</v>
      </c>
      <c r="BZ67" s="13">
        <f>BY67*VLOOKUP('Données projet'!$B$12,Paramètres!$A$1:$I$89,3,0)*VLOOKUP('Données projet'!$B$12,Paramètres!$A$1:$I$89,5,0)</f>
        <v>214.90560000000008</v>
      </c>
      <c r="CA67" s="13">
        <f t="shared" si="39"/>
        <v>53.006137800892326</v>
      </c>
      <c r="CB67" s="20">
        <f t="shared" si="10"/>
        <v>466.61294333655428</v>
      </c>
      <c r="CC67" s="59">
        <f t="shared" si="11"/>
        <v>730.03729549610898</v>
      </c>
      <c r="CD67" s="59">
        <f ca="1">AVERAGE(OFFSET($CC$3,0,0,'Données projet'!$E$12+1,1))-AVERAGE(OFFSET($H$3,0,0,'Données projet'!$E$12+1,1))</f>
        <v>411.67183422518411</v>
      </c>
      <c r="CE67" s="59">
        <f t="shared" si="40"/>
        <v>379.16642539721556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19.26747975878374</v>
      </c>
      <c r="CL67" s="21">
        <f>EXP(-LN(2)/25)*CL66+(1-EXP(-LN(2)/25))/(LN(2)/25)*Calculateur!CG67*Calculateur!CI67*VLOOKUP('Données projet'!$B$12,Paramètres!$A$1:$I$89,3,0)*0.475*44/12</f>
        <v>21.155787007595507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40.423266766379243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194.76442307692321</v>
      </c>
      <c r="O68" s="13">
        <f>N68*VLOOKUP('Données projet'!$B$9,Paramètres!$A$1:$I$89,3,0)*VLOOKUP('Données projet'!$B$9,Paramètres!$A$1:$I$89,5,0)</f>
        <v>176.22285000000011</v>
      </c>
      <c r="P68" s="13">
        <f t="shared" si="33"/>
        <v>44.480805480154558</v>
      </c>
      <c r="Q68" s="20">
        <f t="shared" si="54"/>
        <v>384.3921999612694</v>
      </c>
      <c r="R68" s="59">
        <f t="shared" si="55"/>
        <v>648.33540607772466</v>
      </c>
      <c r="S68" s="59">
        <f ca="1">AVERAGE(OFFSET($R$3,0,0,'Données projet'!$E$9+1,1))-AVERAGE(OFFSET($H$3,0,0,'Données projet'!$E$9+1,1))</f>
        <v>421.33534980160005</v>
      </c>
      <c r="T68" s="59">
        <f t="shared" si="34"/>
        <v>299.0473530693472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-1.7053025658242404E-13</v>
      </c>
      <c r="AJ68" s="13">
        <f>AI68*VLOOKUP('Données projet'!$B$10,Paramètres!$A$1:$I$89,3,0)*VLOOKUP('Données projet'!$B$10,Paramètres!$A$1:$I$89,5,0)</f>
        <v>-1.0197709343628959E-13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337.99164391755608</v>
      </c>
      <c r="AO68" s="59">
        <f t="shared" si="36"/>
        <v>421.45428231923393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136.26192610858953</v>
      </c>
      <c r="AV68" s="21">
        <f>EXP(-LN(2)/25)*AV67+(1-EXP(-LN(2)/25))/(LN(2)/25)*Calculateur!AQ68*Calculateur!AS68*VLOOKUP('Données projet'!$B$10,Paramètres!$A$1:$I$89,3,0)*0.475*44/12</f>
        <v>34.43952446108743</v>
      </c>
      <c r="AW68" s="21">
        <f>EXP(-LN(2)/2)*AW67+(1-EXP(-LN(2)/2))/(LN(2)/2)*AQ68*AT68*VLOOKUP('Données projet'!$B$10,Paramètres!$A$1:$I$89,3,0)*0.475*44/12</f>
        <v>1.7857261810499798</v>
      </c>
      <c r="AX68" s="21">
        <f t="shared" ref="AX68:AX131" si="60">SUM(AU68:AW68)</f>
        <v>172.48717675072695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8.1001602564102626</v>
      </c>
      <c r="BD68" s="12">
        <f>IF('Données projet'!$A$88&gt;35,BD67+BC68-BL67,IF(A68&lt;'Données projet'!$A$88,$BA$205^A68,IF(A68='Données projet'!$A$88,'Données projet'!$B$88,BD67+BC68-BL67)))</f>
        <v>194.76442307692321</v>
      </c>
      <c r="BE68" s="13">
        <f>BD68*VLOOKUP('Données projet'!$B$11,Paramètres!$A$1:$I$89,3,0)*VLOOKUP('Données projet'!$B$11,Paramètres!$A$1:$I$89,5,0)</f>
        <v>197.49112500000015</v>
      </c>
      <c r="BF68" s="13">
        <f t="shared" si="37"/>
        <v>49.192388495579841</v>
      </c>
      <c r="BG68" s="20">
        <f t="shared" ref="BG68:BG131" si="61">(BE68+BF68)*0.475*44/12</f>
        <v>429.64045267146849</v>
      </c>
      <c r="BH68" s="59">
        <f t="shared" ref="BH68:BH131" si="62">BG68+(AY68+AZ68)*44/12</f>
        <v>693.5836587879237</v>
      </c>
      <c r="BI68" s="59">
        <f ca="1">AVERAGE(OFFSET($BH$3,0,0,'Données projet'!$E$11+1,1))-AVERAGE(OFFSET($H$3,0,0,'Données projet'!$E$11+1,1))</f>
        <v>462.74754756814662</v>
      </c>
      <c r="BJ68" s="59">
        <f t="shared" si="38"/>
        <v>327.65191293226667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13.531299916411051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13.531299916411051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252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252.00000000000009</v>
      </c>
      <c r="BZ68" s="13">
        <f>BY68*VLOOKUP('Données projet'!$B$12,Paramètres!$A$1:$I$89,3,0)*VLOOKUP('Données projet'!$B$12,Paramètres!$A$1:$I$89,5,0)</f>
        <v>220.14720000000011</v>
      </c>
      <c r="CA68" s="13">
        <f t="shared" si="39"/>
        <v>54.146877667769687</v>
      </c>
      <c r="CB68" s="20">
        <f t="shared" ref="CB68:CB131" si="64">(BZ68+CA68)*0.475*44/12</f>
        <v>477.72885193803239</v>
      </c>
      <c r="CC68" s="59">
        <f t="shared" ref="CC68:CC131" si="65">CB68+(BT68+BU68)*44/12</f>
        <v>741.67205805448759</v>
      </c>
      <c r="CD68" s="59">
        <f ca="1">AVERAGE(OFFSET($CC$3,0,0,'Données projet'!$E$12+1,1))-AVERAGE(OFFSET($H$3,0,0,'Données projet'!$E$12+1,1))</f>
        <v>411.67183422518411</v>
      </c>
      <c r="CE68" s="59">
        <f t="shared" si="40"/>
        <v>379.16642539721556</v>
      </c>
      <c r="CF68" s="15">
        <f>IF(ISNA(VLOOKUP(A68,'Données projet'!$A$113:$I$133,3,0)),0,VLOOKUP(A68,'Données projet'!$A$113:$I$133,3,0))</f>
        <v>10</v>
      </c>
      <c r="CG68" s="15" t="str">
        <f>IF(ISNA(VLOOKUP(A68,'Données projet'!$A$113:$I$133,4,0)),0,VLOOKUP(A68,'Données projet'!$A$113:$I$133,4,0))</f>
        <v>22</v>
      </c>
      <c r="CH68" s="16">
        <f>IF(ISNA(VLOOKUP(A68,'Données projet'!$A$113:$I$133,5,0)),0%,VLOOKUP(A68,'Données projet'!$A$113:$I$133,5,0)*VLOOKUP('Données projet'!$B$12,Paramètres!$A$1:$I$89,7,0))</f>
        <v>0.25800000000000001</v>
      </c>
      <c r="CI68" s="16">
        <f>IF(ISNA(VLOOKUP(A68,'Données projet'!$A$113:$I$133,6,0)),0%,VLOOKUP(A68,'Données projet'!$A$113:$I$133,6,0)*VLOOKUP('Données projet'!$B$12,Paramètres!$A$1:$I$89,7,0))</f>
        <v>0.129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24.371190362842707</v>
      </c>
      <c r="CL68" s="21">
        <f>EXP(-LN(2)/25)*CL67+(1-EXP(-LN(2)/25))/(LN(2)/25)*Calculateur!CG68*Calculateur!CI68*VLOOKUP('Données projet'!$B$12,Paramètres!$A$1:$I$89,3,0)*0.475*44/12</f>
        <v>23.307256520152279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47.67844688299499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202.86458333333348</v>
      </c>
      <c r="O69" s="13">
        <f>N69*VLOOKUP('Données projet'!$B$9,Paramètres!$A$1:$I$89,3,0)*VLOOKUP('Données projet'!$B$9,Paramètres!$A$1:$I$89,5,0)</f>
        <v>183.55187500000014</v>
      </c>
      <c r="P69" s="13">
        <f t="shared" ref="P69:P132" si="87">EXP(-1.0587+0.8836*LN(O69)+0.284)</f>
        <v>46.11151198237242</v>
      </c>
      <c r="Q69" s="20">
        <f t="shared" si="54"/>
        <v>399.99706566096552</v>
      </c>
      <c r="R69" s="59">
        <f t="shared" si="55"/>
        <v>664.4501247781526</v>
      </c>
      <c r="S69" s="59">
        <f ca="1">AVERAGE(OFFSET($R$3,0,0,'Données projet'!$E$9+1,1))-AVERAGE(OFFSET($H$3,0,0,'Données projet'!$E$9+1,1))</f>
        <v>421.33534980160005</v>
      </c>
      <c r="T69" s="59">
        <f t="shared" ref="T69:T132" si="88">$T$3</f>
        <v>299.0473530693472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-1.7053025658242404E-13</v>
      </c>
      <c r="AJ69" s="13">
        <f>AI69*VLOOKUP('Données projet'!$B$10,Paramètres!$A$1:$I$89,3,0)*VLOOKUP('Données projet'!$B$10,Paramètres!$A$1:$I$89,5,0)</f>
        <v>-1.0197709343628959E-13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337.99164391755608</v>
      </c>
      <c r="AO69" s="59">
        <f t="shared" ref="AO69:AO132" si="90">$AO$3</f>
        <v>421.45428231923393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133.58991284916843</v>
      </c>
      <c r="AV69" s="21">
        <f>EXP(-LN(2)/25)*AV68+(1-EXP(-LN(2)/25))/(LN(2)/25)*Calculateur!AQ69*Calculateur!AS69*VLOOKUP('Données projet'!$B$10,Paramètres!$A$1:$I$89,3,0)*0.475*44/12</f>
        <v>33.497773853603114</v>
      </c>
      <c r="AW69" s="21">
        <f>EXP(-LN(2)/2)*AW68+(1-EXP(-LN(2)/2))/(LN(2)/2)*AQ69*AT69*VLOOKUP('Données projet'!$B$10,Paramètres!$A$1:$I$89,3,0)*0.475*44/12</f>
        <v>1.2626990919627974</v>
      </c>
      <c r="AX69" s="21">
        <f t="shared" si="60"/>
        <v>168.35038579473434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8.1001602564102626</v>
      </c>
      <c r="BD69" s="12">
        <f>IF('Données projet'!$A$88&gt;35,BD68+BC69-BL68,IF(A69&lt;'Données projet'!$A$88,$BA$205^A69,IF(A69='Données projet'!$A$88,'Données projet'!$B$88,BD68+BC69-BL68)))</f>
        <v>202.86458333333348</v>
      </c>
      <c r="BE69" s="13">
        <f>BD69*VLOOKUP('Données projet'!$B$11,Paramètres!$A$1:$I$89,3,0)*VLOOKUP('Données projet'!$B$11,Paramètres!$A$1:$I$89,5,0)</f>
        <v>205.70468750000018</v>
      </c>
      <c r="BF69" s="13">
        <f t="shared" ref="BF69:BF132" si="91">EXP(-1.0587+0.8836*LN(BE69)+0.284)</f>
        <v>50.995825886459762</v>
      </c>
      <c r="BG69" s="20">
        <f t="shared" si="61"/>
        <v>447.08672748141771</v>
      </c>
      <c r="BH69" s="59">
        <f t="shared" si="62"/>
        <v>711.53978659860479</v>
      </c>
      <c r="BI69" s="59">
        <f ca="1">AVERAGE(OFFSET($BH$3,0,0,'Données projet'!$E$11+1,1))-AVERAGE(OFFSET($H$3,0,0,'Données projet'!$E$11+1,1))</f>
        <v>462.74754756814662</v>
      </c>
      <c r="BJ69" s="59">
        <f t="shared" ref="BJ69:BJ132" si="92">$BJ$3</f>
        <v>327.65191293226667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13.265959378328235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13.265959378328235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5.4</v>
      </c>
      <c r="BY69" s="12">
        <f>IF('Données projet'!$A$114&gt;35,BY68+BX69-CG68,IF(A69&lt;'Données projet'!$A$114,$BV$205^A69,IF(A69='Données projet'!$A$114,'Données projet'!$B$114,BY68+BX69-CG68)))</f>
        <v>235.40000000000009</v>
      </c>
      <c r="BZ69" s="13">
        <f>BY69*VLOOKUP('Données projet'!$B$12,Paramètres!$A$1:$I$89,3,0)*VLOOKUP('Données projet'!$B$12,Paramètres!$A$1:$I$89,5,0)</f>
        <v>205.64544000000012</v>
      </c>
      <c r="CA69" s="13">
        <f t="shared" ref="CA69:CA132" si="93">EXP(-1.0587+0.8836*LN(BZ69)+0.284)</f>
        <v>50.982847417614401</v>
      </c>
      <c r="CB69" s="20">
        <f t="shared" si="64"/>
        <v>446.96093391901189</v>
      </c>
      <c r="CC69" s="59">
        <f t="shared" si="65"/>
        <v>711.41399303619892</v>
      </c>
      <c r="CD69" s="59">
        <f ca="1">AVERAGE(OFFSET($CC$3,0,0,'Données projet'!$E$12+1,1))-AVERAGE(OFFSET($H$3,0,0,'Données projet'!$E$12+1,1))</f>
        <v>411.67183422518411</v>
      </c>
      <c r="CE69" s="59">
        <f t="shared" ref="CE69:CE132" si="94">$CE$3</f>
        <v>379.16642539721556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23.893286184785691</v>
      </c>
      <c r="CL69" s="21">
        <f>EXP(-LN(2)/25)*CL68+(1-EXP(-LN(2)/25))/(LN(2)/25)*Calculateur!CG69*Calculateur!CI69*VLOOKUP('Données projet'!$B$12,Paramètres!$A$1:$I$89,3,0)*0.475*44/12</f>
        <v>22.669918364933363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46.563204549719053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210.96474358974376</v>
      </c>
      <c r="O70" s="13">
        <f>N70*VLOOKUP('Données projet'!$B$9,Paramètres!$A$1:$I$89,3,0)*VLOOKUP('Données projet'!$B$9,Paramètres!$A$1:$I$89,5,0)</f>
        <v>190.88090000000014</v>
      </c>
      <c r="P70" s="13">
        <f t="shared" si="87"/>
        <v>47.734654873168694</v>
      </c>
      <c r="Q70" s="20">
        <f t="shared" si="54"/>
        <v>415.58875807076902</v>
      </c>
      <c r="R70" s="59">
        <f t="shared" si="55"/>
        <v>680.54282537898598</v>
      </c>
      <c r="S70" s="59">
        <f ca="1">AVERAGE(OFFSET($R$3,0,0,'Données projet'!$E$9+1,1))-AVERAGE(OFFSET($H$3,0,0,'Données projet'!$E$9+1,1))</f>
        <v>421.33534980160005</v>
      </c>
      <c r="T70" s="59">
        <f t="shared" si="88"/>
        <v>299.0473530693472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-1.7053025658242404E-13</v>
      </c>
      <c r="AJ70" s="13">
        <f>AI70*VLOOKUP('Données projet'!$B$10,Paramètres!$A$1:$I$89,3,0)*VLOOKUP('Données projet'!$B$10,Paramètres!$A$1:$I$89,5,0)</f>
        <v>-1.0197709343628959E-13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337.99164391755608</v>
      </c>
      <c r="AO70" s="59">
        <f t="shared" si="90"/>
        <v>421.45428231923393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130.9702961399974</v>
      </c>
      <c r="AV70" s="21">
        <f>EXP(-LN(2)/25)*AV69+(1-EXP(-LN(2)/25))/(LN(2)/25)*Calculateur!AQ70*Calculateur!AS70*VLOOKUP('Données projet'!$B$10,Paramètres!$A$1:$I$89,3,0)*0.475*44/12</f>
        <v>32.58177546600497</v>
      </c>
      <c r="AW70" s="21">
        <f>EXP(-LN(2)/2)*AW69+(1-EXP(-LN(2)/2))/(LN(2)/2)*AQ70*AT70*VLOOKUP('Données projet'!$B$10,Paramètres!$A$1:$I$89,3,0)*0.475*44/12</f>
        <v>0.89286309052499013</v>
      </c>
      <c r="AX70" s="21">
        <f t="shared" si="60"/>
        <v>164.44493469652735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8.1001602564102626</v>
      </c>
      <c r="BD70" s="12">
        <f>IF('Données projet'!$A$88&gt;35,BD69+BC70-BL69,IF(A70&lt;'Données projet'!$A$88,$BA$205^A70,IF(A70='Données projet'!$A$88,'Données projet'!$B$88,BD69+BC70-BL69)))</f>
        <v>210.96474358974376</v>
      </c>
      <c r="BE70" s="13">
        <f>BD70*VLOOKUP('Données projet'!$B$11,Paramètres!$A$1:$I$89,3,0)*VLOOKUP('Données projet'!$B$11,Paramètres!$A$1:$I$89,5,0)</f>
        <v>213.91825000000017</v>
      </c>
      <c r="BF70" s="13">
        <f t="shared" si="91"/>
        <v>52.790898498252169</v>
      </c>
      <c r="BG70" s="20">
        <f t="shared" si="61"/>
        <v>464.51843363445613</v>
      </c>
      <c r="BH70" s="59">
        <f t="shared" si="62"/>
        <v>729.47250094267304</v>
      </c>
      <c r="BI70" s="59">
        <f ca="1">AVERAGE(OFFSET($BH$3,0,0,'Données projet'!$E$11+1,1))-AVERAGE(OFFSET($H$3,0,0,'Données projet'!$E$11+1,1))</f>
        <v>462.74754756814662</v>
      </c>
      <c r="BJ70" s="59">
        <f t="shared" si="92"/>
        <v>327.65191293226667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13.005822006355476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13.005822006355476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5.4</v>
      </c>
      <c r="BY70" s="12">
        <f>IF('Données projet'!$A$114&gt;35,BY69+BX70-CG69,IF(A70&lt;'Données projet'!$A$114,$BV$205^A70,IF(A70='Données projet'!$A$114,'Données projet'!$B$114,BY69+BX70-CG69)))</f>
        <v>240.8000000000001</v>
      </c>
      <c r="BZ70" s="13">
        <f>BY70*VLOOKUP('Données projet'!$B$12,Paramètres!$A$1:$I$89,3,0)*VLOOKUP('Données projet'!$B$12,Paramètres!$A$1:$I$89,5,0)</f>
        <v>210.3628800000001</v>
      </c>
      <c r="CA70" s="13">
        <f t="shared" si="93"/>
        <v>52.014876138342963</v>
      </c>
      <c r="CB70" s="20">
        <f t="shared" si="64"/>
        <v>456.97459194094745</v>
      </c>
      <c r="CC70" s="59">
        <f t="shared" si="65"/>
        <v>721.92865924916441</v>
      </c>
      <c r="CD70" s="59">
        <f ca="1">AVERAGE(OFFSET($CC$3,0,0,'Données projet'!$E$12+1,1))-AVERAGE(OFFSET($H$3,0,0,'Données projet'!$E$12+1,1))</f>
        <v>411.67183422518411</v>
      </c>
      <c r="CE70" s="59">
        <f t="shared" si="94"/>
        <v>379.16642539721556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23.424753416167604</v>
      </c>
      <c r="CL70" s="21">
        <f>EXP(-LN(2)/25)*CL69+(1-EXP(-LN(2)/25))/(LN(2)/25)*Calculateur!CG70*Calculateur!CI70*VLOOKUP('Données projet'!$B$12,Paramètres!$A$1:$I$89,3,0)*0.475*44/12</f>
        <v>22.050008255085064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45.474761671252665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219.06490384615404</v>
      </c>
      <c r="O71" s="13">
        <f>N71*VLOOKUP('Données projet'!$B$9,Paramètres!$A$1:$I$89,3,0)*VLOOKUP('Données projet'!$B$9,Paramètres!$A$1:$I$89,5,0)</f>
        <v>198.20992500000017</v>
      </c>
      <c r="P71" s="13">
        <f t="shared" si="87"/>
        <v>49.350557805795496</v>
      </c>
      <c r="Q71" s="20">
        <f t="shared" si="54"/>
        <v>431.16784088676076</v>
      </c>
      <c r="R71" s="59">
        <f t="shared" si="55"/>
        <v>696.61422501397965</v>
      </c>
      <c r="S71" s="59">
        <f ca="1">AVERAGE(OFFSET($R$3,0,0,'Données projet'!$E$9+1,1))-AVERAGE(OFFSET($H$3,0,0,'Données projet'!$E$9+1,1))</f>
        <v>421.33534980160005</v>
      </c>
      <c r="T71" s="59">
        <f t="shared" si="88"/>
        <v>299.0473530693472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-1.7053025658242404E-13</v>
      </c>
      <c r="AJ71" s="13">
        <f>AI71*VLOOKUP('Données projet'!$B$10,Paramètres!$A$1:$I$89,3,0)*VLOOKUP('Données projet'!$B$10,Paramètres!$A$1:$I$89,5,0)</f>
        <v>-1.0197709343628959E-13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337.99164391755608</v>
      </c>
      <c r="AO71" s="59">
        <f t="shared" si="90"/>
        <v>421.45428231923393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128.4020485166848</v>
      </c>
      <c r="AV71" s="21">
        <f>EXP(-LN(2)/25)*AV70+(1-EXP(-LN(2)/25))/(LN(2)/25)*Calculateur!AQ71*Calculateur!AS71*VLOOKUP('Données projet'!$B$10,Paramètres!$A$1:$I$89,3,0)*0.475*44/12</f>
        <v>31.69082510248596</v>
      </c>
      <c r="AW71" s="21">
        <f>EXP(-LN(2)/2)*AW70+(1-EXP(-LN(2)/2))/(LN(2)/2)*AQ71*AT71*VLOOKUP('Données projet'!$B$10,Paramètres!$A$1:$I$89,3,0)*0.475*44/12</f>
        <v>0.63134954598139881</v>
      </c>
      <c r="AX71" s="21">
        <f t="shared" si="60"/>
        <v>160.72422316515215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8.1001602564102626</v>
      </c>
      <c r="BD71" s="12">
        <f>IF('Données projet'!$A$88&gt;35,BD70+BC71-BL70,IF(A71&lt;'Données projet'!$A$88,$BA$205^A71,IF(A71='Données projet'!$A$88,'Données projet'!$B$88,BD70+BC71-BL70)))</f>
        <v>219.06490384615404</v>
      </c>
      <c r="BE71" s="13">
        <f>BD71*VLOOKUP('Données projet'!$B$11,Paramètres!$A$1:$I$89,3,0)*VLOOKUP('Données projet'!$B$11,Paramètres!$A$1:$I$89,5,0)</f>
        <v>222.13181250000019</v>
      </c>
      <c r="BF71" s="13">
        <f t="shared" si="91"/>
        <v>54.577964266842784</v>
      </c>
      <c r="BG71" s="20">
        <f t="shared" si="61"/>
        <v>481.93619453558489</v>
      </c>
      <c r="BH71" s="59">
        <f t="shared" si="62"/>
        <v>747.38257866280378</v>
      </c>
      <c r="BI71" s="59">
        <f ca="1">AVERAGE(OFFSET($BH$3,0,0,'Données projet'!$E$11+1,1))-AVERAGE(OFFSET($H$3,0,0,'Données projet'!$E$11+1,1))</f>
        <v>462.74754756814662</v>
      </c>
      <c r="BJ71" s="59">
        <f t="shared" si="92"/>
        <v>327.65191293226667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12.750785769578973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12.750785769578973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5.4</v>
      </c>
      <c r="BY71" s="12">
        <f>IF('Données projet'!$A$114&gt;35,BY70+BX71-CG70,IF(A71&lt;'Données projet'!$A$114,$BV$205^A71,IF(A71='Données projet'!$A$114,'Données projet'!$B$114,BY70+BX71-CG70)))</f>
        <v>246.2000000000001</v>
      </c>
      <c r="BZ71" s="13">
        <f>BY71*VLOOKUP('Données projet'!$B$12,Paramètres!$A$1:$I$89,3,0)*VLOOKUP('Données projet'!$B$12,Paramètres!$A$1:$I$89,5,0)</f>
        <v>215.08032000000011</v>
      </c>
      <c r="CA71" s="13">
        <f t="shared" si="93"/>
        <v>53.044214230061506</v>
      </c>
      <c r="CB71" s="20">
        <f t="shared" si="64"/>
        <v>466.983563784024</v>
      </c>
      <c r="CC71" s="59">
        <f t="shared" si="65"/>
        <v>732.42994791124283</v>
      </c>
      <c r="CD71" s="59">
        <f ca="1">AVERAGE(OFFSET($CC$3,0,0,'Données projet'!$E$12+1,1))-AVERAGE(OFFSET($H$3,0,0,'Données projet'!$E$12+1,1))</f>
        <v>411.67183422518411</v>
      </c>
      <c r="CE71" s="59">
        <f t="shared" si="94"/>
        <v>379.16642539721556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22.96540828936535</v>
      </c>
      <c r="CL71" s="21">
        <f>EXP(-LN(2)/25)*CL70+(1-EXP(-LN(2)/25))/(LN(2)/25)*Calculateur!CG71*Calculateur!CI71*VLOOKUP('Données projet'!$B$12,Paramètres!$A$1:$I$89,3,0)*0.475*44/12</f>
        <v>21.447049619790224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44.412457909155577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227.16506410256432</v>
      </c>
      <c r="O72" s="13">
        <f>N72*VLOOKUP('Données projet'!$B$9,Paramètres!$A$1:$I$89,3,0)*VLOOKUP('Données projet'!$B$9,Paramètres!$A$1:$I$89,5,0)</f>
        <v>205.53895000000017</v>
      </c>
      <c r="P72" s="13">
        <f t="shared" si="87"/>
        <v>50.959519142478193</v>
      </c>
      <c r="Q72" s="20">
        <f t="shared" si="54"/>
        <v>446.73483375648311</v>
      </c>
      <c r="R72" s="59">
        <f t="shared" si="55"/>
        <v>712.66499410654967</v>
      </c>
      <c r="S72" s="59">
        <f ca="1">AVERAGE(OFFSET($R$3,0,0,'Données projet'!$E$9+1,1))-AVERAGE(OFFSET($H$3,0,0,'Données projet'!$E$9+1,1))</f>
        <v>421.33534980160005</v>
      </c>
      <c r="T72" s="59">
        <f t="shared" si="88"/>
        <v>299.0473530693472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-1.7053025658242404E-13</v>
      </c>
      <c r="AJ72" s="13">
        <f>AI72*VLOOKUP('Données projet'!$B$10,Paramètres!$A$1:$I$89,3,0)*VLOOKUP('Données projet'!$B$10,Paramètres!$A$1:$I$89,5,0)</f>
        <v>-1.0197709343628959E-13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337.99164391755608</v>
      </c>
      <c r="AO72" s="59">
        <f t="shared" si="90"/>
        <v>421.45428231923393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125.884162662789</v>
      </c>
      <c r="AV72" s="21">
        <f>EXP(-LN(2)/25)*AV71+(1-EXP(-LN(2)/25))/(LN(2)/25)*Calculateur!AQ72*Calculateur!AS72*VLOOKUP('Données projet'!$B$10,Paramètres!$A$1:$I$89,3,0)*0.475*44/12</f>
        <v>30.824237823510419</v>
      </c>
      <c r="AW72" s="21">
        <f>EXP(-LN(2)/2)*AW71+(1-EXP(-LN(2)/2))/(LN(2)/2)*AQ72*AT72*VLOOKUP('Données projet'!$B$10,Paramètres!$A$1:$I$89,3,0)*0.475*44/12</f>
        <v>0.44643154526249512</v>
      </c>
      <c r="AX72" s="21">
        <f t="shared" si="60"/>
        <v>157.15483203156191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8.1001602564102626</v>
      </c>
      <c r="BD72" s="12">
        <f>IF('Données projet'!$A$88&gt;35,BD71+BC72-BL71,IF(A72&lt;'Données projet'!$A$88,$BA$205^A72,IF(A72='Données projet'!$A$88,'Données projet'!$B$88,BD71+BC72-BL71)))</f>
        <v>227.16506410256432</v>
      </c>
      <c r="BE72" s="13">
        <f>BD72*VLOOKUP('Données projet'!$B$11,Paramètres!$A$1:$I$89,3,0)*VLOOKUP('Données projet'!$B$11,Paramètres!$A$1:$I$89,5,0)</f>
        <v>230.34537500000025</v>
      </c>
      <c r="BF72" s="13">
        <f t="shared" si="91"/>
        <v>56.35735315816531</v>
      </c>
      <c r="BG72" s="20">
        <f t="shared" si="61"/>
        <v>499.34058487547162</v>
      </c>
      <c r="BH72" s="59">
        <f t="shared" si="62"/>
        <v>765.27074522553812</v>
      </c>
      <c r="BI72" s="59">
        <f ca="1">AVERAGE(OFFSET($BH$3,0,0,'Données projet'!$E$11+1,1))-AVERAGE(OFFSET($H$3,0,0,'Données projet'!$E$11+1,1))</f>
        <v>462.74754756814662</v>
      </c>
      <c r="BJ72" s="59">
        <f t="shared" si="92"/>
        <v>327.65191293226667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12.500750637848913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12.500750637848913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5.4</v>
      </c>
      <c r="BY72" s="12">
        <f>IF('Données projet'!$A$114&gt;35,BY71+BX72-CG71,IF(A72&lt;'Données projet'!$A$114,$BV$205^A72,IF(A72='Données projet'!$A$114,'Données projet'!$B$114,BY71+BX72-CG71)))</f>
        <v>251.60000000000011</v>
      </c>
      <c r="BZ72" s="13">
        <f>BY72*VLOOKUP('Données projet'!$B$12,Paramètres!$A$1:$I$89,3,0)*VLOOKUP('Données projet'!$B$12,Paramètres!$A$1:$I$89,5,0)</f>
        <v>219.79776000000012</v>
      </c>
      <c r="CA72" s="13">
        <f t="shared" si="93"/>
        <v>54.070927503307431</v>
      </c>
      <c r="CB72" s="20">
        <f t="shared" si="64"/>
        <v>476.98796406826068</v>
      </c>
      <c r="CC72" s="59">
        <f t="shared" si="65"/>
        <v>742.91812441832724</v>
      </c>
      <c r="CD72" s="59">
        <f ca="1">AVERAGE(OFFSET($CC$3,0,0,'Données projet'!$E$12+1,1))-AVERAGE(OFFSET($H$3,0,0,'Données projet'!$E$12+1,1))</f>
        <v>411.67183422518411</v>
      </c>
      <c r="CE72" s="59">
        <f t="shared" si="94"/>
        <v>379.16642539721556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22.515070640326826</v>
      </c>
      <c r="CL72" s="21">
        <f>EXP(-LN(2)/25)*CL71+(1-EXP(-LN(2)/25))/(LN(2)/25)*Calculateur!CG72*Calculateur!CI72*VLOOKUP('Données projet'!$B$12,Paramètres!$A$1:$I$89,3,0)*0.475*44/12</f>
        <v>20.860578920085739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43.375649560412569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235.26522435897459</v>
      </c>
      <c r="O73" s="13">
        <f>N73*VLOOKUP('Données projet'!$B$9,Paramètres!$A$1:$I$89,3,0)*VLOOKUP('Données projet'!$B$9,Paramètres!$A$1:$I$89,5,0)</f>
        <v>212.8679750000002</v>
      </c>
      <c r="P73" s="13">
        <f t="shared" si="87"/>
        <v>52.561814761455608</v>
      </c>
      <c r="Q73" s="20">
        <f t="shared" si="54"/>
        <v>462.29021716786883</v>
      </c>
      <c r="R73" s="59">
        <f t="shared" si="55"/>
        <v>728.69576130487826</v>
      </c>
      <c r="S73" s="59">
        <f ca="1">AVERAGE(OFFSET($R$3,0,0,'Données projet'!$E$9+1,1))-AVERAGE(OFFSET($H$3,0,0,'Données projet'!$E$9+1,1))</f>
        <v>421.33534980160005</v>
      </c>
      <c r="T73" s="59">
        <f t="shared" si="88"/>
        <v>299.0473530693472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-1.7053025658242404E-13</v>
      </c>
      <c r="AJ73" s="13">
        <f>AI73*VLOOKUP('Données projet'!$B$10,Paramètres!$A$1:$I$89,3,0)*VLOOKUP('Données projet'!$B$10,Paramètres!$A$1:$I$89,5,0)</f>
        <v>-1.0197709343628959E-13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337.99164391755608</v>
      </c>
      <c r="AO73" s="59">
        <f t="shared" si="90"/>
        <v>421.45428231923393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123.41565101472936</v>
      </c>
      <c r="AV73" s="21">
        <f>EXP(-LN(2)/25)*AV72+(1-EXP(-LN(2)/25))/(LN(2)/25)*Calculateur!AQ73*Calculateur!AS73*VLOOKUP('Données projet'!$B$10,Paramètres!$A$1:$I$89,3,0)*0.475*44/12</f>
        <v>29.981347419250309</v>
      </c>
      <c r="AW73" s="21">
        <f>EXP(-LN(2)/2)*AW72+(1-EXP(-LN(2)/2))/(LN(2)/2)*AQ73*AT73*VLOOKUP('Données projet'!$B$10,Paramètres!$A$1:$I$89,3,0)*0.475*44/12</f>
        <v>0.31567477299069946</v>
      </c>
      <c r="AX73" s="21">
        <f t="shared" si="60"/>
        <v>153.71267320697035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8.1001602564102626</v>
      </c>
      <c r="BD73" s="12">
        <f>IF('Données projet'!$A$88&gt;35,BD72+BC73-BL72,IF(A73&lt;'Données projet'!$A$88,$BA$205^A73,IF(A73='Données projet'!$A$88,'Données projet'!$B$88,BD72+BC73-BL72)))</f>
        <v>235.26522435897459</v>
      </c>
      <c r="BE73" s="13">
        <f>BD73*VLOOKUP('Données projet'!$B$11,Paramètres!$A$1:$I$89,3,0)*VLOOKUP('Données projet'!$B$11,Paramètres!$A$1:$I$89,5,0)</f>
        <v>238.55893750000027</v>
      </c>
      <c r="BF73" s="13">
        <f t="shared" si="91"/>
        <v>58.129370272573652</v>
      </c>
      <c r="BG73" s="20">
        <f t="shared" si="61"/>
        <v>516.73213603723286</v>
      </c>
      <c r="BH73" s="59">
        <f t="shared" si="62"/>
        <v>783.1376801742424</v>
      </c>
      <c r="BI73" s="59">
        <f ca="1">AVERAGE(OFFSET($BH$3,0,0,'Données projet'!$E$11+1,1))-AVERAGE(OFFSET($H$3,0,0,'Données projet'!$E$11+1,1))</f>
        <v>462.74754756814662</v>
      </c>
      <c r="BJ73" s="59">
        <f t="shared" si="92"/>
        <v>327.65191293226667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12.255618542545708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12.255618542545708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257</v>
      </c>
      <c r="BW73" s="12">
        <f>VLOOKUP(A73,'Données projet'!$A$113:$I$133,9,0)</f>
        <v>5.4</v>
      </c>
      <c r="BX73" s="12">
        <f t="array" ref="BX73">INDEX(BW:BW,MIN(IF(ISNUMBER(BW73:BW269),ROW(BW73:BW269),"")))</f>
        <v>5.4</v>
      </c>
      <c r="BY73" s="12">
        <f>IF('Données projet'!$A$114&gt;35,BY72+BX73-CG72,IF(A73&lt;'Données projet'!$A$114,$BV$205^A73,IF(A73='Données projet'!$A$114,'Données projet'!$B$114,BY72+BX73-CG72)))</f>
        <v>257.00000000000011</v>
      </c>
      <c r="BZ73" s="13">
        <f>BY73*VLOOKUP('Données projet'!$B$12,Paramètres!$A$1:$I$89,3,0)*VLOOKUP('Données projet'!$B$12,Paramètres!$A$1:$I$89,5,0)</f>
        <v>224.51520000000014</v>
      </c>
      <c r="CA73" s="13">
        <f t="shared" si="93"/>
        <v>55.095078782313593</v>
      </c>
      <c r="CB73" s="20">
        <f t="shared" si="64"/>
        <v>486.98790221252966</v>
      </c>
      <c r="CC73" s="59">
        <f t="shared" si="65"/>
        <v>753.39344634953909</v>
      </c>
      <c r="CD73" s="59">
        <f ca="1">AVERAGE(OFFSET($CC$3,0,0,'Données projet'!$E$12+1,1))-AVERAGE(OFFSET($H$3,0,0,'Données projet'!$E$12+1,1))</f>
        <v>411.67183422518411</v>
      </c>
      <c r="CE73" s="59">
        <f t="shared" si="94"/>
        <v>379.16642539721556</v>
      </c>
      <c r="CF73" s="15">
        <f>IF(ISNA(VLOOKUP(A73,'Données projet'!$A$113:$I$133,3,0)),0,VLOOKUP(A73,'Données projet'!$A$113:$I$133,3,0))</f>
        <v>11</v>
      </c>
      <c r="CG73" s="15" t="str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0.25800000000000001</v>
      </c>
      <c r="CI73" s="16">
        <f>IF(ISNA(VLOOKUP(A73,'Données projet'!$A$113:$I$133,6,0)),0%,VLOOKUP(A73,'Données projet'!$A$113:$I$133,6,0)*VLOOKUP('Données projet'!$B$12,Paramètres!$A$1:$I$89,7,0))</f>
        <v>0.129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27.305937325755103</v>
      </c>
      <c r="CL73" s="21">
        <f>EXP(-LN(2)/25)*CL72+(1-EXP(-LN(2)/25))/(LN(2)/25)*Calculateur!CG73*Calculateur!CI73*VLOOKUP('Données projet'!$B$12,Paramètres!$A$1:$I$89,3,0)*0.475*44/12</f>
        <v>22.896031112373699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50.201968438128802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243.36538461538464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243.36538461538487</v>
      </c>
      <c r="O74" s="13">
        <f>N74*VLOOKUP('Données projet'!$B$9,Paramètres!$A$1:$I$89,3,0)*VLOOKUP('Données projet'!$B$9,Paramètres!$A$1:$I$89,5,0)</f>
        <v>220.19700000000023</v>
      </c>
      <c r="P74" s="13">
        <f t="shared" si="87"/>
        <v>54.157700466574305</v>
      </c>
      <c r="Q74" s="20">
        <f t="shared" si="54"/>
        <v>477.83443664595069</v>
      </c>
      <c r="R74" s="59">
        <f t="shared" si="55"/>
        <v>744.70711772399864</v>
      </c>
      <c r="S74" s="59">
        <f ca="1">AVERAGE(OFFSET($R$3,0,0,'Données projet'!$E$9+1,1))-AVERAGE(OFFSET($H$3,0,0,'Données projet'!$E$9+1,1))</f>
        <v>421.33534980160005</v>
      </c>
      <c r="T74" s="59">
        <f t="shared" si="88"/>
        <v>299.0473530693472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-1.7053025658242404E-13</v>
      </c>
      <c r="AJ74" s="13">
        <f>AI74*VLOOKUP('Données projet'!$B$10,Paramètres!$A$1:$I$89,3,0)*VLOOKUP('Données projet'!$B$10,Paramètres!$A$1:$I$89,5,0)</f>
        <v>-1.0197709343628959E-13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337.99164391755608</v>
      </c>
      <c r="AO74" s="59">
        <f t="shared" si="90"/>
        <v>421.45428231923393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120.99554537444475</v>
      </c>
      <c r="AV74" s="21">
        <f>EXP(-LN(2)/25)*AV73+(1-EXP(-LN(2)/25))/(LN(2)/25)*Calculateur!AQ74*Calculateur!AS74*VLOOKUP('Données projet'!$B$10,Paramètres!$A$1:$I$89,3,0)*0.475*44/12</f>
        <v>29.161505897420373</v>
      </c>
      <c r="AW74" s="21">
        <f>EXP(-LN(2)/2)*AW73+(1-EXP(-LN(2)/2))/(LN(2)/2)*AQ74*AT74*VLOOKUP('Données projet'!$B$10,Paramètres!$A$1:$I$89,3,0)*0.475*44/12</f>
        <v>0.22321577263124759</v>
      </c>
      <c r="AX74" s="21">
        <f t="shared" si="60"/>
        <v>150.38026704449638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243.36538461538464</v>
      </c>
      <c r="BB74" s="12">
        <f>VLOOKUP(A74,'Données projet'!$A$87:$I$107,9,0)</f>
        <v>8.1001602564102626</v>
      </c>
      <c r="BC74" s="12">
        <f t="array" ref="BC74">INDEX(BB:BB,MIN(IF(ISNUMBER(BB74:BB270),ROW(BB74:BB270),"")))</f>
        <v>8.1001602564102626</v>
      </c>
      <c r="BD74" s="12">
        <f>IF('Données projet'!$A$88&gt;35,BD73+BC74-BL73,IF(A74&lt;'Données projet'!$A$88,$BA$205^A74,IF(A74='Données projet'!$A$88,'Données projet'!$B$88,BD73+BC74-BL73)))</f>
        <v>243.36538461538487</v>
      </c>
      <c r="BE74" s="13">
        <f>BD74*VLOOKUP('Données projet'!$B$11,Paramètres!$A$1:$I$89,3,0)*VLOOKUP('Données projet'!$B$11,Paramètres!$A$1:$I$89,5,0)</f>
        <v>246.77250000000026</v>
      </c>
      <c r="BF74" s="13">
        <f t="shared" si="91"/>
        <v>59.894298509670598</v>
      </c>
      <c r="BG74" s="20">
        <f t="shared" si="61"/>
        <v>534.11134073767676</v>
      </c>
      <c r="BH74" s="59">
        <f t="shared" si="62"/>
        <v>800.98402181572465</v>
      </c>
      <c r="BI74" s="59">
        <f ca="1">AVERAGE(OFFSET($BH$3,0,0,'Données projet'!$E$11+1,1))-AVERAGE(OFFSET($H$3,0,0,'Données projet'!$E$11+1,1))</f>
        <v>462.74754756814662</v>
      </c>
      <c r="BJ74" s="59">
        <f t="shared" si="92"/>
        <v>327.65191293226667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39.935897435897431</v>
      </c>
      <c r="BM74" s="16">
        <f>IF(ISNA(VLOOKUP(A74,'Données projet'!$A$87:$I$107,5,0)),0%,VLOOKUP(A74,'Données projet'!$A$87:$I$107,5,0)*VLOOKUP('Données projet'!$B$11,Paramètres!$A$1:$I$89,7,0))</f>
        <v>0.30099999999999999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25.489866266890814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25.489866266890814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</v>
      </c>
      <c r="BY74" s="12">
        <f>IF('Données projet'!$A$114&gt;35,BY73+BX74-CG73,IF(A74&lt;'Données projet'!$A$114,$BV$205^A74,IF(A74='Données projet'!$A$114,'Données projet'!$B$114,BY73+BX74-CG73)))</f>
        <v>241.00000000000011</v>
      </c>
      <c r="BZ74" s="13">
        <f>BY74*VLOOKUP('Données projet'!$B$12,Paramètres!$A$1:$I$89,3,0)*VLOOKUP('Données projet'!$B$12,Paramètres!$A$1:$I$89,5,0)</f>
        <v>210.53760000000011</v>
      </c>
      <c r="CA74" s="13">
        <f t="shared" si="93"/>
        <v>52.053047337322276</v>
      </c>
      <c r="CB74" s="20">
        <f t="shared" si="64"/>
        <v>457.34537744583645</v>
      </c>
      <c r="CC74" s="59">
        <f t="shared" si="65"/>
        <v>724.21805852388434</v>
      </c>
      <c r="CD74" s="59">
        <f ca="1">AVERAGE(OFFSET($CC$3,0,0,'Données projet'!$E$12+1,1))-AVERAGE(OFFSET($H$3,0,0,'Données projet'!$E$12+1,1))</f>
        <v>411.67183422518411</v>
      </c>
      <c r="CE74" s="59">
        <f t="shared" si="94"/>
        <v>379.16642539721556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26.77048454977427</v>
      </c>
      <c r="CL74" s="21">
        <f>EXP(-LN(2)/25)*CL73+(1-EXP(-LN(2)/25))/(LN(2)/25)*Calculateur!CG74*Calculateur!CI74*VLOOKUP('Données projet'!$B$12,Paramètres!$A$1:$I$89,3,0)*0.475*44/12</f>
        <v>22.269937937555895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49.040422487330162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211.27207977208002</v>
      </c>
      <c r="O75" s="13">
        <f>N75*VLOOKUP('Données projet'!$B$9,Paramètres!$A$1:$I$89,3,0)*VLOOKUP('Données projet'!$B$9,Paramètres!$A$1:$I$89,5,0)</f>
        <v>191.15897777777801</v>
      </c>
      <c r="P75" s="13">
        <f t="shared" si="87"/>
        <v>47.796095622022989</v>
      </c>
      <c r="Q75" s="20">
        <f t="shared" si="54"/>
        <v>416.18008617132006</v>
      </c>
      <c r="R75" s="59">
        <f t="shared" si="55"/>
        <v>683.51180040884117</v>
      </c>
      <c r="S75" s="59">
        <f ca="1">AVERAGE(OFFSET($R$3,0,0,'Données projet'!$E$9+1,1))-AVERAGE(OFFSET($H$3,0,0,'Données projet'!$E$9+1,1))</f>
        <v>421.33534980160005</v>
      </c>
      <c r="T75" s="59">
        <f t="shared" si="88"/>
        <v>299.0473530693472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-1.7053025658242404E-13</v>
      </c>
      <c r="AJ75" s="13">
        <f>AI75*VLOOKUP('Données projet'!$B$10,Paramètres!$A$1:$I$89,3,0)*VLOOKUP('Données projet'!$B$10,Paramètres!$A$1:$I$89,5,0)</f>
        <v>-1.0197709343628959E-13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337.99164391755608</v>
      </c>
      <c r="AO75" s="59">
        <f t="shared" si="90"/>
        <v>421.45428231923393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118.62289652964742</v>
      </c>
      <c r="AV75" s="21">
        <f>EXP(-LN(2)/25)*AV74+(1-EXP(-LN(2)/25))/(LN(2)/25)*Calculateur!AQ75*Calculateur!AS75*VLOOKUP('Données projet'!$B$10,Paramètres!$A$1:$I$89,3,0)*0.475*44/12</f>
        <v>28.364082985118468</v>
      </c>
      <c r="AW75" s="21">
        <f>EXP(-LN(2)/2)*AW74+(1-EXP(-LN(2)/2))/(LN(2)/2)*AQ75*AT75*VLOOKUP('Données projet'!$B$10,Paramètres!$A$1:$I$89,3,0)*0.475*44/12</f>
        <v>0.15783738649534973</v>
      </c>
      <c r="AX75" s="21">
        <f t="shared" si="60"/>
        <v>147.14481690126124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7.8425925925925934</v>
      </c>
      <c r="BD75" s="12">
        <f>IF('Données projet'!$A$88&gt;35,BD74+BC75-BL74,IF(A75&lt;'Données projet'!$A$88,$BA$205^A75,IF(A75='Données projet'!$A$88,'Données projet'!$B$88,BD74+BC75-BL74)))</f>
        <v>211.27207977208002</v>
      </c>
      <c r="BE75" s="13">
        <f>BD75*VLOOKUP('Données projet'!$B$11,Paramètres!$A$1:$I$89,3,0)*VLOOKUP('Données projet'!$B$11,Paramètres!$A$1:$I$89,5,0)</f>
        <v>214.22988888888915</v>
      </c>
      <c r="BF75" s="13">
        <f t="shared" si="91"/>
        <v>52.858847294468234</v>
      </c>
      <c r="BG75" s="20">
        <f t="shared" si="61"/>
        <v>465.17954885268068</v>
      </c>
      <c r="BH75" s="59">
        <f t="shared" si="62"/>
        <v>732.51126309020174</v>
      </c>
      <c r="BI75" s="59">
        <f ca="1">AVERAGE(OFFSET($BH$3,0,0,'Données projet'!$E$11+1,1))-AVERAGE(OFFSET($H$3,0,0,'Données projet'!$E$11+1,1))</f>
        <v>462.74754756814662</v>
      </c>
      <c r="BJ75" s="59">
        <f t="shared" si="92"/>
        <v>327.65191293226667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24.990025536680342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24.990025536680342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</v>
      </c>
      <c r="BY75" s="12">
        <f>IF('Données projet'!$A$114&gt;35,BY74+BX75-CG74,IF(A75&lt;'Données projet'!$A$114,$BV$205^A75,IF(A75='Données projet'!$A$114,'Données projet'!$B$114,BY74+BX75-CG74)))</f>
        <v>246.00000000000011</v>
      </c>
      <c r="BZ75" s="13">
        <f>BY75*VLOOKUP('Données projet'!$B$12,Paramètres!$A$1:$I$89,3,0)*VLOOKUP('Données projet'!$B$12,Paramètres!$A$1:$I$89,5,0)</f>
        <v>214.90560000000013</v>
      </c>
      <c r="CA75" s="13">
        <f t="shared" si="93"/>
        <v>53.006137800892375</v>
      </c>
      <c r="CB75" s="20">
        <f t="shared" si="64"/>
        <v>466.61294333655451</v>
      </c>
      <c r="CC75" s="59">
        <f t="shared" si="65"/>
        <v>733.94465757407556</v>
      </c>
      <c r="CD75" s="59">
        <f ca="1">AVERAGE(OFFSET($CC$3,0,0,'Données projet'!$E$12+1,1))-AVERAGE(OFFSET($H$3,0,0,'Données projet'!$E$12+1,1))</f>
        <v>411.67183422518411</v>
      </c>
      <c r="CE75" s="59">
        <f t="shared" si="94"/>
        <v>379.16642539721556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26.24553167613648</v>
      </c>
      <c r="CL75" s="21">
        <f>EXP(-LN(2)/25)*CL74+(1-EXP(-LN(2)/25))/(LN(2)/25)*Calculateur!CG75*Calculateur!CI75*VLOOKUP('Données projet'!$B$12,Paramètres!$A$1:$I$89,3,0)*0.475*44/12</f>
        <v>21.66096531352829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47.906496989664774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219.1146723646726</v>
      </c>
      <c r="O76" s="13">
        <f>N76*VLOOKUP('Données projet'!$B$9,Paramètres!$A$1:$I$89,3,0)*VLOOKUP('Données projet'!$B$9,Paramètres!$A$1:$I$89,5,0)</f>
        <v>198.25495555555577</v>
      </c>
      <c r="P76" s="13">
        <f t="shared" si="87"/>
        <v>49.360464390082804</v>
      </c>
      <c r="Q76" s="20">
        <f t="shared" si="54"/>
        <v>431.26352307198721</v>
      </c>
      <c r="R76" s="59">
        <f t="shared" si="55"/>
        <v>699.04630726990899</v>
      </c>
      <c r="S76" s="59">
        <f ca="1">AVERAGE(OFFSET($R$3,0,0,'Données projet'!$E$9+1,1))-AVERAGE(OFFSET($H$3,0,0,'Données projet'!$E$9+1,1))</f>
        <v>421.33534980160005</v>
      </c>
      <c r="T76" s="59">
        <f t="shared" si="88"/>
        <v>299.0473530693472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-1.7053025658242404E-13</v>
      </c>
      <c r="AJ76" s="13">
        <f>AI76*VLOOKUP('Données projet'!$B$10,Paramètres!$A$1:$I$89,3,0)*VLOOKUP('Données projet'!$B$10,Paramètres!$A$1:$I$89,5,0)</f>
        <v>-1.0197709343628959E-13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337.99164391755608</v>
      </c>
      <c r="AO76" s="59">
        <f t="shared" si="90"/>
        <v>421.45428231923393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116.29677388152366</v>
      </c>
      <c r="AV76" s="21">
        <f>EXP(-LN(2)/25)*AV75+(1-EXP(-LN(2)/25))/(LN(2)/25)*Calculateur!AQ76*Calculateur!AS76*VLOOKUP('Données projet'!$B$10,Paramètres!$A$1:$I$89,3,0)*0.475*44/12</f>
        <v>27.588465644288107</v>
      </c>
      <c r="AW76" s="21">
        <f>EXP(-LN(2)/2)*AW75+(1-EXP(-LN(2)/2))/(LN(2)/2)*AQ76*AT76*VLOOKUP('Données projet'!$B$10,Paramètres!$A$1:$I$89,3,0)*0.475*44/12</f>
        <v>0.11160788631562379</v>
      </c>
      <c r="AX76" s="21">
        <f t="shared" si="60"/>
        <v>143.99684741212738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7.8425925925925934</v>
      </c>
      <c r="BD76" s="12">
        <f>IF('Données projet'!$A$88&gt;35,BD75+BC76-BL75,IF(A76&lt;'Données projet'!$A$88,$BA$205^A76,IF(A76='Données projet'!$A$88,'Données projet'!$B$88,BD75+BC76-BL75)))</f>
        <v>219.1146723646726</v>
      </c>
      <c r="BE76" s="13">
        <f>BD76*VLOOKUP('Données projet'!$B$11,Paramètres!$A$1:$I$89,3,0)*VLOOKUP('Données projet'!$B$11,Paramètres!$A$1:$I$89,5,0)</f>
        <v>222.18227777777804</v>
      </c>
      <c r="BF76" s="13">
        <f t="shared" si="91"/>
        <v>54.588920195757851</v>
      </c>
      <c r="BG76" s="20">
        <f t="shared" si="61"/>
        <v>482.04316980390831</v>
      </c>
      <c r="BH76" s="59">
        <f t="shared" si="62"/>
        <v>749.82595400183004</v>
      </c>
      <c r="BI76" s="59">
        <f ca="1">AVERAGE(OFFSET($BH$3,0,0,'Données projet'!$E$11+1,1))-AVERAGE(OFFSET($H$3,0,0,'Données projet'!$E$11+1,1))</f>
        <v>462.74754756814662</v>
      </c>
      <c r="BJ76" s="59">
        <f t="shared" si="92"/>
        <v>327.65191293226667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24.499986378316557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24.499986378316557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</v>
      </c>
      <c r="BY76" s="12">
        <f>IF('Données projet'!$A$114&gt;35,BY75+BX76-CG75,IF(A76&lt;'Données projet'!$A$114,$BV$205^A76,IF(A76='Données projet'!$A$114,'Données projet'!$B$114,BY75+BX76-CG75)))</f>
        <v>251.00000000000011</v>
      </c>
      <c r="BZ76" s="13">
        <f>BY76*VLOOKUP('Données projet'!$B$12,Paramètres!$A$1:$I$89,3,0)*VLOOKUP('Données projet'!$B$12,Paramètres!$A$1:$I$89,5,0)</f>
        <v>219.27360000000016</v>
      </c>
      <c r="CA76" s="13">
        <f t="shared" si="93"/>
        <v>53.956975893220168</v>
      </c>
      <c r="CB76" s="20">
        <f t="shared" si="64"/>
        <v>475.87658634735868</v>
      </c>
      <c r="CC76" s="59">
        <f t="shared" si="65"/>
        <v>743.65937054528047</v>
      </c>
      <c r="CD76" s="59">
        <f ca="1">AVERAGE(OFFSET($CC$3,0,0,'Données projet'!$E$12+1,1))-AVERAGE(OFFSET($H$3,0,0,'Données projet'!$E$12+1,1))</f>
        <v>411.67183422518411</v>
      </c>
      <c r="CE76" s="59">
        <f t="shared" si="94"/>
        <v>379.16642539721556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25.730872808161088</v>
      </c>
      <c r="CL76" s="21">
        <f>EXP(-LN(2)/25)*CL75+(1-EXP(-LN(2)/25))/(LN(2)/25)*Calculateur!CG76*Calculateur!CI76*VLOOKUP('Données projet'!$B$12,Paramètres!$A$1:$I$89,3,0)*0.475*44/12</f>
        <v>21.068645077929201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46.799517886090285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226.95726495726518</v>
      </c>
      <c r="O77" s="13">
        <f>N77*VLOOKUP('Données projet'!$B$9,Paramètres!$A$1:$I$89,3,0)*VLOOKUP('Données projet'!$B$9,Paramètres!$A$1:$I$89,5,0)</f>
        <v>205.35093333333353</v>
      </c>
      <c r="P77" s="13">
        <f t="shared" si="87"/>
        <v>50.91832775961656</v>
      </c>
      <c r="Q77" s="20">
        <f t="shared" si="54"/>
        <v>446.33562973688805</v>
      </c>
      <c r="R77" s="59">
        <f t="shared" si="55"/>
        <v>714.56165883983886</v>
      </c>
      <c r="S77" s="59">
        <f ca="1">AVERAGE(OFFSET($R$3,0,0,'Données projet'!$E$9+1,1))-AVERAGE(OFFSET($H$3,0,0,'Données projet'!$E$9+1,1))</f>
        <v>421.33534980160005</v>
      </c>
      <c r="T77" s="59">
        <f t="shared" si="88"/>
        <v>299.0473530693472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-1.7053025658242404E-13</v>
      </c>
      <c r="AJ77" s="13">
        <f>AI77*VLOOKUP('Données projet'!$B$10,Paramètres!$A$1:$I$89,3,0)*VLOOKUP('Données projet'!$B$10,Paramètres!$A$1:$I$89,5,0)</f>
        <v>-1.0197709343628959E-13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337.99164391755608</v>
      </c>
      <c r="AO77" s="59">
        <f t="shared" si="90"/>
        <v>421.45428231923393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114.01626507973489</v>
      </c>
      <c r="AV77" s="21">
        <f>EXP(-LN(2)/25)*AV76+(1-EXP(-LN(2)/25))/(LN(2)/25)*Calculateur!AQ77*Calculateur!AS77*VLOOKUP('Données projet'!$B$10,Paramètres!$A$1:$I$89,3,0)*0.475*44/12</f>
        <v>26.834057600430693</v>
      </c>
      <c r="AW77" s="21">
        <f>EXP(-LN(2)/2)*AW76+(1-EXP(-LN(2)/2))/(LN(2)/2)*AQ77*AT77*VLOOKUP('Données projet'!$B$10,Paramètres!$A$1:$I$89,3,0)*0.475*44/12</f>
        <v>7.8918693247674865E-2</v>
      </c>
      <c r="AX77" s="21">
        <f t="shared" si="60"/>
        <v>140.92924137341328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7.8425925925925934</v>
      </c>
      <c r="BD77" s="12">
        <f>IF('Données projet'!$A$88&gt;35,BD76+BC77-BL76,IF(A77&lt;'Données projet'!$A$88,$BA$205^A77,IF(A77='Données projet'!$A$88,'Données projet'!$B$88,BD76+BC77-BL76)))</f>
        <v>226.95726495726518</v>
      </c>
      <c r="BE77" s="13">
        <f>BD77*VLOOKUP('Données projet'!$B$11,Paramètres!$A$1:$I$89,3,0)*VLOOKUP('Données projet'!$B$11,Paramètres!$A$1:$I$89,5,0)</f>
        <v>230.13466666666693</v>
      </c>
      <c r="BF77" s="13">
        <f t="shared" si="91"/>
        <v>56.311798620954782</v>
      </c>
      <c r="BG77" s="20">
        <f t="shared" si="61"/>
        <v>498.89426037594109</v>
      </c>
      <c r="BH77" s="59">
        <f t="shared" si="62"/>
        <v>767.12028947889189</v>
      </c>
      <c r="BI77" s="59">
        <f ca="1">AVERAGE(OFFSET($BH$3,0,0,'Données projet'!$E$11+1,1))-AVERAGE(OFFSET($H$3,0,0,'Données projet'!$E$11+1,1))</f>
        <v>462.74754756814662</v>
      </c>
      <c r="BJ77" s="59">
        <f t="shared" si="92"/>
        <v>327.65191293226667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24.019556588953911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24.019556588953911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</v>
      </c>
      <c r="BY77" s="12">
        <f>IF('Données projet'!$A$114&gt;35,BY76+BX77-CG76,IF(A77&lt;'Données projet'!$A$114,$BV$205^A77,IF(A77='Données projet'!$A$114,'Données projet'!$B$114,BY76+BX77-CG76)))</f>
        <v>256.00000000000011</v>
      </c>
      <c r="BZ77" s="13">
        <f>BY77*VLOOKUP('Données projet'!$B$12,Paramètres!$A$1:$I$89,3,0)*VLOOKUP('Données projet'!$B$12,Paramètres!$A$1:$I$89,5,0)</f>
        <v>223.64160000000012</v>
      </c>
      <c r="CA77" s="13">
        <f t="shared" si="93"/>
        <v>54.905611653539218</v>
      </c>
      <c r="CB77" s="20">
        <f t="shared" si="64"/>
        <v>485.13639362991444</v>
      </c>
      <c r="CC77" s="59">
        <f t="shared" si="65"/>
        <v>753.3624227328653</v>
      </c>
      <c r="CD77" s="59">
        <f ca="1">AVERAGE(OFFSET($CC$3,0,0,'Données projet'!$E$12+1,1))-AVERAGE(OFFSET($H$3,0,0,'Données projet'!$E$12+1,1))</f>
        <v>411.67183422518411</v>
      </c>
      <c r="CE77" s="59">
        <f t="shared" si="94"/>
        <v>379.16642539721556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25.22630608667578</v>
      </c>
      <c r="CL77" s="21">
        <f>EXP(-LN(2)/25)*CL76+(1-EXP(-LN(2)/25))/(LN(2)/25)*Calculateur!CG77*Calculateur!CI77*VLOOKUP('Données projet'!$B$12,Paramètres!$A$1:$I$89,3,0)*0.475*44/12</f>
        <v>20.492521870321337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45.718827956997117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234.79985754985776</v>
      </c>
      <c r="O78" s="13">
        <f>N78*VLOOKUP('Données projet'!$B$9,Paramètres!$A$1:$I$89,3,0)*VLOOKUP('Données projet'!$B$9,Paramètres!$A$1:$I$89,5,0)</f>
        <v>212.44691111111132</v>
      </c>
      <c r="P78" s="13">
        <f t="shared" si="87"/>
        <v>52.469936290697497</v>
      </c>
      <c r="Q78" s="20">
        <f t="shared" si="54"/>
        <v>461.39684255815035</v>
      </c>
      <c r="R78" s="59">
        <f t="shared" si="55"/>
        <v>730.05842725797515</v>
      </c>
      <c r="S78" s="59">
        <f ca="1">AVERAGE(OFFSET($R$3,0,0,'Données projet'!$E$9+1,1))-AVERAGE(OFFSET($H$3,0,0,'Données projet'!$E$9+1,1))</f>
        <v>421.33534980160005</v>
      </c>
      <c r="T78" s="59">
        <f t="shared" si="88"/>
        <v>299.0473530693472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-1.7053025658242404E-13</v>
      </c>
      <c r="AJ78" s="13">
        <f>AI78*VLOOKUP('Données projet'!$B$10,Paramètres!$A$1:$I$89,3,0)*VLOOKUP('Données projet'!$B$10,Paramètres!$A$1:$I$89,5,0)</f>
        <v>-1.0197709343628959E-13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337.99164391755608</v>
      </c>
      <c r="AO78" s="59">
        <f t="shared" si="90"/>
        <v>421.45428231923393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111.78047566457619</v>
      </c>
      <c r="AV78" s="21">
        <f>EXP(-LN(2)/25)*AV77+(1-EXP(-LN(2)/25))/(LN(2)/25)*Calculateur!AQ78*Calculateur!AS78*VLOOKUP('Données projet'!$B$10,Paramètres!$A$1:$I$89,3,0)*0.475*44/12</f>
        <v>26.100278884205157</v>
      </c>
      <c r="AW78" s="21">
        <f>EXP(-LN(2)/2)*AW77+(1-EXP(-LN(2)/2))/(LN(2)/2)*AQ78*AT78*VLOOKUP('Données projet'!$B$10,Paramètres!$A$1:$I$89,3,0)*0.475*44/12</f>
        <v>5.5803943157811897E-2</v>
      </c>
      <c r="AX78" s="21">
        <f t="shared" si="60"/>
        <v>137.93655849193914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7.8425925925925934</v>
      </c>
      <c r="BD78" s="12">
        <f>IF('Données projet'!$A$88&gt;35,BD77+BC78-BL77,IF(A78&lt;'Données projet'!$A$88,$BA$205^A78,IF(A78='Données projet'!$A$88,'Données projet'!$B$88,BD77+BC78-BL77)))</f>
        <v>234.79985754985776</v>
      </c>
      <c r="BE78" s="13">
        <f>BD78*VLOOKUP('Données projet'!$B$11,Paramètres!$A$1:$I$89,3,0)*VLOOKUP('Données projet'!$B$11,Paramètres!$A$1:$I$89,5,0)</f>
        <v>238.08705555555576</v>
      </c>
      <c r="BF78" s="13">
        <f t="shared" si="91"/>
        <v>58.027759670447097</v>
      </c>
      <c r="BG78" s="20">
        <f t="shared" si="61"/>
        <v>515.73330318528826</v>
      </c>
      <c r="BH78" s="59">
        <f t="shared" si="62"/>
        <v>784.39488788511312</v>
      </c>
      <c r="BI78" s="59">
        <f ca="1">AVERAGE(OFFSET($BH$3,0,0,'Données projet'!$E$11+1,1))-AVERAGE(OFFSET($H$3,0,0,'Données projet'!$E$11+1,1))</f>
        <v>462.74754756814662</v>
      </c>
      <c r="BJ78" s="59">
        <f t="shared" si="92"/>
        <v>327.65191293226667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23.548547734727428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23.548547734727428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261</v>
      </c>
      <c r="BW78" s="12">
        <f>VLOOKUP(A78,'Données projet'!$A$113:$I$133,9,0)</f>
        <v>5</v>
      </c>
      <c r="BX78" s="12">
        <f t="array" ref="BX78">INDEX(BW:BW,MIN(IF(ISNUMBER(BW78:BW274),ROW(BW78:BW274),"")))</f>
        <v>5</v>
      </c>
      <c r="BY78" s="12">
        <f>IF('Données projet'!$A$114&gt;35,BY77+BX78-CG77,IF(A78&lt;'Données projet'!$A$114,$BV$205^A78,IF(A78='Données projet'!$A$114,'Données projet'!$B$114,BY77+BX78-CG77)))</f>
        <v>261.00000000000011</v>
      </c>
      <c r="BZ78" s="13">
        <f>BY78*VLOOKUP('Données projet'!$B$12,Paramètres!$A$1:$I$89,3,0)*VLOOKUP('Données projet'!$B$12,Paramètres!$A$1:$I$89,5,0)</f>
        <v>228.00960000000015</v>
      </c>
      <c r="CA78" s="13">
        <f t="shared" si="93"/>
        <v>55.852093054619878</v>
      </c>
      <c r="CB78" s="20">
        <f t="shared" si="64"/>
        <v>494.39244873679655</v>
      </c>
      <c r="CC78" s="59">
        <f t="shared" si="65"/>
        <v>763.05403343662135</v>
      </c>
      <c r="CD78" s="59">
        <f ca="1">AVERAGE(OFFSET($CC$3,0,0,'Données projet'!$E$12+1,1))-AVERAGE(OFFSET($H$3,0,0,'Données projet'!$E$12+1,1))</f>
        <v>411.67183422518411</v>
      </c>
      <c r="CE78" s="59">
        <f t="shared" si="94"/>
        <v>379.16642539721556</v>
      </c>
      <c r="CF78" s="15">
        <f>IF(ISNA(VLOOKUP(A78,'Données projet'!$A$113:$I$133,3,0)),0,VLOOKUP(A78,'Données projet'!$A$113:$I$133,3,0))</f>
        <v>12</v>
      </c>
      <c r="CG78" s="15" t="str">
        <f>IF(ISNA(VLOOKUP(A78,'Données projet'!$A$113:$I$133,4,0)),0,VLOOKUP(A78,'Données projet'!$A$113:$I$133,4,0))</f>
        <v>19</v>
      </c>
      <c r="CH78" s="16">
        <f>IF(ISNA(VLOOKUP(A78,'Données projet'!$A$113:$I$133,5,0)),0%,VLOOKUP(A78,'Données projet'!$A$113:$I$133,5,0)*VLOOKUP('Données projet'!$B$12,Paramètres!$A$1:$I$89,7,0))</f>
        <v>0.30099999999999999</v>
      </c>
      <c r="CI78" s="16">
        <f>IF(ISNA(VLOOKUP(A78,'Données projet'!$A$113:$I$133,6,0)),0%,VLOOKUP(A78,'Données projet'!$A$113:$I$133,6,0)*VLOOKUP('Données projet'!$B$12,Paramètres!$A$1:$I$89,7,0))</f>
        <v>8.6000000000000007E-2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30.254694514683045</v>
      </c>
      <c r="CL78" s="21">
        <f>EXP(-LN(2)/25)*CL77+(1-EXP(-LN(2)/25))/(LN(2)/25)*Calculateur!CG78*Calculateur!CI78*VLOOKUP('Données projet'!$B$12,Paramètres!$A$1:$I$89,3,0)*0.475*44/12</f>
        <v>21.503956927439638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51.758651442122684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242.64245014245034</v>
      </c>
      <c r="O79" s="13">
        <f>N79*VLOOKUP('Données projet'!$B$9,Paramètres!$A$1:$I$89,3,0)*VLOOKUP('Données projet'!$B$9,Paramètres!$A$1:$I$89,5,0)</f>
        <v>219.54288888888908</v>
      </c>
      <c r="P79" s="13">
        <f t="shared" si="87"/>
        <v>54.015522855627488</v>
      </c>
      <c r="Q79" s="20">
        <f t="shared" si="54"/>
        <v>476.44756712169959</v>
      </c>
      <c r="R79" s="59">
        <f t="shared" si="55"/>
        <v>745.53715150254902</v>
      </c>
      <c r="S79" s="59">
        <f ca="1">AVERAGE(OFFSET($R$3,0,0,'Données projet'!$E$9+1,1))-AVERAGE(OFFSET($H$3,0,0,'Données projet'!$E$9+1,1))</f>
        <v>421.33534980160005</v>
      </c>
      <c r="T79" s="59">
        <f t="shared" si="88"/>
        <v>299.0473530693472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-1.7053025658242404E-13</v>
      </c>
      <c r="AJ79" s="13">
        <f>AI79*VLOOKUP('Données projet'!$B$10,Paramètres!$A$1:$I$89,3,0)*VLOOKUP('Données projet'!$B$10,Paramètres!$A$1:$I$89,5,0)</f>
        <v>-1.0197709343628959E-13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337.99164391755608</v>
      </c>
      <c r="AO79" s="59">
        <f t="shared" si="90"/>
        <v>421.45428231923393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109.58852871615186</v>
      </c>
      <c r="AV79" s="21">
        <f>EXP(-LN(2)/25)*AV78+(1-EXP(-LN(2)/25))/(LN(2)/25)*Calculateur!AQ79*Calculateur!AS79*VLOOKUP('Données projet'!$B$10,Paramètres!$A$1:$I$89,3,0)*0.475*44/12</f>
        <v>25.386565385562552</v>
      </c>
      <c r="AW79" s="21">
        <f>EXP(-LN(2)/2)*AW78+(1-EXP(-LN(2)/2))/(LN(2)/2)*AQ79*AT79*VLOOKUP('Données projet'!$B$10,Paramètres!$A$1:$I$89,3,0)*0.475*44/12</f>
        <v>3.9459346623837432E-2</v>
      </c>
      <c r="AX79" s="21">
        <f t="shared" si="60"/>
        <v>135.01455344833823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7.8425925925925934</v>
      </c>
      <c r="BD79" s="12">
        <f>IF('Données projet'!$A$88&gt;35,BD78+BC79-BL78,IF(A79&lt;'Données projet'!$A$88,$BA$205^A79,IF(A79='Données projet'!$A$88,'Données projet'!$B$88,BD78+BC79-BL78)))</f>
        <v>242.64245014245034</v>
      </c>
      <c r="BE79" s="13">
        <f>BD79*VLOOKUP('Données projet'!$B$11,Paramètres!$A$1:$I$89,3,0)*VLOOKUP('Données projet'!$B$11,Paramètres!$A$1:$I$89,5,0)</f>
        <v>246.03944444444465</v>
      </c>
      <c r="BF79" s="13">
        <f t="shared" si="91"/>
        <v>59.737060883292813</v>
      </c>
      <c r="BG79" s="20">
        <f t="shared" si="61"/>
        <v>532.56074677914273</v>
      </c>
      <c r="BH79" s="59">
        <f t="shared" si="62"/>
        <v>801.65033115999222</v>
      </c>
      <c r="BI79" s="59">
        <f ca="1">AVERAGE(OFFSET($BH$3,0,0,'Données projet'!$E$11+1,1))-AVERAGE(OFFSET($H$3,0,0,'Données projet'!$E$11+1,1))</f>
        <v>462.74754756814662</v>
      </c>
      <c r="BJ79" s="59">
        <f t="shared" si="92"/>
        <v>327.65191293226667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23.086775076845292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23.086775076845292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4.4000000000000004</v>
      </c>
      <c r="BY79" s="12">
        <f>IF('Données projet'!$A$114&gt;35,BY78+BX79-CG78,IF(A79&lt;'Données projet'!$A$114,$BV$205^A79,IF(A79='Données projet'!$A$114,'Données projet'!$B$114,BY78+BX79-CG78)))</f>
        <v>246.40000000000009</v>
      </c>
      <c r="BZ79" s="13">
        <f>BY79*VLOOKUP('Données projet'!$B$12,Paramètres!$A$1:$I$89,3,0)*VLOOKUP('Données projet'!$B$12,Paramètres!$A$1:$I$89,5,0)</f>
        <v>215.25504000000012</v>
      </c>
      <c r="CA79" s="13">
        <f t="shared" si="93"/>
        <v>53.082287058997267</v>
      </c>
      <c r="CB79" s="20">
        <f t="shared" si="64"/>
        <v>467.35417796108709</v>
      </c>
      <c r="CC79" s="59">
        <f t="shared" si="65"/>
        <v>736.44376234193646</v>
      </c>
      <c r="CD79" s="59">
        <f ca="1">AVERAGE(OFFSET($CC$3,0,0,'Données projet'!$E$12+1,1))-AVERAGE(OFFSET($H$3,0,0,'Données projet'!$E$12+1,1))</f>
        <v>411.67183422518411</v>
      </c>
      <c r="CE79" s="59">
        <f t="shared" si="94"/>
        <v>379.16642539721556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29.661418408791629</v>
      </c>
      <c r="CL79" s="21">
        <f>EXP(-LN(2)/25)*CL78+(1-EXP(-LN(2)/25))/(LN(2)/25)*Calculateur!CG79*Calculateur!CI79*VLOOKUP('Données projet'!$B$12,Paramètres!$A$1:$I$89,3,0)*0.475*44/12</f>
        <v>20.915930094414854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50.57734850320648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250.48504273504292</v>
      </c>
      <c r="O80" s="13">
        <f>N80*VLOOKUP('Données projet'!$B$9,Paramètres!$A$1:$I$89,3,0)*VLOOKUP('Données projet'!$B$9,Paramètres!$A$1:$I$89,5,0)</f>
        <v>226.63886666666684</v>
      </c>
      <c r="P80" s="13">
        <f t="shared" si="87"/>
        <v>55.555304418491261</v>
      </c>
      <c r="Q80" s="20">
        <f t="shared" si="54"/>
        <v>491.4881813066504</v>
      </c>
      <c r="R80" s="59">
        <f t="shared" si="55"/>
        <v>760.99834053092263</v>
      </c>
      <c r="S80" s="59">
        <f ca="1">AVERAGE(OFFSET($R$3,0,0,'Données projet'!$E$9+1,1))-AVERAGE(OFFSET($H$3,0,0,'Données projet'!$E$9+1,1))</f>
        <v>421.33534980160005</v>
      </c>
      <c r="T80" s="59">
        <f t="shared" si="88"/>
        <v>299.0473530693472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-1.7053025658242404E-13</v>
      </c>
      <c r="AJ80" s="13">
        <f>AI80*VLOOKUP('Données projet'!$B$10,Paramètres!$A$1:$I$89,3,0)*VLOOKUP('Données projet'!$B$10,Paramètres!$A$1:$I$89,5,0)</f>
        <v>-1.0197709343628959E-13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337.99164391755608</v>
      </c>
      <c r="AO80" s="59">
        <f t="shared" si="90"/>
        <v>421.45428231923393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107.4395645104305</v>
      </c>
      <c r="AV80" s="21">
        <f>EXP(-LN(2)/25)*AV79+(1-EXP(-LN(2)/25))/(LN(2)/25)*Calculateur!AQ80*Calculateur!AS80*VLOOKUP('Données projet'!$B$10,Paramètres!$A$1:$I$89,3,0)*0.475*44/12</f>
        <v>24.692368420072892</v>
      </c>
      <c r="AW80" s="21">
        <f>EXP(-LN(2)/2)*AW79+(1-EXP(-LN(2)/2))/(LN(2)/2)*AQ80*AT80*VLOOKUP('Données projet'!$B$10,Paramètres!$A$1:$I$89,3,0)*0.475*44/12</f>
        <v>2.7901971578905949E-2</v>
      </c>
      <c r="AX80" s="21">
        <f t="shared" si="60"/>
        <v>132.15983490208228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7.8425925925925934</v>
      </c>
      <c r="BD80" s="12">
        <f>IF('Données projet'!$A$88&gt;35,BD79+BC80-BL79,IF(A80&lt;'Données projet'!$A$88,$BA$205^A80,IF(A80='Données projet'!$A$88,'Données projet'!$B$88,BD79+BC80-BL79)))</f>
        <v>250.48504273504292</v>
      </c>
      <c r="BE80" s="13">
        <f>BD80*VLOOKUP('Données projet'!$B$11,Paramètres!$A$1:$I$89,3,0)*VLOOKUP('Données projet'!$B$11,Paramètres!$A$1:$I$89,5,0)</f>
        <v>253.99183333333355</v>
      </c>
      <c r="BF80" s="13">
        <f t="shared" si="91"/>
        <v>61.439942205271571</v>
      </c>
      <c r="BG80" s="20">
        <f t="shared" si="61"/>
        <v>549.37700906307055</v>
      </c>
      <c r="BH80" s="59">
        <f t="shared" si="62"/>
        <v>818.88716828734277</v>
      </c>
      <c r="BI80" s="59">
        <f ca="1">AVERAGE(OFFSET($BH$3,0,0,'Données projet'!$E$11+1,1))-AVERAGE(OFFSET($H$3,0,0,'Données projet'!$E$11+1,1))</f>
        <v>462.74754756814662</v>
      </c>
      <c r="BJ80" s="59">
        <f t="shared" si="92"/>
        <v>327.65191293226667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22.634057499130716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22.634057499130716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4.4000000000000004</v>
      </c>
      <c r="BY80" s="12">
        <f>IF('Données projet'!$A$114&gt;35,BY79+BX80-CG79,IF(A80&lt;'Données projet'!$A$114,$BV$205^A80,IF(A80='Données projet'!$A$114,'Données projet'!$B$114,BY79+BX80-CG79)))</f>
        <v>250.8000000000001</v>
      </c>
      <c r="BZ80" s="13">
        <f>BY80*VLOOKUP('Données projet'!$B$12,Paramètres!$A$1:$I$89,3,0)*VLOOKUP('Données projet'!$B$12,Paramètres!$A$1:$I$89,5,0)</f>
        <v>219.09888000000012</v>
      </c>
      <c r="CA80" s="13">
        <f t="shared" si="93"/>
        <v>53.918984980452286</v>
      </c>
      <c r="CB80" s="20">
        <f t="shared" si="64"/>
        <v>475.50611484095458</v>
      </c>
      <c r="CC80" s="59">
        <f t="shared" si="65"/>
        <v>745.01627406522687</v>
      </c>
      <c r="CD80" s="59">
        <f ca="1">AVERAGE(OFFSET($CC$3,0,0,'Données projet'!$E$12+1,1))-AVERAGE(OFFSET($H$3,0,0,'Données projet'!$E$12+1,1))</f>
        <v>411.67183422518411</v>
      </c>
      <c r="CE80" s="59">
        <f t="shared" si="94"/>
        <v>379.16642539721556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29.079776085474048</v>
      </c>
      <c r="CL80" s="21">
        <f>EXP(-LN(2)/25)*CL79+(1-EXP(-LN(2)/25))/(LN(2)/25)*Calculateur!CG80*Calculateur!CI80*VLOOKUP('Données projet'!$B$12,Paramètres!$A$1:$I$89,3,0)*0.475*44/12</f>
        <v>20.343982886062122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49.423758971536174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258.32763532763551</v>
      </c>
      <c r="O81" s="13">
        <f>N81*VLOOKUP('Données projet'!$B$9,Paramètres!$A$1:$I$89,3,0)*VLOOKUP('Données projet'!$B$9,Paramètres!$A$1:$I$89,5,0)</f>
        <v>233.7348444444446</v>
      </c>
      <c r="P81" s="13">
        <f t="shared" si="87"/>
        <v>57.089483585580787</v>
      </c>
      <c r="Q81" s="20">
        <f t="shared" si="54"/>
        <v>506.51903798562756</v>
      </c>
      <c r="R81" s="59">
        <f t="shared" si="55"/>
        <v>776.44247602005385</v>
      </c>
      <c r="S81" s="59">
        <f ca="1">AVERAGE(OFFSET($R$3,0,0,'Données projet'!$E$9+1,1))-AVERAGE(OFFSET($H$3,0,0,'Données projet'!$E$9+1,1))</f>
        <v>421.33534980160005</v>
      </c>
      <c r="T81" s="59">
        <f t="shared" si="88"/>
        <v>299.0473530693472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-1.7053025658242404E-13</v>
      </c>
      <c r="AJ81" s="13">
        <f>AI81*VLOOKUP('Données projet'!$B$10,Paramètres!$A$1:$I$89,3,0)*VLOOKUP('Données projet'!$B$10,Paramètres!$A$1:$I$89,5,0)</f>
        <v>-1.0197709343628959E-13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337.99164391755608</v>
      </c>
      <c r="AO81" s="59">
        <f t="shared" si="90"/>
        <v>421.45428231923393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105.33274018204459</v>
      </c>
      <c r="AV81" s="21">
        <f>EXP(-LN(2)/25)*AV80+(1-EXP(-LN(2)/25))/(LN(2)/25)*Calculateur!AQ81*Calculateur!AS81*VLOOKUP('Données projet'!$B$10,Paramètres!$A$1:$I$89,3,0)*0.475*44/12</f>
        <v>24.017154307110779</v>
      </c>
      <c r="AW81" s="21">
        <f>EXP(-LN(2)/2)*AW80+(1-EXP(-LN(2)/2))/(LN(2)/2)*AQ81*AT81*VLOOKUP('Données projet'!$B$10,Paramètres!$A$1:$I$89,3,0)*0.475*44/12</f>
        <v>1.9729673311918716E-2</v>
      </c>
      <c r="AX81" s="21">
        <f t="shared" si="60"/>
        <v>129.36962416246729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7.8425925925925934</v>
      </c>
      <c r="BD81" s="12">
        <f>IF('Données projet'!$A$88&gt;35,BD80+BC81-BL80,IF(A81&lt;'Données projet'!$A$88,$BA$205^A81,IF(A81='Données projet'!$A$88,'Données projet'!$B$88,BD80+BC81-BL80)))</f>
        <v>258.32763532763551</v>
      </c>
      <c r="BE81" s="13">
        <f>BD81*VLOOKUP('Données projet'!$B$11,Paramètres!$A$1:$I$89,3,0)*VLOOKUP('Données projet'!$B$11,Paramètres!$A$1:$I$89,5,0)</f>
        <v>261.94422222222244</v>
      </c>
      <c r="BF81" s="13">
        <f t="shared" si="91"/>
        <v>63.136627703535865</v>
      </c>
      <c r="BG81" s="20">
        <f t="shared" si="61"/>
        <v>566.18248028736241</v>
      </c>
      <c r="BH81" s="59">
        <f t="shared" si="62"/>
        <v>836.10591832178864</v>
      </c>
      <c r="BI81" s="59">
        <f ca="1">AVERAGE(OFFSET($BH$3,0,0,'Données projet'!$E$11+1,1))-AVERAGE(OFFSET($H$3,0,0,'Données projet'!$E$11+1,1))</f>
        <v>462.74754756814662</v>
      </c>
      <c r="BJ81" s="59">
        <f t="shared" si="92"/>
        <v>327.65191293226667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22.190217436984664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22.190217436984664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4.4000000000000004</v>
      </c>
      <c r="BY81" s="12">
        <f>IF('Données projet'!$A$114&gt;35,BY80+BX81-CG80,IF(A81&lt;'Données projet'!$A$114,$BV$205^A81,IF(A81='Données projet'!$A$114,'Données projet'!$B$114,BY80+BX81-CG80)))</f>
        <v>255.2000000000001</v>
      </c>
      <c r="BZ81" s="13">
        <f>BY81*VLOOKUP('Données projet'!$B$12,Paramètres!$A$1:$I$89,3,0)*VLOOKUP('Données projet'!$B$12,Paramètres!$A$1:$I$89,5,0)</f>
        <v>222.94272000000009</v>
      </c>
      <c r="CA81" s="13">
        <f t="shared" si="93"/>
        <v>54.753975927514929</v>
      </c>
      <c r="CB81" s="20">
        <f t="shared" si="64"/>
        <v>483.65507874042197</v>
      </c>
      <c r="CC81" s="59">
        <f t="shared" si="65"/>
        <v>753.57851677484814</v>
      </c>
      <c r="CD81" s="59">
        <f ca="1">AVERAGE(OFFSET($CC$3,0,0,'Données projet'!$E$12+1,1))-AVERAGE(OFFSET($H$3,0,0,'Données projet'!$E$12+1,1))</f>
        <v>411.67183422518411</v>
      </c>
      <c r="CE81" s="59">
        <f t="shared" si="94"/>
        <v>379.16642539721556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28.509539413349941</v>
      </c>
      <c r="CL81" s="21">
        <f>EXP(-LN(2)/25)*CL80+(1-EXP(-LN(2)/25))/(LN(2)/25)*Calculateur!CG81*Calculateur!CI81*VLOOKUP('Données projet'!$B$12,Paramètres!$A$1:$I$89,3,0)*0.475*44/12</f>
        <v>19.78767560419919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48.297215017549135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266.17022792022811</v>
      </c>
      <c r="O82" s="13">
        <f>N82*VLOOKUP('Données projet'!$B$9,Paramètres!$A$1:$I$89,3,0)*VLOOKUP('Données projet'!$B$9,Paramètres!$A$1:$I$89,5,0)</f>
        <v>240.83082222222239</v>
      </c>
      <c r="P82" s="13">
        <f t="shared" si="87"/>
        <v>58.618249962252264</v>
      </c>
      <c r="Q82" s="20">
        <f t="shared" si="54"/>
        <v>521.54046738795989</v>
      </c>
      <c r="R82" s="59">
        <f t="shared" si="55"/>
        <v>791.87001476913679</v>
      </c>
      <c r="S82" s="59">
        <f ca="1">AVERAGE(OFFSET($R$3,0,0,'Données projet'!$E$9+1,1))-AVERAGE(OFFSET($H$3,0,0,'Données projet'!$E$9+1,1))</f>
        <v>421.33534980160005</v>
      </c>
      <c r="T82" s="59">
        <f t="shared" si="88"/>
        <v>299.0473530693472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-1.0197709343628959E-13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337.99164391755608</v>
      </c>
      <c r="AO82" s="59">
        <f t="shared" si="90"/>
        <v>421.45428231923393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103.26722939370238</v>
      </c>
      <c r="AV82" s="21">
        <f>EXP(-LN(2)/25)*AV81+(1-EXP(-LN(2)/25))/(LN(2)/25)*Calculateur!AQ82*Calculateur!AS82*VLOOKUP('Données projet'!$B$10,Paramètres!$A$1:$I$89,3,0)*0.475*44/12</f>
        <v>23.360403959575581</v>
      </c>
      <c r="AW82" s="21">
        <f>EXP(-LN(2)/2)*AW81+(1-EXP(-LN(2)/2))/(LN(2)/2)*AQ82*AT82*VLOOKUP('Données projet'!$B$10,Paramètres!$A$1:$I$89,3,0)*0.475*44/12</f>
        <v>1.3950985789452974E-2</v>
      </c>
      <c r="AX82" s="21">
        <f t="shared" si="60"/>
        <v>126.64158433906741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7.8425925925925934</v>
      </c>
      <c r="BD82" s="12">
        <f>IF('Données projet'!$A$88&gt;35,BD81+BC82-BL81,IF(A82&lt;'Données projet'!$A$88,$BA$205^A82,IF(A82='Données projet'!$A$88,'Données projet'!$B$88,BD81+BC82-BL81)))</f>
        <v>266.17022792022811</v>
      </c>
      <c r="BE82" s="13">
        <f>BD82*VLOOKUP('Données projet'!$B$11,Paramètres!$A$1:$I$89,3,0)*VLOOKUP('Données projet'!$B$11,Paramètres!$A$1:$I$89,5,0)</f>
        <v>269.89661111111133</v>
      </c>
      <c r="BF82" s="13">
        <f t="shared" si="91"/>
        <v>64.82732706719186</v>
      </c>
      <c r="BG82" s="20">
        <f t="shared" si="61"/>
        <v>582.97752566054464</v>
      </c>
      <c r="BH82" s="59">
        <f t="shared" si="62"/>
        <v>853.30707304172165</v>
      </c>
      <c r="BI82" s="59">
        <f ca="1">AVERAGE(OFFSET($BH$3,0,0,'Données projet'!$E$11+1,1))-AVERAGE(OFFSET($H$3,0,0,'Données projet'!$E$11+1,1))</f>
        <v>462.74754756814662</v>
      </c>
      <c r="BJ82" s="59">
        <f t="shared" si="92"/>
        <v>327.65191293226667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21.755080807741592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21.755080807741592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4.4000000000000004</v>
      </c>
      <c r="BY82" s="12">
        <f>IF('Données projet'!$A$114&gt;35,BY81+BX82-CG81,IF(A82&lt;'Données projet'!$A$114,$BV$205^A82,IF(A82='Données projet'!$A$114,'Données projet'!$B$114,BY81+BX82-CG81)))</f>
        <v>259.60000000000008</v>
      </c>
      <c r="BZ82" s="13">
        <f>BY82*VLOOKUP('Données projet'!$B$12,Paramètres!$A$1:$I$89,3,0)*VLOOKUP('Données projet'!$B$12,Paramètres!$A$1:$I$89,5,0)</f>
        <v>226.78656000000009</v>
      </c>
      <c r="CA82" s="13">
        <f t="shared" si="93"/>
        <v>55.587292726829872</v>
      </c>
      <c r="CB82" s="20">
        <f t="shared" si="64"/>
        <v>491.8011268325622</v>
      </c>
      <c r="CC82" s="59">
        <f t="shared" si="65"/>
        <v>762.13067421373921</v>
      </c>
      <c r="CD82" s="59">
        <f ca="1">AVERAGE(OFFSET($CC$3,0,0,'Données projet'!$E$12+1,1))-AVERAGE(OFFSET($H$3,0,0,'Données projet'!$E$12+1,1))</f>
        <v>411.67183422518411</v>
      </c>
      <c r="CE82" s="59">
        <f t="shared" si="94"/>
        <v>379.16642539721556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27.950484734556159</v>
      </c>
      <c r="CL82" s="21">
        <f>EXP(-LN(2)/25)*CL81+(1-EXP(-LN(2)/25))/(LN(2)/25)*Calculateur!CG82*Calculateur!CI82*VLOOKUP('Données projet'!$B$12,Paramètres!$A$1:$I$89,3,0)*0.475*44/12</f>
        <v>19.246580574213731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47.197065308769893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274.01282051282072</v>
      </c>
      <c r="O83" s="13">
        <f>N83*VLOOKUP('Données projet'!$B$9,Paramètres!$A$1:$I$89,3,0)*VLOOKUP('Données projet'!$B$9,Paramètres!$A$1:$I$89,5,0)</f>
        <v>247.92680000000016</v>
      </c>
      <c r="P83" s="13">
        <f t="shared" si="87"/>
        <v>60.141781345371967</v>
      </c>
      <c r="Q83" s="20">
        <f t="shared" si="54"/>
        <v>536.55277917652313</v>
      </c>
      <c r="R83" s="59">
        <f t="shared" si="55"/>
        <v>807.28139081520931</v>
      </c>
      <c r="S83" s="59">
        <f ca="1">AVERAGE(OFFSET($R$3,0,0,'Données projet'!$E$9+1,1))-AVERAGE(OFFSET($H$3,0,0,'Données projet'!$E$9+1,1))</f>
        <v>421.33534980160005</v>
      </c>
      <c r="T83" s="59">
        <f t="shared" si="88"/>
        <v>299.0473530693472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-1.0197709343628959E-13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337.99164391755608</v>
      </c>
      <c r="AO83" s="59">
        <f t="shared" si="90"/>
        <v>421.45428231923393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101.24222201208238</v>
      </c>
      <c r="AV83" s="21">
        <f>EXP(-LN(2)/25)*AV82+(1-EXP(-LN(2)/25))/(LN(2)/25)*Calculateur!AQ83*Calculateur!AS83*VLOOKUP('Données projet'!$B$10,Paramètres!$A$1:$I$89,3,0)*0.475*44/12</f>
        <v>22.721612484830732</v>
      </c>
      <c r="AW83" s="21">
        <f>EXP(-LN(2)/2)*AW82+(1-EXP(-LN(2)/2))/(LN(2)/2)*AQ83*AT83*VLOOKUP('Données projet'!$B$10,Paramètres!$A$1:$I$89,3,0)*0.475*44/12</f>
        <v>9.8648366559593581E-3</v>
      </c>
      <c r="AX83" s="21">
        <f t="shared" si="60"/>
        <v>123.97369933356907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274.01282051282055</v>
      </c>
      <c r="BB83" s="12">
        <f>VLOOKUP(A83,'Données projet'!$A$87:$I$107,9,0)</f>
        <v>7.8425925925925934</v>
      </c>
      <c r="BC83" s="12">
        <f t="array" ref="BC83">INDEX(BB:BB,MIN(IF(ISNUMBER(BB83:BB279),ROW(BB83:BB279),"")))</f>
        <v>7.8425925925925934</v>
      </c>
      <c r="BD83" s="12">
        <f>IF('Données projet'!$A$88&gt;35,BD82+BC83-BL82,IF(A83&lt;'Données projet'!$A$88,$BA$205^A83,IF(A83='Données projet'!$A$88,'Données projet'!$B$88,BD82+BC83-BL82)))</f>
        <v>274.01282051282072</v>
      </c>
      <c r="BE83" s="13">
        <f>BD83*VLOOKUP('Données projet'!$B$11,Paramètres!$A$1:$I$89,3,0)*VLOOKUP('Données projet'!$B$11,Paramètres!$A$1:$I$89,5,0)</f>
        <v>277.84900000000027</v>
      </c>
      <c r="BF83" s="13">
        <f t="shared" si="91"/>
        <v>66.512236926053845</v>
      </c>
      <c r="BG83" s="20">
        <f t="shared" si="61"/>
        <v>599.76248764621096</v>
      </c>
      <c r="BH83" s="59">
        <f t="shared" si="62"/>
        <v>870.49109928489702</v>
      </c>
      <c r="BI83" s="59">
        <f ca="1">AVERAGE(OFFSET($BH$3,0,0,'Données projet'!$E$11+1,1))-AVERAGE(OFFSET($H$3,0,0,'Données projet'!$E$11+1,1))</f>
        <v>462.74754756814662</v>
      </c>
      <c r="BJ83" s="59">
        <f t="shared" si="92"/>
        <v>327.65191293226667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45.608974358974358</v>
      </c>
      <c r="BM83" s="16">
        <f>IF(ISNA(VLOOKUP(A83,'Données projet'!$A$87:$I$107,5,0)),0%,VLOOKUP(A83,'Données projet'!$A$87:$I$107,5,0)*VLOOKUP('Données projet'!$B$11,Paramètres!$A$1:$I$89,7,0))</f>
        <v>0.30099999999999999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36.717174597003321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36.717174597003321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264</v>
      </c>
      <c r="BW83" s="12">
        <f>VLOOKUP(A83,'Données projet'!$A$113:$I$133,9,0)</f>
        <v>4.4000000000000004</v>
      </c>
      <c r="BX83" s="12">
        <f t="array" ref="BX83">INDEX(BW:BW,MIN(IF(ISNUMBER(BW83:BW279),ROW(BW83:BW279),"")))</f>
        <v>4.4000000000000004</v>
      </c>
      <c r="BY83" s="12">
        <f>IF('Données projet'!$A$114&gt;35,BY82+BX83-CG82,IF(A83&lt;'Données projet'!$A$114,$BV$205^A83,IF(A83='Données projet'!$A$114,'Données projet'!$B$114,BY82+BX83-CG82)))</f>
        <v>264.00000000000006</v>
      </c>
      <c r="BZ83" s="13">
        <f>BY83*VLOOKUP('Données projet'!$B$12,Paramètres!$A$1:$I$89,3,0)*VLOOKUP('Données projet'!$B$12,Paramètres!$A$1:$I$89,5,0)</f>
        <v>230.63040000000007</v>
      </c>
      <c r="CA83" s="13">
        <f t="shared" si="93"/>
        <v>56.418967028503253</v>
      </c>
      <c r="CB83" s="20">
        <f t="shared" si="64"/>
        <v>499.94431424130994</v>
      </c>
      <c r="CC83" s="59">
        <f t="shared" si="65"/>
        <v>770.672925879996</v>
      </c>
      <c r="CD83" s="59">
        <f ca="1">AVERAGE(OFFSET($CC$3,0,0,'Données projet'!$E$12+1,1))-AVERAGE(OFFSET($H$3,0,0,'Données projet'!$E$12+1,1))</f>
        <v>411.67183422518411</v>
      </c>
      <c r="CE83" s="59">
        <f t="shared" si="94"/>
        <v>379.16642539721556</v>
      </c>
      <c r="CF83" s="15">
        <f>IF(ISNA(VLOOKUP(A83,'Données projet'!$A$113:$I$133,3,0)),0,VLOOKUP(A83,'Données projet'!$A$113:$I$133,3,0))</f>
        <v>13</v>
      </c>
      <c r="CG83" s="15" t="str">
        <f>IF(ISNA(VLOOKUP(A83,'Données projet'!$A$113:$I$133,4,0)),0,VLOOKUP(A83,'Données projet'!$A$113:$I$133,4,0))</f>
        <v>17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8.6000000000000007E-2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32.344078848880287</v>
      </c>
      <c r="CL83" s="21">
        <f>EXP(-LN(2)/25)*CL82+(1-EXP(-LN(2)/25))/(LN(2)/25)*Calculateur!CG83*Calculateur!CI83*VLOOKUP('Données projet'!$B$12,Paramètres!$A$1:$I$89,3,0)*0.475*44/12</f>
        <v>20.126632893667185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52.470711742547472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235.89886039886062</v>
      </c>
      <c r="O84" s="13">
        <f>N84*VLOOKUP('Données projet'!$B$9,Paramètres!$A$1:$I$89,3,0)*VLOOKUP('Données projet'!$B$9,Paramètres!$A$1:$I$89,5,0)</f>
        <v>213.44128888888909</v>
      </c>
      <c r="P84" s="13">
        <f t="shared" si="87"/>
        <v>52.686881026481977</v>
      </c>
      <c r="Q84" s="20">
        <f t="shared" si="54"/>
        <v>463.50656260260456</v>
      </c>
      <c r="R84" s="59">
        <f t="shared" si="55"/>
        <v>734.627315626106</v>
      </c>
      <c r="S84" s="59">
        <f ca="1">AVERAGE(OFFSET($R$3,0,0,'Données projet'!$E$9+1,1))-AVERAGE(OFFSET($H$3,0,0,'Données projet'!$E$9+1,1))</f>
        <v>421.33534980160005</v>
      </c>
      <c r="T84" s="59">
        <f t="shared" si="88"/>
        <v>299.0473530693472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-1.0197709343628959E-13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337.99164391755608</v>
      </c>
      <c r="AO84" s="59">
        <f t="shared" si="90"/>
        <v>421.45428231923393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99.256923790083405</v>
      </c>
      <c r="AV84" s="21">
        <f>EXP(-LN(2)/25)*AV83+(1-EXP(-LN(2)/25))/(LN(2)/25)*Calculateur!AQ84*Calculateur!AS84*VLOOKUP('Données projet'!$B$10,Paramètres!$A$1:$I$89,3,0)*0.475*44/12</f>
        <v>22.100288796555365</v>
      </c>
      <c r="AW84" s="21">
        <f>EXP(-LN(2)/2)*AW83+(1-EXP(-LN(2)/2))/(LN(2)/2)*AQ84*AT84*VLOOKUP('Données projet'!$B$10,Paramètres!$A$1:$I$89,3,0)*0.475*44/12</f>
        <v>6.9754928947264871E-3</v>
      </c>
      <c r="AX84" s="21">
        <f t="shared" si="60"/>
        <v>121.36418807953349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7.4950142450142421</v>
      </c>
      <c r="BD84" s="12">
        <f>IF('Données projet'!$A$88&gt;35,BD83+BC84-BL83,IF(A84&lt;'Données projet'!$A$88,$BA$205^A84,IF(A84='Données projet'!$A$88,'Données projet'!$B$88,BD83+BC84-BL83)))</f>
        <v>235.89886039886062</v>
      </c>
      <c r="BE84" s="13">
        <f>BD84*VLOOKUP('Données projet'!$B$11,Paramètres!$A$1:$I$89,3,0)*VLOOKUP('Données projet'!$B$11,Paramètres!$A$1:$I$89,5,0)</f>
        <v>239.20144444444466</v>
      </c>
      <c r="BF84" s="13">
        <f t="shared" si="91"/>
        <v>58.267684051527382</v>
      </c>
      <c r="BG84" s="20">
        <f t="shared" si="61"/>
        <v>518.0920654638179</v>
      </c>
      <c r="BH84" s="59">
        <f t="shared" si="62"/>
        <v>789.21281848731928</v>
      </c>
      <c r="BI84" s="59">
        <f ca="1">AVERAGE(OFFSET($BH$3,0,0,'Données projet'!$E$11+1,1))-AVERAGE(OFFSET($H$3,0,0,'Données projet'!$E$11+1,1))</f>
        <v>462.74754756814662</v>
      </c>
      <c r="BJ84" s="59">
        <f t="shared" si="92"/>
        <v>327.65191293226667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35.997173198421244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35.997173198421244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</v>
      </c>
      <c r="BY84" s="12">
        <f>IF('Données projet'!$A$114&gt;35,BY83+BX84-CG83,IF(A84&lt;'Données projet'!$A$114,$BV$205^A84,IF(A84='Données projet'!$A$114,'Données projet'!$B$114,BY83+BX84-CG83)))</f>
        <v>251.00000000000006</v>
      </c>
      <c r="BZ84" s="13">
        <f>BY84*VLOOKUP('Données projet'!$B$12,Paramètres!$A$1:$I$89,3,0)*VLOOKUP('Données projet'!$B$12,Paramètres!$A$1:$I$89,5,0)</f>
        <v>219.2736000000001</v>
      </c>
      <c r="CA84" s="13">
        <f t="shared" si="93"/>
        <v>53.956975893220125</v>
      </c>
      <c r="CB84" s="20">
        <f t="shared" si="64"/>
        <v>475.87658634735857</v>
      </c>
      <c r="CC84" s="59">
        <f t="shared" si="65"/>
        <v>746.99733937086</v>
      </c>
      <c r="CD84" s="59">
        <f ca="1">AVERAGE(OFFSET($CC$3,0,0,'Données projet'!$E$12+1,1))-AVERAGE(OFFSET($H$3,0,0,'Données projet'!$E$12+1,1))</f>
        <v>411.67183422518411</v>
      </c>
      <c r="CE84" s="59">
        <f t="shared" si="94"/>
        <v>379.16642539721556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31.709831190593871</v>
      </c>
      <c r="CL84" s="21">
        <f>EXP(-LN(2)/25)*CL83+(1-EXP(-LN(2)/25))/(LN(2)/25)*Calculateur!CG84*Calculateur!CI84*VLOOKUP('Données projet'!$B$12,Paramètres!$A$1:$I$89,3,0)*0.475*44/12</f>
        <v>19.576269058776234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51.286100249370108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243.39387464387485</v>
      </c>
      <c r="O85" s="13">
        <f>N85*VLOOKUP('Données projet'!$B$9,Paramètres!$A$1:$I$89,3,0)*VLOOKUP('Données projet'!$B$9,Paramètres!$A$1:$I$89,5,0)</f>
        <v>220.22277777777796</v>
      </c>
      <c r="P85" s="13">
        <f t="shared" si="87"/>
        <v>54.163302517364365</v>
      </c>
      <c r="Q85" s="20">
        <f t="shared" si="54"/>
        <v>477.88908984737282</v>
      </c>
      <c r="R85" s="59">
        <f t="shared" si="55"/>
        <v>749.39518147935985</v>
      </c>
      <c r="S85" s="59">
        <f ca="1">AVERAGE(OFFSET($R$3,0,0,'Données projet'!$E$9+1,1))-AVERAGE(OFFSET($H$3,0,0,'Données projet'!$E$9+1,1))</f>
        <v>421.33534980160005</v>
      </c>
      <c r="T85" s="59">
        <f t="shared" si="88"/>
        <v>299.0473530693472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-1.0197709343628959E-13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337.99164391755608</v>
      </c>
      <c r="AO85" s="59">
        <f t="shared" si="90"/>
        <v>421.45428231923393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97.310556055305483</v>
      </c>
      <c r="AV85" s="21">
        <f>EXP(-LN(2)/25)*AV84+(1-EXP(-LN(2)/25))/(LN(2)/25)*Calculateur!AQ85*Calculateur!AS85*VLOOKUP('Données projet'!$B$10,Paramètres!$A$1:$I$89,3,0)*0.475*44/12</f>
        <v>21.495955237209881</v>
      </c>
      <c r="AW85" s="21">
        <f>EXP(-LN(2)/2)*AW84+(1-EXP(-LN(2)/2))/(LN(2)/2)*AQ85*AT85*VLOOKUP('Données projet'!$B$10,Paramètres!$A$1:$I$89,3,0)*0.475*44/12</f>
        <v>4.9324183279796791E-3</v>
      </c>
      <c r="AX85" s="21">
        <f t="shared" si="60"/>
        <v>118.81144371084335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7.4950142450142421</v>
      </c>
      <c r="BD85" s="12">
        <f>IF('Données projet'!$A$88&gt;35,BD84+BC85-BL84,IF(A85&lt;'Données projet'!$A$88,$BA$205^A85,IF(A85='Données projet'!$A$88,'Données projet'!$B$88,BD84+BC85-BL84)))</f>
        <v>243.39387464387485</v>
      </c>
      <c r="BE85" s="13">
        <f>BD85*VLOOKUP('Données projet'!$B$11,Paramètres!$A$1:$I$89,3,0)*VLOOKUP('Données projet'!$B$11,Paramètres!$A$1:$I$89,5,0)</f>
        <v>246.80138888888911</v>
      </c>
      <c r="BF85" s="13">
        <f t="shared" si="91"/>
        <v>59.900493951858735</v>
      </c>
      <c r="BG85" s="20">
        <f t="shared" si="61"/>
        <v>534.17244594763577</v>
      </c>
      <c r="BH85" s="59">
        <f t="shared" si="62"/>
        <v>805.6785375796228</v>
      </c>
      <c r="BI85" s="59">
        <f ca="1">AVERAGE(OFFSET($BH$3,0,0,'Données projet'!$E$11+1,1))-AVERAGE(OFFSET($H$3,0,0,'Données projet'!$E$11+1,1))</f>
        <v>462.74754756814662</v>
      </c>
      <c r="BJ85" s="59">
        <f t="shared" si="92"/>
        <v>327.65191293226667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35.29129058810787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35.29129058810787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</v>
      </c>
      <c r="BY85" s="12">
        <f>IF('Données projet'!$A$114&gt;35,BY84+BX85-CG84,IF(A85&lt;'Données projet'!$A$114,$BV$205^A85,IF(A85='Données projet'!$A$114,'Données projet'!$B$114,BY84+BX85-CG84)))</f>
        <v>255.00000000000006</v>
      </c>
      <c r="BZ85" s="13">
        <f>BY85*VLOOKUP('Données projet'!$B$12,Paramètres!$A$1:$I$89,3,0)*VLOOKUP('Données projet'!$B$12,Paramètres!$A$1:$I$89,5,0)</f>
        <v>222.76800000000006</v>
      </c>
      <c r="CA85" s="13">
        <f t="shared" si="93"/>
        <v>54.716058356609508</v>
      </c>
      <c r="CB85" s="20">
        <f t="shared" si="64"/>
        <v>483.28473497109502</v>
      </c>
      <c r="CC85" s="59">
        <f t="shared" si="65"/>
        <v>754.790826603082</v>
      </c>
      <c r="CD85" s="59">
        <f ca="1">AVERAGE(OFFSET($CC$3,0,0,'Données projet'!$E$12+1,1))-AVERAGE(OFFSET($H$3,0,0,'Données projet'!$E$12+1,1))</f>
        <v>411.67183422518411</v>
      </c>
      <c r="CE85" s="59">
        <f t="shared" si="94"/>
        <v>379.16642539721556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31.088020742033578</v>
      </c>
      <c r="CL85" s="21">
        <f>EXP(-LN(2)/25)*CL84+(1-EXP(-LN(2)/25))/(LN(2)/25)*Calculateur!CG85*Calculateur!CI85*VLOOKUP('Données projet'!$B$12,Paramètres!$A$1:$I$89,3,0)*0.475*44/12</f>
        <v>19.040954951892751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50.128975693926328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250.88888888888908</v>
      </c>
      <c r="O86" s="13">
        <f>N86*VLOOKUP('Données projet'!$B$9,Paramètres!$A$1:$I$89,3,0)*VLOOKUP('Données projet'!$B$9,Paramètres!$A$1:$I$89,5,0)</f>
        <v>227.00426666666684</v>
      </c>
      <c r="P86" s="13">
        <f t="shared" si="87"/>
        <v>55.634440522110118</v>
      </c>
      <c r="Q86" s="20">
        <f t="shared" si="54"/>
        <v>492.26241502045315</v>
      </c>
      <c r="R86" s="59">
        <f t="shared" si="55"/>
        <v>764.14716049755657</v>
      </c>
      <c r="S86" s="59">
        <f ca="1">AVERAGE(OFFSET($R$3,0,0,'Données projet'!$E$9+1,1))-AVERAGE(OFFSET($H$3,0,0,'Données projet'!$E$9+1,1))</f>
        <v>421.33534980160005</v>
      </c>
      <c r="T86" s="59">
        <f t="shared" si="88"/>
        <v>299.0473530693472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-1.0197709343628959E-13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337.99164391755608</v>
      </c>
      <c r="AO86" s="59">
        <f t="shared" si="90"/>
        <v>421.45428231923393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95.402355404639451</v>
      </c>
      <c r="AV86" s="21">
        <f>EXP(-LN(2)/25)*AV85+(1-EXP(-LN(2)/25))/(LN(2)/25)*Calculateur!AQ86*Calculateur!AS86*VLOOKUP('Données projet'!$B$10,Paramètres!$A$1:$I$89,3,0)*0.475*44/12</f>
        <v>20.90814721082522</v>
      </c>
      <c r="AW86" s="21">
        <f>EXP(-LN(2)/2)*AW85+(1-EXP(-LN(2)/2))/(LN(2)/2)*AQ86*AT86*VLOOKUP('Données projet'!$B$10,Paramètres!$A$1:$I$89,3,0)*0.475*44/12</f>
        <v>3.4877464473632436E-3</v>
      </c>
      <c r="AX86" s="21">
        <f t="shared" si="60"/>
        <v>116.31399036191203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7.4950142450142421</v>
      </c>
      <c r="BD86" s="12">
        <f>IF('Données projet'!$A$88&gt;35,BD85+BC86-BL85,IF(A86&lt;'Données projet'!$A$88,$BA$205^A86,IF(A86='Données projet'!$A$88,'Données projet'!$B$88,BD85+BC86-BL85)))</f>
        <v>250.88888888888908</v>
      </c>
      <c r="BE86" s="13">
        <f>BD86*VLOOKUP('Données projet'!$B$11,Paramètres!$A$1:$I$89,3,0)*VLOOKUP('Données projet'!$B$11,Paramètres!$A$1:$I$89,5,0)</f>
        <v>254.40133333333353</v>
      </c>
      <c r="BF86" s="13">
        <f t="shared" si="91"/>
        <v>61.527460718284608</v>
      </c>
      <c r="BG86" s="20">
        <f t="shared" si="61"/>
        <v>550.24264963990152</v>
      </c>
      <c r="BH86" s="59">
        <f t="shared" si="62"/>
        <v>822.12739511700499</v>
      </c>
      <c r="BI86" s="59">
        <f ca="1">AVERAGE(OFFSET($BH$3,0,0,'Données projet'!$E$11+1,1))-AVERAGE(OFFSET($H$3,0,0,'Données projet'!$E$11+1,1))</f>
        <v>462.74754756814662</v>
      </c>
      <c r="BJ86" s="59">
        <f t="shared" si="92"/>
        <v>327.65191293226667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34.59924990523686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34.59924990523686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</v>
      </c>
      <c r="BY86" s="12">
        <f>IF('Données projet'!$A$114&gt;35,BY85+BX86-CG85,IF(A86&lt;'Données projet'!$A$114,$BV$205^A86,IF(A86='Données projet'!$A$114,'Données projet'!$B$114,BY85+BX86-CG85)))</f>
        <v>259.00000000000006</v>
      </c>
      <c r="BZ86" s="13">
        <f>BY86*VLOOKUP('Données projet'!$B$12,Paramètres!$A$1:$I$89,3,0)*VLOOKUP('Données projet'!$B$12,Paramètres!$A$1:$I$89,5,0)</f>
        <v>226.26240000000007</v>
      </c>
      <c r="CA86" s="13">
        <f t="shared" si="93"/>
        <v>55.473756029242935</v>
      </c>
      <c r="CB86" s="20">
        <f t="shared" si="64"/>
        <v>490.69047175093164</v>
      </c>
      <c r="CC86" s="59">
        <f t="shared" si="65"/>
        <v>762.57521722803517</v>
      </c>
      <c r="CD86" s="59">
        <f ca="1">AVERAGE(OFFSET($CC$3,0,0,'Données projet'!$E$12+1,1))-AVERAGE(OFFSET($H$3,0,0,'Données projet'!$E$12+1,1))</f>
        <v>411.67183422518411</v>
      </c>
      <c r="CE86" s="59">
        <f t="shared" si="94"/>
        <v>379.16642539721556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30.478403617102629</v>
      </c>
      <c r="CL86" s="21">
        <f>EXP(-LN(2)/25)*CL85+(1-EXP(-LN(2)/25))/(LN(2)/25)*Calculateur!CG86*Calculateur!CI86*VLOOKUP('Données projet'!$B$12,Paramètres!$A$1:$I$89,3,0)*0.475*44/12</f>
        <v>18.520279037412941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48.998682654515569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258.38390313390335</v>
      </c>
      <c r="O87" s="13">
        <f>N87*VLOOKUP('Données projet'!$B$9,Paramètres!$A$1:$I$89,3,0)*VLOOKUP('Données projet'!$B$9,Paramètres!$A$1:$I$89,5,0)</f>
        <v>233.78575555555574</v>
      </c>
      <c r="P87" s="13">
        <f t="shared" si="87"/>
        <v>57.10047099813341</v>
      </c>
      <c r="Q87" s="20">
        <f t="shared" si="54"/>
        <v>506.62684458100858</v>
      </c>
      <c r="R87" s="59">
        <f t="shared" si="55"/>
        <v>778.88367510555895</v>
      </c>
      <c r="S87" s="59">
        <f ca="1">AVERAGE(OFFSET($R$3,0,0,'Données projet'!$E$9+1,1))-AVERAGE(OFFSET($H$3,0,0,'Données projet'!$E$9+1,1))</f>
        <v>421.33534980160005</v>
      </c>
      <c r="T87" s="59">
        <f t="shared" si="88"/>
        <v>299.0473530693472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-1.0197709343628959E-13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337.99164391755608</v>
      </c>
      <c r="AO87" s="59">
        <f t="shared" si="90"/>
        <v>421.45428231923393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93.531573404845517</v>
      </c>
      <c r="AV87" s="21">
        <f>EXP(-LN(2)/25)*AV86+(1-EXP(-LN(2)/25))/(LN(2)/25)*Calculateur!AQ87*Calculateur!AS87*VLOOKUP('Données projet'!$B$10,Paramètres!$A$1:$I$89,3,0)*0.475*44/12</f>
        <v>20.336412825833527</v>
      </c>
      <c r="AW87" s="21">
        <f>EXP(-LN(2)/2)*AW86+(1-EXP(-LN(2)/2))/(LN(2)/2)*AQ87*AT87*VLOOKUP('Données projet'!$B$10,Paramètres!$A$1:$I$89,3,0)*0.475*44/12</f>
        <v>2.4662091639898395E-3</v>
      </c>
      <c r="AX87" s="21">
        <f t="shared" si="60"/>
        <v>113.87045243984302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7.4950142450142421</v>
      </c>
      <c r="BD87" s="12">
        <f>IF('Données projet'!$A$88&gt;35,BD86+BC87-BL86,IF(A87&lt;'Données projet'!$A$88,$BA$205^A87,IF(A87='Données projet'!$A$88,'Données projet'!$B$88,BD86+BC87-BL86)))</f>
        <v>258.38390313390335</v>
      </c>
      <c r="BE87" s="13">
        <f>BD87*VLOOKUP('Données projet'!$B$11,Paramètres!$A$1:$I$89,3,0)*VLOOKUP('Données projet'!$B$11,Paramètres!$A$1:$I$89,5,0)</f>
        <v>262.001277777778</v>
      </c>
      <c r="BF87" s="13">
        <f t="shared" si="91"/>
        <v>63.148778946325088</v>
      </c>
      <c r="BG87" s="20">
        <f t="shared" si="61"/>
        <v>566.30301546114617</v>
      </c>
      <c r="BH87" s="59">
        <f t="shared" si="62"/>
        <v>838.55984598569648</v>
      </c>
      <c r="BI87" s="59">
        <f ca="1">AVERAGE(OFFSET($BH$3,0,0,'Données projet'!$E$11+1,1))-AVERAGE(OFFSET($H$3,0,0,'Données projet'!$E$11+1,1))</f>
        <v>462.74754756814662</v>
      </c>
      <c r="BJ87" s="59">
        <f t="shared" si="92"/>
        <v>327.65191293226667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33.920779718053815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33.920779718053815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</v>
      </c>
      <c r="BY87" s="12">
        <f>IF('Données projet'!$A$114&gt;35,BY86+BX87-CG86,IF(A87&lt;'Données projet'!$A$114,$BV$205^A87,IF(A87='Données projet'!$A$114,'Données projet'!$B$114,BY86+BX87-CG86)))</f>
        <v>263.00000000000006</v>
      </c>
      <c r="BZ87" s="13">
        <f>BY87*VLOOKUP('Données projet'!$B$12,Paramètres!$A$1:$I$89,3,0)*VLOOKUP('Données projet'!$B$12,Paramètres!$A$1:$I$89,5,0)</f>
        <v>229.75680000000011</v>
      </c>
      <c r="CA87" s="13">
        <f t="shared" si="93"/>
        <v>56.230092767727569</v>
      </c>
      <c r="CB87" s="20">
        <f t="shared" si="64"/>
        <v>498.09383823712568</v>
      </c>
      <c r="CC87" s="59">
        <f t="shared" si="65"/>
        <v>770.35066876167593</v>
      </c>
      <c r="CD87" s="59">
        <f ca="1">AVERAGE(OFFSET($CC$3,0,0,'Données projet'!$E$12+1,1))-AVERAGE(OFFSET($H$3,0,0,'Données projet'!$E$12+1,1))</f>
        <v>411.67183422518411</v>
      </c>
      <c r="CE87" s="59">
        <f t="shared" si="94"/>
        <v>379.16642539721556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29.880740712161842</v>
      </c>
      <c r="CL87" s="21">
        <f>EXP(-LN(2)/25)*CL86+(1-EXP(-LN(2)/25))/(LN(2)/25)*Calculateur!CG87*Calculateur!CI87*VLOOKUP('Données projet'!$B$12,Paramètres!$A$1:$I$89,3,0)*0.475*44/12</f>
        <v>18.013841033195739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47.894581745357584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265.87891737891761</v>
      </c>
      <c r="O88" s="13">
        <f>N88*VLOOKUP('Données projet'!$B$9,Paramètres!$A$1:$I$89,3,0)*VLOOKUP('Données projet'!$B$9,Paramètres!$A$1:$I$89,5,0)</f>
        <v>240.56724444444464</v>
      </c>
      <c r="P88" s="13">
        <f t="shared" si="87"/>
        <v>58.5615591142816</v>
      </c>
      <c r="Q88" s="20">
        <f t="shared" si="54"/>
        <v>520.98266619811488</v>
      </c>
      <c r="R88" s="59">
        <f t="shared" si="55"/>
        <v>793.60512692639645</v>
      </c>
      <c r="S88" s="59">
        <f ca="1">AVERAGE(OFFSET($R$3,0,0,'Données projet'!$E$9+1,1))-AVERAGE(OFFSET($H$3,0,0,'Données projet'!$E$9+1,1))</f>
        <v>421.33534980160005</v>
      </c>
      <c r="T88" s="59">
        <f t="shared" si="88"/>
        <v>299.0473530693472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-1.0197709343628959E-13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337.99164391755608</v>
      </c>
      <c r="AO88" s="59">
        <f t="shared" si="90"/>
        <v>421.45428231923393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91.697476299003185</v>
      </c>
      <c r="AV88" s="21">
        <f>EXP(-LN(2)/25)*AV87+(1-EXP(-LN(2)/25))/(LN(2)/25)*Calculateur!AQ88*Calculateur!AS88*VLOOKUP('Données projet'!$B$10,Paramètres!$A$1:$I$89,3,0)*0.475*44/12</f>
        <v>19.780312547665638</v>
      </c>
      <c r="AW88" s="21">
        <f>EXP(-LN(2)/2)*AW87+(1-EXP(-LN(2)/2))/(LN(2)/2)*AQ88*AT88*VLOOKUP('Données projet'!$B$10,Paramètres!$A$1:$I$89,3,0)*0.475*44/12</f>
        <v>1.7438732236816218E-3</v>
      </c>
      <c r="AX88" s="21">
        <f t="shared" si="60"/>
        <v>111.47953271989252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7.4950142450142421</v>
      </c>
      <c r="BD88" s="12">
        <f>IF('Données projet'!$A$88&gt;35,BD87+BC88-BL87,IF(A88&lt;'Données projet'!$A$88,$BA$205^A88,IF(A88='Données projet'!$A$88,'Données projet'!$B$88,BD87+BC88-BL87)))</f>
        <v>265.87891737891761</v>
      </c>
      <c r="BE88" s="13">
        <f>BD88*VLOOKUP('Données projet'!$B$11,Paramètres!$A$1:$I$89,3,0)*VLOOKUP('Données projet'!$B$11,Paramètres!$A$1:$I$89,5,0)</f>
        <v>269.60122222222248</v>
      </c>
      <c r="BF88" s="13">
        <f t="shared" si="91"/>
        <v>64.764631300165817</v>
      </c>
      <c r="BG88" s="20">
        <f t="shared" si="61"/>
        <v>582.35386155149297</v>
      </c>
      <c r="BH88" s="59">
        <f t="shared" si="62"/>
        <v>854.97632227977442</v>
      </c>
      <c r="BI88" s="59">
        <f ca="1">AVERAGE(OFFSET($BH$3,0,0,'Données projet'!$E$11+1,1))-AVERAGE(OFFSET($H$3,0,0,'Données projet'!$E$11+1,1))</f>
        <v>462.74754756814662</v>
      </c>
      <c r="BJ88" s="59">
        <f t="shared" si="92"/>
        <v>327.65191293226667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33.255613917415474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33.255613917415474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267</v>
      </c>
      <c r="BW88" s="12">
        <f>VLOOKUP(A88,'Données projet'!$A$113:$I$133,9,0)</f>
        <v>4</v>
      </c>
      <c r="BX88" s="12">
        <f t="array" ref="BX88">INDEX(BW:BW,MIN(IF(ISNUMBER(BW88:BW284),ROW(BW88:BW284),"")))</f>
        <v>4</v>
      </c>
      <c r="BY88" s="12">
        <f>IF('Données projet'!$A$114&gt;35,BY87+BX88-CG87,IF(A88&lt;'Données projet'!$A$114,$BV$205^A88,IF(A88='Données projet'!$A$114,'Données projet'!$B$114,BY87+BX88-CG87)))</f>
        <v>267.00000000000006</v>
      </c>
      <c r="BZ88" s="13">
        <f>BY88*VLOOKUP('Données projet'!$B$12,Paramètres!$A$1:$I$89,3,0)*VLOOKUP('Données projet'!$B$12,Paramètres!$A$1:$I$89,5,0)</f>
        <v>233.25120000000007</v>
      </c>
      <c r="CA88" s="13">
        <f t="shared" si="93"/>
        <v>56.985091661350914</v>
      </c>
      <c r="CB88" s="20">
        <f t="shared" si="64"/>
        <v>505.49487464351961</v>
      </c>
      <c r="CC88" s="59">
        <f t="shared" si="65"/>
        <v>778.11733537180112</v>
      </c>
      <c r="CD88" s="59">
        <f ca="1">AVERAGE(OFFSET($CC$3,0,0,'Données projet'!$E$12+1,1))-AVERAGE(OFFSET($H$3,0,0,'Données projet'!$E$12+1,1))</f>
        <v>411.67183422518411</v>
      </c>
      <c r="CE88" s="59">
        <f t="shared" si="94"/>
        <v>379.16642539721556</v>
      </c>
      <c r="CF88" s="15">
        <f>IF(ISNA(VLOOKUP(A88,'Données projet'!$A$113:$I$133,3,0)),0,VLOOKUP(A88,'Données projet'!$A$113:$I$133,3,0))</f>
        <v>14</v>
      </c>
      <c r="CG88" s="15" t="str">
        <f>IF(ISNA(VLOOKUP(A88,'Données projet'!$A$113:$I$133,4,0)),0,VLOOKUP(A88,'Données projet'!$A$113:$I$133,4,0))</f>
        <v>16</v>
      </c>
      <c r="CH88" s="16">
        <f>IF(ISNA(VLOOKUP(A88,'Données projet'!$A$113:$I$133,5,0)),0%,VLOOKUP(A88,'Données projet'!$A$113:$I$133,5,0)*VLOOKUP('Données projet'!$B$12,Paramètres!$A$1:$I$89,7,0))</f>
        <v>0.34400000000000003</v>
      </c>
      <c r="CI88" s="16">
        <f>IF(ISNA(VLOOKUP(A88,'Données projet'!$A$113:$I$133,6,0)),0%,VLOOKUP(A88,'Données projet'!$A$113:$I$133,6,0)*VLOOKUP('Données projet'!$B$12,Paramètres!$A$1:$I$89,7,0))</f>
        <v>4.3000000000000003E-2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34.610224647522728</v>
      </c>
      <c r="CL88" s="21">
        <f>EXP(-LN(2)/25)*CL87+(1-EXP(-LN(2)/25))/(LN(2)/25)*Calculateur!CG88*Calculateur!CI88*VLOOKUP('Données projet'!$B$12,Paramètres!$A$1:$I$89,3,0)*0.475*44/12</f>
        <v>18.183063874548747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52.793288522071478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273.37393162393187</v>
      </c>
      <c r="O89" s="13">
        <f>N89*VLOOKUP('Données projet'!$B$9,Paramètres!$A$1:$I$89,3,0)*VLOOKUP('Données projet'!$B$9,Paramètres!$A$1:$I$89,5,0)</f>
        <v>247.34873333333351</v>
      </c>
      <c r="P89" s="13">
        <f t="shared" si="87"/>
        <v>60.017860197565874</v>
      </c>
      <c r="Q89" s="20">
        <f t="shared" si="54"/>
        <v>535.33015039964971</v>
      </c>
      <c r="R89" s="59">
        <f t="shared" si="55"/>
        <v>808.31189846505436</v>
      </c>
      <c r="S89" s="59">
        <f ca="1">AVERAGE(OFFSET($R$3,0,0,'Données projet'!$E$9+1,1))-AVERAGE(OFFSET($H$3,0,0,'Données projet'!$E$9+1,1))</f>
        <v>421.33534980160005</v>
      </c>
      <c r="T89" s="59">
        <f t="shared" si="88"/>
        <v>299.0473530693472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-1.0197709343628959E-13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337.99164391755608</v>
      </c>
      <c r="AO89" s="59">
        <f t="shared" si="90"/>
        <v>421.45428231923393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89.899344718717657</v>
      </c>
      <c r="AV89" s="21">
        <f>EXP(-LN(2)/25)*AV88+(1-EXP(-LN(2)/25))/(LN(2)/25)*Calculateur!AQ89*Calculateur!AS89*VLOOKUP('Données projet'!$B$10,Paramètres!$A$1:$I$89,3,0)*0.475*44/12</f>
        <v>19.239418860848293</v>
      </c>
      <c r="AW89" s="21">
        <f>EXP(-LN(2)/2)*AW88+(1-EXP(-LN(2)/2))/(LN(2)/2)*AQ89*AT89*VLOOKUP('Données projet'!$B$10,Paramètres!$A$1:$I$89,3,0)*0.475*44/12</f>
        <v>1.2331045819949198E-3</v>
      </c>
      <c r="AX89" s="21">
        <f t="shared" si="60"/>
        <v>109.13999668414795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7.4950142450142421</v>
      </c>
      <c r="BD89" s="12">
        <f>IF('Données projet'!$A$88&gt;35,BD88+BC89-BL88,IF(A89&lt;'Données projet'!$A$88,$BA$205^A89,IF(A89='Données projet'!$A$88,'Données projet'!$B$88,BD88+BC89-BL88)))</f>
        <v>273.37393162393187</v>
      </c>
      <c r="BE89" s="13">
        <f>BD89*VLOOKUP('Données projet'!$B$11,Paramètres!$A$1:$I$89,3,0)*VLOOKUP('Données projet'!$B$11,Paramètres!$A$1:$I$89,5,0)</f>
        <v>277.20116666666695</v>
      </c>
      <c r="BF89" s="13">
        <f t="shared" si="91"/>
        <v>66.37518955966982</v>
      </c>
      <c r="BG89" s="20">
        <f t="shared" si="61"/>
        <v>598.39548709420319</v>
      </c>
      <c r="BH89" s="59">
        <f t="shared" si="62"/>
        <v>871.37723515960784</v>
      </c>
      <c r="BI89" s="59">
        <f ca="1">AVERAGE(OFFSET($BH$3,0,0,'Données projet'!$E$11+1,1))-AVERAGE(OFFSET($H$3,0,0,'Données projet'!$E$11+1,1))</f>
        <v>462.74754756814662</v>
      </c>
      <c r="BJ89" s="59">
        <f t="shared" si="92"/>
        <v>327.65191293226667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32.603491612416576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32.603491612416576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3.4</v>
      </c>
      <c r="BY89" s="12">
        <f>IF('Données projet'!$A$114&gt;35,BY88+BX89-CG88,IF(A89&lt;'Données projet'!$A$114,$BV$205^A89,IF(A89='Données projet'!$A$114,'Données projet'!$B$114,BY88+BX89-CG88)))</f>
        <v>254.40000000000003</v>
      </c>
      <c r="BZ89" s="13">
        <f>BY89*VLOOKUP('Données projet'!$B$12,Paramètres!$A$1:$I$89,3,0)*VLOOKUP('Données projet'!$B$12,Paramètres!$A$1:$I$89,5,0)</f>
        <v>222.24384000000006</v>
      </c>
      <c r="CA89" s="13">
        <f t="shared" si="93"/>
        <v>54.602284860895942</v>
      </c>
      <c r="CB89" s="20">
        <f t="shared" si="64"/>
        <v>482.17366746606058</v>
      </c>
      <c r="CC89" s="59">
        <f t="shared" si="65"/>
        <v>755.15541553146522</v>
      </c>
      <c r="CD89" s="59">
        <f ca="1">AVERAGE(OFFSET($CC$3,0,0,'Données projet'!$E$12+1,1))-AVERAGE(OFFSET($H$3,0,0,'Données projet'!$E$12+1,1))</f>
        <v>411.67183422518411</v>
      </c>
      <c r="CE89" s="59">
        <f t="shared" si="94"/>
        <v>379.16642539721556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33.931539252337387</v>
      </c>
      <c r="CL89" s="21">
        <f>EXP(-LN(2)/25)*CL88+(1-EXP(-LN(2)/25))/(LN(2)/25)*Calculateur!CG89*Calculateur!CI89*VLOOKUP('Données projet'!$B$12,Paramètres!$A$1:$I$89,3,0)*0.475*44/12</f>
        <v>17.685847036693442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51.617386289030833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280.86894586894613</v>
      </c>
      <c r="O90" s="13">
        <f>N90*VLOOKUP('Données projet'!$B$9,Paramètres!$A$1:$I$89,3,0)*VLOOKUP('Données projet'!$B$9,Paramètres!$A$1:$I$89,5,0)</f>
        <v>254.13022222222247</v>
      </c>
      <c r="P90" s="13">
        <f t="shared" si="87"/>
        <v>61.469520573147591</v>
      </c>
      <c r="Q90" s="20">
        <f t="shared" si="54"/>
        <v>549.66955203526948</v>
      </c>
      <c r="R90" s="59">
        <f t="shared" si="55"/>
        <v>823.00435460574431</v>
      </c>
      <c r="S90" s="59">
        <f ca="1">AVERAGE(OFFSET($R$3,0,0,'Données projet'!$E$9+1,1))-AVERAGE(OFFSET($H$3,0,0,'Données projet'!$E$9+1,1))</f>
        <v>421.33534980160005</v>
      </c>
      <c r="T90" s="59">
        <f t="shared" si="88"/>
        <v>299.0473530693472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-1.0197709343628959E-13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337.99164391755608</v>
      </c>
      <c r="AO90" s="59">
        <f t="shared" si="90"/>
        <v>421.45428231923393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88.136473401969553</v>
      </c>
      <c r="AV90" s="21">
        <f>EXP(-LN(2)/25)*AV89+(1-EXP(-LN(2)/25))/(LN(2)/25)*Calculateur!AQ90*Calculateur!AS90*VLOOKUP('Données projet'!$B$10,Paramètres!$A$1:$I$89,3,0)*0.475*44/12</f>
        <v>18.713315940341332</v>
      </c>
      <c r="AW90" s="21">
        <f>EXP(-LN(2)/2)*AW89+(1-EXP(-LN(2)/2))/(LN(2)/2)*AQ90*AT90*VLOOKUP('Données projet'!$B$10,Paramètres!$A$1:$I$89,3,0)*0.475*44/12</f>
        <v>8.7193661184081089E-4</v>
      </c>
      <c r="AX90" s="21">
        <f t="shared" si="60"/>
        <v>106.85066127892273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7.4950142450142421</v>
      </c>
      <c r="BD90" s="12">
        <f>IF('Données projet'!$A$88&gt;35,BD89+BC90-BL89,IF(A90&lt;'Données projet'!$A$88,$BA$205^A90,IF(A90='Données projet'!$A$88,'Données projet'!$B$88,BD89+BC90-BL89)))</f>
        <v>280.86894586894613</v>
      </c>
      <c r="BE90" s="13">
        <f>BD90*VLOOKUP('Données projet'!$B$11,Paramètres!$A$1:$I$89,3,0)*VLOOKUP('Données projet'!$B$11,Paramètres!$A$1:$I$89,5,0)</f>
        <v>284.80111111111137</v>
      </c>
      <c r="BF90" s="13">
        <f t="shared" si="91"/>
        <v>67.98061554933885</v>
      </c>
      <c r="BG90" s="20">
        <f t="shared" si="61"/>
        <v>614.42817393361736</v>
      </c>
      <c r="BH90" s="59">
        <f t="shared" si="62"/>
        <v>887.76297650409219</v>
      </c>
      <c r="BI90" s="59">
        <f ca="1">AVERAGE(OFFSET($BH$3,0,0,'Données projet'!$E$11+1,1))-AVERAGE(OFFSET($H$3,0,0,'Données projet'!$E$11+1,1))</f>
        <v>462.74754756814662</v>
      </c>
      <c r="BJ90" s="59">
        <f t="shared" si="92"/>
        <v>327.65191293226667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31.964157028063376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31.964157028063376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3.4</v>
      </c>
      <c r="BY90" s="12">
        <f>IF('Données projet'!$A$114&gt;35,BY89+BX90-CG89,IF(A90&lt;'Données projet'!$A$114,$BV$205^A90,IF(A90='Données projet'!$A$114,'Données projet'!$B$114,BY89+BX90-CG89)))</f>
        <v>257.8</v>
      </c>
      <c r="BZ90" s="13">
        <f>BY90*VLOOKUP('Données projet'!$B$12,Paramètres!$A$1:$I$89,3,0)*VLOOKUP('Données projet'!$B$12,Paramètres!$A$1:$I$89,5,0)</f>
        <v>225.21408000000005</v>
      </c>
      <c r="CA90" s="13">
        <f t="shared" si="93"/>
        <v>55.246590695846493</v>
      </c>
      <c r="CB90" s="20">
        <f t="shared" si="64"/>
        <v>488.46900146193275</v>
      </c>
      <c r="CC90" s="59">
        <f t="shared" si="65"/>
        <v>761.80380403240758</v>
      </c>
      <c r="CD90" s="59">
        <f ca="1">AVERAGE(OFFSET($CC$3,0,0,'Données projet'!$E$12+1,1))-AVERAGE(OFFSET($H$3,0,0,'Données projet'!$E$12+1,1))</f>
        <v>411.67183422518411</v>
      </c>
      <c r="CE90" s="59">
        <f t="shared" si="94"/>
        <v>379.16642539721556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33.266162463794416</v>
      </c>
      <c r="CL90" s="21">
        <f>EXP(-LN(2)/25)*CL89+(1-EXP(-LN(2)/25))/(LN(2)/25)*Calculateur!CG90*Calculateur!CI90*VLOOKUP('Données projet'!$B$12,Paramètres!$A$1:$I$89,3,0)*0.475*44/12</f>
        <v>17.202226619416784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50.4683890832112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288.36396011396039</v>
      </c>
      <c r="O91" s="13">
        <f>N91*VLOOKUP('Données projet'!$B$9,Paramètres!$A$1:$I$89,3,0)*VLOOKUP('Données projet'!$B$9,Paramètres!$A$1:$I$89,5,0)</f>
        <v>260.91171111111134</v>
      </c>
      <c r="P91" s="13">
        <f t="shared" si="87"/>
        <v>62.916678312142118</v>
      </c>
      <c r="Q91" s="20">
        <f t="shared" si="54"/>
        <v>564.00111157883305</v>
      </c>
      <c r="R91" s="59">
        <f t="shared" si="55"/>
        <v>837.68284394802674</v>
      </c>
      <c r="S91" s="59">
        <f ca="1">AVERAGE(OFFSET($R$3,0,0,'Données projet'!$E$9+1,1))-AVERAGE(OFFSET($H$3,0,0,'Données projet'!$E$9+1,1))</f>
        <v>421.33534980160005</v>
      </c>
      <c r="T91" s="59">
        <f t="shared" si="88"/>
        <v>299.0473530693472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-1.0197709343628959E-13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337.99164391755608</v>
      </c>
      <c r="AO91" s="59">
        <f t="shared" si="90"/>
        <v>421.45428231923393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86.408170916497554</v>
      </c>
      <c r="AV91" s="21">
        <f>EXP(-LN(2)/25)*AV90+(1-EXP(-LN(2)/25))/(LN(2)/25)*Calculateur!AQ91*Calculateur!AS91*VLOOKUP('Données projet'!$B$10,Paramètres!$A$1:$I$89,3,0)*0.475*44/12</f>
        <v>18.201599331862184</v>
      </c>
      <c r="AW91" s="21">
        <f>EXP(-LN(2)/2)*AW90+(1-EXP(-LN(2)/2))/(LN(2)/2)*AQ91*AT91*VLOOKUP('Données projet'!$B$10,Paramètres!$A$1:$I$89,3,0)*0.475*44/12</f>
        <v>6.1655229099745988E-4</v>
      </c>
      <c r="AX91" s="21">
        <f t="shared" si="60"/>
        <v>104.61038680065073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7.4950142450142421</v>
      </c>
      <c r="BD91" s="12">
        <f>IF('Données projet'!$A$88&gt;35,BD90+BC91-BL90,IF(A91&lt;'Données projet'!$A$88,$BA$205^A91,IF(A91='Données projet'!$A$88,'Données projet'!$B$88,BD90+BC91-BL90)))</f>
        <v>288.36396011396039</v>
      </c>
      <c r="BE91" s="13">
        <f>BD91*VLOOKUP('Données projet'!$B$11,Paramètres!$A$1:$I$89,3,0)*VLOOKUP('Données projet'!$B$11,Paramètres!$A$1:$I$89,5,0)</f>
        <v>292.40105555555584</v>
      </c>
      <c r="BF91" s="13">
        <f t="shared" si="91"/>
        <v>69.581061965327606</v>
      </c>
      <c r="BG91" s="20">
        <f t="shared" si="61"/>
        <v>630.45218801553858</v>
      </c>
      <c r="BH91" s="59">
        <f t="shared" si="62"/>
        <v>904.13392038473228</v>
      </c>
      <c r="BI91" s="59">
        <f ca="1">AVERAGE(OFFSET($BH$3,0,0,'Données projet'!$E$11+1,1))-AVERAGE(OFFSET($H$3,0,0,'Données projet'!$E$11+1,1))</f>
        <v>462.74754756814662</v>
      </c>
      <c r="BJ91" s="59">
        <f t="shared" si="92"/>
        <v>327.65191293226667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31.337359404953748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31.337359404953748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3.4</v>
      </c>
      <c r="BY91" s="12">
        <f>IF('Données projet'!$A$114&gt;35,BY90+BX91-CG90,IF(A91&lt;'Données projet'!$A$114,$BV$205^A91,IF(A91='Données projet'!$A$114,'Données projet'!$B$114,BY90+BX91-CG90)))</f>
        <v>261.2</v>
      </c>
      <c r="BZ91" s="13">
        <f>BY91*VLOOKUP('Données projet'!$B$12,Paramètres!$A$1:$I$89,3,0)*VLOOKUP('Données projet'!$B$12,Paramètres!$A$1:$I$89,5,0)</f>
        <v>228.18432000000004</v>
      </c>
      <c r="CA91" s="13">
        <f t="shared" si="93"/>
        <v>55.889908157388689</v>
      </c>
      <c r="CB91" s="20">
        <f t="shared" si="64"/>
        <v>494.76261404078542</v>
      </c>
      <c r="CC91" s="59">
        <f t="shared" si="65"/>
        <v>768.44434640997906</v>
      </c>
      <c r="CD91" s="59">
        <f ca="1">AVERAGE(OFFSET($CC$3,0,0,'Données projet'!$E$12+1,1))-AVERAGE(OFFSET($H$3,0,0,'Données projet'!$E$12+1,1))</f>
        <v>411.67183422518411</v>
      </c>
      <c r="CE91" s="59">
        <f t="shared" si="94"/>
        <v>379.16642539721556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32.613833308235002</v>
      </c>
      <c r="CL91" s="21">
        <f>EXP(-LN(2)/25)*CL90+(1-EXP(-LN(2)/25))/(LN(2)/25)*Calculateur!CG91*Calculateur!CI91*VLOOKUP('Données projet'!$B$12,Paramètres!$A$1:$I$89,3,0)*0.475*44/12</f>
        <v>16.731830827883051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49.345664136118053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295.85897435897465</v>
      </c>
      <c r="O92" s="13">
        <f>N92*VLOOKUP('Données projet'!$B$9,Paramètres!$A$1:$I$89,3,0)*VLOOKUP('Données projet'!$B$9,Paramètres!$A$1:$I$89,5,0)</f>
        <v>267.69320000000022</v>
      </c>
      <c r="P92" s="13">
        <f t="shared" si="87"/>
        <v>64.359463899490166</v>
      </c>
      <c r="Q92" s="20">
        <f t="shared" si="54"/>
        <v>578.32505629161233</v>
      </c>
      <c r="R92" s="59">
        <f t="shared" si="55"/>
        <v>852.34770000313597</v>
      </c>
      <c r="S92" s="59">
        <f ca="1">AVERAGE(OFFSET($R$3,0,0,'Données projet'!$E$9+1,1))-AVERAGE(OFFSET($H$3,0,0,'Données projet'!$E$9+1,1))</f>
        <v>421.33534980160005</v>
      </c>
      <c r="T92" s="59">
        <f t="shared" si="88"/>
        <v>299.0473530693472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-1.0197709343628959E-13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337.99164391755608</v>
      </c>
      <c r="AO92" s="59">
        <f t="shared" si="90"/>
        <v>421.45428231923393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84.713759388605226</v>
      </c>
      <c r="AV92" s="21">
        <f>EXP(-LN(2)/25)*AV91+(1-EXP(-LN(2)/25))/(LN(2)/25)*Calculateur!AQ92*Calculateur!AS92*VLOOKUP('Données projet'!$B$10,Paramètres!$A$1:$I$89,3,0)*0.475*44/12</f>
        <v>17.703875640951903</v>
      </c>
      <c r="AW92" s="21">
        <f>EXP(-LN(2)/2)*AW91+(1-EXP(-LN(2)/2))/(LN(2)/2)*AQ92*AT92*VLOOKUP('Données projet'!$B$10,Paramètres!$A$1:$I$89,3,0)*0.475*44/12</f>
        <v>4.3596830592040545E-4</v>
      </c>
      <c r="AX92" s="21">
        <f t="shared" si="60"/>
        <v>102.41807099786305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295.85897435897436</v>
      </c>
      <c r="BB92" s="12">
        <f>VLOOKUP(A92,'Données projet'!$A$87:$I$107,9,0)</f>
        <v>7.4950142450142421</v>
      </c>
      <c r="BC92" s="12">
        <f t="array" ref="BC92">INDEX(BB:BB,MIN(IF(ISNUMBER(BB92:BB288),ROW(BB92:BB288),"")))</f>
        <v>7.4950142450142421</v>
      </c>
      <c r="BD92" s="12">
        <f>IF('Données projet'!$A$88&gt;35,BD91+BC92-BL91,IF(A92&lt;'Données projet'!$A$88,$BA$205^A92,IF(A92='Données projet'!$A$88,'Données projet'!$B$88,BD91+BC92-BL91)))</f>
        <v>295.85897435897465</v>
      </c>
      <c r="BE92" s="13">
        <f>BD92*VLOOKUP('Données projet'!$B$11,Paramètres!$A$1:$I$89,3,0)*VLOOKUP('Données projet'!$B$11,Paramètres!$A$1:$I$89,5,0)</f>
        <v>300.00100000000032</v>
      </c>
      <c r="BF92" s="13">
        <f t="shared" si="91"/>
        <v>71.176673114058119</v>
      </c>
      <c r="BG92" s="20">
        <f t="shared" si="61"/>
        <v>646.46778067365187</v>
      </c>
      <c r="BH92" s="59">
        <f t="shared" si="62"/>
        <v>920.4904243851754</v>
      </c>
      <c r="BI92" s="59">
        <f ca="1">AVERAGE(OFFSET($BH$3,0,0,'Données projet'!$E$11+1,1))-AVERAGE(OFFSET($H$3,0,0,'Données projet'!$E$11+1,1))</f>
        <v>462.74754756814662</v>
      </c>
      <c r="BJ92" s="59">
        <f t="shared" si="92"/>
        <v>327.65191293226667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49.391025641025635</v>
      </c>
      <c r="BM92" s="16">
        <f>IF(ISNA(VLOOKUP(A92,'Données projet'!$A$87:$I$107,5,0)),0%,VLOOKUP(A92,'Données projet'!$A$87:$I$107,5,0)*VLOOKUP('Données projet'!$B$11,Paramètres!$A$1:$I$89,7,0))</f>
        <v>0.30099999999999999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47.387633706095151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47.387633706095151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3.4</v>
      </c>
      <c r="BY92" s="12">
        <f>IF('Données projet'!$A$114&gt;35,BY91+BX92-CG91,IF(A92&lt;'Données projet'!$A$114,$BV$205^A92,IF(A92='Données projet'!$A$114,'Données projet'!$B$114,BY91+BX92-CG91)))</f>
        <v>264.59999999999997</v>
      </c>
      <c r="BZ92" s="13">
        <f>BY92*VLOOKUP('Données projet'!$B$12,Paramètres!$A$1:$I$89,3,0)*VLOOKUP('Données projet'!$B$12,Paramètres!$A$1:$I$89,5,0)</f>
        <v>231.15455999999998</v>
      </c>
      <c r="CA92" s="13">
        <f t="shared" si="93"/>
        <v>56.532251598510484</v>
      </c>
      <c r="CB92" s="20">
        <f t="shared" si="64"/>
        <v>501.05453020073901</v>
      </c>
      <c r="CC92" s="59">
        <f t="shared" si="65"/>
        <v>775.07717391226265</v>
      </c>
      <c r="CD92" s="59">
        <f ca="1">AVERAGE(OFFSET($CC$3,0,0,'Données projet'!$E$12+1,1))-AVERAGE(OFFSET($H$3,0,0,'Données projet'!$E$12+1,1))</f>
        <v>411.67183422518411</v>
      </c>
      <c r="CE92" s="59">
        <f t="shared" si="94"/>
        <v>379.16642539721556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31.974295929534613</v>
      </c>
      <c r="CL92" s="21">
        <f>EXP(-LN(2)/25)*CL91+(1-EXP(-LN(2)/25))/(LN(2)/25)*Calculateur!CG92*Calculateur!CI92*VLOOKUP('Données projet'!$B$12,Paramètres!$A$1:$I$89,3,0)*0.475*44/12</f>
        <v>16.274298034005849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48.248593963540458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253.64615384615416</v>
      </c>
      <c r="O93" s="13">
        <f>N93*VLOOKUP('Données projet'!$B$9,Paramètres!$A$1:$I$89,3,0)*VLOOKUP('Données projet'!$B$9,Paramètres!$A$1:$I$89,5,0)</f>
        <v>229.49904000000029</v>
      </c>
      <c r="P93" s="13">
        <f t="shared" si="87"/>
        <v>56.174348524497042</v>
      </c>
      <c r="Q93" s="20">
        <f t="shared" si="54"/>
        <v>497.54781834683286</v>
      </c>
      <c r="R93" s="59">
        <f t="shared" si="55"/>
        <v>771.90545935106047</v>
      </c>
      <c r="S93" s="59">
        <f ca="1">AVERAGE(OFFSET($R$3,0,0,'Données projet'!$E$9+1,1))-AVERAGE(OFFSET($H$3,0,0,'Données projet'!$E$9+1,1))</f>
        <v>421.33534980160005</v>
      </c>
      <c r="T93" s="59">
        <f t="shared" si="88"/>
        <v>299.0473530693472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-1.0197709343628959E-13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337.99164391755608</v>
      </c>
      <c r="AO93" s="59">
        <f t="shared" si="90"/>
        <v>421.45428231923393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83.052574237285882</v>
      </c>
      <c r="AV93" s="21">
        <f>EXP(-LN(2)/25)*AV92+(1-EXP(-LN(2)/25))/(LN(2)/25)*Calculateur!AQ93*Calculateur!AS93*VLOOKUP('Données projet'!$B$10,Paramètres!$A$1:$I$89,3,0)*0.475*44/12</f>
        <v>17.219762230543715</v>
      </c>
      <c r="AW93" s="21">
        <f>EXP(-LN(2)/2)*AW92+(1-EXP(-LN(2)/2))/(LN(2)/2)*AQ93*AT93*VLOOKUP('Données projet'!$B$10,Paramètres!$A$1:$I$89,3,0)*0.475*44/12</f>
        <v>3.0827614549872994E-4</v>
      </c>
      <c r="AX93" s="21">
        <f t="shared" si="60"/>
        <v>100.27264474397511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7.1782051282051267</v>
      </c>
      <c r="BD93" s="12">
        <f>IF('Données projet'!$A$88&gt;35,BD92+BC93-BL92,IF(A93&lt;'Données projet'!$A$88,$BA$205^A93,IF(A93='Données projet'!$A$88,'Données projet'!$B$88,BD92+BC93-BL92)))</f>
        <v>253.64615384615416</v>
      </c>
      <c r="BE93" s="13">
        <f>BD93*VLOOKUP('Données projet'!$B$11,Paramètres!$A$1:$I$89,3,0)*VLOOKUP('Données projet'!$B$11,Paramètres!$A$1:$I$89,5,0)</f>
        <v>257.19720000000035</v>
      </c>
      <c r="BF93" s="13">
        <f t="shared" si="91"/>
        <v>62.124557913773614</v>
      </c>
      <c r="BG93" s="20">
        <f t="shared" si="61"/>
        <v>556.15206169982298</v>
      </c>
      <c r="BH93" s="59">
        <f t="shared" si="62"/>
        <v>830.5097027040506</v>
      </c>
      <c r="BI93" s="59">
        <f ca="1">AVERAGE(OFFSET($BH$3,0,0,'Données projet'!$E$11+1,1))-AVERAGE(OFFSET($H$3,0,0,'Données projet'!$E$11+1,1))</f>
        <v>462.74754756814662</v>
      </c>
      <c r="BJ93" s="59">
        <f t="shared" si="92"/>
        <v>327.65191293226667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46.458391112721195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46.458391112721195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268</v>
      </c>
      <c r="BW93" s="12">
        <f>VLOOKUP(A93,'Données projet'!$A$113:$I$133,9,0)</f>
        <v>3.4</v>
      </c>
      <c r="BX93" s="12">
        <f t="array" ref="BX93">INDEX(BW:BW,MIN(IF(ISNUMBER(BW93:BW289),ROW(BW93:BW289),"")))</f>
        <v>3.4</v>
      </c>
      <c r="BY93" s="12">
        <f>IF('Données projet'!$A$114&gt;35,BY92+BX93-CG92,IF(A93&lt;'Données projet'!$A$114,$BV$205^A93,IF(A93='Données projet'!$A$114,'Données projet'!$B$114,BY92+BX93-CG92)))</f>
        <v>267.99999999999994</v>
      </c>
      <c r="BZ93" s="13">
        <f>BY93*VLOOKUP('Données projet'!$B$12,Paramètres!$A$1:$I$89,3,0)*VLOOKUP('Données projet'!$B$12,Paramètres!$A$1:$I$89,5,0)</f>
        <v>234.12479999999999</v>
      </c>
      <c r="CA93" s="13">
        <f t="shared" si="93"/>
        <v>57.173634982132555</v>
      </c>
      <c r="CB93" s="20">
        <f t="shared" si="64"/>
        <v>507.34477426054747</v>
      </c>
      <c r="CC93" s="59">
        <f t="shared" si="65"/>
        <v>781.70241526477514</v>
      </c>
      <c r="CD93" s="59">
        <f ca="1">AVERAGE(OFFSET($CC$3,0,0,'Données projet'!$E$12+1,1))-AVERAGE(OFFSET($H$3,0,0,'Données projet'!$E$12+1,1))</f>
        <v>411.67183422518411</v>
      </c>
      <c r="CE93" s="59">
        <f t="shared" si="94"/>
        <v>379.16642539721556</v>
      </c>
      <c r="CF93" s="15">
        <f>IF(ISNA(VLOOKUP(A93,'Données projet'!$A$113:$I$133,3,0)),0,VLOOKUP(A93,'Données projet'!$A$113:$I$133,3,0))</f>
        <v>15</v>
      </c>
      <c r="CG93" s="15" t="str">
        <f>IF(ISNA(VLOOKUP(A93,'Données projet'!$A$113:$I$133,4,0)),0,VLOOKUP(A93,'Données projet'!$A$113:$I$133,4,0))</f>
        <v>14</v>
      </c>
      <c r="CH93" s="16">
        <f>IF(ISNA(VLOOKUP(A93,'Données projet'!$A$113:$I$133,5,0)),0%,VLOOKUP(A93,'Données projet'!$A$113:$I$133,5,0)*VLOOKUP('Données projet'!$B$12,Paramètres!$A$1:$I$89,7,0))</f>
        <v>0.34400000000000003</v>
      </c>
      <c r="CI93" s="16">
        <f>IF(ISNA(VLOOKUP(A93,'Données projet'!$A$113:$I$133,6,0)),0%,VLOOKUP(A93,'Données projet'!$A$113:$I$133,6,0)*VLOOKUP('Données projet'!$B$12,Paramètres!$A$1:$I$89,7,0))</f>
        <v>4.3000000000000003E-2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35.998298144616143</v>
      </c>
      <c r="CL93" s="21">
        <f>EXP(-LN(2)/25)*CL92+(1-EXP(-LN(2)/25))/(LN(2)/25)*Calculateur!CG93*Calculateur!CI93*VLOOKUP('Données projet'!$B$12,Paramètres!$A$1:$I$89,3,0)*0.475*44/12</f>
        <v>16.408362236186235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52.406660380802379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260.82435897435931</v>
      </c>
      <c r="O94" s="13">
        <f>N94*VLOOKUP('Données projet'!$B$9,Paramètres!$A$1:$I$89,3,0)*VLOOKUP('Données projet'!$B$9,Paramètres!$A$1:$I$89,5,0)</f>
        <v>235.99388000000027</v>
      </c>
      <c r="P94" s="13">
        <f t="shared" si="87"/>
        <v>57.57675164364376</v>
      </c>
      <c r="Q94" s="20">
        <f t="shared" si="54"/>
        <v>511.30218344601343</v>
      </c>
      <c r="R94" s="59">
        <f t="shared" si="55"/>
        <v>785.98901028885848</v>
      </c>
      <c r="S94" s="59">
        <f ca="1">AVERAGE(OFFSET($R$3,0,0,'Données projet'!$E$9+1,1))-AVERAGE(OFFSET($H$3,0,0,'Données projet'!$E$9+1,1))</f>
        <v>421.33534980160005</v>
      </c>
      <c r="T94" s="59">
        <f t="shared" si="88"/>
        <v>299.0473530693472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-1.0197709343628959E-13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337.99164391755608</v>
      </c>
      <c r="AO94" s="59">
        <f t="shared" si="90"/>
        <v>421.45428231923393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81.423963913561025</v>
      </c>
      <c r="AV94" s="21">
        <f>EXP(-LN(2)/25)*AV93+(1-EXP(-LN(2)/25))/(LN(2)/25)*Calculateur!AQ94*Calculateur!AS94*VLOOKUP('Données projet'!$B$10,Paramètres!$A$1:$I$89,3,0)*0.475*44/12</f>
        <v>16.748886926801557</v>
      </c>
      <c r="AW94" s="21">
        <f>EXP(-LN(2)/2)*AW93+(1-EXP(-LN(2)/2))/(LN(2)/2)*AQ94*AT94*VLOOKUP('Données projet'!$B$10,Paramètres!$A$1:$I$89,3,0)*0.475*44/12</f>
        <v>2.1798415296020272E-4</v>
      </c>
      <c r="AX94" s="21">
        <f t="shared" si="60"/>
        <v>98.173068824515539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7.1782051282051267</v>
      </c>
      <c r="BD94" s="12">
        <f>IF('Données projet'!$A$88&gt;35,BD93+BC94-BL93,IF(A94&lt;'Données projet'!$A$88,$BA$205^A94,IF(A94='Données projet'!$A$88,'Données projet'!$B$88,BD93+BC94-BL93)))</f>
        <v>260.82435897435931</v>
      </c>
      <c r="BE94" s="13">
        <f>BD94*VLOOKUP('Données projet'!$B$11,Paramètres!$A$1:$I$89,3,0)*VLOOKUP('Données projet'!$B$11,Paramètres!$A$1:$I$89,5,0)</f>
        <v>264.47590000000037</v>
      </c>
      <c r="BF94" s="13">
        <f t="shared" si="91"/>
        <v>63.675509123397234</v>
      </c>
      <c r="BG94" s="20">
        <f t="shared" si="61"/>
        <v>571.53037088991744</v>
      </c>
      <c r="BH94" s="59">
        <f t="shared" si="62"/>
        <v>846.21719773276254</v>
      </c>
      <c r="BI94" s="59">
        <f ca="1">AVERAGE(OFFSET($BH$3,0,0,'Données projet'!$E$11+1,1))-AVERAGE(OFFSET($H$3,0,0,'Données projet'!$E$11+1,1))</f>
        <v>462.74754756814662</v>
      </c>
      <c r="BJ94" s="59">
        <f t="shared" si="92"/>
        <v>327.65191293226667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45.547370399821283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45.547370399821283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3.2</v>
      </c>
      <c r="BY94" s="12">
        <f>IF('Données projet'!$A$114&gt;35,BY93+BX94-CG93,IF(A94&lt;'Données projet'!$A$114,$BV$205^A94,IF(A94='Données projet'!$A$114,'Données projet'!$B$114,BY93+BX94-CG93)))</f>
        <v>257.19999999999993</v>
      </c>
      <c r="BZ94" s="13">
        <f>BY94*VLOOKUP('Données projet'!$B$12,Paramètres!$A$1:$I$89,3,0)*VLOOKUP('Données projet'!$B$12,Paramètres!$A$1:$I$89,5,0)</f>
        <v>224.68991999999997</v>
      </c>
      <c r="CA94" s="13">
        <f t="shared" si="93"/>
        <v>55.132961900876232</v>
      </c>
      <c r="CB94" s="20">
        <f t="shared" si="64"/>
        <v>487.35818597735943</v>
      </c>
      <c r="CC94" s="59">
        <f t="shared" si="65"/>
        <v>762.04501282020442</v>
      </c>
      <c r="CD94" s="59">
        <f ca="1">AVERAGE(OFFSET($CC$3,0,0,'Données projet'!$E$12+1,1))-AVERAGE(OFFSET($H$3,0,0,'Données projet'!$E$12+1,1))</f>
        <v>411.67183422518411</v>
      </c>
      <c r="CE94" s="59">
        <f t="shared" si="94"/>
        <v>379.16642539721556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35.292393474794032</v>
      </c>
      <c r="CL94" s="21">
        <f>EXP(-LN(2)/25)*CL93+(1-EXP(-LN(2)/25))/(LN(2)/25)*Calculateur!CG94*Calculateur!CI94*VLOOKUP('Données projet'!$B$12,Paramètres!$A$1:$I$89,3,0)*0.475*44/12</f>
        <v>15.959674707959454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51.25206818275349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268.00256410256446</v>
      </c>
      <c r="O95" s="13">
        <f>N95*VLOOKUP('Données projet'!$B$9,Paramètres!$A$1:$I$89,3,0)*VLOOKUP('Données projet'!$B$9,Paramètres!$A$1:$I$89,5,0)</f>
        <v>242.48872000000031</v>
      </c>
      <c r="P95" s="13">
        <f t="shared" si="87"/>
        <v>58.974668795914049</v>
      </c>
      <c r="Q95" s="20">
        <f t="shared" si="54"/>
        <v>525.04873548621742</v>
      </c>
      <c r="R95" s="59">
        <f t="shared" si="55"/>
        <v>800.05903752932909</v>
      </c>
      <c r="S95" s="59">
        <f ca="1">AVERAGE(OFFSET($R$3,0,0,'Données projet'!$E$9+1,1))-AVERAGE(OFFSET($H$3,0,0,'Données projet'!$E$9+1,1))</f>
        <v>421.33534980160005</v>
      </c>
      <c r="T95" s="59">
        <f t="shared" si="88"/>
        <v>299.0473530693472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-1.0197709343628959E-13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337.99164391755608</v>
      </c>
      <c r="AO95" s="59">
        <f t="shared" si="90"/>
        <v>421.45428231923393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79.82728964493019</v>
      </c>
      <c r="AV95" s="21">
        <f>EXP(-LN(2)/25)*AV94+(1-EXP(-LN(2)/25))/(LN(2)/25)*Calculateur!AQ95*Calculateur!AS95*VLOOKUP('Données projet'!$B$10,Paramètres!$A$1:$I$89,3,0)*0.475*44/12</f>
        <v>16.290887733002485</v>
      </c>
      <c r="AW95" s="21">
        <f>EXP(-LN(2)/2)*AW94+(1-EXP(-LN(2)/2))/(LN(2)/2)*AQ95*AT95*VLOOKUP('Données projet'!$B$10,Paramètres!$A$1:$I$89,3,0)*0.475*44/12</f>
        <v>1.5413807274936497E-4</v>
      </c>
      <c r="AX95" s="21">
        <f t="shared" si="60"/>
        <v>96.118331516005426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7.1782051282051267</v>
      </c>
      <c r="BD95" s="12">
        <f>IF('Données projet'!$A$88&gt;35,BD94+BC95-BL94,IF(A95&lt;'Données projet'!$A$88,$BA$205^A95,IF(A95='Données projet'!$A$88,'Données projet'!$B$88,BD94+BC95-BL94)))</f>
        <v>268.00256410256446</v>
      </c>
      <c r="BE95" s="13">
        <f>BD95*VLOOKUP('Données projet'!$B$11,Paramètres!$A$1:$I$89,3,0)*VLOOKUP('Données projet'!$B$11,Paramètres!$A$1:$I$89,5,0)</f>
        <v>271.75460000000038</v>
      </c>
      <c r="BF95" s="13">
        <f t="shared" si="91"/>
        <v>65.221499194772917</v>
      </c>
      <c r="BG95" s="20">
        <f t="shared" si="61"/>
        <v>586.90003943089675</v>
      </c>
      <c r="BH95" s="59">
        <f t="shared" si="62"/>
        <v>861.91034147400842</v>
      </c>
      <c r="BI95" s="59">
        <f ca="1">AVERAGE(OFFSET($BH$3,0,0,'Données projet'!$E$11+1,1))-AVERAGE(OFFSET($H$3,0,0,'Données projet'!$E$11+1,1))</f>
        <v>462.74754756814662</v>
      </c>
      <c r="BJ95" s="59">
        <f t="shared" si="92"/>
        <v>327.65191293226667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44.654214247433572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44.654214247433572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3.2</v>
      </c>
      <c r="BY95" s="12">
        <f>IF('Données projet'!$A$114&gt;35,BY94+BX95-CG94,IF(A95&lt;'Données projet'!$A$114,$BV$205^A95,IF(A95='Données projet'!$A$114,'Données projet'!$B$114,BY94+BX95-CG94)))</f>
        <v>260.39999999999992</v>
      </c>
      <c r="BZ95" s="13">
        <f>BY95*VLOOKUP('Données projet'!$B$12,Paramètres!$A$1:$I$89,3,0)*VLOOKUP('Données projet'!$B$12,Paramètres!$A$1:$I$89,5,0)</f>
        <v>227.48543999999993</v>
      </c>
      <c r="CA95" s="13">
        <f t="shared" si="93"/>
        <v>55.738627496252377</v>
      </c>
      <c r="CB95" s="20">
        <f t="shared" si="64"/>
        <v>493.28191755597277</v>
      </c>
      <c r="CC95" s="59">
        <f t="shared" si="65"/>
        <v>768.29221959908455</v>
      </c>
      <c r="CD95" s="59">
        <f ca="1">AVERAGE(OFFSET($CC$3,0,0,'Données projet'!$E$12+1,1))-AVERAGE(OFFSET($H$3,0,0,'Données projet'!$E$12+1,1))</f>
        <v>411.67183422518411</v>
      </c>
      <c r="CE95" s="59">
        <f t="shared" si="94"/>
        <v>379.16642539721556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34.6003311649878</v>
      </c>
      <c r="CL95" s="21">
        <f>EXP(-LN(2)/25)*CL94+(1-EXP(-LN(2)/25))/(LN(2)/25)*Calculateur!CG95*Calculateur!CI95*VLOOKUP('Données projet'!$B$12,Paramètres!$A$1:$I$89,3,0)*0.475*44/12</f>
        <v>15.523256563787486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50.123587728775284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275.18076923076961</v>
      </c>
      <c r="O96" s="13">
        <f>N96*VLOOKUP('Données projet'!$B$9,Paramètres!$A$1:$I$89,3,0)*VLOOKUP('Données projet'!$B$9,Paramètres!$A$1:$I$89,5,0)</f>
        <v>248.98356000000032</v>
      </c>
      <c r="P96" s="13">
        <f t="shared" si="87"/>
        <v>60.368233943158614</v>
      </c>
      <c r="Q96" s="20">
        <f t="shared" si="54"/>
        <v>538.78770778433511</v>
      </c>
      <c r="R96" s="59">
        <f t="shared" si="55"/>
        <v>814.11587345617113</v>
      </c>
      <c r="S96" s="59">
        <f ca="1">AVERAGE(OFFSET($R$3,0,0,'Données projet'!$E$9+1,1))-AVERAGE(OFFSET($H$3,0,0,'Données projet'!$E$9+1,1))</f>
        <v>421.33534980160005</v>
      </c>
      <c r="T96" s="59">
        <f t="shared" si="88"/>
        <v>299.0473530693472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-1.0197709343628959E-13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337.99164391755608</v>
      </c>
      <c r="AO96" s="59">
        <f t="shared" si="90"/>
        <v>421.45428231923393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78.261925184832066</v>
      </c>
      <c r="AV96" s="21">
        <f>EXP(-LN(2)/25)*AV95+(1-EXP(-LN(2)/25))/(LN(2)/25)*Calculateur!AQ96*Calculateur!AS96*VLOOKUP('Données projet'!$B$10,Paramètres!$A$1:$I$89,3,0)*0.475*44/12</f>
        <v>15.84541255124298</v>
      </c>
      <c r="AW96" s="21">
        <f>EXP(-LN(2)/2)*AW95+(1-EXP(-LN(2)/2))/(LN(2)/2)*AQ96*AT96*VLOOKUP('Données projet'!$B$10,Paramètres!$A$1:$I$89,3,0)*0.475*44/12</f>
        <v>1.0899207648010136E-4</v>
      </c>
      <c r="AX96" s="21">
        <f t="shared" si="60"/>
        <v>94.107446728151515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7.1782051282051267</v>
      </c>
      <c r="BD96" s="12">
        <f>IF('Données projet'!$A$88&gt;35,BD95+BC96-BL95,IF(A96&lt;'Données projet'!$A$88,$BA$205^A96,IF(A96='Données projet'!$A$88,'Données projet'!$B$88,BD95+BC96-BL95)))</f>
        <v>275.18076923076961</v>
      </c>
      <c r="BE96" s="13">
        <f>BD96*VLOOKUP('Données projet'!$B$11,Paramètres!$A$1:$I$89,3,0)*VLOOKUP('Données projet'!$B$11,Paramètres!$A$1:$I$89,5,0)</f>
        <v>279.03330000000039</v>
      </c>
      <c r="BF96" s="13">
        <f t="shared" si="91"/>
        <v>66.762676279521131</v>
      </c>
      <c r="BG96" s="20">
        <f t="shared" si="61"/>
        <v>602.26132535349996</v>
      </c>
      <c r="BH96" s="59">
        <f t="shared" si="62"/>
        <v>877.58949102533597</v>
      </c>
      <c r="BI96" s="59">
        <f ca="1">AVERAGE(OFFSET($BH$3,0,0,'Données projet'!$E$11+1,1))-AVERAGE(OFFSET($H$3,0,0,'Données projet'!$E$11+1,1))</f>
        <v>462.74754756814662</v>
      </c>
      <c r="BJ96" s="59">
        <f t="shared" si="92"/>
        <v>327.65191293226667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43.77857234242272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43.77857234242272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3.2</v>
      </c>
      <c r="BY96" s="12">
        <f>IF('Données projet'!$A$114&gt;35,BY95+BX96-CG95,IF(A96&lt;'Données projet'!$A$114,$BV$205^A96,IF(A96='Données projet'!$A$114,'Données projet'!$B$114,BY95+BX96-CG95)))</f>
        <v>263.59999999999991</v>
      </c>
      <c r="BZ96" s="13">
        <f>BY96*VLOOKUP('Données projet'!$B$12,Paramètres!$A$1:$I$89,3,0)*VLOOKUP('Données projet'!$B$12,Paramètres!$A$1:$I$89,5,0)</f>
        <v>230.28095999999994</v>
      </c>
      <c r="CA96" s="13">
        <f t="shared" si="93"/>
        <v>56.343427334913351</v>
      </c>
      <c r="CB96" s="20">
        <f t="shared" si="64"/>
        <v>499.20414127497389</v>
      </c>
      <c r="CC96" s="59">
        <f t="shared" si="65"/>
        <v>774.53230694680985</v>
      </c>
      <c r="CD96" s="59">
        <f ca="1">AVERAGE(OFFSET($CC$3,0,0,'Données projet'!$E$12+1,1))-AVERAGE(OFFSET($H$3,0,0,'Données projet'!$E$12+1,1))</f>
        <v>411.67183422518411</v>
      </c>
      <c r="CE96" s="59">
        <f t="shared" si="94"/>
        <v>379.16642539721556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33.921839774960539</v>
      </c>
      <c r="CL96" s="21">
        <f>EXP(-LN(2)/25)*CL95+(1-EXP(-LN(2)/25))/(LN(2)/25)*Calculateur!CG96*Calculateur!CI96*VLOOKUP('Données projet'!$B$12,Paramètres!$A$1:$I$89,3,0)*0.475*44/12</f>
        <v>15.098772296718133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49.02061207167867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282.35897435897476</v>
      </c>
      <c r="O97" s="13">
        <f>N97*VLOOKUP('Données projet'!$B$9,Paramètres!$A$1:$I$89,3,0)*VLOOKUP('Données projet'!$B$9,Paramètres!$A$1:$I$89,5,0)</f>
        <v>255.47840000000036</v>
      </c>
      <c r="P97" s="13">
        <f t="shared" si="87"/>
        <v>61.757573660260803</v>
      </c>
      <c r="Q97" s="20">
        <f t="shared" si="54"/>
        <v>552.51932079162145</v>
      </c>
      <c r="R97" s="59">
        <f t="shared" si="55"/>
        <v>828.15983586886</v>
      </c>
      <c r="S97" s="59">
        <f ca="1">AVERAGE(OFFSET($R$3,0,0,'Données projet'!$E$9+1,1))-AVERAGE(OFFSET($H$3,0,0,'Données projet'!$E$9+1,1))</f>
        <v>421.33534980160005</v>
      </c>
      <c r="T97" s="59">
        <f t="shared" si="88"/>
        <v>299.0473530693472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-1.0197709343628959E-13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337.99164391755608</v>
      </c>
      <c r="AO97" s="59">
        <f t="shared" si="90"/>
        <v>421.45428231923393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76.727256567018429</v>
      </c>
      <c r="AV97" s="21">
        <f>EXP(-LN(2)/25)*AV96+(1-EXP(-LN(2)/25))/(LN(2)/25)*Calculateur!AQ97*Calculateur!AS97*VLOOKUP('Données projet'!$B$10,Paramètres!$A$1:$I$89,3,0)*0.475*44/12</f>
        <v>15.41211891175521</v>
      </c>
      <c r="AW97" s="21">
        <f>EXP(-LN(2)/2)*AW96+(1-EXP(-LN(2)/2))/(LN(2)/2)*AQ97*AT97*VLOOKUP('Données projet'!$B$10,Paramètres!$A$1:$I$89,3,0)*0.475*44/12</f>
        <v>7.7069036374682485E-5</v>
      </c>
      <c r="AX97" s="21">
        <f t="shared" si="60"/>
        <v>92.139452547810023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7.1782051282051267</v>
      </c>
      <c r="BD97" s="12">
        <f>IF('Données projet'!$A$88&gt;35,BD96+BC97-BL96,IF(A97&lt;'Données projet'!$A$88,$BA$205^A97,IF(A97='Données projet'!$A$88,'Données projet'!$B$88,BD96+BC97-BL96)))</f>
        <v>282.35897435897476</v>
      </c>
      <c r="BE97" s="13">
        <f>BD97*VLOOKUP('Données projet'!$B$11,Paramètres!$A$1:$I$89,3,0)*VLOOKUP('Données projet'!$B$11,Paramètres!$A$1:$I$89,5,0)</f>
        <v>286.31200000000047</v>
      </c>
      <c r="BF97" s="13">
        <f t="shared" si="91"/>
        <v>68.299180359837749</v>
      </c>
      <c r="BG97" s="20">
        <f t="shared" si="61"/>
        <v>617.6144724600515</v>
      </c>
      <c r="BH97" s="59">
        <f t="shared" si="62"/>
        <v>893.25498753728994</v>
      </c>
      <c r="BI97" s="59">
        <f ca="1">AVERAGE(OFFSET($BH$3,0,0,'Données projet'!$E$11+1,1))-AVERAGE(OFFSET($H$3,0,0,'Données projet'!$E$11+1,1))</f>
        <v>462.74754756814662</v>
      </c>
      <c r="BJ97" s="59">
        <f t="shared" si="92"/>
        <v>327.65191293226667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42.92010124108031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42.92010124108031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3.2</v>
      </c>
      <c r="BY97" s="12">
        <f>IF('Données projet'!$A$114&gt;35,BY96+BX97-CG96,IF(A97&lt;'Données projet'!$A$114,$BV$205^A97,IF(A97='Données projet'!$A$114,'Données projet'!$B$114,BY96+BX97-CG96)))</f>
        <v>266.7999999999999</v>
      </c>
      <c r="BZ97" s="13">
        <f>BY97*VLOOKUP('Données projet'!$B$12,Paramètres!$A$1:$I$89,3,0)*VLOOKUP('Données projet'!$B$12,Paramètres!$A$1:$I$89,5,0)</f>
        <v>233.07647999999995</v>
      </c>
      <c r="CA97" s="13">
        <f t="shared" si="93"/>
        <v>56.947373142454879</v>
      </c>
      <c r="CB97" s="20">
        <f t="shared" si="64"/>
        <v>505.12487755644207</v>
      </c>
      <c r="CC97" s="59">
        <f t="shared" si="65"/>
        <v>780.76539263368056</v>
      </c>
      <c r="CD97" s="59">
        <f ca="1">AVERAGE(OFFSET($CC$3,0,0,'Données projet'!$E$12+1,1))-AVERAGE(OFFSET($H$3,0,0,'Données projet'!$E$12+1,1))</f>
        <v>411.67183422518411</v>
      </c>
      <c r="CE97" s="59">
        <f t="shared" si="94"/>
        <v>379.16642539721556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33.25665318725283</v>
      </c>
      <c r="CL97" s="21">
        <f>EXP(-LN(2)/25)*CL96+(1-EXP(-LN(2)/25))/(LN(2)/25)*Calculateur!CG97*Calculateur!CI97*VLOOKUP('Données projet'!$B$12,Paramètres!$A$1:$I$89,3,0)*0.475*44/12</f>
        <v>14.685895574254449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47.942548761507283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289.53717948717991</v>
      </c>
      <c r="O98" s="13">
        <f>N98*VLOOKUP('Données projet'!$B$9,Paramètres!$A$1:$I$89,3,0)*VLOOKUP('Données projet'!$B$9,Paramètres!$A$1:$I$89,5,0)</f>
        <v>261.97324000000037</v>
      </c>
      <c r="P98" s="13">
        <f t="shared" si="87"/>
        <v>63.142807719765102</v>
      </c>
      <c r="Q98" s="20">
        <f t="shared" si="54"/>
        <v>566.24378311192481</v>
      </c>
      <c r="R98" s="59">
        <f t="shared" si="55"/>
        <v>842.19122903069069</v>
      </c>
      <c r="S98" s="59">
        <f ca="1">AVERAGE(OFFSET($R$3,0,0,'Données projet'!$E$9+1,1))-AVERAGE(OFFSET($H$3,0,0,'Données projet'!$E$9+1,1))</f>
        <v>421.33534980160005</v>
      </c>
      <c r="T98" s="59">
        <f t="shared" si="88"/>
        <v>299.0473530693472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-1.0197709343628959E-13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337.99164391755608</v>
      </c>
      <c r="AO98" s="59">
        <f t="shared" si="90"/>
        <v>421.45428231923393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75.222681864744686</v>
      </c>
      <c r="AV98" s="21">
        <f>EXP(-LN(2)/25)*AV97+(1-EXP(-LN(2)/25))/(LN(2)/25)*Calculateur!AQ98*Calculateur!AS98*VLOOKUP('Données projet'!$B$10,Paramètres!$A$1:$I$89,3,0)*0.475*44/12</f>
        <v>14.990673709625154</v>
      </c>
      <c r="AW98" s="21">
        <f>EXP(-LN(2)/2)*AW97+(1-EXP(-LN(2)/2))/(LN(2)/2)*AQ98*AT98*VLOOKUP('Données projet'!$B$10,Paramètres!$A$1:$I$89,3,0)*0.475*44/12</f>
        <v>5.4496038240050681E-5</v>
      </c>
      <c r="AX98" s="21">
        <f t="shared" si="60"/>
        <v>90.213410070408088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7.1782051282051267</v>
      </c>
      <c r="BD98" s="12">
        <f>IF('Données projet'!$A$88&gt;35,BD97+BC98-BL97,IF(A98&lt;'Données projet'!$A$88,$BA$205^A98,IF(A98='Données projet'!$A$88,'Données projet'!$B$88,BD97+BC98-BL97)))</f>
        <v>289.53717948717991</v>
      </c>
      <c r="BE98" s="13">
        <f>BD98*VLOOKUP('Données projet'!$B$11,Paramètres!$A$1:$I$89,3,0)*VLOOKUP('Données projet'!$B$11,Paramètres!$A$1:$I$89,5,0)</f>
        <v>293.59070000000042</v>
      </c>
      <c r="BF98" s="13">
        <f t="shared" si="91"/>
        <v>69.831143895049522</v>
      </c>
      <c r="BG98" s="20">
        <f t="shared" si="61"/>
        <v>632.95971145054534</v>
      </c>
      <c r="BH98" s="59">
        <f t="shared" si="62"/>
        <v>908.90715736931134</v>
      </c>
      <c r="BI98" s="59">
        <f ca="1">AVERAGE(OFFSET($BH$3,0,0,'Données projet'!$E$11+1,1))-AVERAGE(OFFSET($H$3,0,0,'Données projet'!$E$11+1,1))</f>
        <v>462.74754756814662</v>
      </c>
      <c r="BJ98" s="59">
        <f t="shared" si="92"/>
        <v>327.65191293226667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42.078464234419556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42.078464234419556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270</v>
      </c>
      <c r="BW98" s="12">
        <f>VLOOKUP(A98,'Données projet'!$A$113:$I$133,9,0)</f>
        <v>3.2</v>
      </c>
      <c r="BX98" s="12">
        <f t="array" ref="BX98">INDEX(BW:BW,MIN(IF(ISNUMBER(BW98:BW294),ROW(BW98:BW294),"")))</f>
        <v>3.2</v>
      </c>
      <c r="BY98" s="12">
        <f>IF('Données projet'!$A$114&gt;35,BY97+BX98-CG97,IF(A98&lt;'Données projet'!$A$114,$BV$205^A98,IF(A98='Données projet'!$A$114,'Données projet'!$B$114,BY97+BX98-CG97)))</f>
        <v>269.99999999999989</v>
      </c>
      <c r="BZ98" s="13">
        <f>BY98*VLOOKUP('Données projet'!$B$12,Paramètres!$A$1:$I$89,3,0)*VLOOKUP('Données projet'!$B$12,Paramètres!$A$1:$I$89,5,0)</f>
        <v>235.87199999999996</v>
      </c>
      <c r="CA98" s="13">
        <f t="shared" si="93"/>
        <v>57.550476347015277</v>
      </c>
      <c r="CB98" s="20">
        <f t="shared" si="64"/>
        <v>511.04414630438487</v>
      </c>
      <c r="CC98" s="59">
        <f t="shared" si="65"/>
        <v>786.99159222315075</v>
      </c>
      <c r="CD98" s="59">
        <f ca="1">AVERAGE(OFFSET($CC$3,0,0,'Données projet'!$E$12+1,1))-AVERAGE(OFFSET($H$3,0,0,'Données projet'!$E$12+1,1))</f>
        <v>411.67183422518411</v>
      </c>
      <c r="CE98" s="59">
        <f t="shared" si="94"/>
        <v>379.16642539721556</v>
      </c>
      <c r="CF98" s="15">
        <f>IF(ISNA(VLOOKUP(A98,'Données projet'!$A$113:$I$133,3,0)),0,VLOOKUP(A98,'Données projet'!$A$113:$I$133,3,0))</f>
        <v>16</v>
      </c>
      <c r="CG98" s="15" t="str">
        <f>IF(ISNA(VLOOKUP(A98,'Données projet'!$A$113:$I$133,4,0)),0,VLOOKUP(A98,'Données projet'!$A$113:$I$133,4,0))</f>
        <v>13</v>
      </c>
      <c r="CH98" s="16">
        <f>IF(ISNA(VLOOKUP(A98,'Données projet'!$A$113:$I$133,5,0)),0%,VLOOKUP(A98,'Données projet'!$A$113:$I$133,5,0)*VLOOKUP('Données projet'!$B$12,Paramètres!$A$1:$I$89,7,0))</f>
        <v>0.34400000000000003</v>
      </c>
      <c r="CI98" s="16">
        <f>IF(ISNA(VLOOKUP(A98,'Données projet'!$A$113:$I$133,6,0)),0%,VLOOKUP(A98,'Données projet'!$A$113:$I$133,6,0)*VLOOKUP('Données projet'!$B$12,Paramètres!$A$1:$I$89,7,0))</f>
        <v>4.3000000000000003E-2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36.923294968966566</v>
      </c>
      <c r="CL98" s="21">
        <f>EXP(-LN(2)/25)*CL97+(1-EXP(-LN(2)/25))/(LN(2)/25)*Calculateur!CG98*Calculateur!CI98*VLOOKUP('Données projet'!$B$12,Paramètres!$A$1:$I$89,3,0)*0.475*44/12</f>
        <v>14.822031458245164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51.745326427211729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296.71538461538506</v>
      </c>
      <c r="O99" s="13">
        <f>N99*VLOOKUP('Données projet'!$B$9,Paramètres!$A$1:$I$89,3,0)*VLOOKUP('Données projet'!$B$9,Paramètres!$A$1:$I$89,5,0)</f>
        <v>268.46808000000038</v>
      </c>
      <c r="P99" s="13">
        <f t="shared" si="87"/>
        <v>64.524049616897415</v>
      </c>
      <c r="Q99" s="20">
        <f t="shared" ref="Q99:Q130" si="107">(O99+P99)*0.475*44/12</f>
        <v>579.96129241609697</v>
      </c>
      <c r="R99" s="59">
        <f t="shared" si="55"/>
        <v>856.21034461248439</v>
      </c>
      <c r="S99" s="59">
        <f ca="1">AVERAGE(OFFSET($R$3,0,0,'Données projet'!$E$9+1,1))-AVERAGE(OFFSET($H$3,0,0,'Données projet'!$E$9+1,1))</f>
        <v>421.33534980160005</v>
      </c>
      <c r="T99" s="59">
        <f t="shared" si="88"/>
        <v>299.0473530693472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-1.0197709343628959E-13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337.99164391755608</v>
      </c>
      <c r="AO99" s="59">
        <f t="shared" si="90"/>
        <v>421.45428231923393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73.747610954682571</v>
      </c>
      <c r="AV99" s="21">
        <f>EXP(-LN(2)/25)*AV98+(1-EXP(-LN(2)/25))/(LN(2)/25)*Calculateur!AQ99*Calculateur!AS99*VLOOKUP('Données projet'!$B$10,Paramètres!$A$1:$I$89,3,0)*0.475*44/12</f>
        <v>14.580752948710186</v>
      </c>
      <c r="AW99" s="21">
        <f>EXP(-LN(2)/2)*AW98+(1-EXP(-LN(2)/2))/(LN(2)/2)*AQ99*AT99*VLOOKUP('Données projet'!$B$10,Paramètres!$A$1:$I$89,3,0)*0.475*44/12</f>
        <v>3.8534518187341243E-5</v>
      </c>
      <c r="AX99" s="21">
        <f t="shared" si="60"/>
        <v>88.328402437910938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7.1782051282051267</v>
      </c>
      <c r="BD99" s="12">
        <f>IF('Données projet'!$A$88&gt;35,BD98+BC99-BL98,IF(A99&lt;'Données projet'!$A$88,$BA$205^A99,IF(A99='Données projet'!$A$88,'Données projet'!$B$88,BD98+BC99-BL98)))</f>
        <v>296.71538461538506</v>
      </c>
      <c r="BE99" s="13">
        <f>BD99*VLOOKUP('Données projet'!$B$11,Paramètres!$A$1:$I$89,3,0)*VLOOKUP('Données projet'!$B$11,Paramètres!$A$1:$I$89,5,0)</f>
        <v>300.8694000000005</v>
      </c>
      <c r="BF99" s="13">
        <f t="shared" si="91"/>
        <v>71.35869240224595</v>
      </c>
      <c r="BG99" s="20">
        <f t="shared" si="61"/>
        <v>648.29726093391253</v>
      </c>
      <c r="BH99" s="59">
        <f t="shared" si="62"/>
        <v>924.54631313029995</v>
      </c>
      <c r="BI99" s="59">
        <f ca="1">AVERAGE(OFFSET($BH$3,0,0,'Données projet'!$E$11+1,1))-AVERAGE(OFFSET($H$3,0,0,'Données projet'!$E$11+1,1))</f>
        <v>462.74754756814662</v>
      </c>
      <c r="BJ99" s="59">
        <f t="shared" si="92"/>
        <v>327.65191293226667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41.253331216111533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41.253331216111533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3.2</v>
      </c>
      <c r="BY99" s="12">
        <f>IF('Données projet'!$A$114&gt;35,BY98+BX99-CG98,IF(A99&lt;'Données projet'!$A$114,$BV$205^A99,IF(A99='Données projet'!$A$114,'Données projet'!$B$114,BY98+BX99-CG98)))</f>
        <v>260.19999999999987</v>
      </c>
      <c r="BZ99" s="13">
        <f>BY99*VLOOKUP('Données projet'!$B$12,Paramètres!$A$1:$I$89,3,0)*VLOOKUP('Données projet'!$B$12,Paramètres!$A$1:$I$89,5,0)</f>
        <v>227.31071999999989</v>
      </c>
      <c r="CA99" s="13">
        <f t="shared" si="93"/>
        <v>55.700798883800765</v>
      </c>
      <c r="CB99" s="20">
        <f t="shared" si="64"/>
        <v>492.91172872261944</v>
      </c>
      <c r="CC99" s="59">
        <f t="shared" si="65"/>
        <v>769.16078091900681</v>
      </c>
      <c r="CD99" s="59">
        <f ca="1">AVERAGE(OFFSET($CC$3,0,0,'Données projet'!$E$12+1,1))-AVERAGE(OFFSET($H$3,0,0,'Données projet'!$E$12+1,1))</f>
        <v>411.67183422518411</v>
      </c>
      <c r="CE99" s="59">
        <f t="shared" si="94"/>
        <v>379.16642539721556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36.199251675611301</v>
      </c>
      <c r="CL99" s="21">
        <f>EXP(-LN(2)/25)*CL98+(1-EXP(-LN(2)/25))/(LN(2)/25)*Calculateur!CG99*Calculateur!CI99*VLOOKUP('Données projet'!$B$12,Paramètres!$A$1:$I$89,3,0)*0.475*44/12</f>
        <v>14.416722228562691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50.615973904173991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303.89358974359021</v>
      </c>
      <c r="O100" s="13">
        <f>N100*VLOOKUP('Données projet'!$B$9,Paramètres!$A$1:$I$89,3,0)*VLOOKUP('Données projet'!$B$9,Paramètres!$A$1:$I$89,5,0)</f>
        <v>274.96292000000045</v>
      </c>
      <c r="P100" s="13">
        <f t="shared" si="87"/>
        <v>65.901407042348566</v>
      </c>
      <c r="Q100" s="20">
        <f t="shared" si="107"/>
        <v>593.67203626542459</v>
      </c>
      <c r="R100" s="59">
        <f t="shared" si="55"/>
        <v>870.2174625448074</v>
      </c>
      <c r="S100" s="59">
        <f ca="1">AVERAGE(OFFSET($R$3,0,0,'Données projet'!$E$9+1,1))-AVERAGE(OFFSET($H$3,0,0,'Données projet'!$E$9+1,1))</f>
        <v>421.33534980160005</v>
      </c>
      <c r="T100" s="59">
        <f t="shared" si="88"/>
        <v>299.0473530693472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-1.0197709343628959E-13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337.99164391755608</v>
      </c>
      <c r="AO100" s="59">
        <f t="shared" si="90"/>
        <v>421.45428231923393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72.301465285462371</v>
      </c>
      <c r="AV100" s="21">
        <f>EXP(-LN(2)/25)*AV99+(1-EXP(-LN(2)/25))/(LN(2)/25)*Calculateur!AQ100*Calculateur!AS100*VLOOKUP('Données projet'!$B$10,Paramètres!$A$1:$I$89,3,0)*0.475*44/12</f>
        <v>14.182041492559234</v>
      </c>
      <c r="AW100" s="21">
        <f>EXP(-LN(2)/2)*AW99+(1-EXP(-LN(2)/2))/(LN(2)/2)*AQ100*AT100*VLOOKUP('Données projet'!$B$10,Paramètres!$A$1:$I$89,3,0)*0.475*44/12</f>
        <v>2.724801912002534E-5</v>
      </c>
      <c r="AX100" s="21">
        <f t="shared" si="60"/>
        <v>86.483534026040729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7.1782051282051267</v>
      </c>
      <c r="BD100" s="12">
        <f>IF('Données projet'!$A$88&gt;35,BD99+BC100-BL99,IF(A100&lt;'Données projet'!$A$88,$BA$205^A100,IF(A100='Données projet'!$A$88,'Données projet'!$B$88,BD99+BC100-BL99)))</f>
        <v>303.89358974359021</v>
      </c>
      <c r="BE100" s="13">
        <f>BD100*VLOOKUP('Données projet'!$B$11,Paramètres!$A$1:$I$89,3,0)*VLOOKUP('Données projet'!$B$11,Paramètres!$A$1:$I$89,5,0)</f>
        <v>308.14810000000051</v>
      </c>
      <c r="BF100" s="13">
        <f t="shared" si="91"/>
        <v>72.881944979142219</v>
      </c>
      <c r="BG100" s="20">
        <f t="shared" si="61"/>
        <v>663.62732833867358</v>
      </c>
      <c r="BH100" s="59">
        <f t="shared" si="62"/>
        <v>940.17275461805639</v>
      </c>
      <c r="BI100" s="59">
        <f ca="1">AVERAGE(OFFSET($BH$3,0,0,'Données projet'!$E$11+1,1))-AVERAGE(OFFSET($H$3,0,0,'Données projet'!$E$11+1,1))</f>
        <v>462.74754756814662</v>
      </c>
      <c r="BJ100" s="59">
        <f t="shared" si="92"/>
        <v>327.65191293226667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40.444378553011084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40.444378553011084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3.2</v>
      </c>
      <c r="BY100" s="12">
        <f>IF('Données projet'!$A$114&gt;35,BY99+BX100-CG99,IF(A100&lt;'Données projet'!$A$114,$BV$205^A100,IF(A100='Données projet'!$A$114,'Données projet'!$B$114,BY99+BX100-CG99)))</f>
        <v>263.39999999999986</v>
      </c>
      <c r="BZ100" s="13">
        <f>BY100*VLOOKUP('Données projet'!$B$12,Paramètres!$A$1:$I$89,3,0)*VLOOKUP('Données projet'!$B$12,Paramètres!$A$1:$I$89,5,0)</f>
        <v>230.1062399999999</v>
      </c>
      <c r="CA100" s="13">
        <f t="shared" si="93"/>
        <v>56.30565248558618</v>
      </c>
      <c r="CB100" s="20">
        <f t="shared" si="64"/>
        <v>498.83404607906238</v>
      </c>
      <c r="CC100" s="59">
        <f t="shared" si="65"/>
        <v>775.37947235844513</v>
      </c>
      <c r="CD100" s="59">
        <f ca="1">AVERAGE(OFFSET($CC$3,0,0,'Données projet'!$E$12+1,1))-AVERAGE(OFFSET($H$3,0,0,'Données projet'!$E$12+1,1))</f>
        <v>411.67183422518411</v>
      </c>
      <c r="CE100" s="59">
        <f t="shared" si="94"/>
        <v>379.16642539721556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35.489406429615926</v>
      </c>
      <c r="CL100" s="21">
        <f>EXP(-LN(2)/25)*CL99+(1-EXP(-LN(2)/25))/(LN(2)/25)*Calculateur!CG100*Calculateur!CI100*VLOOKUP('Données projet'!$B$12,Paramètres!$A$1:$I$89,3,0)*0.475*44/12</f>
        <v>14.022496201080171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49.511902630696099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311.07179487179536</v>
      </c>
      <c r="O101" s="13">
        <f>N101*VLOOKUP('Données projet'!$B$9,Paramètres!$A$1:$I$89,3,0)*VLOOKUP('Données projet'!$B$9,Paramètres!$A$1:$I$89,5,0)</f>
        <v>281.45776000000041</v>
      </c>
      <c r="P101" s="13">
        <f t="shared" si="87"/>
        <v>67.274982309129811</v>
      </c>
      <c r="Q101" s="20">
        <f t="shared" si="107"/>
        <v>607.37619285506855</v>
      </c>
      <c r="R101" s="59">
        <f t="shared" si="55"/>
        <v>884.21285178969993</v>
      </c>
      <c r="S101" s="59">
        <f ca="1">AVERAGE(OFFSET($R$3,0,0,'Données projet'!$E$9+1,1))-AVERAGE(OFFSET($H$3,0,0,'Données projet'!$E$9+1,1))</f>
        <v>421.33534980160005</v>
      </c>
      <c r="T101" s="59">
        <f t="shared" si="88"/>
        <v>299.0473530693472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-1.0197709343628959E-13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337.99164391755608</v>
      </c>
      <c r="AO101" s="59">
        <f t="shared" si="90"/>
        <v>421.45428231923393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70.88367765075381</v>
      </c>
      <c r="AV101" s="21">
        <f>EXP(-LN(2)/25)*AV100+(1-EXP(-LN(2)/25))/(LN(2)/25)*Calculateur!AQ101*Calculateur!AS101*VLOOKUP('Données projet'!$B$10,Paramètres!$A$1:$I$89,3,0)*0.475*44/12</f>
        <v>13.794232822144053</v>
      </c>
      <c r="AW101" s="21">
        <f>EXP(-LN(2)/2)*AW100+(1-EXP(-LN(2)/2))/(LN(2)/2)*AQ101*AT101*VLOOKUP('Données projet'!$B$10,Paramètres!$A$1:$I$89,3,0)*0.475*44/12</f>
        <v>1.9267259093670621E-5</v>
      </c>
      <c r="AX101" s="21">
        <f t="shared" si="60"/>
        <v>84.677929740156955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7.1782051282051267</v>
      </c>
      <c r="BD101" s="12">
        <f>IF('Données projet'!$A$88&gt;35,BD100+BC101-BL100,IF(A101&lt;'Données projet'!$A$88,$BA$205^A101,IF(A101='Données projet'!$A$88,'Données projet'!$B$88,BD100+BC101-BL100)))</f>
        <v>311.07179487179536</v>
      </c>
      <c r="BE101" s="13">
        <f>BD101*VLOOKUP('Données projet'!$B$11,Paramètres!$A$1:$I$89,3,0)*VLOOKUP('Données projet'!$B$11,Paramètres!$A$1:$I$89,5,0)</f>
        <v>315.42680000000053</v>
      </c>
      <c r="BF101" s="13">
        <f t="shared" si="91"/>
        <v>74.401014776148614</v>
      </c>
      <c r="BG101" s="20">
        <f t="shared" si="61"/>
        <v>678.95011073512637</v>
      </c>
      <c r="BH101" s="59">
        <f t="shared" si="62"/>
        <v>955.78676966975775</v>
      </c>
      <c r="BI101" s="59">
        <f ca="1">AVERAGE(OFFSET($BH$3,0,0,'Données projet'!$E$11+1,1))-AVERAGE(OFFSET($H$3,0,0,'Données projet'!$E$11+1,1))</f>
        <v>462.74754756814662</v>
      </c>
      <c r="BJ101" s="59">
        <f t="shared" si="92"/>
        <v>327.65191293226667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39.651288958221627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39.651288958221627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3.2</v>
      </c>
      <c r="BY101" s="12">
        <f>IF('Données projet'!$A$114&gt;35,BY100+BX101-CG100,IF(A101&lt;'Données projet'!$A$114,$BV$205^A101,IF(A101='Données projet'!$A$114,'Données projet'!$B$114,BY100+BX101-CG100)))</f>
        <v>266.59999999999985</v>
      </c>
      <c r="BZ101" s="13">
        <f>BY101*VLOOKUP('Données projet'!$B$12,Paramètres!$A$1:$I$89,3,0)*VLOOKUP('Données projet'!$B$12,Paramètres!$A$1:$I$89,5,0)</f>
        <v>232.90175999999991</v>
      </c>
      <c r="CA101" s="13">
        <f t="shared" si="93"/>
        <v>56.909651332233828</v>
      </c>
      <c r="CB101" s="20">
        <f t="shared" si="64"/>
        <v>504.7548747369737</v>
      </c>
      <c r="CC101" s="59">
        <f t="shared" si="65"/>
        <v>781.59153367160502</v>
      </c>
      <c r="CD101" s="59">
        <f ca="1">AVERAGE(OFFSET($CC$3,0,0,'Données projet'!$E$12+1,1))-AVERAGE(OFFSET($H$3,0,0,'Données projet'!$E$12+1,1))</f>
        <v>411.67183422518411</v>
      </c>
      <c r="CE101" s="59">
        <f t="shared" si="94"/>
        <v>379.16642539721556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34.793480815931673</v>
      </c>
      <c r="CL101" s="21">
        <f>EXP(-LN(2)/25)*CL100+(1-EXP(-LN(2)/25))/(LN(2)/25)*Calculateur!CG101*Calculateur!CI101*VLOOKUP('Données projet'!$B$12,Paramètres!$A$1:$I$89,3,0)*0.475*44/12</f>
        <v>13.639050305050608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48.432531120982283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318.25000000000051</v>
      </c>
      <c r="O102" s="13">
        <f>N102*VLOOKUP('Données projet'!$B$9,Paramètres!$A$1:$I$89,3,0)*VLOOKUP('Données projet'!$B$9,Paramètres!$A$1:$I$89,5,0)</f>
        <v>287.95260000000047</v>
      </c>
      <c r="P102" s="13">
        <f t="shared" si="87"/>
        <v>68.6448727389173</v>
      </c>
      <c r="Q102" s="20">
        <f t="shared" si="107"/>
        <v>621.07393168694841</v>
      </c>
      <c r="R102" s="59">
        <f t="shared" si="55"/>
        <v>898.19677104135849</v>
      </c>
      <c r="S102" s="59">
        <f ca="1">AVERAGE(OFFSET($R$3,0,0,'Données projet'!$E$9+1,1))-AVERAGE(OFFSET($H$3,0,0,'Données projet'!$E$9+1,1))</f>
        <v>421.33534980160005</v>
      </c>
      <c r="T102" s="59">
        <f t="shared" si="88"/>
        <v>299.0473530693472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-1.0197709343628959E-13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337.99164391755608</v>
      </c>
      <c r="AO102" s="59">
        <f t="shared" si="90"/>
        <v>421.45428231923393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69.493691966796817</v>
      </c>
      <c r="AV102" s="21">
        <f>EXP(-LN(2)/25)*AV101+(1-EXP(-LN(2)/25))/(LN(2)/25)*Calculateur!AQ102*Calculateur!AS102*VLOOKUP('Données projet'!$B$10,Paramètres!$A$1:$I$89,3,0)*0.475*44/12</f>
        <v>13.417028800215347</v>
      </c>
      <c r="AW102" s="21">
        <f>EXP(-LN(2)/2)*AW101+(1-EXP(-LN(2)/2))/(LN(2)/2)*AQ102*AT102*VLOOKUP('Données projet'!$B$10,Paramètres!$A$1:$I$89,3,0)*0.475*44/12</f>
        <v>1.362400956001267E-5</v>
      </c>
      <c r="AX102" s="21">
        <f t="shared" si="60"/>
        <v>82.91073439102172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318.25</v>
      </c>
      <c r="BB102" s="12">
        <f>VLOOKUP(A102,'Données projet'!$A$87:$I$107,9,0)</f>
        <v>7.1782051282051267</v>
      </c>
      <c r="BC102" s="12">
        <f t="array" ref="BC102">INDEX(BB:BB,MIN(IF(ISNUMBER(BB102:BB298),ROW(BB102:BB298),"")))</f>
        <v>7.1782051282051267</v>
      </c>
      <c r="BD102" s="12">
        <f>IF('Données projet'!$A$88&gt;35,BD101+BC102-BL101,IF(A102&lt;'Données projet'!$A$88,$BA$205^A102,IF(A102='Données projet'!$A$88,'Données projet'!$B$88,BD101+BC102-BL101)))</f>
        <v>318.25000000000051</v>
      </c>
      <c r="BE102" s="13">
        <f>BD102*VLOOKUP('Données projet'!$B$11,Paramètres!$A$1:$I$89,3,0)*VLOOKUP('Données projet'!$B$11,Paramètres!$A$1:$I$89,5,0)</f>
        <v>322.70550000000054</v>
      </c>
      <c r="BF102" s="13">
        <f t="shared" si="91"/>
        <v>75.916009423638798</v>
      </c>
      <c r="BG102" s="20">
        <f t="shared" si="61"/>
        <v>694.26579557950515</v>
      </c>
      <c r="BH102" s="59">
        <f t="shared" si="62"/>
        <v>971.38863493391523</v>
      </c>
      <c r="BI102" s="59">
        <f ca="1">AVERAGE(OFFSET($BH$3,0,0,'Données projet'!$E$11+1,1))-AVERAGE(OFFSET($H$3,0,0,'Données projet'!$E$11+1,1))</f>
        <v>462.74754756814662</v>
      </c>
      <c r="BJ102" s="59">
        <f t="shared" si="92"/>
        <v>327.65191293226667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48.019230769230766</v>
      </c>
      <c r="BM102" s="16">
        <f>IF(ISNA(VLOOKUP(A102,'Données projet'!$A$87:$I$107,5,0)),0%,VLOOKUP(A102,'Données projet'!$A$87:$I$107,5,0)*VLOOKUP('Données projet'!$B$11,Paramètres!$A$1:$I$89,7,0))</f>
        <v>0.30099999999999999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55.075681673142725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55.075681673142725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3.2</v>
      </c>
      <c r="BY102" s="12">
        <f>IF('Données projet'!$A$114&gt;35,BY101+BX102-CG101,IF(A102&lt;'Données projet'!$A$114,$BV$205^A102,IF(A102='Données projet'!$A$114,'Données projet'!$B$114,BY101+BX102-CG101)))</f>
        <v>269.79999999999984</v>
      </c>
      <c r="BZ102" s="13">
        <f>BY102*VLOOKUP('Données projet'!$B$12,Paramètres!$A$1:$I$89,3,0)*VLOOKUP('Données projet'!$B$12,Paramètres!$A$1:$I$89,5,0)</f>
        <v>235.69727999999992</v>
      </c>
      <c r="CA102" s="13">
        <f t="shared" si="93"/>
        <v>57.512806870145788</v>
      </c>
      <c r="CB102" s="20">
        <f t="shared" si="64"/>
        <v>510.67423463217045</v>
      </c>
      <c r="CC102" s="59">
        <f t="shared" si="65"/>
        <v>787.79707398658059</v>
      </c>
      <c r="CD102" s="59">
        <f ca="1">AVERAGE(OFFSET($CC$3,0,0,'Données projet'!$E$12+1,1))-AVERAGE(OFFSET($H$3,0,0,'Données projet'!$E$12+1,1))</f>
        <v>411.67183422518411</v>
      </c>
      <c r="CE102" s="59">
        <f t="shared" si="94"/>
        <v>379.16642539721556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34.11120187905906</v>
      </c>
      <c r="CL102" s="21">
        <f>EXP(-LN(2)/25)*CL101+(1-EXP(-LN(2)/25))/(LN(2)/25)*Calculateur!CG102*Calculateur!CI102*VLOOKUP('Données projet'!$B$12,Paramètres!$A$1:$I$89,3,0)*0.475*44/12</f>
        <v>13.266089757212516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47.377291636271579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277.22435897435946</v>
      </c>
      <c r="O103" s="13">
        <f>N103*VLOOKUP('Données projet'!$B$9,Paramètres!$A$1:$I$89,3,0)*VLOOKUP('Données projet'!$B$9,Paramètres!$A$1:$I$89,5,0)</f>
        <v>250.83260000000041</v>
      </c>
      <c r="P103" s="13">
        <f t="shared" si="87"/>
        <v>60.764195096344402</v>
      </c>
      <c r="Q103" s="20">
        <f t="shared" si="107"/>
        <v>542.69775145946721</v>
      </c>
      <c r="R103" s="59">
        <f t="shared" si="55"/>
        <v>820.10180664317636</v>
      </c>
      <c r="S103" s="59">
        <f ca="1">AVERAGE(OFFSET($R$3,0,0,'Données projet'!$E$9+1,1))-AVERAGE(OFFSET($H$3,0,0,'Données projet'!$E$9+1,1))</f>
        <v>421.33534980160005</v>
      </c>
      <c r="T103" s="59">
        <f t="shared" si="88"/>
        <v>299.0473530693472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-1.0197709343628959E-13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337.99164391755608</v>
      </c>
      <c r="AO103" s="59">
        <f t="shared" si="90"/>
        <v>421.45428231923393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68.130963054294668</v>
      </c>
      <c r="AV103" s="21">
        <f>EXP(-LN(2)/25)*AV102+(1-EXP(-LN(2)/25))/(LN(2)/25)*Calculateur!AQ103*Calculateur!AS103*VLOOKUP('Données projet'!$B$10,Paramètres!$A$1:$I$89,3,0)*0.475*44/12</f>
        <v>13.050139442102578</v>
      </c>
      <c r="AW103" s="21">
        <f>EXP(-LN(2)/2)*AW102+(1-EXP(-LN(2)/2))/(LN(2)/2)*AQ103*AT103*VLOOKUP('Données projet'!$B$10,Paramètres!$A$1:$I$89,3,0)*0.475*44/12</f>
        <v>9.6336295468353106E-6</v>
      </c>
      <c r="AX103" s="21">
        <f t="shared" si="60"/>
        <v>81.18111213002679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6.9935897435897401</v>
      </c>
      <c r="BD103" s="12">
        <f>IF('Données projet'!$A$88&gt;35,BD102+BC103-BL102,IF(A103&lt;'Données projet'!$A$88,$BA$205^A103,IF(A103='Données projet'!$A$88,'Données projet'!$B$88,BD102+BC103-BL102)))</f>
        <v>277.22435897435946</v>
      </c>
      <c r="BE103" s="13">
        <f>BD103*VLOOKUP('Données projet'!$B$11,Paramètres!$A$1:$I$89,3,0)*VLOOKUP('Données projet'!$B$11,Paramètres!$A$1:$I$89,5,0)</f>
        <v>281.10550000000052</v>
      </c>
      <c r="BF103" s="13">
        <f t="shared" si="91"/>
        <v>67.200579205657675</v>
      </c>
      <c r="BG103" s="20">
        <f t="shared" si="61"/>
        <v>606.63308794985471</v>
      </c>
      <c r="BH103" s="59">
        <f t="shared" si="62"/>
        <v>884.03714313356386</v>
      </c>
      <c r="BI103" s="59">
        <f ca="1">AVERAGE(OFFSET($BH$3,0,0,'Données projet'!$E$11+1,1))-AVERAGE(OFFSET($H$3,0,0,'Données projet'!$E$11+1,1))</f>
        <v>462.74754756814662</v>
      </c>
      <c r="BJ103" s="59">
        <f t="shared" si="92"/>
        <v>327.65191293226667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53.995681148381202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53.995681148381202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273</v>
      </c>
      <c r="BW103" s="12">
        <f>VLOOKUP(A103,'Données projet'!$A$113:$I$133,9,0)</f>
        <v>3.2</v>
      </c>
      <c r="BX103" s="12">
        <f t="array" ref="BX103">INDEX(BW:BW,MIN(IF(ISNUMBER(BW103:BW299),ROW(BW103:BW299),"")))</f>
        <v>3.2</v>
      </c>
      <c r="BY103" s="12">
        <f>IF('Données projet'!$A$114&gt;35,BY102+BX103-CG102,IF(A103&lt;'Données projet'!$A$114,$BV$205^A103,IF(A103='Données projet'!$A$114,'Données projet'!$B$114,BY102+BX103-CG102)))</f>
        <v>272.99999999999983</v>
      </c>
      <c r="BZ103" s="13">
        <f>BY103*VLOOKUP('Données projet'!$B$12,Paramètres!$A$1:$I$89,3,0)*VLOOKUP('Données projet'!$B$12,Paramètres!$A$1:$I$89,5,0)</f>
        <v>238.49279999999987</v>
      </c>
      <c r="CA103" s="13">
        <f t="shared" si="93"/>
        <v>58.115130258576542</v>
      </c>
      <c r="CB103" s="20">
        <f t="shared" si="64"/>
        <v>516.59214520035391</v>
      </c>
      <c r="CC103" s="59">
        <f t="shared" si="65"/>
        <v>793.99620038406306</v>
      </c>
      <c r="CD103" s="59">
        <f ca="1">AVERAGE(OFFSET($CC$3,0,0,'Données projet'!$E$12+1,1))-AVERAGE(OFFSET($H$3,0,0,'Données projet'!$E$12+1,1))</f>
        <v>411.67183422518411</v>
      </c>
      <c r="CE103" s="59">
        <f t="shared" si="94"/>
        <v>379.16642539721556</v>
      </c>
      <c r="CF103" s="15">
        <f>IF(ISNA(VLOOKUP(A103,'Données projet'!$A$113:$I$133,3,0)),0,VLOOKUP(A103,'Données projet'!$A$113:$I$133,3,0))</f>
        <v>17</v>
      </c>
      <c r="CG103" s="15" t="str">
        <f>IF(ISNA(VLOOKUP(A103,'Données projet'!$A$113:$I$133,4,0)),0,VLOOKUP(A103,'Données projet'!$A$113:$I$133,4,0))</f>
        <v>13</v>
      </c>
      <c r="CH103" s="16">
        <f>IF(ISNA(VLOOKUP(A103,'Données projet'!$A$113:$I$133,5,0)),0%,VLOOKUP(A103,'Données projet'!$A$113:$I$133,5,0)*VLOOKUP('Données projet'!$B$12,Paramètres!$A$1:$I$89,7,0))</f>
        <v>0.34400000000000003</v>
      </c>
      <c r="CI103" s="16">
        <f>IF(ISNA(VLOOKUP(A103,'Données projet'!$A$113:$I$133,6,0)),0%,VLOOKUP(A103,'Données projet'!$A$113:$I$133,6,0)*VLOOKUP('Données projet'!$B$12,Paramètres!$A$1:$I$89,7,0))</f>
        <v>4.3000000000000003E-2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37.761086482149707</v>
      </c>
      <c r="CL103" s="21">
        <f>EXP(-LN(2)/25)*CL102+(1-EXP(-LN(2)/25))/(LN(2)/25)*Calculateur!CG103*Calculateur!CI103*VLOOKUP('Données projet'!$B$12,Paramètres!$A$1:$I$89,3,0)*0.475*44/12</f>
        <v>13.441050305934585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51.202136788084289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284.21794871794918</v>
      </c>
      <c r="O104" s="13">
        <f>N104*VLOOKUP('Données projet'!$B$9,Paramètres!$A$1:$I$89,3,0)*VLOOKUP('Données projet'!$B$9,Paramètres!$A$1:$I$89,5,0)</f>
        <v>257.16040000000038</v>
      </c>
      <c r="P104" s="13">
        <f t="shared" si="87"/>
        <v>62.116703672873726</v>
      </c>
      <c r="Q104" s="20">
        <f t="shared" si="107"/>
        <v>556.07428889692233</v>
      </c>
      <c r="R104" s="59">
        <f t="shared" si="55"/>
        <v>833.75468144399679</v>
      </c>
      <c r="S104" s="59">
        <f ca="1">AVERAGE(OFFSET($R$3,0,0,'Données projet'!$E$9+1,1))-AVERAGE(OFFSET($H$3,0,0,'Données projet'!$E$9+1,1))</f>
        <v>421.33534980160005</v>
      </c>
      <c r="T104" s="59">
        <f t="shared" si="88"/>
        <v>299.0473530693472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-1.0197709343628959E-13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337.99164391755608</v>
      </c>
      <c r="AO104" s="59">
        <f t="shared" si="90"/>
        <v>421.45428231923393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66.794956424584115</v>
      </c>
      <c r="AV104" s="21">
        <f>EXP(-LN(2)/25)*AV103+(1-EXP(-LN(2)/25))/(LN(2)/25)*Calculateur!AQ104*Calculateur!AS104*VLOOKUP('Données projet'!$B$10,Paramètres!$A$1:$I$89,3,0)*0.475*44/12</f>
        <v>12.693282692781276</v>
      </c>
      <c r="AW104" s="21">
        <f>EXP(-LN(2)/2)*AW103+(1-EXP(-LN(2)/2))/(LN(2)/2)*AQ104*AT104*VLOOKUP('Données projet'!$B$10,Paramètres!$A$1:$I$89,3,0)*0.475*44/12</f>
        <v>6.8120047800063351E-6</v>
      </c>
      <c r="AX104" s="21">
        <f t="shared" si="60"/>
        <v>79.48824592937018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6.9935897435897401</v>
      </c>
      <c r="BD104" s="12">
        <f>IF('Données projet'!$A$88&gt;35,BD103+BC104-BL103,IF(A104&lt;'Données projet'!$A$88,$BA$205^A104,IF(A104='Données projet'!$A$88,'Données projet'!$B$88,BD103+BC104-BL103)))</f>
        <v>284.21794871794918</v>
      </c>
      <c r="BE104" s="13">
        <f>BD104*VLOOKUP('Données projet'!$B$11,Paramètres!$A$1:$I$89,3,0)*VLOOKUP('Données projet'!$B$11,Paramètres!$A$1:$I$89,5,0)</f>
        <v>288.19700000000051</v>
      </c>
      <c r="BF104" s="13">
        <f t="shared" si="91"/>
        <v>68.696350845178046</v>
      </c>
      <c r="BG104" s="20">
        <f t="shared" si="61"/>
        <v>621.5892527220193</v>
      </c>
      <c r="BH104" s="59">
        <f t="shared" si="62"/>
        <v>899.26964526909364</v>
      </c>
      <c r="BI104" s="59">
        <f ca="1">AVERAGE(OFFSET($BH$3,0,0,'Données projet'!$E$11+1,1))-AVERAGE(OFFSET($H$3,0,0,'Données projet'!$E$11+1,1))</f>
        <v>462.74754756814662</v>
      </c>
      <c r="BJ104" s="59">
        <f t="shared" si="92"/>
        <v>327.65191293226667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52.936858775174976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52.936858775174976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259.99999999999983</v>
      </c>
      <c r="BZ104" s="13">
        <f>BY104*VLOOKUP('Données projet'!$B$12,Paramètres!$A$1:$I$89,3,0)*VLOOKUP('Données projet'!$B$12,Paramètres!$A$1:$I$89,5,0)</f>
        <v>227.13599999999985</v>
      </c>
      <c r="CA104" s="13">
        <f t="shared" si="93"/>
        <v>55.662966886685133</v>
      </c>
      <c r="CB104" s="20">
        <f t="shared" si="64"/>
        <v>492.5415339943097</v>
      </c>
      <c r="CC104" s="59">
        <f t="shared" si="65"/>
        <v>770.22192654138416</v>
      </c>
      <c r="CD104" s="59">
        <f ca="1">AVERAGE(OFFSET($CC$3,0,0,'Données projet'!$E$12+1,1))-AVERAGE(OFFSET($H$3,0,0,'Données projet'!$E$12+1,1))</f>
        <v>411.67183422518411</v>
      </c>
      <c r="CE104" s="59">
        <f t="shared" si="94"/>
        <v>379.16642539721556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37.020614608223283</v>
      </c>
      <c r="CL104" s="21">
        <f>EXP(-LN(2)/25)*CL103+(1-EXP(-LN(2)/25))/(LN(2)/25)*Calculateur!CG104*Calculateur!CI104*VLOOKUP('Données projet'!$B$12,Paramètres!$A$1:$I$89,3,0)*0.475*44/12</f>
        <v>13.073504078484689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50.094118686707972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291.21153846153891</v>
      </c>
      <c r="O105" s="13">
        <f>N105*VLOOKUP('Données projet'!$B$9,Paramètres!$A$1:$I$89,3,0)*VLOOKUP('Données projet'!$B$9,Paramètres!$A$1:$I$89,5,0)</f>
        <v>263.4882000000004</v>
      </c>
      <c r="P105" s="13">
        <f t="shared" si="87"/>
        <v>63.465343539396919</v>
      </c>
      <c r="Q105" s="20">
        <f t="shared" si="107"/>
        <v>569.44408833111697</v>
      </c>
      <c r="R105" s="59">
        <f t="shared" si="55"/>
        <v>847.39602440609997</v>
      </c>
      <c r="S105" s="59">
        <f ca="1">AVERAGE(OFFSET($R$3,0,0,'Données projet'!$E$9+1,1))-AVERAGE(OFFSET($H$3,0,0,'Données projet'!$E$9+1,1))</f>
        <v>421.33534980160005</v>
      </c>
      <c r="T105" s="59">
        <f t="shared" si="88"/>
        <v>299.0473530693472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-1.0197709343628959E-13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337.99164391755608</v>
      </c>
      <c r="AO105" s="59">
        <f t="shared" si="90"/>
        <v>421.45428231923393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65.485148069998615</v>
      </c>
      <c r="AV105" s="21">
        <f>EXP(-LN(2)/25)*AV104+(1-EXP(-LN(2)/25))/(LN(2)/25)*Calculateur!AQ105*Calculateur!AS105*VLOOKUP('Données projet'!$B$10,Paramètres!$A$1:$I$89,3,0)*0.475*44/12</f>
        <v>12.346184210036446</v>
      </c>
      <c r="AW105" s="21">
        <f>EXP(-LN(2)/2)*AW104+(1-EXP(-LN(2)/2))/(LN(2)/2)*AQ105*AT105*VLOOKUP('Données projet'!$B$10,Paramètres!$A$1:$I$89,3,0)*0.475*44/12</f>
        <v>4.8168147734176553E-6</v>
      </c>
      <c r="AX105" s="21">
        <f t="shared" si="60"/>
        <v>77.831337096849836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6.9935897435897401</v>
      </c>
      <c r="BD105" s="12">
        <f>IF('Données projet'!$A$88&gt;35,BD104+BC105-BL104,IF(A105&lt;'Données projet'!$A$88,$BA$205^A105,IF(A105='Données projet'!$A$88,'Données projet'!$B$88,BD104+BC105-BL104)))</f>
        <v>291.21153846153891</v>
      </c>
      <c r="BE105" s="13">
        <f>BD105*VLOOKUP('Données projet'!$B$11,Paramètres!$A$1:$I$89,3,0)*VLOOKUP('Données projet'!$B$11,Paramètres!$A$1:$I$89,5,0)</f>
        <v>295.28850000000051</v>
      </c>
      <c r="BF105" s="13">
        <f t="shared" si="91"/>
        <v>70.187843985612119</v>
      </c>
      <c r="BG105" s="20">
        <f t="shared" si="61"/>
        <v>636.53796577494199</v>
      </c>
      <c r="BH105" s="59">
        <f t="shared" si="62"/>
        <v>914.48990184992499</v>
      </c>
      <c r="BI105" s="59">
        <f ca="1">AVERAGE(OFFSET($BH$3,0,0,'Données projet'!$E$11+1,1))-AVERAGE(OFFSET($H$3,0,0,'Données projet'!$E$11+1,1))</f>
        <v>462.74754756814662</v>
      </c>
      <c r="BJ105" s="59">
        <f t="shared" si="92"/>
        <v>327.65191293226667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51.89879926288944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51.89879926288944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259.99999999999983</v>
      </c>
      <c r="BZ105" s="13">
        <f>BY105*VLOOKUP('Données projet'!$B$12,Paramètres!$A$1:$I$89,3,0)*VLOOKUP('Données projet'!$B$12,Paramètres!$A$1:$I$89,5,0)</f>
        <v>227.13599999999985</v>
      </c>
      <c r="CA105" s="13">
        <f t="shared" si="93"/>
        <v>55.662966886685133</v>
      </c>
      <c r="CB105" s="20">
        <f t="shared" si="64"/>
        <v>492.5415339943097</v>
      </c>
      <c r="CC105" s="59">
        <f t="shared" si="65"/>
        <v>770.4934700692927</v>
      </c>
      <c r="CD105" s="59">
        <f ca="1">AVERAGE(OFFSET($CC$3,0,0,'Données projet'!$E$12+1,1))-AVERAGE(OFFSET($H$3,0,0,'Données projet'!$E$12+1,1))</f>
        <v>411.67183422518411</v>
      </c>
      <c r="CE105" s="59">
        <f t="shared" si="94"/>
        <v>379.16642539721556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36.294662936101311</v>
      </c>
      <c r="CL105" s="21">
        <f>EXP(-LN(2)/25)*CL104+(1-EXP(-LN(2)/25))/(LN(2)/25)*Calculateur!CG105*Calculateur!CI105*VLOOKUP('Données projet'!$B$12,Paramètres!$A$1:$I$89,3,0)*0.475*44/12</f>
        <v>12.716008421952825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49.01067135805414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298.20512820512863</v>
      </c>
      <c r="O106" s="13">
        <f>N106*VLOOKUP('Données projet'!$B$9,Paramètres!$A$1:$I$89,3,0)*VLOOKUP('Données projet'!$B$9,Paramètres!$A$1:$I$89,5,0)</f>
        <v>269.81600000000037</v>
      </c>
      <c r="P106" s="13">
        <f t="shared" si="87"/>
        <v>64.810218294809729</v>
      </c>
      <c r="Q106" s="20">
        <f t="shared" si="107"/>
        <v>582.80733019679417</v>
      </c>
      <c r="R106" s="59">
        <f t="shared" si="55"/>
        <v>861.0260991265568</v>
      </c>
      <c r="S106" s="59">
        <f ca="1">AVERAGE(OFFSET($R$3,0,0,'Données projet'!$E$9+1,1))-AVERAGE(OFFSET($H$3,0,0,'Données projet'!$E$9+1,1))</f>
        <v>421.33534980160005</v>
      </c>
      <c r="T106" s="59">
        <f t="shared" si="88"/>
        <v>299.0473530693472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-1.0197709343628959E-13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337.99164391755608</v>
      </c>
      <c r="AO106" s="59">
        <f t="shared" si="90"/>
        <v>421.45428231923393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64.201024258342315</v>
      </c>
      <c r="AV106" s="21">
        <f>EXP(-LN(2)/25)*AV105+(1-EXP(-LN(2)/25))/(LN(2)/25)*Calculateur!AQ106*Calculateur!AS106*VLOOKUP('Données projet'!$B$10,Paramètres!$A$1:$I$89,3,0)*0.475*44/12</f>
        <v>12.00857715355539</v>
      </c>
      <c r="AW106" s="21">
        <f>EXP(-LN(2)/2)*AW105+(1-EXP(-LN(2)/2))/(LN(2)/2)*AQ106*AT106*VLOOKUP('Données projet'!$B$10,Paramètres!$A$1:$I$89,3,0)*0.475*44/12</f>
        <v>3.4060023900031676E-6</v>
      </c>
      <c r="AX106" s="21">
        <f t="shared" si="60"/>
        <v>76.2096048179001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6.9935897435897401</v>
      </c>
      <c r="BD106" s="12">
        <f>IF('Données projet'!$A$88&gt;35,BD105+BC106-BL105,IF(A106&lt;'Données projet'!$A$88,$BA$205^A106,IF(A106='Données projet'!$A$88,'Données projet'!$B$88,BD105+BC106-BL105)))</f>
        <v>298.20512820512863</v>
      </c>
      <c r="BE106" s="13">
        <f>BD106*VLOOKUP('Données projet'!$B$11,Paramètres!$A$1:$I$89,3,0)*VLOOKUP('Données projet'!$B$11,Paramètres!$A$1:$I$89,5,0)</f>
        <v>302.38000000000045</v>
      </c>
      <c r="BF106" s="13">
        <f t="shared" si="91"/>
        <v>71.67517319946117</v>
      </c>
      <c r="BG106" s="20">
        <f t="shared" si="61"/>
        <v>651.47942665572896</v>
      </c>
      <c r="BH106" s="59">
        <f t="shared" si="62"/>
        <v>929.6981955854917</v>
      </c>
      <c r="BI106" s="59">
        <f ca="1">AVERAGE(OFFSET($BH$3,0,0,'Données projet'!$E$11+1,1))-AVERAGE(OFFSET($H$3,0,0,'Données projet'!$E$11+1,1))</f>
        <v>462.74754756814662</v>
      </c>
      <c r="BJ106" s="59">
        <f t="shared" si="92"/>
        <v>327.65191293226667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50.881095464486044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50.881095464486044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259.99999999999983</v>
      </c>
      <c r="BZ106" s="13">
        <f>BY106*VLOOKUP('Données projet'!$B$12,Paramètres!$A$1:$I$89,3,0)*VLOOKUP('Données projet'!$B$12,Paramètres!$A$1:$I$89,5,0)</f>
        <v>227.13599999999985</v>
      </c>
      <c r="CA106" s="13">
        <f t="shared" si="93"/>
        <v>55.662966886685133</v>
      </c>
      <c r="CB106" s="20">
        <f t="shared" si="64"/>
        <v>492.5415339943097</v>
      </c>
      <c r="CC106" s="59">
        <f t="shared" si="65"/>
        <v>770.76030292407245</v>
      </c>
      <c r="CD106" s="59">
        <f ca="1">AVERAGE(OFFSET($CC$3,0,0,'Données projet'!$E$12+1,1))-AVERAGE(OFFSET($H$3,0,0,'Données projet'!$E$12+1,1))</f>
        <v>411.67183422518411</v>
      </c>
      <c r="CE106" s="59">
        <f t="shared" si="94"/>
        <v>379.16642539721556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35.582946733482856</v>
      </c>
      <c r="CL106" s="21">
        <f>EXP(-LN(2)/25)*CL105+(1-EXP(-LN(2)/25))/(LN(2)/25)*Calculateur!CG106*Calculateur!CI106*VLOOKUP('Données projet'!$B$12,Paramètres!$A$1:$I$89,3,0)*0.475*44/12</f>
        <v>12.368288502948705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47.951235236431557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305.19871794871835</v>
      </c>
      <c r="O107" s="13">
        <f>N107*VLOOKUP('Données projet'!$B$9,Paramètres!$A$1:$I$89,3,0)*VLOOKUP('Données projet'!$B$9,Paramètres!$A$1:$I$89,5,0)</f>
        <v>276.14380000000034</v>
      </c>
      <c r="P107" s="13">
        <f t="shared" si="87"/>
        <v>66.151426401533939</v>
      </c>
      <c r="Q107" s="20">
        <f t="shared" si="107"/>
        <v>596.16418598267205</v>
      </c>
      <c r="R107" s="59">
        <f t="shared" si="55"/>
        <v>874.64515881373291</v>
      </c>
      <c r="S107" s="59">
        <f ca="1">AVERAGE(OFFSET($R$3,0,0,'Données projet'!$E$9+1,1))-AVERAGE(OFFSET($H$3,0,0,'Données projet'!$E$9+1,1))</f>
        <v>421.33534980160005</v>
      </c>
      <c r="T107" s="59">
        <f t="shared" si="88"/>
        <v>299.0473530693472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-1.0197709343628959E-13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337.99164391755608</v>
      </c>
      <c r="AO107" s="59">
        <f t="shared" si="90"/>
        <v>421.45428231923393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62.942081331394412</v>
      </c>
      <c r="AV107" s="21">
        <f>EXP(-LN(2)/25)*AV106+(1-EXP(-LN(2)/25))/(LN(2)/25)*Calculateur!AQ107*Calculateur!AS107*VLOOKUP('Données projet'!$B$10,Paramètres!$A$1:$I$89,3,0)*0.475*44/12</f>
        <v>11.680201979787791</v>
      </c>
      <c r="AW107" s="21">
        <f>EXP(-LN(2)/2)*AW106+(1-EXP(-LN(2)/2))/(LN(2)/2)*AQ107*AT107*VLOOKUP('Données projet'!$B$10,Paramètres!$A$1:$I$89,3,0)*0.475*44/12</f>
        <v>2.4084073867088277E-6</v>
      </c>
      <c r="AX107" s="21">
        <f t="shared" si="60"/>
        <v>74.622285719589584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6.9935897435897401</v>
      </c>
      <c r="BD107" s="12">
        <f>IF('Données projet'!$A$88&gt;35,BD106+BC107-BL106,IF(A107&lt;'Données projet'!$A$88,$BA$205^A107,IF(A107='Données projet'!$A$88,'Données projet'!$B$88,BD106+BC107-BL106)))</f>
        <v>305.19871794871835</v>
      </c>
      <c r="BE107" s="13">
        <f>BD107*VLOOKUP('Données projet'!$B$11,Paramètres!$A$1:$I$89,3,0)*VLOOKUP('Données projet'!$B$11,Paramètres!$A$1:$I$89,5,0)</f>
        <v>309.47150000000045</v>
      </c>
      <c r="BF107" s="13">
        <f t="shared" si="91"/>
        <v>73.15844737867603</v>
      </c>
      <c r="BG107" s="20">
        <f t="shared" si="61"/>
        <v>666.41382501786154</v>
      </c>
      <c r="BH107" s="59">
        <f t="shared" si="62"/>
        <v>944.89479784892251</v>
      </c>
      <c r="BI107" s="59">
        <f ca="1">AVERAGE(OFFSET($BH$3,0,0,'Données projet'!$E$11+1,1))-AVERAGE(OFFSET($H$3,0,0,'Données projet'!$E$11+1,1))</f>
        <v>462.74754756814662</v>
      </c>
      <c r="BJ107" s="59">
        <f t="shared" si="92"/>
        <v>327.65191293226667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49.883348216831315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49.883348216831315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259.99999999999983</v>
      </c>
      <c r="BZ107" s="13">
        <f>BY107*VLOOKUP('Données projet'!$B$12,Paramètres!$A$1:$I$89,3,0)*VLOOKUP('Données projet'!$B$12,Paramètres!$A$1:$I$89,5,0)</f>
        <v>227.13599999999985</v>
      </c>
      <c r="CA107" s="13">
        <f t="shared" si="93"/>
        <v>55.662966886685133</v>
      </c>
      <c r="CB107" s="20">
        <f t="shared" si="64"/>
        <v>492.5415339943097</v>
      </c>
      <c r="CC107" s="59">
        <f t="shared" si="65"/>
        <v>771.02250682537056</v>
      </c>
      <c r="CD107" s="59">
        <f ca="1">AVERAGE(OFFSET($CC$3,0,0,'Données projet'!$E$12+1,1))-AVERAGE(OFFSET($H$3,0,0,'Données projet'!$E$12+1,1))</f>
        <v>411.67183422518411</v>
      </c>
      <c r="CE107" s="59">
        <f t="shared" si="94"/>
        <v>379.16642539721556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34.885186851493728</v>
      </c>
      <c r="CL107" s="21">
        <f>EXP(-LN(2)/25)*CL106+(1-EXP(-LN(2)/25))/(LN(2)/25)*Calculateur!CG107*Calculateur!CI107*VLOOKUP('Données projet'!$B$12,Paramètres!$A$1:$I$89,3,0)*0.475*44/12</f>
        <v>12.030077003415547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46.915263854909277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312.19230769230808</v>
      </c>
      <c r="O108" s="13">
        <f>N108*VLOOKUP('Données projet'!$B$9,Paramètres!$A$1:$I$89,3,0)*VLOOKUP('Données projet'!$B$9,Paramètres!$A$1:$I$89,5,0)</f>
        <v>282.47160000000031</v>
      </c>
      <c r="P108" s="13">
        <f t="shared" si="87"/>
        <v>67.489061551962138</v>
      </c>
      <c r="Q108" s="20">
        <f t="shared" si="107"/>
        <v>609.51481886966792</v>
      </c>
      <c r="R108" s="59">
        <f t="shared" si="55"/>
        <v>888.25344695053968</v>
      </c>
      <c r="S108" s="59">
        <f ca="1">AVERAGE(OFFSET($R$3,0,0,'Données projet'!$E$9+1,1))-AVERAGE(OFFSET($H$3,0,0,'Données projet'!$E$9+1,1))</f>
        <v>421.33534980160005</v>
      </c>
      <c r="T108" s="59">
        <f t="shared" si="88"/>
        <v>299.0473530693472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-1.0197709343628959E-13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337.99164391755608</v>
      </c>
      <c r="AO108" s="59">
        <f t="shared" si="90"/>
        <v>421.45428231923393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61.707825507364596</v>
      </c>
      <c r="AV108" s="21">
        <f>EXP(-LN(2)/25)*AV107+(1-EXP(-LN(2)/25))/(LN(2)/25)*Calculateur!AQ108*Calculateur!AS108*VLOOKUP('Données projet'!$B$10,Paramètres!$A$1:$I$89,3,0)*0.475*44/12</f>
        <v>11.360806242415366</v>
      </c>
      <c r="AW108" s="21">
        <f>EXP(-LN(2)/2)*AW107+(1-EXP(-LN(2)/2))/(LN(2)/2)*AQ108*AT108*VLOOKUP('Données projet'!$B$10,Paramètres!$A$1:$I$89,3,0)*0.475*44/12</f>
        <v>1.7030011950015838E-6</v>
      </c>
      <c r="AX108" s="21">
        <f t="shared" si="60"/>
        <v>73.068633452781157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6.9935897435897401</v>
      </c>
      <c r="BD108" s="12">
        <f>IF('Données projet'!$A$88&gt;35,BD107+BC108-BL107,IF(A108&lt;'Données projet'!$A$88,$BA$205^A108,IF(A108='Données projet'!$A$88,'Données projet'!$B$88,BD107+BC108-BL107)))</f>
        <v>312.19230769230808</v>
      </c>
      <c r="BE108" s="13">
        <f>BD108*VLOOKUP('Données projet'!$B$11,Paramètres!$A$1:$I$89,3,0)*VLOOKUP('Données projet'!$B$11,Paramètres!$A$1:$I$89,5,0)</f>
        <v>316.56300000000044</v>
      </c>
      <c r="BF108" s="13">
        <f t="shared" si="91"/>
        <v>74.637770139918928</v>
      </c>
      <c r="BG108" s="20">
        <f t="shared" si="61"/>
        <v>681.34134132702627</v>
      </c>
      <c r="BH108" s="59">
        <f t="shared" si="62"/>
        <v>960.07996940789803</v>
      </c>
      <c r="BI108" s="59">
        <f ca="1">AVERAGE(OFFSET($BH$3,0,0,'Données projet'!$E$11+1,1))-AVERAGE(OFFSET($H$3,0,0,'Données projet'!$E$11+1,1))</f>
        <v>462.74754756814662</v>
      </c>
      <c r="BJ108" s="59">
        <f t="shared" si="92"/>
        <v>327.65191293226667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48.905166184137364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48.905166184137364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259.99999999999983</v>
      </c>
      <c r="BZ108" s="13">
        <f>BY108*VLOOKUP('Données projet'!$B$12,Paramètres!$A$1:$I$89,3,0)*VLOOKUP('Données projet'!$B$12,Paramètres!$A$1:$I$89,5,0)</f>
        <v>227.13599999999985</v>
      </c>
      <c r="CA108" s="13">
        <f t="shared" si="93"/>
        <v>55.662966886685133</v>
      </c>
      <c r="CB108" s="20">
        <f t="shared" si="64"/>
        <v>492.5415339943097</v>
      </c>
      <c r="CC108" s="59">
        <f t="shared" si="65"/>
        <v>771.28016207518147</v>
      </c>
      <c r="CD108" s="59">
        <f ca="1">AVERAGE(OFFSET($CC$3,0,0,'Données projet'!$E$12+1,1))-AVERAGE(OFFSET($H$3,0,0,'Données projet'!$E$12+1,1))</f>
        <v>411.67183422518411</v>
      </c>
      <c r="CE108" s="59">
        <f t="shared" si="94"/>
        <v>379.16642539721556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34.201109615198902</v>
      </c>
      <c r="CL108" s="21">
        <f>EXP(-LN(2)/25)*CL107+(1-EXP(-LN(2)/25))/(LN(2)/25)*Calculateur!CG108*Calculateur!CI108*VLOOKUP('Données projet'!$B$12,Paramètres!$A$1:$I$89,3,0)*0.475*44/12</f>
        <v>11.701113915122894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45.902223530321798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319.1858974358978</v>
      </c>
      <c r="O109" s="13">
        <f>N109*VLOOKUP('Données projet'!$B$9,Paramètres!$A$1:$I$89,3,0)*VLOOKUP('Données projet'!$B$9,Paramètres!$A$1:$I$89,5,0)</f>
        <v>288.79940000000033</v>
      </c>
      <c r="P109" s="13">
        <f t="shared" si="87"/>
        <v>68.82321300114252</v>
      </c>
      <c r="Q109" s="20">
        <f t="shared" si="107"/>
        <v>622.85938431032366</v>
      </c>
      <c r="R109" s="59">
        <f t="shared" si="55"/>
        <v>901.85119789845271</v>
      </c>
      <c r="S109" s="59">
        <f ca="1">AVERAGE(OFFSET($R$3,0,0,'Données projet'!$E$9+1,1))-AVERAGE(OFFSET($H$3,0,0,'Données projet'!$E$9+1,1))</f>
        <v>421.33534980160005</v>
      </c>
      <c r="T109" s="59">
        <f t="shared" si="88"/>
        <v>299.0473530693472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-1.0197709343628959E-13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337.99164391755608</v>
      </c>
      <c r="AO109" s="59">
        <f t="shared" si="90"/>
        <v>421.45428231923393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60.497772687222287</v>
      </c>
      <c r="AV109" s="21">
        <f>EXP(-LN(2)/25)*AV108+(1-EXP(-LN(2)/25))/(LN(2)/25)*Calculateur!AQ109*Calculateur!AS109*VLOOKUP('Données projet'!$B$10,Paramètres!$A$1:$I$89,3,0)*0.475*44/12</f>
        <v>11.050144398277682</v>
      </c>
      <c r="AW109" s="21">
        <f>EXP(-LN(2)/2)*AW108+(1-EXP(-LN(2)/2))/(LN(2)/2)*AQ109*AT109*VLOOKUP('Données projet'!$B$10,Paramètres!$A$1:$I$89,3,0)*0.475*44/12</f>
        <v>1.2042036933544138E-6</v>
      </c>
      <c r="AX109" s="21">
        <f t="shared" si="60"/>
        <v>71.547918289703674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6.9935897435897401</v>
      </c>
      <c r="BD109" s="12">
        <f>IF('Données projet'!$A$88&gt;35,BD108+BC109-BL108,IF(A109&lt;'Données projet'!$A$88,$BA$205^A109,IF(A109='Données projet'!$A$88,'Données projet'!$B$88,BD108+BC109-BL108)))</f>
        <v>319.1858974358978</v>
      </c>
      <c r="BE109" s="13">
        <f>BD109*VLOOKUP('Données projet'!$B$11,Paramètres!$A$1:$I$89,3,0)*VLOOKUP('Données projet'!$B$11,Paramètres!$A$1:$I$89,5,0)</f>
        <v>323.65450000000038</v>
      </c>
      <c r="BF109" s="13">
        <f t="shared" si="91"/>
        <v>76.113240192485776</v>
      </c>
      <c r="BG109" s="20">
        <f t="shared" si="61"/>
        <v>696.26214750191332</v>
      </c>
      <c r="BH109" s="59">
        <f t="shared" si="62"/>
        <v>975.25396109004237</v>
      </c>
      <c r="BI109" s="59">
        <f ca="1">AVERAGE(OFFSET($BH$3,0,0,'Données projet'!$E$11+1,1))-AVERAGE(OFFSET($H$3,0,0,'Données projet'!$E$11+1,1))</f>
        <v>462.74754756814662</v>
      </c>
      <c r="BJ109" s="59">
        <f t="shared" si="92"/>
        <v>327.65191293226667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47.946165704472413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47.946165704472413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259.99999999999983</v>
      </c>
      <c r="BZ109" s="13">
        <f>BY109*VLOOKUP('Données projet'!$B$12,Paramètres!$A$1:$I$89,3,0)*VLOOKUP('Données projet'!$B$12,Paramètres!$A$1:$I$89,5,0)</f>
        <v>227.13599999999985</v>
      </c>
      <c r="CA109" s="13">
        <f t="shared" si="93"/>
        <v>55.662966886685133</v>
      </c>
      <c r="CB109" s="20">
        <f t="shared" si="64"/>
        <v>492.5415339943097</v>
      </c>
      <c r="CC109" s="59">
        <f t="shared" si="65"/>
        <v>771.53334758243886</v>
      </c>
      <c r="CD109" s="59">
        <f ca="1">AVERAGE(OFFSET($CC$3,0,0,'Données projet'!$E$12+1,1))-AVERAGE(OFFSET($H$3,0,0,'Données projet'!$E$12+1,1))</f>
        <v>411.67183422518411</v>
      </c>
      <c r="CE109" s="59">
        <f t="shared" si="94"/>
        <v>379.16642539721556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33.530446716261899</v>
      </c>
      <c r="CL109" s="21">
        <f>EXP(-LN(2)/25)*CL108+(1-EXP(-LN(2)/25))/(LN(2)/25)*Calculateur!CG109*Calculateur!CI109*VLOOKUP('Données projet'!$B$12,Paramètres!$A$1:$I$89,3,0)*0.475*44/12</f>
        <v>11.381146339779022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44.911593056040921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326.17948717948752</v>
      </c>
      <c r="O110" s="13">
        <f>N110*VLOOKUP('Données projet'!$B$9,Paramètres!$A$1:$I$89,3,0)*VLOOKUP('Données projet'!$B$9,Paramètres!$A$1:$I$89,5,0)</f>
        <v>295.1272000000003</v>
      </c>
      <c r="P110" s="13">
        <f t="shared" si="87"/>
        <v>70.153965869482519</v>
      </c>
      <c r="Q110" s="20">
        <f t="shared" si="107"/>
        <v>636.19803055601596</v>
      </c>
      <c r="R110" s="59">
        <f t="shared" si="55"/>
        <v>915.43863744888961</v>
      </c>
      <c r="S110" s="59">
        <f ca="1">AVERAGE(OFFSET($R$3,0,0,'Données projet'!$E$9+1,1))-AVERAGE(OFFSET($H$3,0,0,'Données projet'!$E$9+1,1))</f>
        <v>421.33534980160005</v>
      </c>
      <c r="T110" s="59">
        <f t="shared" si="88"/>
        <v>299.0473530693472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-1.0197709343628959E-13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337.99164391755608</v>
      </c>
      <c r="AO110" s="59">
        <f t="shared" si="90"/>
        <v>421.45428231923393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59.311448264823625</v>
      </c>
      <c r="AV110" s="21">
        <f>EXP(-LN(2)/25)*AV109+(1-EXP(-LN(2)/25))/(LN(2)/25)*Calculateur!AQ110*Calculateur!AS110*VLOOKUP('Données projet'!$B$10,Paramètres!$A$1:$I$89,3,0)*0.475*44/12</f>
        <v>10.74797761860494</v>
      </c>
      <c r="AW110" s="21">
        <f>EXP(-LN(2)/2)*AW109+(1-EXP(-LN(2)/2))/(LN(2)/2)*AQ110*AT110*VLOOKUP('Données projet'!$B$10,Paramètres!$A$1:$I$89,3,0)*0.475*44/12</f>
        <v>8.5150059750079189E-7</v>
      </c>
      <c r="AX110" s="21">
        <f t="shared" si="60"/>
        <v>70.059426734929161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6.9935897435897401</v>
      </c>
      <c r="BD110" s="12">
        <f>IF('Données projet'!$A$88&gt;35,BD109+BC110-BL109,IF(A110&lt;'Données projet'!$A$88,$BA$205^A110,IF(A110='Données projet'!$A$88,'Données projet'!$B$88,BD109+BC110-BL109)))</f>
        <v>326.17948717948752</v>
      </c>
      <c r="BE110" s="13">
        <f>BD110*VLOOKUP('Données projet'!$B$11,Paramètres!$A$1:$I$89,3,0)*VLOOKUP('Données projet'!$B$11,Paramètres!$A$1:$I$89,5,0)</f>
        <v>330.74600000000038</v>
      </c>
      <c r="BF110" s="13">
        <f t="shared" si="91"/>
        <v>77.584951673074755</v>
      </c>
      <c r="BG110" s="20">
        <f t="shared" si="61"/>
        <v>711.17640749727252</v>
      </c>
      <c r="BH110" s="59">
        <f t="shared" si="62"/>
        <v>990.41701439014616</v>
      </c>
      <c r="BI110" s="59">
        <f ca="1">AVERAGE(OFFSET($BH$3,0,0,'Données projet'!$E$11+1,1))-AVERAGE(OFFSET($H$3,0,0,'Données projet'!$E$11+1,1))</f>
        <v>462.74754756814662</v>
      </c>
      <c r="BJ110" s="59">
        <f t="shared" si="92"/>
        <v>327.65191293226667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47.005970639281159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47.005970639281159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259.99999999999983</v>
      </c>
      <c r="BZ110" s="13">
        <f>BY110*VLOOKUP('Données projet'!$B$12,Paramètres!$A$1:$I$89,3,0)*VLOOKUP('Données projet'!$B$12,Paramètres!$A$1:$I$89,5,0)</f>
        <v>227.13599999999985</v>
      </c>
      <c r="CA110" s="13">
        <f t="shared" si="93"/>
        <v>55.662966886685133</v>
      </c>
      <c r="CB110" s="20">
        <f t="shared" si="64"/>
        <v>492.5415339943097</v>
      </c>
      <c r="CC110" s="59">
        <f t="shared" si="65"/>
        <v>771.78214088718335</v>
      </c>
      <c r="CD110" s="59">
        <f ca="1">AVERAGE(OFFSET($CC$3,0,0,'Données projet'!$E$12+1,1))-AVERAGE(OFFSET($H$3,0,0,'Données projet'!$E$12+1,1))</f>
        <v>411.67183422518411</v>
      </c>
      <c r="CE110" s="59">
        <f t="shared" si="94"/>
        <v>379.16642539721556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32.872935107709075</v>
      </c>
      <c r="CL110" s="21">
        <f>EXP(-LN(2)/25)*CL109+(1-EXP(-LN(2)/25))/(LN(2)/25)*Calculateur!CG110*Calculateur!CI110*VLOOKUP('Données projet'!$B$12,Paramètres!$A$1:$I$89,3,0)*0.475*44/12</f>
        <v>11.069928294609291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43.942863402318366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333.17307692307725</v>
      </c>
      <c r="O111" s="13">
        <f>N111*VLOOKUP('Données projet'!$B$9,Paramètres!$A$1:$I$89,3,0)*VLOOKUP('Données projet'!$B$9,Paramètres!$A$1:$I$89,5,0)</f>
        <v>301.45500000000027</v>
      </c>
      <c r="P111" s="13">
        <f t="shared" si="87"/>
        <v>71.481401418760342</v>
      </c>
      <c r="Q111" s="20">
        <f t="shared" si="107"/>
        <v>649.53089913767474</v>
      </c>
      <c r="R111" s="59">
        <f t="shared" si="55"/>
        <v>929.01598332767412</v>
      </c>
      <c r="S111" s="59">
        <f ca="1">AVERAGE(OFFSET($R$3,0,0,'Données projet'!$E$9+1,1))-AVERAGE(OFFSET($H$3,0,0,'Données projet'!$E$9+1,1))</f>
        <v>421.33534980160005</v>
      </c>
      <c r="T111" s="59">
        <f t="shared" si="88"/>
        <v>299.0473530693472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-1.0197709343628959E-13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337.99164391755608</v>
      </c>
      <c r="AO111" s="59">
        <f t="shared" si="90"/>
        <v>421.45428231923393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58.148386940761753</v>
      </c>
      <c r="AV111" s="21">
        <f>EXP(-LN(2)/25)*AV110+(1-EXP(-LN(2)/25))/(LN(2)/25)*Calculateur!AQ111*Calculateur!AS111*VLOOKUP('Données projet'!$B$10,Paramètres!$A$1:$I$89,3,0)*0.475*44/12</f>
        <v>10.45407360541261</v>
      </c>
      <c r="AW111" s="21">
        <f>EXP(-LN(2)/2)*AW110+(1-EXP(-LN(2)/2))/(LN(2)/2)*AQ111*AT111*VLOOKUP('Données projet'!$B$10,Paramètres!$A$1:$I$89,3,0)*0.475*44/12</f>
        <v>6.0210184667720692E-7</v>
      </c>
      <c r="AX111" s="21">
        <f t="shared" si="60"/>
        <v>68.60246114827622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6.9935897435897401</v>
      </c>
      <c r="BD111" s="12">
        <f>IF('Données projet'!$A$88&gt;35,BD110+BC111-BL110,IF(A111&lt;'Données projet'!$A$88,$BA$205^A111,IF(A111='Données projet'!$A$88,'Données projet'!$B$88,BD110+BC111-BL110)))</f>
        <v>333.17307692307725</v>
      </c>
      <c r="BE111" s="13">
        <f>BD111*VLOOKUP('Données projet'!$B$11,Paramètres!$A$1:$I$89,3,0)*VLOOKUP('Données projet'!$B$11,Paramètres!$A$1:$I$89,5,0)</f>
        <v>337.83750000000038</v>
      </c>
      <c r="BF111" s="13">
        <f t="shared" si="91"/>
        <v>79.052994451033314</v>
      </c>
      <c r="BG111" s="20">
        <f t="shared" si="61"/>
        <v>726.08427783555044</v>
      </c>
      <c r="BH111" s="59">
        <f t="shared" si="62"/>
        <v>1005.5693620255497</v>
      </c>
      <c r="BI111" s="59">
        <f ca="1">AVERAGE(OFFSET($BH$3,0,0,'Données projet'!$E$11+1,1))-AVERAGE(OFFSET($H$3,0,0,'Données projet'!$E$11+1,1))</f>
        <v>462.74754756814662</v>
      </c>
      <c r="BJ111" s="59">
        <f t="shared" si="92"/>
        <v>327.65191293226667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46.084212225855936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46.084212225855936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259.99999999999983</v>
      </c>
      <c r="BZ111" s="13">
        <f>BY111*VLOOKUP('Données projet'!$B$12,Paramètres!$A$1:$I$89,3,0)*VLOOKUP('Données projet'!$B$12,Paramètres!$A$1:$I$89,5,0)</f>
        <v>227.13599999999985</v>
      </c>
      <c r="CA111" s="13">
        <f t="shared" si="93"/>
        <v>55.662966886685133</v>
      </c>
      <c r="CB111" s="20">
        <f t="shared" si="64"/>
        <v>492.5415339943097</v>
      </c>
      <c r="CC111" s="59">
        <f t="shared" si="65"/>
        <v>772.02661818430897</v>
      </c>
      <c r="CD111" s="59">
        <f ca="1">AVERAGE(OFFSET($CC$3,0,0,'Données projet'!$E$12+1,1))-AVERAGE(OFFSET($H$3,0,0,'Données projet'!$E$12+1,1))</f>
        <v>411.67183422518411</v>
      </c>
      <c r="CE111" s="59">
        <f t="shared" si="94"/>
        <v>379.16642539721556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32.228316900757491</v>
      </c>
      <c r="CL111" s="21">
        <f>EXP(-LN(2)/25)*CL110+(1-EXP(-LN(2)/25))/(LN(2)/25)*Calculateur!CG111*Calculateur!CI111*VLOOKUP('Données projet'!$B$12,Paramètres!$A$1:$I$89,3,0)*0.475*44/12</f>
        <v>10.767220523250971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42.995537424008461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340.16666666666697</v>
      </c>
      <c r="O112" s="13">
        <f>N112*VLOOKUP('Données projet'!$B$9,Paramètres!$A$1:$I$89,3,0)*VLOOKUP('Données projet'!$B$9,Paramètres!$A$1:$I$89,5,0)</f>
        <v>307.78280000000024</v>
      </c>
      <c r="P112" s="13">
        <f t="shared" si="87"/>
        <v>72.805597304306232</v>
      </c>
      <c r="Q112" s="20">
        <f t="shared" si="107"/>
        <v>662.85812530500039</v>
      </c>
      <c r="R112" s="59">
        <f t="shared" si="55"/>
        <v>942.58344565758966</v>
      </c>
      <c r="S112" s="59">
        <f ca="1">AVERAGE(OFFSET($R$3,0,0,'Données projet'!$E$9+1,1))-AVERAGE(OFFSET($H$3,0,0,'Données projet'!$E$9+1,1))</f>
        <v>421.33534980160005</v>
      </c>
      <c r="T112" s="59">
        <f t="shared" si="88"/>
        <v>299.0473530693472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-1.0197709343628959E-13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337.99164391755608</v>
      </c>
      <c r="AO112" s="59">
        <f t="shared" si="90"/>
        <v>421.45428231923393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57.008132539867375</v>
      </c>
      <c r="AV112" s="21">
        <f>EXP(-LN(2)/25)*AV111+(1-EXP(-LN(2)/25))/(LN(2)/25)*Calculateur!AQ112*Calculateur!AS112*VLOOKUP('Données projet'!$B$10,Paramètres!$A$1:$I$89,3,0)*0.475*44/12</f>
        <v>10.168206412916764</v>
      </c>
      <c r="AW112" s="21">
        <f>EXP(-LN(2)/2)*AW111+(1-EXP(-LN(2)/2))/(LN(2)/2)*AQ112*AT112*VLOOKUP('Données projet'!$B$10,Paramètres!$A$1:$I$89,3,0)*0.475*44/12</f>
        <v>4.2575029875039594E-7</v>
      </c>
      <c r="AX112" s="21">
        <f t="shared" si="60"/>
        <v>67.176339378534436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340.16666666666663</v>
      </c>
      <c r="BB112" s="12">
        <f>VLOOKUP(A112,'Données projet'!$A$87:$I$107,9,0)</f>
        <v>6.9935897435897401</v>
      </c>
      <c r="BC112" s="12">
        <f t="array" ref="BC112">INDEX(BB:BB,MIN(IF(ISNUMBER(BB112:BB308),ROW(BB112:BB308),"")))</f>
        <v>6.9935897435897401</v>
      </c>
      <c r="BD112" s="12">
        <f>IF('Données projet'!$A$88&gt;35,BD111+BC112-BL111,IF(A112&lt;'Données projet'!$A$88,$BA$205^A112,IF(A112='Données projet'!$A$88,'Données projet'!$B$88,BD111+BC112-BL111)))</f>
        <v>340.16666666666697</v>
      </c>
      <c r="BE112" s="13">
        <f>BD112*VLOOKUP('Données projet'!$B$11,Paramètres!$A$1:$I$89,3,0)*VLOOKUP('Données projet'!$B$11,Paramètres!$A$1:$I$89,5,0)</f>
        <v>344.92900000000037</v>
      </c>
      <c r="BF112" s="13">
        <f t="shared" si="91"/>
        <v>80.51745440725162</v>
      </c>
      <c r="BG112" s="20">
        <f t="shared" si="61"/>
        <v>740.98590809263044</v>
      </c>
      <c r="BH112" s="59">
        <f t="shared" si="62"/>
        <v>1020.7112284452197</v>
      </c>
      <c r="BI112" s="59">
        <f ca="1">AVERAGE(OFFSET($BH$3,0,0,'Données projet'!$E$11+1,1))-AVERAGE(OFFSET($H$3,0,0,'Données projet'!$E$11+1,1))</f>
        <v>462.74754756814662</v>
      </c>
      <c r="BJ112" s="59">
        <f t="shared" si="92"/>
        <v>327.65191293226667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51.28846153846154</v>
      </c>
      <c r="BM112" s="16">
        <f>IF(ISNA(VLOOKUP(A112,'Données projet'!$A$87:$I$107,5,0)),0%,VLOOKUP(A112,'Données projet'!$A$87:$I$107,5,0)*VLOOKUP('Données projet'!$B$11,Paramètres!$A$1:$I$89,7,0))</f>
        <v>0.38700000000000001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67.429795661161677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67.429795661161677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259.99999999999983</v>
      </c>
      <c r="BZ112" s="13">
        <f>BY112*VLOOKUP('Données projet'!$B$12,Paramètres!$A$1:$I$89,3,0)*VLOOKUP('Données projet'!$B$12,Paramètres!$A$1:$I$89,5,0)</f>
        <v>227.13599999999985</v>
      </c>
      <c r="CA112" s="13">
        <f t="shared" si="93"/>
        <v>55.662966886685133</v>
      </c>
      <c r="CB112" s="20">
        <f t="shared" si="64"/>
        <v>492.5415339943097</v>
      </c>
      <c r="CC112" s="59">
        <f t="shared" si="65"/>
        <v>772.26685434689898</v>
      </c>
      <c r="CD112" s="59">
        <f ca="1">AVERAGE(OFFSET($CC$3,0,0,'Données projet'!$E$12+1,1))-AVERAGE(OFFSET($H$3,0,0,'Données projet'!$E$12+1,1))</f>
        <v>411.67183422518411</v>
      </c>
      <c r="CE112" s="59">
        <f t="shared" si="94"/>
        <v>379.16642539721556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31.596339263665946</v>
      </c>
      <c r="CL112" s="21">
        <f>EXP(-LN(2)/25)*CL111+(1-EXP(-LN(2)/25))/(LN(2)/25)*Calculateur!CG112*Calculateur!CI112*VLOOKUP('Données projet'!$B$12,Paramètres!$A$1:$I$89,3,0)*0.475*44/12</f>
        <v>10.472790311819155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42.0691295754851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295.72435897435929</v>
      </c>
      <c r="O113" s="13">
        <f>N113*VLOOKUP('Données projet'!$B$9,Paramètres!$A$1:$I$89,3,0)*VLOOKUP('Données projet'!$B$9,Paramètres!$A$1:$I$89,5,0)</f>
        <v>267.57140000000027</v>
      </c>
      <c r="P113" s="13">
        <f t="shared" si="87"/>
        <v>64.333588350286504</v>
      </c>
      <c r="Q113" s="20">
        <f t="shared" si="107"/>
        <v>578.06785471008277</v>
      </c>
      <c r="R113" s="59">
        <f t="shared" si="55"/>
        <v>858.02924366492857</v>
      </c>
      <c r="S113" s="59">
        <f ca="1">AVERAGE(OFFSET($R$3,0,0,'Données projet'!$E$9+1,1))-AVERAGE(OFFSET($H$3,0,0,'Données projet'!$E$9+1,1))</f>
        <v>421.33534980160005</v>
      </c>
      <c r="T113" s="59">
        <f t="shared" si="88"/>
        <v>299.0473530693472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-1.0197709343628959E-13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337.99164391755608</v>
      </c>
      <c r="AO113" s="59">
        <f t="shared" si="90"/>
        <v>421.45428231923393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55.890237832288022</v>
      </c>
      <c r="AV113" s="21">
        <f>EXP(-LN(2)/25)*AV112+(1-EXP(-LN(2)/25))/(LN(2)/25)*Calculateur!AQ113*Calculateur!AS113*VLOOKUP('Données projet'!$B$10,Paramètres!$A$1:$I$89,3,0)*0.475*44/12</f>
        <v>9.8901562738328188</v>
      </c>
      <c r="AW113" s="21">
        <f>EXP(-LN(2)/2)*AW112+(1-EXP(-LN(2)/2))/(LN(2)/2)*AQ113*AT113*VLOOKUP('Données projet'!$B$10,Paramètres!$A$1:$I$89,3,0)*0.475*44/12</f>
        <v>3.0105092333860346E-7</v>
      </c>
      <c r="AX113" s="21">
        <f t="shared" si="60"/>
        <v>65.780394407171755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6.8461538461538511</v>
      </c>
      <c r="BD113" s="12">
        <f>IF('Données projet'!$A$88&gt;35,BD112+BC113-BL112,IF(A113&lt;'Données projet'!$A$88,$BA$205^A113,IF(A113='Données projet'!$A$88,'Données projet'!$B$88,BD112+BC113-BL112)))</f>
        <v>295.72435897435929</v>
      </c>
      <c r="BE113" s="13">
        <f>BD113*VLOOKUP('Données projet'!$B$11,Paramètres!$A$1:$I$89,3,0)*VLOOKUP('Données projet'!$B$11,Paramètres!$A$1:$I$89,5,0)</f>
        <v>299.86450000000036</v>
      </c>
      <c r="BF113" s="13">
        <f t="shared" si="91"/>
        <v>71.148056724241755</v>
      </c>
      <c r="BG113" s="20">
        <f t="shared" si="61"/>
        <v>646.18020296138832</v>
      </c>
      <c r="BH113" s="59">
        <f t="shared" si="62"/>
        <v>926.14159191623412</v>
      </c>
      <c r="BI113" s="59">
        <f ca="1">AVERAGE(OFFSET($BH$3,0,0,'Données projet'!$E$11+1,1))-AVERAGE(OFFSET($H$3,0,0,'Données projet'!$E$11+1,1))</f>
        <v>462.74754756814662</v>
      </c>
      <c r="BJ113" s="59">
        <f t="shared" si="92"/>
        <v>327.65191293226667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66.10753849636059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66.10753849636059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259.99999999999983</v>
      </c>
      <c r="BZ113" s="13">
        <f>BY113*VLOOKUP('Données projet'!$B$12,Paramètres!$A$1:$I$89,3,0)*VLOOKUP('Données projet'!$B$12,Paramètres!$A$1:$I$89,5,0)</f>
        <v>227.13599999999985</v>
      </c>
      <c r="CA113" s="13">
        <f t="shared" si="93"/>
        <v>55.662966886685133</v>
      </c>
      <c r="CB113" s="20">
        <f t="shared" si="64"/>
        <v>492.5415339943097</v>
      </c>
      <c r="CC113" s="59">
        <f t="shared" si="65"/>
        <v>772.50292294915562</v>
      </c>
      <c r="CD113" s="59">
        <f ca="1">AVERAGE(OFFSET($CC$3,0,0,'Données projet'!$E$12+1,1))-AVERAGE(OFFSET($H$3,0,0,'Données projet'!$E$12+1,1))</f>
        <v>411.67183422518411</v>
      </c>
      <c r="CE113" s="59">
        <f t="shared" si="94"/>
        <v>379.16642539721556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30.976754322569469</v>
      </c>
      <c r="CL113" s="21">
        <f>EXP(-LN(2)/25)*CL112+(1-EXP(-LN(2)/25))/(LN(2)/25)*Calculateur!CG113*Calculateur!CI113*VLOOKUP('Données projet'!$B$12,Paramètres!$A$1:$I$89,3,0)*0.475*44/12</f>
        <v>10.186411310002354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41.163165632571825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302.57051282051316</v>
      </c>
      <c r="O114" s="13">
        <f>N114*VLOOKUP('Données projet'!$B$9,Paramètres!$A$1:$I$89,3,0)*VLOOKUP('Données projet'!$B$9,Paramètres!$A$1:$I$89,5,0)</f>
        <v>273.7658000000003</v>
      </c>
      <c r="P114" s="13">
        <f t="shared" si="87"/>
        <v>65.647821692657914</v>
      </c>
      <c r="Q114" s="20">
        <f t="shared" si="107"/>
        <v>591.14539111471311</v>
      </c>
      <c r="R114" s="59">
        <f t="shared" si="55"/>
        <v>871.33875340933673</v>
      </c>
      <c r="S114" s="59">
        <f ca="1">AVERAGE(OFFSET($R$3,0,0,'Données projet'!$E$9+1,1))-AVERAGE(OFFSET($H$3,0,0,'Données projet'!$E$9+1,1))</f>
        <v>421.33534980160005</v>
      </c>
      <c r="T114" s="59">
        <f t="shared" si="88"/>
        <v>299.0473530693472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-1.0197709343628959E-13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337.99164391755608</v>
      </c>
      <c r="AO114" s="59">
        <f t="shared" si="90"/>
        <v>421.45428231923393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54.794264358075857</v>
      </c>
      <c r="AV114" s="21">
        <f>EXP(-LN(2)/25)*AV113+(1-EXP(-LN(2)/25))/(LN(2)/25)*Calculateur!AQ114*Calculateur!AS114*VLOOKUP('Données projet'!$B$10,Paramètres!$A$1:$I$89,3,0)*0.475*44/12</f>
        <v>9.6197094304241464</v>
      </c>
      <c r="AW114" s="21">
        <f>EXP(-LN(2)/2)*AW113+(1-EXP(-LN(2)/2))/(LN(2)/2)*AQ114*AT114*VLOOKUP('Données projet'!$B$10,Paramètres!$A$1:$I$89,3,0)*0.475*44/12</f>
        <v>2.1287514937519797E-7</v>
      </c>
      <c r="AX114" s="21">
        <f t="shared" si="60"/>
        <v>64.413974001375152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6.8461538461538511</v>
      </c>
      <c r="BD114" s="12">
        <f>IF('Données projet'!$A$88&gt;35,BD113+BC114-BL113,IF(A114&lt;'Données projet'!$A$88,$BA$205^A114,IF(A114='Données projet'!$A$88,'Données projet'!$B$88,BD113+BC114-BL113)))</f>
        <v>302.57051282051316</v>
      </c>
      <c r="BE114" s="13">
        <f>BD114*VLOOKUP('Données projet'!$B$11,Paramètres!$A$1:$I$89,3,0)*VLOOKUP('Données projet'!$B$11,Paramètres!$A$1:$I$89,5,0)</f>
        <v>306.80650000000037</v>
      </c>
      <c r="BF114" s="13">
        <f t="shared" si="91"/>
        <v>72.601498865270955</v>
      </c>
      <c r="BG114" s="20">
        <f t="shared" si="61"/>
        <v>660.80226469034744</v>
      </c>
      <c r="BH114" s="59">
        <f t="shared" si="62"/>
        <v>940.99562698497107</v>
      </c>
      <c r="BI114" s="59">
        <f ca="1">AVERAGE(OFFSET($BH$3,0,0,'Données projet'!$E$11+1,1))-AVERAGE(OFFSET($H$3,0,0,'Données projet'!$E$11+1,1))</f>
        <v>462.74754756814662</v>
      </c>
      <c r="BJ114" s="59">
        <f t="shared" si="92"/>
        <v>327.65191293226667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64.811209988064007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64.811209988064007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259.99999999999983</v>
      </c>
      <c r="BZ114" s="13">
        <f>BY114*VLOOKUP('Données projet'!$B$12,Paramètres!$A$1:$I$89,3,0)*VLOOKUP('Données projet'!$B$12,Paramètres!$A$1:$I$89,5,0)</f>
        <v>227.13599999999985</v>
      </c>
      <c r="CA114" s="13">
        <f t="shared" si="93"/>
        <v>55.662966886685133</v>
      </c>
      <c r="CB114" s="20">
        <f t="shared" si="64"/>
        <v>492.5415339943097</v>
      </c>
      <c r="CC114" s="59">
        <f t="shared" si="65"/>
        <v>772.73489628893321</v>
      </c>
      <c r="CD114" s="59">
        <f ca="1">AVERAGE(OFFSET($CC$3,0,0,'Données projet'!$E$12+1,1))-AVERAGE(OFFSET($H$3,0,0,'Données projet'!$E$12+1,1))</f>
        <v>411.67183422518411</v>
      </c>
      <c r="CE114" s="59">
        <f t="shared" si="94"/>
        <v>379.16642539721556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30.369319064258395</v>
      </c>
      <c r="CL114" s="21">
        <f>EXP(-LN(2)/25)*CL113+(1-EXP(-LN(2)/25))/(LN(2)/25)*Calculateur!CG114*Calculateur!CI114*VLOOKUP('Données projet'!$B$12,Paramètres!$A$1:$I$89,3,0)*0.475*44/12</f>
        <v>9.9078633570502497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40.277182421308645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309.41666666666703</v>
      </c>
      <c r="O115" s="13">
        <f>N115*VLOOKUP('Données projet'!$B$9,Paramètres!$A$1:$I$89,3,0)*VLOOKUP('Données projet'!$B$9,Paramètres!$A$1:$I$89,5,0)</f>
        <v>279.96020000000033</v>
      </c>
      <c r="P115" s="13">
        <f t="shared" si="87"/>
        <v>66.958597927408931</v>
      </c>
      <c r="Q115" s="20">
        <f t="shared" si="107"/>
        <v>604.2169063902378</v>
      </c>
      <c r="R115" s="59">
        <f t="shared" si="55"/>
        <v>884.63821780580861</v>
      </c>
      <c r="S115" s="59">
        <f ca="1">AVERAGE(OFFSET($R$3,0,0,'Données projet'!$E$9+1,1))-AVERAGE(OFFSET($H$3,0,0,'Données projet'!$E$9+1,1))</f>
        <v>421.33534980160005</v>
      </c>
      <c r="T115" s="59">
        <f t="shared" si="88"/>
        <v>299.0473530693472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-1.0197709343628959E-13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337.99164391755608</v>
      </c>
      <c r="AO115" s="59">
        <f t="shared" si="90"/>
        <v>421.45428231923393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53.719782255215179</v>
      </c>
      <c r="AV115" s="21">
        <f>EXP(-LN(2)/25)*AV114+(1-EXP(-LN(2)/25))/(LN(2)/25)*Calculateur!AQ115*Calculateur!AS115*VLOOKUP('Données projet'!$B$10,Paramètres!$A$1:$I$89,3,0)*0.475*44/12</f>
        <v>9.3566579701706658</v>
      </c>
      <c r="AW115" s="21">
        <f>EXP(-LN(2)/2)*AW114+(1-EXP(-LN(2)/2))/(LN(2)/2)*AQ115*AT115*VLOOKUP('Données projet'!$B$10,Paramètres!$A$1:$I$89,3,0)*0.475*44/12</f>
        <v>1.5052546166930173E-7</v>
      </c>
      <c r="AX115" s="21">
        <f t="shared" si="60"/>
        <v>63.076440375911304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6.8461538461538511</v>
      </c>
      <c r="BD115" s="12">
        <f>IF('Données projet'!$A$88&gt;35,BD114+BC115-BL114,IF(A115&lt;'Données projet'!$A$88,$BA$205^A115,IF(A115='Données projet'!$A$88,'Données projet'!$B$88,BD114+BC115-BL114)))</f>
        <v>309.41666666666703</v>
      </c>
      <c r="BE115" s="13">
        <f>BD115*VLOOKUP('Données projet'!$B$11,Paramètres!$A$1:$I$89,3,0)*VLOOKUP('Données projet'!$B$11,Paramètres!$A$1:$I$89,5,0)</f>
        <v>313.74850000000038</v>
      </c>
      <c r="BF115" s="13">
        <f t="shared" si="91"/>
        <v>74.051117708153953</v>
      </c>
      <c r="BG115" s="20">
        <f t="shared" si="61"/>
        <v>675.41766750836871</v>
      </c>
      <c r="BH115" s="59">
        <f t="shared" si="62"/>
        <v>955.83897892393952</v>
      </c>
      <c r="BI115" s="59">
        <f ca="1">AVERAGE(OFFSET($BH$3,0,0,'Données projet'!$E$11+1,1))-AVERAGE(OFFSET($H$3,0,0,'Données projet'!$E$11+1,1))</f>
        <v>462.74754756814662</v>
      </c>
      <c r="BJ115" s="59">
        <f t="shared" si="92"/>
        <v>327.65191293226667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63.540301691132811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63.540301691132811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259.99999999999983</v>
      </c>
      <c r="BZ115" s="13">
        <f>BY115*VLOOKUP('Données projet'!$B$12,Paramètres!$A$1:$I$89,3,0)*VLOOKUP('Données projet'!$B$12,Paramètres!$A$1:$I$89,5,0)</f>
        <v>227.13599999999985</v>
      </c>
      <c r="CA115" s="13">
        <f t="shared" si="93"/>
        <v>55.662966886685133</v>
      </c>
      <c r="CB115" s="20">
        <f t="shared" si="64"/>
        <v>492.5415339943097</v>
      </c>
      <c r="CC115" s="59">
        <f t="shared" si="65"/>
        <v>772.96284540988063</v>
      </c>
      <c r="CD115" s="59">
        <f ca="1">AVERAGE(OFFSET($CC$3,0,0,'Données projet'!$E$12+1,1))-AVERAGE(OFFSET($H$3,0,0,'Données projet'!$E$12+1,1))</f>
        <v>411.67183422518411</v>
      </c>
      <c r="CE115" s="59">
        <f t="shared" si="94"/>
        <v>379.16642539721556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29.773795240863876</v>
      </c>
      <c r="CL115" s="21">
        <f>EXP(-LN(2)/25)*CL114+(1-EXP(-LN(2)/25))/(LN(2)/25)*Calculateur!CG115*Calculateur!CI115*VLOOKUP('Données projet'!$B$12,Paramètres!$A$1:$I$89,3,0)*0.475*44/12</f>
        <v>9.6369323125198214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39.410727553383694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316.26282051282089</v>
      </c>
      <c r="O116" s="13">
        <f>N116*VLOOKUP('Données projet'!$B$9,Paramètres!$A$1:$I$89,3,0)*VLOOKUP('Données projet'!$B$9,Paramètres!$A$1:$I$89,5,0)</f>
        <v>286.15460000000036</v>
      </c>
      <c r="P116" s="13">
        <f t="shared" si="87"/>
        <v>68.266002354364261</v>
      </c>
      <c r="Q116" s="20">
        <f t="shared" si="107"/>
        <v>617.28254910051839</v>
      </c>
      <c r="R116" s="59">
        <f t="shared" si="55"/>
        <v>897.92785522940608</v>
      </c>
      <c r="S116" s="59">
        <f ca="1">AVERAGE(OFFSET($R$3,0,0,'Données projet'!$E$9+1,1))-AVERAGE(OFFSET($H$3,0,0,'Données projet'!$E$9+1,1))</f>
        <v>421.33534980160005</v>
      </c>
      <c r="T116" s="59">
        <f t="shared" si="88"/>
        <v>299.0473530693472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-1.0197709343628959E-13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337.99164391755608</v>
      </c>
      <c r="AO116" s="59">
        <f t="shared" si="90"/>
        <v>421.45428231923393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52.66637009102223</v>
      </c>
      <c r="AV116" s="21">
        <f>EXP(-LN(2)/25)*AV115+(1-EXP(-LN(2)/25))/(LN(2)/25)*Calculateur!AQ116*Calculateur!AS116*VLOOKUP('Données projet'!$B$10,Paramètres!$A$1:$I$89,3,0)*0.475*44/12</f>
        <v>9.1007996659310919</v>
      </c>
      <c r="AW116" s="21">
        <f>EXP(-LN(2)/2)*AW115+(1-EXP(-LN(2)/2))/(LN(2)/2)*AQ116*AT116*VLOOKUP('Données projet'!$B$10,Paramètres!$A$1:$I$89,3,0)*0.475*44/12</f>
        <v>1.0643757468759899E-7</v>
      </c>
      <c r="AX116" s="21">
        <f t="shared" si="60"/>
        <v>61.767169863390897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6.8461538461538511</v>
      </c>
      <c r="BD116" s="12">
        <f>IF('Données projet'!$A$88&gt;35,BD115+BC116-BL115,IF(A116&lt;'Données projet'!$A$88,$BA$205^A116,IF(A116='Données projet'!$A$88,'Données projet'!$B$88,BD115+BC116-BL115)))</f>
        <v>316.26282051282089</v>
      </c>
      <c r="BE116" s="13">
        <f>BD116*VLOOKUP('Données projet'!$B$11,Paramètres!$A$1:$I$89,3,0)*VLOOKUP('Données projet'!$B$11,Paramètres!$A$1:$I$89,5,0)</f>
        <v>320.69050000000038</v>
      </c>
      <c r="BF116" s="13">
        <f t="shared" si="91"/>
        <v>75.497007588010661</v>
      </c>
      <c r="BG116" s="20">
        <f t="shared" si="61"/>
        <v>690.02657571578584</v>
      </c>
      <c r="BH116" s="59">
        <f t="shared" si="62"/>
        <v>970.67188184467341</v>
      </c>
      <c r="BI116" s="59">
        <f ca="1">AVERAGE(OFFSET($BH$3,0,0,'Données projet'!$E$11+1,1))-AVERAGE(OFFSET($H$3,0,0,'Données projet'!$E$11+1,1))</f>
        <v>462.74754756814662</v>
      </c>
      <c r="BJ116" s="59">
        <f t="shared" si="92"/>
        <v>327.65191293226667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62.294315130726915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62.294315130726915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259.99999999999983</v>
      </c>
      <c r="BZ116" s="13">
        <f>BY116*VLOOKUP('Données projet'!$B$12,Paramètres!$A$1:$I$89,3,0)*VLOOKUP('Données projet'!$B$12,Paramètres!$A$1:$I$89,5,0)</f>
        <v>227.13599999999985</v>
      </c>
      <c r="CA116" s="13">
        <f t="shared" si="93"/>
        <v>55.662966886685133</v>
      </c>
      <c r="CB116" s="20">
        <f t="shared" si="64"/>
        <v>492.5415339943097</v>
      </c>
      <c r="CC116" s="59">
        <f t="shared" si="65"/>
        <v>773.18684012319727</v>
      </c>
      <c r="CD116" s="59">
        <f ca="1">AVERAGE(OFFSET($CC$3,0,0,'Données projet'!$E$12+1,1))-AVERAGE(OFFSET($H$3,0,0,'Données projet'!$E$12+1,1))</f>
        <v>411.67183422518411</v>
      </c>
      <c r="CE116" s="59">
        <f t="shared" si="94"/>
        <v>379.16642539721556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29.18994927641246</v>
      </c>
      <c r="CL116" s="21">
        <f>EXP(-LN(2)/25)*CL115+(1-EXP(-LN(2)/25))/(LN(2)/25)*Calculateur!CG116*Calculateur!CI116*VLOOKUP('Données projet'!$B$12,Paramètres!$A$1:$I$89,3,0)*0.475*44/12</f>
        <v>9.3734098916497217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38.563359168062178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323.10897435897476</v>
      </c>
      <c r="O117" s="13">
        <f>N117*VLOOKUP('Données projet'!$B$9,Paramètres!$A$1:$I$89,3,0)*VLOOKUP('Données projet'!$B$9,Paramètres!$A$1:$I$89,5,0)</f>
        <v>292.34900000000033</v>
      </c>
      <c r="P117" s="13">
        <f t="shared" si="87"/>
        <v>69.570116369442999</v>
      </c>
      <c r="Q117" s="20">
        <f t="shared" si="107"/>
        <v>630.34246101011377</v>
      </c>
      <c r="R117" s="59">
        <f t="shared" si="55"/>
        <v>911.20787604481916</v>
      </c>
      <c r="S117" s="59">
        <f ca="1">AVERAGE(OFFSET($R$3,0,0,'Données projet'!$E$9+1,1))-AVERAGE(OFFSET($H$3,0,0,'Données projet'!$E$9+1,1))</f>
        <v>421.33534980160005</v>
      </c>
      <c r="T117" s="59">
        <f t="shared" si="88"/>
        <v>299.0473530693472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-1.0197709343628959E-13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337.99164391755608</v>
      </c>
      <c r="AO117" s="59">
        <f t="shared" si="90"/>
        <v>421.45428231923393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51.633614696851126</v>
      </c>
      <c r="AV117" s="21">
        <f>EXP(-LN(2)/25)*AV116+(1-EXP(-LN(2)/25))/(LN(2)/25)*Calculateur!AQ117*Calculateur!AS117*VLOOKUP('Données projet'!$B$10,Paramètres!$A$1:$I$89,3,0)*0.475*44/12</f>
        <v>8.8519378204759516</v>
      </c>
      <c r="AW117" s="21">
        <f>EXP(-LN(2)/2)*AW116+(1-EXP(-LN(2)/2))/(LN(2)/2)*AQ117*AT117*VLOOKUP('Données projet'!$B$10,Paramètres!$A$1:$I$89,3,0)*0.475*44/12</f>
        <v>7.5262730834650864E-8</v>
      </c>
      <c r="AX117" s="21">
        <f t="shared" si="60"/>
        <v>60.485552592589812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6.8461538461538511</v>
      </c>
      <c r="BD117" s="12">
        <f>IF('Données projet'!$A$88&gt;35,BD116+BC117-BL116,IF(A117&lt;'Données projet'!$A$88,$BA$205^A117,IF(A117='Données projet'!$A$88,'Données projet'!$B$88,BD116+BC117-BL116)))</f>
        <v>323.10897435897476</v>
      </c>
      <c r="BE117" s="13">
        <f>BD117*VLOOKUP('Données projet'!$B$11,Paramètres!$A$1:$I$89,3,0)*VLOOKUP('Données projet'!$B$11,Paramètres!$A$1:$I$89,5,0)</f>
        <v>327.63250000000045</v>
      </c>
      <c r="BF117" s="13">
        <f t="shared" si="91"/>
        <v>76.939258522537983</v>
      </c>
      <c r="BG117" s="20">
        <f t="shared" si="61"/>
        <v>704.62914609342113</v>
      </c>
      <c r="BH117" s="59">
        <f t="shared" si="62"/>
        <v>985.49456112812663</v>
      </c>
      <c r="BI117" s="59">
        <f ca="1">AVERAGE(OFFSET($BH$3,0,0,'Données projet'!$E$11+1,1))-AVERAGE(OFFSET($H$3,0,0,'Données projet'!$E$11+1,1))</f>
        <v>462.74754756814662</v>
      </c>
      <c r="BJ117" s="59">
        <f t="shared" si="92"/>
        <v>327.65191293226667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61.072761606793819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61.072761606793819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259.99999999999983</v>
      </c>
      <c r="BZ117" s="13">
        <f>BY117*VLOOKUP('Données projet'!$B$12,Paramètres!$A$1:$I$89,3,0)*VLOOKUP('Données projet'!$B$12,Paramètres!$A$1:$I$89,5,0)</f>
        <v>227.13599999999985</v>
      </c>
      <c r="CA117" s="13">
        <f t="shared" si="93"/>
        <v>55.662966886685133</v>
      </c>
      <c r="CB117" s="20">
        <f t="shared" si="64"/>
        <v>492.5415339943097</v>
      </c>
      <c r="CC117" s="59">
        <f t="shared" si="65"/>
        <v>773.4069490290151</v>
      </c>
      <c r="CD117" s="59">
        <f ca="1">AVERAGE(OFFSET($CC$3,0,0,'Données projet'!$E$12+1,1))-AVERAGE(OFFSET($H$3,0,0,'Données projet'!$E$12+1,1))</f>
        <v>411.67183422518411</v>
      </c>
      <c r="CE117" s="59">
        <f t="shared" si="94"/>
        <v>379.16642539721556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28.61755217521306</v>
      </c>
      <c r="CL117" s="21">
        <f>EXP(-LN(2)/25)*CL116+(1-EXP(-LN(2)/25))/(LN(2)/25)*Calculateur!CG117*Calculateur!CI117*VLOOKUP('Données projet'!$B$12,Paramètres!$A$1:$I$89,3,0)*0.475*44/12</f>
        <v>9.1170935052363564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37.734645680449418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329.95512820512863</v>
      </c>
      <c r="O118" s="13">
        <f>N118*VLOOKUP('Données projet'!$B$9,Paramètres!$A$1:$I$89,3,0)*VLOOKUP('Données projet'!$B$9,Paramètres!$A$1:$I$89,5,0)</f>
        <v>298.54340000000036</v>
      </c>
      <c r="P118" s="13">
        <f t="shared" si="87"/>
        <v>70.871017722198957</v>
      </c>
      <c r="Q118" s="20">
        <f t="shared" si="107"/>
        <v>643.39677753283047</v>
      </c>
      <c r="R118" s="59">
        <f t="shared" si="55"/>
        <v>924.47848307592767</v>
      </c>
      <c r="S118" s="59">
        <f ca="1">AVERAGE(OFFSET($R$3,0,0,'Données projet'!$E$9+1,1))-AVERAGE(OFFSET($H$3,0,0,'Données projet'!$E$9+1,1))</f>
        <v>421.33534980160005</v>
      </c>
      <c r="T118" s="59">
        <f t="shared" si="88"/>
        <v>299.0473530693472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-1.0197709343628959E-13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337.99164391755608</v>
      </c>
      <c r="AO118" s="59">
        <f t="shared" si="90"/>
        <v>421.45428231923393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50.621111006041126</v>
      </c>
      <c r="AV118" s="21">
        <f>EXP(-LN(2)/25)*AV117+(1-EXP(-LN(2)/25))/(LN(2)/25)*Calculateur!AQ118*Calculateur!AS118*VLOOKUP('Données projet'!$B$10,Paramètres!$A$1:$I$89,3,0)*0.475*44/12</f>
        <v>8.6098811152718575</v>
      </c>
      <c r="AW118" s="21">
        <f>EXP(-LN(2)/2)*AW117+(1-EXP(-LN(2)/2))/(LN(2)/2)*AQ118*AT118*VLOOKUP('Données projet'!$B$10,Paramètres!$A$1:$I$89,3,0)*0.475*44/12</f>
        <v>5.3218787343799493E-8</v>
      </c>
      <c r="AX118" s="21">
        <f t="shared" si="60"/>
        <v>59.230992174531764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6.8461538461538511</v>
      </c>
      <c r="BD118" s="12">
        <f>IF('Données projet'!$A$88&gt;35,BD117+BC118-BL117,IF(A118&lt;'Données projet'!$A$88,$BA$205^A118,IF(A118='Données projet'!$A$88,'Données projet'!$B$88,BD117+BC118-BL117)))</f>
        <v>329.95512820512863</v>
      </c>
      <c r="BE118" s="13">
        <f>BD118*VLOOKUP('Données projet'!$B$11,Paramètres!$A$1:$I$89,3,0)*VLOOKUP('Données projet'!$B$11,Paramètres!$A$1:$I$89,5,0)</f>
        <v>334.57450000000046</v>
      </c>
      <c r="BF118" s="13">
        <f t="shared" si="91"/>
        <v>78.377956496830535</v>
      </c>
      <c r="BG118" s="20">
        <f t="shared" si="61"/>
        <v>719.22552839864738</v>
      </c>
      <c r="BH118" s="59">
        <f t="shared" si="62"/>
        <v>1000.3072339417447</v>
      </c>
      <c r="BI118" s="59">
        <f ca="1">AVERAGE(OFFSET($BH$3,0,0,'Données projet'!$E$11+1,1))-AVERAGE(OFFSET($H$3,0,0,'Données projet'!$E$11+1,1))</f>
        <v>462.74754756814662</v>
      </c>
      <c r="BJ118" s="59">
        <f t="shared" si="92"/>
        <v>327.65191293226667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59.875162002390972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59.875162002390972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259.99999999999983</v>
      </c>
      <c r="BZ118" s="13">
        <f>BY118*VLOOKUP('Données projet'!$B$12,Paramètres!$A$1:$I$89,3,0)*VLOOKUP('Données projet'!$B$12,Paramètres!$A$1:$I$89,5,0)</f>
        <v>227.13599999999985</v>
      </c>
      <c r="CA118" s="13">
        <f t="shared" si="93"/>
        <v>55.662966886685133</v>
      </c>
      <c r="CB118" s="20">
        <f t="shared" si="64"/>
        <v>492.5415339943097</v>
      </c>
      <c r="CC118" s="59">
        <f t="shared" si="65"/>
        <v>773.62323953740702</v>
      </c>
      <c r="CD118" s="59">
        <f ca="1">AVERAGE(OFFSET($CC$3,0,0,'Données projet'!$E$12+1,1))-AVERAGE(OFFSET($H$3,0,0,'Données projet'!$E$12+1,1))</f>
        <v>411.67183422518411</v>
      </c>
      <c r="CE118" s="59">
        <f t="shared" si="94"/>
        <v>379.16642539721556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28.056379432040423</v>
      </c>
      <c r="CL118" s="21">
        <f>EXP(-LN(2)/25)*CL117+(1-EXP(-LN(2)/25))/(LN(2)/25)*Calculateur!CG118*Calculateur!CI118*VLOOKUP('Données projet'!$B$12,Paramètres!$A$1:$I$89,3,0)*0.475*44/12</f>
        <v>8.8677861038885588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36.924165535928978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336.8012820512825</v>
      </c>
      <c r="O119" s="13">
        <f>N119*VLOOKUP('Données projet'!$B$9,Paramètres!$A$1:$I$89,3,0)*VLOOKUP('Données projet'!$B$9,Paramètres!$A$1:$I$89,5,0)</f>
        <v>304.73780000000039</v>
      </c>
      <c r="P119" s="13">
        <f t="shared" si="87"/>
        <v>72.168780751383139</v>
      </c>
      <c r="Q119" s="20">
        <f t="shared" si="107"/>
        <v>656.4456281419931</v>
      </c>
      <c r="R119" s="59">
        <f t="shared" si="55"/>
        <v>937.73987203671459</v>
      </c>
      <c r="S119" s="59">
        <f ca="1">AVERAGE(OFFSET($R$3,0,0,'Données projet'!$E$9+1,1))-AVERAGE(OFFSET($H$3,0,0,'Données projet'!$E$9+1,1))</f>
        <v>421.33534980160005</v>
      </c>
      <c r="T119" s="59">
        <f t="shared" si="88"/>
        <v>299.0473530693472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-1.0197709343628959E-13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337.99164391755608</v>
      </c>
      <c r="AO119" s="59">
        <f t="shared" si="90"/>
        <v>421.45428231923393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49.628461895041639</v>
      </c>
      <c r="AV119" s="21">
        <f>EXP(-LN(2)/25)*AV118+(1-EXP(-LN(2)/25))/(LN(2)/25)*Calculateur!AQ119*Calculateur!AS119*VLOOKUP('Données projet'!$B$10,Paramètres!$A$1:$I$89,3,0)*0.475*44/12</f>
        <v>8.3744434634007785</v>
      </c>
      <c r="AW119" s="21">
        <f>EXP(-LN(2)/2)*AW118+(1-EXP(-LN(2)/2))/(LN(2)/2)*AQ119*AT119*VLOOKUP('Données projet'!$B$10,Paramètres!$A$1:$I$89,3,0)*0.475*44/12</f>
        <v>3.7631365417325432E-8</v>
      </c>
      <c r="AX119" s="21">
        <f t="shared" si="60"/>
        <v>58.002905396073785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6.8461538461538511</v>
      </c>
      <c r="BD119" s="12">
        <f>IF('Données projet'!$A$88&gt;35,BD118+BC119-BL118,IF(A119&lt;'Données projet'!$A$88,$BA$205^A119,IF(A119='Données projet'!$A$88,'Données projet'!$B$88,BD118+BC119-BL118)))</f>
        <v>336.8012820512825</v>
      </c>
      <c r="BE119" s="13">
        <f>BD119*VLOOKUP('Données projet'!$B$11,Paramètres!$A$1:$I$89,3,0)*VLOOKUP('Données projet'!$B$11,Paramètres!$A$1:$I$89,5,0)</f>
        <v>341.51650000000046</v>
      </c>
      <c r="BF119" s="13">
        <f t="shared" si="91"/>
        <v>79.813183723893872</v>
      </c>
      <c r="BG119" s="20">
        <f t="shared" si="61"/>
        <v>733.81586581911597</v>
      </c>
      <c r="BH119" s="59">
        <f t="shared" si="62"/>
        <v>1015.1101097138375</v>
      </c>
      <c r="BI119" s="59">
        <f ca="1">AVERAGE(OFFSET($BH$3,0,0,'Données projet'!$E$11+1,1))-AVERAGE(OFFSET($H$3,0,0,'Données projet'!$E$11+1,1))</f>
        <v>462.74754756814662</v>
      </c>
      <c r="BJ119" s="59">
        <f t="shared" si="92"/>
        <v>327.65191293226667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58.701046595766833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58.701046595766833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259.99999999999983</v>
      </c>
      <c r="BZ119" s="13">
        <f>BY119*VLOOKUP('Données projet'!$B$12,Paramètres!$A$1:$I$89,3,0)*VLOOKUP('Données projet'!$B$12,Paramètres!$A$1:$I$89,5,0)</f>
        <v>227.13599999999985</v>
      </c>
      <c r="CA119" s="13">
        <f t="shared" si="93"/>
        <v>55.662966886685133</v>
      </c>
      <c r="CB119" s="20">
        <f t="shared" si="64"/>
        <v>492.5415339943097</v>
      </c>
      <c r="CC119" s="59">
        <f t="shared" si="65"/>
        <v>773.83577788903119</v>
      </c>
      <c r="CD119" s="59">
        <f ca="1">AVERAGE(OFFSET($CC$3,0,0,'Données projet'!$E$12+1,1))-AVERAGE(OFFSET($H$3,0,0,'Données projet'!$E$12+1,1))</f>
        <v>411.67183422518411</v>
      </c>
      <c r="CE119" s="59">
        <f t="shared" si="94"/>
        <v>379.16642539721556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27.506210944079825</v>
      </c>
      <c r="CL119" s="21">
        <f>EXP(-LN(2)/25)*CL118+(1-EXP(-LN(2)/25))/(LN(2)/25)*Calculateur!CG119*Calculateur!CI119*VLOOKUP('Données projet'!$B$12,Paramètres!$A$1:$I$89,3,0)*0.475*44/12</f>
        <v>8.6252960265411218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36.131506970620947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343.64743589743637</v>
      </c>
      <c r="O120" s="13">
        <f>N120*VLOOKUP('Données projet'!$B$9,Paramètres!$A$1:$I$89,3,0)*VLOOKUP('Données projet'!$B$9,Paramètres!$A$1:$I$89,5,0)</f>
        <v>310.93220000000042</v>
      </c>
      <c r="P120" s="13">
        <f t="shared" si="87"/>
        <v>73.463476600811546</v>
      </c>
      <c r="Q120" s="20">
        <f t="shared" si="107"/>
        <v>669.48913674641415</v>
      </c>
      <c r="R120" s="59">
        <f t="shared" si="55"/>
        <v>950.99223192752379</v>
      </c>
      <c r="S120" s="59">
        <f ca="1">AVERAGE(OFFSET($R$3,0,0,'Données projet'!$E$9+1,1))-AVERAGE(OFFSET($H$3,0,0,'Données projet'!$E$9+1,1))</f>
        <v>421.33534980160005</v>
      </c>
      <c r="T120" s="59">
        <f t="shared" si="88"/>
        <v>299.0473530693472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-1.0197709343628959E-13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337.99164391755608</v>
      </c>
      <c r="AO120" s="59">
        <f t="shared" si="90"/>
        <v>421.45428231923393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48.655278027652678</v>
      </c>
      <c r="AV120" s="21">
        <f>EXP(-LN(2)/25)*AV119+(1-EXP(-LN(2)/25))/(LN(2)/25)*Calculateur!AQ120*Calculateur!AS120*VLOOKUP('Données projet'!$B$10,Paramètres!$A$1:$I$89,3,0)*0.475*44/12</f>
        <v>8.1454438665012425</v>
      </c>
      <c r="AW120" s="21">
        <f>EXP(-LN(2)/2)*AW119+(1-EXP(-LN(2)/2))/(LN(2)/2)*AQ120*AT120*VLOOKUP('Données projet'!$B$10,Paramètres!$A$1:$I$89,3,0)*0.475*44/12</f>
        <v>2.6609393671899747E-8</v>
      </c>
      <c r="AX120" s="21">
        <f t="shared" si="60"/>
        <v>56.800721920763316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6.8461538461538511</v>
      </c>
      <c r="BD120" s="12">
        <f>IF('Données projet'!$A$88&gt;35,BD119+BC120-BL119,IF(A120&lt;'Données projet'!$A$88,$BA$205^A120,IF(A120='Données projet'!$A$88,'Données projet'!$B$88,BD119+BC120-BL119)))</f>
        <v>343.64743589743637</v>
      </c>
      <c r="BE120" s="13">
        <f>BD120*VLOOKUP('Données projet'!$B$11,Paramètres!$A$1:$I$89,3,0)*VLOOKUP('Données projet'!$B$11,Paramètres!$A$1:$I$89,5,0)</f>
        <v>348.45850000000053</v>
      </c>
      <c r="BF120" s="13">
        <f t="shared" si="91"/>
        <v>81.245018883378833</v>
      </c>
      <c r="BG120" s="20">
        <f t="shared" si="61"/>
        <v>748.40029538855242</v>
      </c>
      <c r="BH120" s="59">
        <f t="shared" si="62"/>
        <v>1029.903390569662</v>
      </c>
      <c r="BI120" s="59">
        <f ca="1">AVERAGE(OFFSET($BH$3,0,0,'Données projet'!$E$11+1,1))-AVERAGE(OFFSET($H$3,0,0,'Données projet'!$E$11+1,1))</f>
        <v>462.74754756814662</v>
      </c>
      <c r="BJ120" s="59">
        <f t="shared" si="92"/>
        <v>327.65191293226667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57.549954876126904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57.549954876126904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259.99999999999983</v>
      </c>
      <c r="BZ120" s="13">
        <f>BY120*VLOOKUP('Données projet'!$B$12,Paramètres!$A$1:$I$89,3,0)*VLOOKUP('Données projet'!$B$12,Paramètres!$A$1:$I$89,5,0)</f>
        <v>227.13599999999985</v>
      </c>
      <c r="CA120" s="13">
        <f t="shared" si="93"/>
        <v>55.662966886685133</v>
      </c>
      <c r="CB120" s="20">
        <f t="shared" si="64"/>
        <v>492.5415339943097</v>
      </c>
      <c r="CC120" s="59">
        <f t="shared" si="65"/>
        <v>774.04462917541935</v>
      </c>
      <c r="CD120" s="59">
        <f ca="1">AVERAGE(OFFSET($CC$3,0,0,'Données projet'!$E$12+1,1))-AVERAGE(OFFSET($H$3,0,0,'Données projet'!$E$12+1,1))</f>
        <v>411.67183422518411</v>
      </c>
      <c r="CE120" s="59">
        <f t="shared" si="94"/>
        <v>379.16642539721556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26.96683092459849</v>
      </c>
      <c r="CL120" s="21">
        <f>EXP(-LN(2)/25)*CL119+(1-EXP(-LN(2)/25))/(LN(2)/25)*Calculateur!CG120*Calculateur!CI120*VLOOKUP('Données projet'!$B$12,Paramètres!$A$1:$I$89,3,0)*0.475*44/12</f>
        <v>8.3894368531107499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35.356267777709242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350.49358974359023</v>
      </c>
      <c r="O121" s="13">
        <f>N121*VLOOKUP('Données projet'!$B$9,Paramètres!$A$1:$I$89,3,0)*VLOOKUP('Données projet'!$B$9,Paramètres!$A$1:$I$89,5,0)</f>
        <v>317.12660000000039</v>
      </c>
      <c r="P121" s="13">
        <f t="shared" si="87"/>
        <v>74.755173417545677</v>
      </c>
      <c r="Q121" s="20">
        <f t="shared" si="107"/>
        <v>682.52742203555931</v>
      </c>
      <c r="R121" s="59">
        <f t="shared" si="55"/>
        <v>964.23574540015966</v>
      </c>
      <c r="S121" s="59">
        <f ca="1">AVERAGE(OFFSET($R$3,0,0,'Données projet'!$E$9+1,1))-AVERAGE(OFFSET($H$3,0,0,'Données projet'!$E$9+1,1))</f>
        <v>421.33534980160005</v>
      </c>
      <c r="T121" s="59">
        <f t="shared" si="88"/>
        <v>299.0473530693472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-1.0197709343628959E-13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337.99164391755608</v>
      </c>
      <c r="AO121" s="59">
        <f t="shared" si="90"/>
        <v>421.45428231923393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47.701177702319669</v>
      </c>
      <c r="AV121" s="21">
        <f>EXP(-LN(2)/25)*AV120+(1-EXP(-LN(2)/25))/(LN(2)/25)*Calculateur!AQ121*Calculateur!AS121*VLOOKUP('Données projet'!$B$10,Paramètres!$A$1:$I$89,3,0)*0.475*44/12</f>
        <v>7.9227062756214899</v>
      </c>
      <c r="AW121" s="21">
        <f>EXP(-LN(2)/2)*AW120+(1-EXP(-LN(2)/2))/(LN(2)/2)*AQ121*AT121*VLOOKUP('Données projet'!$B$10,Paramètres!$A$1:$I$89,3,0)*0.475*44/12</f>
        <v>1.8815682708662716E-8</v>
      </c>
      <c r="AX121" s="21">
        <f t="shared" si="60"/>
        <v>55.623883996756845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6.8461538461538511</v>
      </c>
      <c r="BD121" s="12">
        <f>IF('Données projet'!$A$88&gt;35,BD120+BC121-BL120,IF(A121&lt;'Données projet'!$A$88,$BA$205^A121,IF(A121='Données projet'!$A$88,'Données projet'!$B$88,BD120+BC121-BL120)))</f>
        <v>350.49358974359023</v>
      </c>
      <c r="BE121" s="13">
        <f>BD121*VLOOKUP('Données projet'!$B$11,Paramètres!$A$1:$I$89,3,0)*VLOOKUP('Données projet'!$B$11,Paramètres!$A$1:$I$89,5,0)</f>
        <v>355.40050000000053</v>
      </c>
      <c r="BF121" s="13">
        <f t="shared" si="91"/>
        <v>82.673537340753484</v>
      </c>
      <c r="BG121" s="20">
        <f t="shared" si="61"/>
        <v>762.97894836847979</v>
      </c>
      <c r="BH121" s="59">
        <f t="shared" si="62"/>
        <v>1044.6872717330803</v>
      </c>
      <c r="BI121" s="59">
        <f ca="1">AVERAGE(OFFSET($BH$3,0,0,'Données projet'!$E$11+1,1))-AVERAGE(OFFSET($H$3,0,0,'Données projet'!$E$11+1,1))</f>
        <v>462.74754756814662</v>
      </c>
      <c r="BJ121" s="59">
        <f t="shared" si="92"/>
        <v>327.65191293226667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56.421435363012492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56.421435363012492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259.99999999999983</v>
      </c>
      <c r="BZ121" s="13">
        <f>BY121*VLOOKUP('Données projet'!$B$12,Paramètres!$A$1:$I$89,3,0)*VLOOKUP('Données projet'!$B$12,Paramètres!$A$1:$I$89,5,0)</f>
        <v>227.13599999999985</v>
      </c>
      <c r="CA121" s="13">
        <f t="shared" si="93"/>
        <v>55.662966886685133</v>
      </c>
      <c r="CB121" s="20">
        <f t="shared" si="64"/>
        <v>492.5415339943097</v>
      </c>
      <c r="CC121" s="59">
        <f t="shared" si="65"/>
        <v>774.24985735891005</v>
      </c>
      <c r="CD121" s="59">
        <f ca="1">AVERAGE(OFFSET($CC$3,0,0,'Données projet'!$E$12+1,1))-AVERAGE(OFFSET($H$3,0,0,'Données projet'!$E$12+1,1))</f>
        <v>411.67183422518411</v>
      </c>
      <c r="CE121" s="59">
        <f t="shared" si="94"/>
        <v>379.16642539721556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26.438027818309859</v>
      </c>
      <c r="CL121" s="21">
        <f>EXP(-LN(2)/25)*CL120+(1-EXP(-LN(2)/25))/(LN(2)/25)*Calculateur!CG121*Calculateur!CI121*VLOOKUP('Données projet'!$B$12,Paramètres!$A$1:$I$89,3,0)*0.475*44/12</f>
        <v>8.160027261181126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34.598055079490983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357.3397435897441</v>
      </c>
      <c r="O122" s="13">
        <f>N122*VLOOKUP('Données projet'!$B$9,Paramètres!$A$1:$I$89,3,0)*VLOOKUP('Données projet'!$B$9,Paramètres!$A$1:$I$89,5,0)</f>
        <v>323.32100000000048</v>
      </c>
      <c r="P122" s="13">
        <f t="shared" si="87"/>
        <v>76.043936534151186</v>
      </c>
      <c r="Q122" s="20">
        <f t="shared" si="107"/>
        <v>695.56059779698069</v>
      </c>
      <c r="R122" s="59">
        <f t="shared" si="55"/>
        <v>977.47058909490988</v>
      </c>
      <c r="S122" s="59">
        <f ca="1">AVERAGE(OFFSET($R$3,0,0,'Données projet'!$E$9+1,1))-AVERAGE(OFFSET($H$3,0,0,'Données projet'!$E$9+1,1))</f>
        <v>421.33534980160005</v>
      </c>
      <c r="T122" s="59">
        <f t="shared" si="88"/>
        <v>299.0473530693472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-1.0197709343628959E-13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337.99164391755608</v>
      </c>
      <c r="AO122" s="59">
        <f t="shared" si="90"/>
        <v>421.45428231923393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46.765786702422702</v>
      </c>
      <c r="AV122" s="21">
        <f>EXP(-LN(2)/25)*AV121+(1-EXP(-LN(2)/25))/(LN(2)/25)*Calculateur!AQ122*Calculateur!AS122*VLOOKUP('Données projet'!$B$10,Paramètres!$A$1:$I$89,3,0)*0.475*44/12</f>
        <v>7.7060594558776048</v>
      </c>
      <c r="AW122" s="21">
        <f>EXP(-LN(2)/2)*AW121+(1-EXP(-LN(2)/2))/(LN(2)/2)*AQ122*AT122*VLOOKUP('Données projet'!$B$10,Paramètres!$A$1:$I$89,3,0)*0.475*44/12</f>
        <v>1.3304696835949873E-8</v>
      </c>
      <c r="AX122" s="21">
        <f t="shared" si="60"/>
        <v>54.471846171605009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357.33974358974359</v>
      </c>
      <c r="BB122" s="12">
        <f>VLOOKUP(A122,'Données projet'!$A$87:$I$107,9,0)</f>
        <v>6.8461538461538511</v>
      </c>
      <c r="BC122" s="12">
        <f t="array" ref="BC122">INDEX(BB:BB,MIN(IF(ISNUMBER(BB122:BB318),ROW(BB122:BB318),"")))</f>
        <v>6.8461538461538511</v>
      </c>
      <c r="BD122" s="12">
        <f>IF('Données projet'!$A$88&gt;35,BD121+BC122-BL121,IF(A122&lt;'Données projet'!$A$88,$BA$205^A122,IF(A122='Données projet'!$A$88,'Données projet'!$B$88,BD121+BC122-BL121)))</f>
        <v>357.3397435897441</v>
      </c>
      <c r="BE122" s="13">
        <f>BD122*VLOOKUP('Données projet'!$B$11,Paramètres!$A$1:$I$89,3,0)*VLOOKUP('Données projet'!$B$11,Paramètres!$A$1:$I$89,5,0)</f>
        <v>362.34250000000054</v>
      </c>
      <c r="BF122" s="13">
        <f t="shared" si="91"/>
        <v>84.098811348867258</v>
      </c>
      <c r="BG122" s="20">
        <f t="shared" si="61"/>
        <v>777.55195059927792</v>
      </c>
      <c r="BH122" s="59">
        <f t="shared" si="62"/>
        <v>1059.461941897207</v>
      </c>
      <c r="BI122" s="59">
        <f ca="1">AVERAGE(OFFSET($BH$3,0,0,'Données projet'!$E$11+1,1))-AVERAGE(OFFSET($H$3,0,0,'Données projet'!$E$11+1,1))</f>
        <v>462.74754756814662</v>
      </c>
      <c r="BJ122" s="59">
        <f t="shared" si="92"/>
        <v>327.65191293226667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150.02564102564102</v>
      </c>
      <c r="BM122" s="16">
        <f>IF(ISNA(VLOOKUP(A122,'Données projet'!$A$87:$I$107,5,0)),0%,VLOOKUP(A122,'Données projet'!$A$87:$I$107,5,0)*VLOOKUP('Données projet'!$B$11,Paramètres!$A$1:$I$89,7,0))</f>
        <v>0.38700000000000001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120.39713998151436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120.39713998151436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259.99999999999983</v>
      </c>
      <c r="BZ122" s="13">
        <f>BY122*VLOOKUP('Données projet'!$B$12,Paramètres!$A$1:$I$89,3,0)*VLOOKUP('Données projet'!$B$12,Paramètres!$A$1:$I$89,5,0)</f>
        <v>227.13599999999985</v>
      </c>
      <c r="CA122" s="13">
        <f t="shared" si="93"/>
        <v>55.662966886685133</v>
      </c>
      <c r="CB122" s="20">
        <f t="shared" si="64"/>
        <v>492.5415339943097</v>
      </c>
      <c r="CC122" s="59">
        <f t="shared" si="65"/>
        <v>774.45152529223878</v>
      </c>
      <c r="CD122" s="59">
        <f ca="1">AVERAGE(OFFSET($CC$3,0,0,'Données projet'!$E$12+1,1))-AVERAGE(OFFSET($H$3,0,0,'Données projet'!$E$12+1,1))</f>
        <v>411.67183422518411</v>
      </c>
      <c r="CE122" s="59">
        <f t="shared" si="94"/>
        <v>379.16642539721556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25.919594218397499</v>
      </c>
      <c r="CL122" s="21">
        <f>EXP(-LN(2)/25)*CL121+(1-EXP(-LN(2)/25))/(LN(2)/25)*Calculateur!CG122*Calculateur!CI122*VLOOKUP('Données projet'!$B$12,Paramètres!$A$1:$I$89,3,0)*0.475*44/12</f>
        <v>7.9368908866069443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33.856485105004445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211.14423076923126</v>
      </c>
      <c r="O123" s="13">
        <f>N123*VLOOKUP('Données projet'!$B$9,Paramètres!$A$1:$I$89,3,0)*VLOOKUP('Données projet'!$B$9,Paramètres!$A$1:$I$89,5,0)</f>
        <v>191.04330000000041</v>
      </c>
      <c r="P123" s="13">
        <f t="shared" si="87"/>
        <v>47.770538104647592</v>
      </c>
      <c r="Q123" s="20">
        <f t="shared" si="107"/>
        <v>415.93410136559527</v>
      </c>
      <c r="R123" s="59">
        <f t="shared" si="55"/>
        <v>698.04226210907188</v>
      </c>
      <c r="S123" s="59">
        <f ca="1">AVERAGE(OFFSET($R$3,0,0,'Données projet'!$E$9+1,1))-AVERAGE(OFFSET($H$3,0,0,'Données projet'!$E$9+1,1))</f>
        <v>421.33534980160005</v>
      </c>
      <c r="T123" s="59">
        <f t="shared" si="88"/>
        <v>299.0473530693472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-1.0197709343628959E-13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337.99164391755608</v>
      </c>
      <c r="AO123" s="59">
        <f t="shared" si="90"/>
        <v>421.45428231923393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45.848738149501536</v>
      </c>
      <c r="AV123" s="21">
        <f>EXP(-LN(2)/25)*AV122+(1-EXP(-LN(2)/25))/(LN(2)/25)*Calculateur!AQ123*Calculateur!AS123*VLOOKUP('Données projet'!$B$10,Paramètres!$A$1:$I$89,3,0)*0.475*44/12</f>
        <v>7.4953368548125772</v>
      </c>
      <c r="AW123" s="21">
        <f>EXP(-LN(2)/2)*AW122+(1-EXP(-LN(2)/2))/(LN(2)/2)*AQ123*AT123*VLOOKUP('Données projet'!$B$10,Paramètres!$A$1:$I$89,3,0)*0.475*44/12</f>
        <v>9.4078413543313581E-9</v>
      </c>
      <c r="AX123" s="21">
        <f t="shared" si="60"/>
        <v>53.344075013721955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3.8301282051282044</v>
      </c>
      <c r="BD123" s="12">
        <f>IF('Données projet'!$A$88&gt;35,BD122+BC123-BL122,IF(A123&lt;'Données projet'!$A$88,$BA$205^A123,IF(A123='Données projet'!$A$88,'Données projet'!$B$88,BD122+BC123-BL122)))</f>
        <v>211.14423076923126</v>
      </c>
      <c r="BE123" s="13">
        <f>BD123*VLOOKUP('Données projet'!$B$11,Paramètres!$A$1:$I$89,3,0)*VLOOKUP('Données projet'!$B$11,Paramètres!$A$1:$I$89,5,0)</f>
        <v>214.1002500000005</v>
      </c>
      <c r="BF123" s="13">
        <f t="shared" si="91"/>
        <v>52.83058262367053</v>
      </c>
      <c r="BG123" s="20">
        <f t="shared" si="61"/>
        <v>464.90453348622708</v>
      </c>
      <c r="BH123" s="59">
        <f t="shared" si="62"/>
        <v>747.0126942297037</v>
      </c>
      <c r="BI123" s="59">
        <f ca="1">AVERAGE(OFFSET($BH$3,0,0,'Données projet'!$E$11+1,1))-AVERAGE(OFFSET($H$3,0,0,'Données projet'!$E$11+1,1))</f>
        <v>462.74754756814662</v>
      </c>
      <c r="BJ123" s="59">
        <f t="shared" si="92"/>
        <v>327.65191293226667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118.03622550148114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118.03622550148114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259.99999999999983</v>
      </c>
      <c r="BZ123" s="13">
        <f>BY123*VLOOKUP('Données projet'!$B$12,Paramètres!$A$1:$I$89,3,0)*VLOOKUP('Données projet'!$B$12,Paramètres!$A$1:$I$89,5,0)</f>
        <v>227.13599999999985</v>
      </c>
      <c r="CA123" s="13">
        <f t="shared" si="93"/>
        <v>55.662966886685133</v>
      </c>
      <c r="CB123" s="20">
        <f t="shared" si="64"/>
        <v>492.5415339943097</v>
      </c>
      <c r="CC123" s="59">
        <f t="shared" si="65"/>
        <v>774.64969473778638</v>
      </c>
      <c r="CD123" s="59">
        <f ca="1">AVERAGE(OFFSET($CC$3,0,0,'Données projet'!$E$12+1,1))-AVERAGE(OFFSET($H$3,0,0,'Données projet'!$E$12+1,1))</f>
        <v>411.67183422518411</v>
      </c>
      <c r="CE123" s="59">
        <f t="shared" si="94"/>
        <v>379.16642539721556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25.41132678516615</v>
      </c>
      <c r="CL123" s="21">
        <f>EXP(-LN(2)/25)*CL122+(1-EXP(-LN(2)/25))/(LN(2)/25)*Calculateur!CG123*Calculateur!CI123*VLOOKUP('Données projet'!$B$12,Paramètres!$A$1:$I$89,3,0)*0.475*44/12</f>
        <v>7.7198561879297261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33.131182973095875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214.97435897435946</v>
      </c>
      <c r="O124" s="13">
        <f>N124*VLOOKUP('Données projet'!$B$9,Paramètres!$A$1:$I$89,3,0)*VLOOKUP('Données projet'!$B$9,Paramètres!$A$1:$I$89,5,0)</f>
        <v>194.50880000000043</v>
      </c>
      <c r="P124" s="13">
        <f t="shared" si="87"/>
        <v>48.535419780989194</v>
      </c>
      <c r="Q124" s="20">
        <f t="shared" si="107"/>
        <v>423.30201611855699</v>
      </c>
      <c r="R124" s="59">
        <f t="shared" si="55"/>
        <v>705.60490851074132</v>
      </c>
      <c r="S124" s="59">
        <f ca="1">AVERAGE(OFFSET($R$3,0,0,'Données projet'!$E$9+1,1))-AVERAGE(OFFSET($H$3,0,0,'Données projet'!$E$9+1,1))</f>
        <v>421.33534980160005</v>
      </c>
      <c r="T124" s="59">
        <f t="shared" si="88"/>
        <v>299.0473530693472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-1.0197709343628959E-13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337.99164391755608</v>
      </c>
      <c r="AO124" s="59">
        <f t="shared" si="90"/>
        <v>421.45428231923393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44.949672359358772</v>
      </c>
      <c r="AV124" s="21">
        <f>EXP(-LN(2)/25)*AV123+(1-EXP(-LN(2)/25))/(LN(2)/25)*Calculateur!AQ124*Calculateur!AS124*VLOOKUP('Données projet'!$B$10,Paramètres!$A$1:$I$89,3,0)*0.475*44/12</f>
        <v>7.2903764743550932</v>
      </c>
      <c r="AW124" s="21">
        <f>EXP(-LN(2)/2)*AW123+(1-EXP(-LN(2)/2))/(LN(2)/2)*AQ124*AT124*VLOOKUP('Données projet'!$B$10,Paramètres!$A$1:$I$89,3,0)*0.475*44/12</f>
        <v>6.6523484179749366E-9</v>
      </c>
      <c r="AX124" s="21">
        <f t="shared" si="60"/>
        <v>52.240048840366214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3.8301282051282044</v>
      </c>
      <c r="BD124" s="12">
        <f>IF('Données projet'!$A$88&gt;35,BD123+BC124-BL123,IF(A124&lt;'Données projet'!$A$88,$BA$205^A124,IF(A124='Données projet'!$A$88,'Données projet'!$B$88,BD123+BC124-BL123)))</f>
        <v>214.97435897435946</v>
      </c>
      <c r="BE124" s="13">
        <f>BD124*VLOOKUP('Données projet'!$B$11,Paramètres!$A$1:$I$89,3,0)*VLOOKUP('Données projet'!$B$11,Paramètres!$A$1:$I$89,5,0)</f>
        <v>217.98400000000052</v>
      </c>
      <c r="BF124" s="13">
        <f t="shared" si="91"/>
        <v>53.676483595327532</v>
      </c>
      <c r="BG124" s="20">
        <f t="shared" si="61"/>
        <v>473.14200892852961</v>
      </c>
      <c r="BH124" s="59">
        <f t="shared" si="62"/>
        <v>755.44490132071405</v>
      </c>
      <c r="BI124" s="59">
        <f ca="1">AVERAGE(OFFSET($BH$3,0,0,'Données projet'!$E$11+1,1))-AVERAGE(OFFSET($H$3,0,0,'Données projet'!$E$11+1,1))</f>
        <v>462.74754756814662</v>
      </c>
      <c r="BJ124" s="59">
        <f t="shared" si="92"/>
        <v>327.65191293226667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115.72160711438573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115.72160711438573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259.99999999999983</v>
      </c>
      <c r="BZ124" s="13">
        <f>BY124*VLOOKUP('Données projet'!$B$12,Paramètres!$A$1:$I$89,3,0)*VLOOKUP('Données projet'!$B$12,Paramètres!$A$1:$I$89,5,0)</f>
        <v>227.13599999999985</v>
      </c>
      <c r="CA124" s="13">
        <f t="shared" si="93"/>
        <v>55.662966886685133</v>
      </c>
      <c r="CB124" s="20">
        <f t="shared" si="64"/>
        <v>492.5415339943097</v>
      </c>
      <c r="CC124" s="59">
        <f t="shared" si="65"/>
        <v>774.84442638649409</v>
      </c>
      <c r="CD124" s="59">
        <f ca="1">AVERAGE(OFFSET($CC$3,0,0,'Données projet'!$E$12+1,1))-AVERAGE(OFFSET($H$3,0,0,'Données projet'!$E$12+1,1))</f>
        <v>411.67183422518411</v>
      </c>
      <c r="CE124" s="59">
        <f t="shared" si="94"/>
        <v>379.16642539721556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24.913026166287946</v>
      </c>
      <c r="CL124" s="21">
        <f>EXP(-LN(2)/25)*CL123+(1-EXP(-LN(2)/25))/(LN(2)/25)*Calculateur!CG124*Calculateur!CI124*VLOOKUP('Données projet'!$B$12,Paramètres!$A$1:$I$89,3,0)*0.475*44/12</f>
        <v>7.5087563145011949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32.42178248078914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218.80448717948767</v>
      </c>
      <c r="O125" s="13">
        <f>N125*VLOOKUP('Données projet'!$B$9,Paramètres!$A$1:$I$89,3,0)*VLOOKUP('Données projet'!$B$9,Paramètres!$A$1:$I$89,5,0)</f>
        <v>197.97430000000043</v>
      </c>
      <c r="P125" s="13">
        <f t="shared" si="87"/>
        <v>49.298716754178493</v>
      </c>
      <c r="Q125" s="20">
        <f t="shared" si="107"/>
        <v>430.66717084686161</v>
      </c>
      <c r="R125" s="59">
        <f t="shared" si="55"/>
        <v>713.16141672900335</v>
      </c>
      <c r="S125" s="59">
        <f ca="1">AVERAGE(OFFSET($R$3,0,0,'Données projet'!$E$9+1,1))-AVERAGE(OFFSET($H$3,0,0,'Données projet'!$E$9+1,1))</f>
        <v>421.33534980160005</v>
      </c>
      <c r="T125" s="59">
        <f t="shared" si="88"/>
        <v>299.0473530693472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-1.0197709343628959E-13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337.99164391755608</v>
      </c>
      <c r="AO125" s="59">
        <f t="shared" si="90"/>
        <v>421.45428231923393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44.06823670098472</v>
      </c>
      <c r="AV125" s="21">
        <f>EXP(-LN(2)/25)*AV124+(1-EXP(-LN(2)/25))/(LN(2)/25)*Calculateur!AQ125*Calculateur!AS125*VLOOKUP('Données projet'!$B$10,Paramètres!$A$1:$I$89,3,0)*0.475*44/12</f>
        <v>7.0910207462796171</v>
      </c>
      <c r="AW125" s="21">
        <f>EXP(-LN(2)/2)*AW124+(1-EXP(-LN(2)/2))/(LN(2)/2)*AQ125*AT125*VLOOKUP('Données projet'!$B$10,Paramètres!$A$1:$I$89,3,0)*0.475*44/12</f>
        <v>4.703920677165679E-9</v>
      </c>
      <c r="AX125" s="21">
        <f t="shared" si="60"/>
        <v>51.159257451968259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3.8301282051282044</v>
      </c>
      <c r="BD125" s="12">
        <f>IF('Données projet'!$A$88&gt;35,BD124+BC125-BL124,IF(A125&lt;'Données projet'!$A$88,$BA$205^A125,IF(A125='Données projet'!$A$88,'Données projet'!$B$88,BD124+BC125-BL124)))</f>
        <v>218.80448717948767</v>
      </c>
      <c r="BE125" s="13">
        <f>BD125*VLOOKUP('Données projet'!$B$11,Paramètres!$A$1:$I$89,3,0)*VLOOKUP('Données projet'!$B$11,Paramètres!$A$1:$I$89,5,0)</f>
        <v>221.86775000000048</v>
      </c>
      <c r="BF125" s="13">
        <f t="shared" si="91"/>
        <v>54.520632005800415</v>
      </c>
      <c r="BG125" s="20">
        <f t="shared" si="61"/>
        <v>481.37643199343648</v>
      </c>
      <c r="BH125" s="59">
        <f t="shared" si="62"/>
        <v>763.87067787557828</v>
      </c>
      <c r="BI125" s="59">
        <f ca="1">AVERAGE(OFFSET($BH$3,0,0,'Données projet'!$E$11+1,1))-AVERAGE(OFFSET($H$3,0,0,'Données projet'!$E$11+1,1))</f>
        <v>462.74754756814662</v>
      </c>
      <c r="BJ125" s="59">
        <f t="shared" si="92"/>
        <v>327.65191293226667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113.45237698208345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113.45237698208345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259.99999999999983</v>
      </c>
      <c r="BZ125" s="13">
        <f>BY125*VLOOKUP('Données projet'!$B$12,Paramètres!$A$1:$I$89,3,0)*VLOOKUP('Données projet'!$B$12,Paramètres!$A$1:$I$89,5,0)</f>
        <v>227.13599999999985</v>
      </c>
      <c r="CA125" s="13">
        <f t="shared" si="93"/>
        <v>55.662966886685133</v>
      </c>
      <c r="CB125" s="20">
        <f t="shared" si="64"/>
        <v>492.5415339943097</v>
      </c>
      <c r="CC125" s="59">
        <f t="shared" si="65"/>
        <v>775.03577987645144</v>
      </c>
      <c r="CD125" s="59">
        <f ca="1">AVERAGE(OFFSET($CC$3,0,0,'Données projet'!$E$12+1,1))-AVERAGE(OFFSET($H$3,0,0,'Données projet'!$E$12+1,1))</f>
        <v>411.67183422518411</v>
      </c>
      <c r="CE125" s="59">
        <f t="shared" si="94"/>
        <v>379.16642539721556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24.424496918612576</v>
      </c>
      <c r="CL125" s="21">
        <f>EXP(-LN(2)/25)*CL124+(1-EXP(-LN(2)/25))/(LN(2)/25)*Calculateur!CG125*Calculateur!CI125*VLOOKUP('Données projet'!$B$12,Paramètres!$A$1:$I$89,3,0)*0.475*44/12</f>
        <v>7.3034289782128266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31.727925896825404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222.63461538461587</v>
      </c>
      <c r="O126" s="13">
        <f>N126*VLOOKUP('Données projet'!$B$9,Paramètres!$A$1:$I$89,3,0)*VLOOKUP('Données projet'!$B$9,Paramètres!$A$1:$I$89,5,0)</f>
        <v>201.43980000000045</v>
      </c>
      <c r="P126" s="13">
        <f t="shared" si="87"/>
        <v>50.06045996470462</v>
      </c>
      <c r="Q126" s="20">
        <f t="shared" si="107"/>
        <v>438.02961943852802</v>
      </c>
      <c r="R126" s="59">
        <f t="shared" si="55"/>
        <v>720.71189925537874</v>
      </c>
      <c r="S126" s="59">
        <f ca="1">AVERAGE(OFFSET($R$3,0,0,'Données projet'!$E$9+1,1))-AVERAGE(OFFSET($H$3,0,0,'Données projet'!$E$9+1,1))</f>
        <v>421.33534980160005</v>
      </c>
      <c r="T126" s="59">
        <f t="shared" si="88"/>
        <v>299.0473530693472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-1.0197709343628959E-13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337.99164391755608</v>
      </c>
      <c r="AO126" s="59">
        <f t="shared" si="90"/>
        <v>421.45428231923393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43.20408545824872</v>
      </c>
      <c r="AV126" s="21">
        <f>EXP(-LN(2)/25)*AV125+(1-EXP(-LN(2)/25))/(LN(2)/25)*Calculateur!AQ126*Calculateur!AS126*VLOOKUP('Données projet'!$B$10,Paramètres!$A$1:$I$89,3,0)*0.475*44/12</f>
        <v>6.8971164110720267</v>
      </c>
      <c r="AW126" s="21">
        <f>EXP(-LN(2)/2)*AW125+(1-EXP(-LN(2)/2))/(LN(2)/2)*AQ126*AT126*VLOOKUP('Données projet'!$B$10,Paramètres!$A$1:$I$89,3,0)*0.475*44/12</f>
        <v>3.3261742089874683E-9</v>
      </c>
      <c r="AX126" s="21">
        <f t="shared" si="60"/>
        <v>50.101201872646918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222.63461538461539</v>
      </c>
      <c r="BB126" s="12">
        <f>VLOOKUP(A126,'Données projet'!$A$87:$I$107,9,0)</f>
        <v>3.8301282051282044</v>
      </c>
      <c r="BC126" s="12">
        <f t="array" ref="BC126">INDEX(BB:BB,MIN(IF(ISNUMBER(BB126:BB322),ROW(BB126:BB322),"")))</f>
        <v>3.8301282051282044</v>
      </c>
      <c r="BD126" s="12">
        <f>IF('Données projet'!$A$88&gt;35,BD125+BC126-BL125,IF(A126&lt;'Données projet'!$A$88,$BA$205^A126,IF(A126='Données projet'!$A$88,'Données projet'!$B$88,BD125+BC126-BL125)))</f>
        <v>222.63461538461587</v>
      </c>
      <c r="BE126" s="13">
        <f>BD126*VLOOKUP('Données projet'!$B$11,Paramètres!$A$1:$I$89,3,0)*VLOOKUP('Données projet'!$B$11,Paramètres!$A$1:$I$89,5,0)</f>
        <v>225.7515000000005</v>
      </c>
      <c r="BF126" s="13">
        <f t="shared" si="91"/>
        <v>55.363062072917565</v>
      </c>
      <c r="BG126" s="20">
        <f t="shared" si="61"/>
        <v>489.60786227699901</v>
      </c>
      <c r="BH126" s="59">
        <f t="shared" si="62"/>
        <v>772.29014209384968</v>
      </c>
      <c r="BI126" s="59">
        <f ca="1">AVERAGE(OFFSET($BH$3,0,0,'Données projet'!$E$11+1,1))-AVERAGE(OFFSET($H$3,0,0,'Données projet'!$E$11+1,1))</f>
        <v>462.74754756814662</v>
      </c>
      <c r="BJ126" s="59">
        <f t="shared" si="92"/>
        <v>327.65191293226667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77.17307692307692</v>
      </c>
      <c r="BM126" s="16">
        <f>IF(ISNA(VLOOKUP(A126,'Données projet'!$A$87:$I$107,5,0)),0%,VLOOKUP(A126,'Données projet'!$A$87:$I$107,5,0)*VLOOKUP('Données projet'!$B$11,Paramètres!$A$1:$I$89,7,0))</f>
        <v>0.38700000000000001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144.70582556401243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144.70582556401243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259.99999999999983</v>
      </c>
      <c r="BZ126" s="13">
        <f>BY126*VLOOKUP('Données projet'!$B$12,Paramètres!$A$1:$I$89,3,0)*VLOOKUP('Données projet'!$B$12,Paramètres!$A$1:$I$89,5,0)</f>
        <v>227.13599999999985</v>
      </c>
      <c r="CA126" s="13">
        <f t="shared" si="93"/>
        <v>55.662966886685133</v>
      </c>
      <c r="CB126" s="20">
        <f t="shared" si="64"/>
        <v>492.5415339943097</v>
      </c>
      <c r="CC126" s="59">
        <f t="shared" si="65"/>
        <v>775.22381381116043</v>
      </c>
      <c r="CD126" s="59">
        <f ca="1">AVERAGE(OFFSET($CC$3,0,0,'Données projet'!$E$12+1,1))-AVERAGE(OFFSET($H$3,0,0,'Données projet'!$E$12+1,1))</f>
        <v>411.67183422518411</v>
      </c>
      <c r="CE126" s="59">
        <f t="shared" si="94"/>
        <v>379.16642539721556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23.9455474315107</v>
      </c>
      <c r="CL126" s="21">
        <f>EXP(-LN(2)/25)*CL125+(1-EXP(-LN(2)/25))/(LN(2)/25)*Calculateur!CG126*Calculateur!CI126*VLOOKUP('Données projet'!$B$12,Paramètres!$A$1:$I$89,3,0)*0.475*44/12</f>
        <v>7.1037163287329594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31.049263760243662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147.79647435897488</v>
      </c>
      <c r="O127" s="13">
        <f>N127*VLOOKUP('Données projet'!$B$9,Paramètres!$A$1:$I$89,3,0)*VLOOKUP('Données projet'!$B$9,Paramètres!$A$1:$I$89,5,0)</f>
        <v>133.72625000000048</v>
      </c>
      <c r="P127" s="13">
        <f t="shared" si="87"/>
        <v>34.855965018185749</v>
      </c>
      <c r="Q127" s="20">
        <f t="shared" si="107"/>
        <v>293.61402449000764</v>
      </c>
      <c r="R127" s="59">
        <f t="shared" si="55"/>
        <v>576.48107627318097</v>
      </c>
      <c r="S127" s="59">
        <f ca="1">AVERAGE(OFFSET($R$3,0,0,'Données projet'!$E$9+1,1))-AVERAGE(OFFSET($H$3,0,0,'Données projet'!$E$9+1,1))</f>
        <v>421.33534980160005</v>
      </c>
      <c r="T127" s="59">
        <f t="shared" si="88"/>
        <v>299.0473530693472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-1.0197709343628959E-13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337.99164391755608</v>
      </c>
      <c r="AO127" s="59">
        <f t="shared" si="90"/>
        <v>421.45428231923393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42.356879694302556</v>
      </c>
      <c r="AV127" s="21">
        <f>EXP(-LN(2)/25)*AV126+(1-EXP(-LN(2)/25))/(LN(2)/25)*Calculateur!AQ127*Calculateur!AS127*VLOOKUP('Données projet'!$B$10,Paramètres!$A$1:$I$89,3,0)*0.475*44/12</f>
        <v>6.7085144001076733</v>
      </c>
      <c r="AW127" s="21">
        <f>EXP(-LN(2)/2)*AW126+(1-EXP(-LN(2)/2))/(LN(2)/2)*AQ127*AT127*VLOOKUP('Données projet'!$B$10,Paramètres!$A$1:$I$89,3,0)*0.475*44/12</f>
        <v>2.3519603385828395E-9</v>
      </c>
      <c r="AX127" s="21">
        <f t="shared" si="60"/>
        <v>49.065394096762191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2.3349358974358978</v>
      </c>
      <c r="BD127" s="12">
        <f>IF('Données projet'!$A$88&gt;35,BD126+BC127-BL126,IF(A127&lt;'Données projet'!$A$88,$BA$205^A127,IF(A127='Données projet'!$A$88,'Données projet'!$B$88,BD126+BC127-BL126)))</f>
        <v>147.79647435897488</v>
      </c>
      <c r="BE127" s="13">
        <f>BD127*VLOOKUP('Données projet'!$B$11,Paramètres!$A$1:$I$89,3,0)*VLOOKUP('Données projet'!$B$11,Paramètres!$A$1:$I$89,5,0)</f>
        <v>149.86562500000053</v>
      </c>
      <c r="BF127" s="13">
        <f t="shared" si="91"/>
        <v>38.54804682725306</v>
      </c>
      <c r="BG127" s="20">
        <f t="shared" si="61"/>
        <v>328.15381176580001</v>
      </c>
      <c r="BH127" s="59">
        <f t="shared" si="62"/>
        <v>611.02086354897335</v>
      </c>
      <c r="BI127" s="59">
        <f ca="1">AVERAGE(OFFSET($BH$3,0,0,'Données projet'!$E$11+1,1))-AVERAGE(OFFSET($H$3,0,0,'Données projet'!$E$11+1,1))</f>
        <v>462.74754756814662</v>
      </c>
      <c r="BJ127" s="59">
        <f t="shared" si="92"/>
        <v>327.65191293226667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141.86823258654061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141.86823258654061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259.99999999999983</v>
      </c>
      <c r="BZ127" s="13">
        <f>BY127*VLOOKUP('Données projet'!$B$12,Paramètres!$A$1:$I$89,3,0)*VLOOKUP('Données projet'!$B$12,Paramètres!$A$1:$I$89,5,0)</f>
        <v>227.13599999999985</v>
      </c>
      <c r="CA127" s="13">
        <f t="shared" si="93"/>
        <v>55.662966886685133</v>
      </c>
      <c r="CB127" s="20">
        <f t="shared" si="64"/>
        <v>492.5415339943097</v>
      </c>
      <c r="CC127" s="59">
        <f t="shared" si="65"/>
        <v>775.40858577748304</v>
      </c>
      <c r="CD127" s="59">
        <f ca="1">AVERAGE(OFFSET($CC$3,0,0,'Données projet'!$E$12+1,1))-AVERAGE(OFFSET($H$3,0,0,'Données projet'!$E$12+1,1))</f>
        <v>411.67183422518411</v>
      </c>
      <c r="CE127" s="59">
        <f t="shared" si="94"/>
        <v>379.16642539721556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23.475989851720552</v>
      </c>
      <c r="CL127" s="21">
        <f>EXP(-LN(2)/25)*CL126+(1-EXP(-LN(2)/25))/(LN(2)/25)*Calculateur!CG127*Calculateur!CI127*VLOOKUP('Données projet'!$B$12,Paramètres!$A$1:$I$89,3,0)*0.475*44/12</f>
        <v>6.9094648321555505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30.385454683876102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150.13141025641079</v>
      </c>
      <c r="O128" s="13">
        <f>N128*VLOOKUP('Données projet'!$B$9,Paramètres!$A$1:$I$89,3,0)*VLOOKUP('Données projet'!$B$9,Paramètres!$A$1:$I$89,5,0)</f>
        <v>135.83890000000048</v>
      </c>
      <c r="P128" s="13">
        <f t="shared" si="87"/>
        <v>35.342088427890417</v>
      </c>
      <c r="Q128" s="20">
        <f t="shared" si="107"/>
        <v>298.14022151190994</v>
      </c>
      <c r="R128" s="59">
        <f t="shared" si="55"/>
        <v>581.1888398808785</v>
      </c>
      <c r="S128" s="59">
        <f ca="1">AVERAGE(OFFSET($R$3,0,0,'Données projet'!$E$9+1,1))-AVERAGE(OFFSET($H$3,0,0,'Données projet'!$E$9+1,1))</f>
        <v>421.33534980160005</v>
      </c>
      <c r="T128" s="59">
        <f t="shared" si="88"/>
        <v>299.0473530693472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-1.0197709343628959E-13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337.99164391755608</v>
      </c>
      <c r="AO128" s="59">
        <f t="shared" si="90"/>
        <v>421.45428231923393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41.526287118642891</v>
      </c>
      <c r="AV128" s="21">
        <f>EXP(-LN(2)/25)*AV127+(1-EXP(-LN(2)/25))/(LN(2)/25)*Calculateur!AQ128*Calculateur!AS128*VLOOKUP('Données projet'!$B$10,Paramètres!$A$1:$I$89,3,0)*0.475*44/12</f>
        <v>6.5250697210512891</v>
      </c>
      <c r="AW128" s="21">
        <f>EXP(-LN(2)/2)*AW127+(1-EXP(-LN(2)/2))/(LN(2)/2)*AQ128*AT128*VLOOKUP('Données projet'!$B$10,Paramètres!$A$1:$I$89,3,0)*0.475*44/12</f>
        <v>1.6630871044937342E-9</v>
      </c>
      <c r="AX128" s="21">
        <f t="shared" si="60"/>
        <v>48.051356841357268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2.3349358974358978</v>
      </c>
      <c r="BD128" s="12">
        <f>IF('Données projet'!$A$88&gt;35,BD127+BC128-BL127,IF(A128&lt;'Données projet'!$A$88,$BA$205^A128,IF(A128='Données projet'!$A$88,'Données projet'!$B$88,BD127+BC128-BL127)))</f>
        <v>150.13141025641079</v>
      </c>
      <c r="BE128" s="13">
        <f>BD128*VLOOKUP('Données projet'!$B$11,Paramètres!$A$1:$I$89,3,0)*VLOOKUP('Données projet'!$B$11,Paramètres!$A$1:$I$89,5,0)</f>
        <v>152.23325000000054</v>
      </c>
      <c r="BF128" s="13">
        <f t="shared" si="91"/>
        <v>39.08566235307034</v>
      </c>
      <c r="BG128" s="20">
        <f t="shared" si="61"/>
        <v>333.21377234826514</v>
      </c>
      <c r="BH128" s="59">
        <f t="shared" si="62"/>
        <v>616.26239071723364</v>
      </c>
      <c r="BI128" s="59">
        <f ca="1">AVERAGE(OFFSET($BH$3,0,0,'Données projet'!$E$11+1,1))-AVERAGE(OFFSET($H$3,0,0,'Données projet'!$E$11+1,1))</f>
        <v>462.74754756814662</v>
      </c>
      <c r="BJ128" s="59">
        <f t="shared" si="92"/>
        <v>327.65191293226667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139.0862830765962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139.0862830765962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259.99999999999983</v>
      </c>
      <c r="BZ128" s="13">
        <f>BY128*VLOOKUP('Données projet'!$B$12,Paramètres!$A$1:$I$89,3,0)*VLOOKUP('Données projet'!$B$12,Paramètres!$A$1:$I$89,5,0)</f>
        <v>227.13599999999985</v>
      </c>
      <c r="CA128" s="13">
        <f t="shared" si="93"/>
        <v>55.662966886685133</v>
      </c>
      <c r="CB128" s="20">
        <f t="shared" si="64"/>
        <v>492.5415339943097</v>
      </c>
      <c r="CC128" s="59">
        <f t="shared" si="65"/>
        <v>775.59015236327821</v>
      </c>
      <c r="CD128" s="59">
        <f ca="1">AVERAGE(OFFSET($CC$3,0,0,'Données projet'!$E$12+1,1))-AVERAGE(OFFSET($H$3,0,0,'Données projet'!$E$12+1,1))</f>
        <v>411.67183422518411</v>
      </c>
      <c r="CE128" s="59">
        <f t="shared" si="94"/>
        <v>379.16642539721556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23.015640009668243</v>
      </c>
      <c r="CL128" s="21">
        <f>EXP(-LN(2)/25)*CL127+(1-EXP(-LN(2)/25))/(LN(2)/25)*Calculateur!CG128*Calculateur!CI128*VLOOKUP('Données projet'!$B$12,Paramètres!$A$1:$I$89,3,0)*0.475*44/12</f>
        <v>6.7205251529672934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29.736165162635537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152.4663461538467</v>
      </c>
      <c r="O129" s="13">
        <f>N129*VLOOKUP('Données projet'!$B$9,Paramètres!$A$1:$I$89,3,0)*VLOOKUP('Données projet'!$B$9,Paramètres!$A$1:$I$89,5,0)</f>
        <v>137.95155000000048</v>
      </c>
      <c r="P129" s="13">
        <f t="shared" si="87"/>
        <v>35.827332555199952</v>
      </c>
      <c r="Q129" s="20">
        <f t="shared" si="107"/>
        <v>302.66488711697406</v>
      </c>
      <c r="R129" s="59">
        <f t="shared" si="55"/>
        <v>585.89192229739626</v>
      </c>
      <c r="S129" s="59">
        <f ca="1">AVERAGE(OFFSET($R$3,0,0,'Données projet'!$E$9+1,1))-AVERAGE(OFFSET($H$3,0,0,'Données projet'!$E$9+1,1))</f>
        <v>421.33534980160005</v>
      </c>
      <c r="T129" s="59">
        <f t="shared" si="88"/>
        <v>299.0473530693472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-1.0197709343628959E-13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337.99164391755608</v>
      </c>
      <c r="AO129" s="59">
        <f t="shared" si="90"/>
        <v>421.45428231923393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40.711981956780463</v>
      </c>
      <c r="AV129" s="21">
        <f>EXP(-LN(2)/25)*AV128+(1-EXP(-LN(2)/25))/(LN(2)/25)*Calculateur!AQ129*Calculateur!AS129*VLOOKUP('Données projet'!$B$10,Paramètres!$A$1:$I$89,3,0)*0.475*44/12</f>
        <v>6.3466413463906379</v>
      </c>
      <c r="AW129" s="21">
        <f>EXP(-LN(2)/2)*AW128+(1-EXP(-LN(2)/2))/(LN(2)/2)*AQ129*AT129*VLOOKUP('Données projet'!$B$10,Paramètres!$A$1:$I$89,3,0)*0.475*44/12</f>
        <v>1.1759801692914198E-9</v>
      </c>
      <c r="AX129" s="21">
        <f t="shared" si="60"/>
        <v>47.05862330434708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2.3349358974358978</v>
      </c>
      <c r="BD129" s="12">
        <f>IF('Données projet'!$A$88&gt;35,BD128+BC129-BL128,IF(A129&lt;'Données projet'!$A$88,$BA$205^A129,IF(A129='Données projet'!$A$88,'Données projet'!$B$88,BD128+BC129-BL128)))</f>
        <v>152.4663461538467</v>
      </c>
      <c r="BE129" s="13">
        <f>BD129*VLOOKUP('Données projet'!$B$11,Paramètres!$A$1:$I$89,3,0)*VLOOKUP('Données projet'!$B$11,Paramètres!$A$1:$I$89,5,0)</f>
        <v>154.60087500000057</v>
      </c>
      <c r="BF129" s="13">
        <f t="shared" si="91"/>
        <v>39.622305459420097</v>
      </c>
      <c r="BG129" s="20">
        <f t="shared" si="61"/>
        <v>338.27203930015764</v>
      </c>
      <c r="BH129" s="59">
        <f t="shared" si="62"/>
        <v>621.49907448057979</v>
      </c>
      <c r="BI129" s="59">
        <f ca="1">AVERAGE(OFFSET($BH$3,0,0,'Données projet'!$E$11+1,1))-AVERAGE(OFFSET($H$3,0,0,'Données projet'!$E$11+1,1))</f>
        <v>462.74754756814662</v>
      </c>
      <c r="BJ129" s="59">
        <f t="shared" si="92"/>
        <v>327.65191293226667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136.35888589972015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136.35888589972015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259.99999999999983</v>
      </c>
      <c r="BZ129" s="13">
        <f>BY129*VLOOKUP('Données projet'!$B$12,Paramètres!$A$1:$I$89,3,0)*VLOOKUP('Données projet'!$B$12,Paramètres!$A$1:$I$89,5,0)</f>
        <v>227.13599999999985</v>
      </c>
      <c r="CA129" s="13">
        <f t="shared" si="93"/>
        <v>55.662966886685133</v>
      </c>
      <c r="CB129" s="20">
        <f t="shared" si="64"/>
        <v>492.5415339943097</v>
      </c>
      <c r="CC129" s="59">
        <f t="shared" si="65"/>
        <v>775.76856917473197</v>
      </c>
      <c r="CD129" s="59">
        <f ca="1">AVERAGE(OFFSET($CC$3,0,0,'Données projet'!$E$12+1,1))-AVERAGE(OFFSET($H$3,0,0,'Données projet'!$E$12+1,1))</f>
        <v>411.67183422518411</v>
      </c>
      <c r="CE129" s="59">
        <f t="shared" si="94"/>
        <v>379.16642539721556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22.564317347232901</v>
      </c>
      <c r="CL129" s="21">
        <f>EXP(-LN(2)/25)*CL128+(1-EXP(-LN(2)/25))/(LN(2)/25)*Calculateur!CG129*Calculateur!CI129*VLOOKUP('Données projet'!$B$12,Paramètres!$A$1:$I$89,3,0)*0.475*44/12</f>
        <v>6.5367520392423453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29.101069386475245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154.80128205128261</v>
      </c>
      <c r="O130" s="13">
        <f>N130*VLOOKUP('Données projet'!$B$9,Paramètres!$A$1:$I$89,3,0)*VLOOKUP('Données projet'!$B$9,Paramètres!$A$1:$I$89,5,0)</f>
        <v>140.06420000000051</v>
      </c>
      <c r="P130" s="13">
        <f t="shared" si="87"/>
        <v>36.311712421027522</v>
      </c>
      <c r="Q130" s="20">
        <f t="shared" si="107"/>
        <v>307.1880474666238</v>
      </c>
      <c r="R130" s="59">
        <f t="shared" si="55"/>
        <v>590.59040432570123</v>
      </c>
      <c r="S130" s="59">
        <f ca="1">AVERAGE(OFFSET($R$3,0,0,'Données projet'!$E$9+1,1))-AVERAGE(OFFSET($H$3,0,0,'Données projet'!$E$9+1,1))</f>
        <v>421.33534980160005</v>
      </c>
      <c r="T130" s="59">
        <f t="shared" si="88"/>
        <v>299.0473530693472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-1.0197709343628959E-13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337.99164391755608</v>
      </c>
      <c r="AO130" s="59">
        <f t="shared" si="90"/>
        <v>421.45428231923393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39.913644822465052</v>
      </c>
      <c r="AV130" s="21">
        <f>EXP(-LN(2)/25)*AV129+(1-EXP(-LN(2)/25))/(LN(2)/25)*Calculateur!AQ130*Calculateur!AS130*VLOOKUP('Données projet'!$B$10,Paramètres!$A$1:$I$89,3,0)*0.475*44/12</f>
        <v>6.173092105018223</v>
      </c>
      <c r="AW130" s="21">
        <f>EXP(-LN(2)/2)*AW129+(1-EXP(-LN(2)/2))/(LN(2)/2)*AQ130*AT130*VLOOKUP('Données projet'!$B$10,Paramètres!$A$1:$I$89,3,0)*0.475*44/12</f>
        <v>8.3154355224686708E-10</v>
      </c>
      <c r="AX130" s="21">
        <f t="shared" si="60"/>
        <v>46.086736928314814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154.80128205128204</v>
      </c>
      <c r="BB130" s="12">
        <f>VLOOKUP(A130,'Données projet'!$A$87:$I$107,9,0)</f>
        <v>2.3349358974358978</v>
      </c>
      <c r="BC130" s="12">
        <f t="array" ref="BC130">INDEX(BB:BB,MIN(IF(ISNUMBER(BB130:BB326),ROW(BB130:BB326),"")))</f>
        <v>2.3349358974358978</v>
      </c>
      <c r="BD130" s="12">
        <f>IF('Données projet'!$A$88&gt;35,BD129+BC130-BL129,IF(A130&lt;'Données projet'!$A$88,$BA$205^A130,IF(A130='Données projet'!$A$88,'Données projet'!$B$88,BD129+BC130-BL129)))</f>
        <v>154.80128205128261</v>
      </c>
      <c r="BE130" s="13">
        <f>BD130*VLOOKUP('Données projet'!$B$11,Paramètres!$A$1:$I$89,3,0)*VLOOKUP('Données projet'!$B$11,Paramètres!$A$1:$I$89,5,0)</f>
        <v>156.96850000000057</v>
      </c>
      <c r="BF130" s="13">
        <f t="shared" si="91"/>
        <v>40.157992758290085</v>
      </c>
      <c r="BG130" s="20">
        <f t="shared" si="61"/>
        <v>343.32864155402285</v>
      </c>
      <c r="BH130" s="59">
        <f t="shared" si="62"/>
        <v>626.73099841310022</v>
      </c>
      <c r="BI130" s="59">
        <f ca="1">AVERAGE(OFFSET($BH$3,0,0,'Données projet'!$E$11+1,1))-AVERAGE(OFFSET($H$3,0,0,'Données projet'!$E$11+1,1))</f>
        <v>462.74754756814662</v>
      </c>
      <c r="BJ130" s="59">
        <f t="shared" si="92"/>
        <v>327.65191293226667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49.916666666666671</v>
      </c>
      <c r="BM130" s="16">
        <f>IF(ISNA(VLOOKUP(A130,'Données projet'!$A$87:$I$107,5,0)),0%,VLOOKUP(A130,'Données projet'!$A$87:$I$107,5,0)*VLOOKUP('Données projet'!$B$11,Paramètres!$A$1:$I$89,7,0))</f>
        <v>0.38700000000000001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155.33914454809639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155.33914454809639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259.99999999999983</v>
      </c>
      <c r="BZ130" s="13">
        <f>BY130*VLOOKUP('Données projet'!$B$12,Paramètres!$A$1:$I$89,3,0)*VLOOKUP('Données projet'!$B$12,Paramètres!$A$1:$I$89,5,0)</f>
        <v>227.13599999999985</v>
      </c>
      <c r="CA130" s="13">
        <f t="shared" si="93"/>
        <v>55.662966886685133</v>
      </c>
      <c r="CB130" s="20">
        <f t="shared" si="64"/>
        <v>492.5415339943097</v>
      </c>
      <c r="CC130" s="59">
        <f t="shared" si="65"/>
        <v>775.94389085338707</v>
      </c>
      <c r="CD130" s="59">
        <f ca="1">AVERAGE(OFFSET($CC$3,0,0,'Données projet'!$E$12+1,1))-AVERAGE(OFFSET($H$3,0,0,'Données projet'!$E$12+1,1))</f>
        <v>411.67183422518411</v>
      </c>
      <c r="CE130" s="59">
        <f t="shared" si="94"/>
        <v>379.16642539721556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22.121844846928276</v>
      </c>
      <c r="CL130" s="21">
        <f>EXP(-LN(2)/25)*CL129+(1-EXP(-LN(2)/25))/(LN(2)/25)*Calculateur!CG130*Calculateur!CI130*VLOOKUP('Données projet'!$B$12,Paramètres!$A$1:$I$89,3,0)*0.475*44/12</f>
        <v>6.3580042109764134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28.479849057904691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106.39102564102619</v>
      </c>
      <c r="O131" s="13">
        <f>N131*VLOOKUP('Données projet'!$B$9,Paramètres!$A$1:$I$89,3,0)*VLOOKUP('Données projet'!$B$9,Paramètres!$A$1:$I$89,5,0)</f>
        <v>96.262600000000489</v>
      </c>
      <c r="P131" s="13">
        <f t="shared" si="87"/>
        <v>26.069649320395936</v>
      </c>
      <c r="Q131" s="20">
        <f t="shared" ref="Q131:Q153" si="108">(O131+P131)*0.475*44/12</f>
        <v>213.06200089969045</v>
      </c>
      <c r="R131" s="59">
        <f t="shared" ref="R131:R194" si="109">Q131+(I131+J131)*44/12</f>
        <v>496.63663799825895</v>
      </c>
      <c r="S131" s="59">
        <f ca="1">AVERAGE(OFFSET($R$3,0,0,'Données projet'!$E$9+1,1))-AVERAGE(OFFSET($H$3,0,0,'Données projet'!$E$9+1,1))</f>
        <v>421.33534980160005</v>
      </c>
      <c r="T131" s="59">
        <f t="shared" si="88"/>
        <v>299.0473530693472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-1.0197709343628959E-13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337.99164391755608</v>
      </c>
      <c r="AO131" s="59">
        <f t="shared" si="90"/>
        <v>421.45428231923393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39.13096259241599</v>
      </c>
      <c r="AV131" s="21">
        <f>EXP(-LN(2)/25)*AV130+(1-EXP(-LN(2)/25))/(LN(2)/25)*Calculateur!AQ131*Calculateur!AS131*VLOOKUP('Données projet'!$B$10,Paramètres!$A$1:$I$89,3,0)*0.475*44/12</f>
        <v>6.0042885767776948</v>
      </c>
      <c r="AW131" s="21">
        <f>EXP(-LN(2)/2)*AW130+(1-EXP(-LN(2)/2))/(LN(2)/2)*AQ131*AT131*VLOOKUP('Données projet'!$B$10,Paramètres!$A$1:$I$89,3,0)*0.475*44/12</f>
        <v>5.8799008464570988E-10</v>
      </c>
      <c r="AX131" s="21">
        <f t="shared" si="60"/>
        <v>45.135251169781675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1.5064102564102591</v>
      </c>
      <c r="BD131" s="12">
        <f>IF('Données projet'!$A$88&gt;35,BD130+BC131-BL130,IF(A131&lt;'Données projet'!$A$88,$BA$205^A131,IF(A131='Données projet'!$A$88,'Données projet'!$B$88,BD130+BC131-BL130)))</f>
        <v>106.39102564102619</v>
      </c>
      <c r="BE131" s="13">
        <f>BD131*VLOOKUP('Données projet'!$B$11,Paramètres!$A$1:$I$89,3,0)*VLOOKUP('Données projet'!$B$11,Paramètres!$A$1:$I$89,5,0)</f>
        <v>107.88050000000057</v>
      </c>
      <c r="BF131" s="13">
        <f t="shared" si="91"/>
        <v>28.83104978583652</v>
      </c>
      <c r="BG131" s="20">
        <f t="shared" si="61"/>
        <v>238.10594921033294</v>
      </c>
      <c r="BH131" s="59">
        <f t="shared" si="62"/>
        <v>521.68058630890141</v>
      </c>
      <c r="BI131" s="59">
        <f ca="1">AVERAGE(OFFSET($BH$3,0,0,'Données projet'!$E$11+1,1))-AVERAGE(OFFSET($H$3,0,0,'Données projet'!$E$11+1,1))</f>
        <v>462.74754756814662</v>
      </c>
      <c r="BJ131" s="59">
        <f t="shared" si="92"/>
        <v>327.65191293226667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152.29303867103084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152.29303867103084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259.99999999999983</v>
      </c>
      <c r="BZ131" s="13">
        <f>BY131*VLOOKUP('Données projet'!$B$12,Paramètres!$A$1:$I$89,3,0)*VLOOKUP('Données projet'!$B$12,Paramètres!$A$1:$I$89,5,0)</f>
        <v>227.13599999999985</v>
      </c>
      <c r="CA131" s="13">
        <f t="shared" si="93"/>
        <v>55.662966886685133</v>
      </c>
      <c r="CB131" s="20">
        <f t="shared" si="64"/>
        <v>492.5415339943097</v>
      </c>
      <c r="CC131" s="59">
        <f t="shared" si="65"/>
        <v>776.11617109287818</v>
      </c>
      <c r="CD131" s="59">
        <f ca="1">AVERAGE(OFFSET($CC$3,0,0,'Données projet'!$E$12+1,1))-AVERAGE(OFFSET($H$3,0,0,'Données projet'!$E$12+1,1))</f>
        <v>411.67183422518411</v>
      </c>
      <c r="CE131" s="59">
        <f t="shared" si="94"/>
        <v>379.16642539721556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21.688048962473047</v>
      </c>
      <c r="CL131" s="21">
        <f>EXP(-LN(2)/25)*CL130+(1-EXP(-LN(2)/25))/(LN(2)/25)*Calculateur!CG131*Calculateur!CI131*VLOOKUP('Données projet'!$B$12,Paramètres!$A$1:$I$89,3,0)*0.475*44/12</f>
        <v>6.1841442514743532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27.872193213947401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107.89743589743645</v>
      </c>
      <c r="O132" s="13">
        <f>N132*VLOOKUP('Données projet'!$B$9,Paramètres!$A$1:$I$89,3,0)*VLOOKUP('Données projet'!$B$9,Paramètres!$A$1:$I$89,5,0)</f>
        <v>97.625600000000489</v>
      </c>
      <c r="P132" s="13">
        <f t="shared" si="87"/>
        <v>26.395540798282454</v>
      </c>
      <c r="Q132" s="20">
        <f t="shared" si="108"/>
        <v>216.00348689034277</v>
      </c>
      <c r="R132" s="59">
        <f t="shared" si="109"/>
        <v>499.74741555140815</v>
      </c>
      <c r="S132" s="59">
        <f ca="1">AVERAGE(OFFSET($R$3,0,0,'Données projet'!$E$9+1,1))-AVERAGE(OFFSET($H$3,0,0,'Données projet'!$E$9+1,1))</f>
        <v>421.33534980160005</v>
      </c>
      <c r="T132" s="59">
        <f t="shared" si="88"/>
        <v>299.0473530693472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-1.0197709343628959E-13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337.99164391755608</v>
      </c>
      <c r="AO132" s="59">
        <f t="shared" si="90"/>
        <v>421.45428231923393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38.363628283509172</v>
      </c>
      <c r="AV132" s="21">
        <f>EXP(-LN(2)/25)*AV131+(1-EXP(-LN(2)/25))/(LN(2)/25)*Calculateur!AQ132*Calculateur!AS132*VLOOKUP('Données projet'!$B$10,Paramètres!$A$1:$I$89,3,0)*0.475*44/12</f>
        <v>5.8401009898938954</v>
      </c>
      <c r="AW132" s="21">
        <f>EXP(-LN(2)/2)*AW131+(1-EXP(-LN(2)/2))/(LN(2)/2)*AQ132*AT132*VLOOKUP('Données projet'!$B$10,Paramètres!$A$1:$I$89,3,0)*0.475*44/12</f>
        <v>4.1577177612343354E-10</v>
      </c>
      <c r="AX132" s="21">
        <f t="shared" ref="AX132:AX153" si="114">SUM(AU132:AW132)</f>
        <v>44.203729273818844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1.5064102564102591</v>
      </c>
      <c r="BD132" s="12">
        <f>IF('Données projet'!$A$88&gt;35,BD131+BC132-BL131,IF(A132&lt;'Données projet'!$A$88,$BA$205^A132,IF(A132='Données projet'!$A$88,'Données projet'!$B$88,BD131+BC132-BL131)))</f>
        <v>107.89743589743645</v>
      </c>
      <c r="BE132" s="13">
        <f>BD132*VLOOKUP('Données projet'!$B$11,Paramètres!$A$1:$I$89,3,0)*VLOOKUP('Données projet'!$B$11,Paramètres!$A$1:$I$89,5,0)</f>
        <v>109.40800000000057</v>
      </c>
      <c r="BF132" s="13">
        <f t="shared" si="91"/>
        <v>29.191460979261141</v>
      </c>
      <c r="BG132" s="20">
        <f t="shared" ref="BG132:BG153" si="115">(BE132+BF132)*0.475*44/12</f>
        <v>241.39406120554747</v>
      </c>
      <c r="BH132" s="59">
        <f t="shared" ref="BH132:BH195" si="116">BG132+(AY132+AZ132)*44/12</f>
        <v>525.13798986661277</v>
      </c>
      <c r="BI132" s="59">
        <f ca="1">AVERAGE(OFFSET($BH$3,0,0,'Données projet'!$E$11+1,1))-AVERAGE(OFFSET($H$3,0,0,'Données projet'!$E$11+1,1))</f>
        <v>462.74754756814662</v>
      </c>
      <c r="BJ132" s="59">
        <f t="shared" si="92"/>
        <v>327.65191293226667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149.30666507227343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149.30666507227343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259.99999999999983</v>
      </c>
      <c r="BZ132" s="13">
        <f>BY132*VLOOKUP('Données projet'!$B$12,Paramètres!$A$1:$I$89,3,0)*VLOOKUP('Données projet'!$B$12,Paramètres!$A$1:$I$89,5,0)</f>
        <v>227.13599999999985</v>
      </c>
      <c r="CA132" s="13">
        <f t="shared" si="93"/>
        <v>55.662966886685133</v>
      </c>
      <c r="CB132" s="20">
        <f t="shared" ref="CB132:CB153" si="118">(BZ132+CA132)*0.475*44/12</f>
        <v>492.5415339943097</v>
      </c>
      <c r="CC132" s="59">
        <f t="shared" ref="CC132:CC195" si="119">CB132+(BT132+BU132)*44/12</f>
        <v>776.28546265537511</v>
      </c>
      <c r="CD132" s="59">
        <f ca="1">AVERAGE(OFFSET($CC$3,0,0,'Données projet'!$E$12+1,1))-AVERAGE(OFFSET($H$3,0,0,'Données projet'!$E$12+1,1))</f>
        <v>411.67183422518411</v>
      </c>
      <c r="CE132" s="59">
        <f t="shared" si="94"/>
        <v>379.16642539721556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21.26275955072262</v>
      </c>
      <c r="CL132" s="21">
        <f>EXP(-LN(2)/25)*CL131+(1-EXP(-LN(2)/25))/(LN(2)/25)*Calculateur!CG132*Calculateur!CI132*VLOOKUP('Données projet'!$B$12,Paramètres!$A$1:$I$89,3,0)*0.475*44/12</f>
        <v>6.0150385017077745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27.277798052430395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109.40384615384671</v>
      </c>
      <c r="O133" s="13">
        <f>N133*VLOOKUP('Données projet'!$B$9,Paramètres!$A$1:$I$89,3,0)*VLOOKUP('Données projet'!$B$9,Paramètres!$A$1:$I$89,5,0)</f>
        <v>98.988600000000503</v>
      </c>
      <c r="P133" s="13">
        <f t="shared" ref="P133:P196" si="141">EXP(-1.0587+0.8836*LN(O133)+0.284)</f>
        <v>26.720903075724102</v>
      </c>
      <c r="Q133" s="20">
        <f t="shared" si="108"/>
        <v>218.94405119022034</v>
      </c>
      <c r="R133" s="59">
        <f t="shared" si="109"/>
        <v>502.85433458365242</v>
      </c>
      <c r="S133" s="59">
        <f ca="1">AVERAGE(OFFSET($R$3,0,0,'Données projet'!$E$9+1,1))-AVERAGE(OFFSET($H$3,0,0,'Données projet'!$E$9+1,1))</f>
        <v>421.33534980160005</v>
      </c>
      <c r="T133" s="59">
        <f t="shared" ref="T133:T196" si="142">$T$3</f>
        <v>299.0473530693472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-1.0197709343628959E-13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337.99164391755608</v>
      </c>
      <c r="AO133" s="59">
        <f t="shared" ref="AO133:AO196" si="144">$AO$3</f>
        <v>421.45428231923393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37.6113409323723</v>
      </c>
      <c r="AV133" s="21">
        <f>EXP(-LN(2)/25)*AV132+(1-EXP(-LN(2)/25))/(LN(2)/25)*Calculateur!AQ133*Calculateur!AS133*VLOOKUP('Données projet'!$B$10,Paramètres!$A$1:$I$89,3,0)*0.475*44/12</f>
        <v>5.6804031212076831</v>
      </c>
      <c r="AW133" s="21">
        <f>EXP(-LN(2)/2)*AW132+(1-EXP(-LN(2)/2))/(LN(2)/2)*AQ133*AT133*VLOOKUP('Données projet'!$B$10,Paramètres!$A$1:$I$89,3,0)*0.475*44/12</f>
        <v>2.9399504232285494E-10</v>
      </c>
      <c r="AX133" s="21">
        <f t="shared" si="114"/>
        <v>43.291744053873977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1.5064102564102591</v>
      </c>
      <c r="BD133" s="12">
        <f>IF('Données projet'!$A$88&gt;35,BD132+BC133-BL132,IF(A133&lt;'Données projet'!$A$88,$BA$205^A133,IF(A133='Données projet'!$A$88,'Données projet'!$B$88,BD132+BC133-BL132)))</f>
        <v>109.40384615384671</v>
      </c>
      <c r="BE133" s="13">
        <f>BD133*VLOOKUP('Données projet'!$B$11,Paramètres!$A$1:$I$89,3,0)*VLOOKUP('Données projet'!$B$11,Paramètres!$A$1:$I$89,5,0)</f>
        <v>110.93550000000057</v>
      </c>
      <c r="BF133" s="13">
        <f t="shared" ref="BF133:BF153" si="145">EXP(-1.0587+0.8836*LN(BE133)+0.284)</f>
        <v>29.551286917234709</v>
      </c>
      <c r="BG133" s="20">
        <f t="shared" si="115"/>
        <v>244.6811538808515</v>
      </c>
      <c r="BH133" s="59">
        <f t="shared" si="116"/>
        <v>528.59143727428363</v>
      </c>
      <c r="BI133" s="59">
        <f ca="1">AVERAGE(OFFSET($BH$3,0,0,'Données projet'!$E$11+1,1))-AVERAGE(OFFSET($H$3,0,0,'Données projet'!$E$11+1,1))</f>
        <v>462.74754756814662</v>
      </c>
      <c r="BJ133" s="59">
        <f t="shared" ref="BJ133:BJ196" si="146">$BJ$3</f>
        <v>327.65191293226667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146.37885243827961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146.37885243827961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259.99999999999983</v>
      </c>
      <c r="BZ133" s="13">
        <f>BY133*VLOOKUP('Données projet'!$B$12,Paramètres!$A$1:$I$89,3,0)*VLOOKUP('Données projet'!$B$12,Paramètres!$A$1:$I$89,5,0)</f>
        <v>227.13599999999985</v>
      </c>
      <c r="CA133" s="13">
        <f t="shared" ref="CA133:CA153" si="147">EXP(-1.0587+0.8836*LN(BZ133)+0.284)</f>
        <v>55.662966886685133</v>
      </c>
      <c r="CB133" s="20">
        <f t="shared" si="118"/>
        <v>492.5415339943097</v>
      </c>
      <c r="CC133" s="59">
        <f t="shared" si="119"/>
        <v>776.45181738774181</v>
      </c>
      <c r="CD133" s="59">
        <f ca="1">AVERAGE(OFFSET($CC$3,0,0,'Données projet'!$E$12+1,1))-AVERAGE(OFFSET($H$3,0,0,'Données projet'!$E$12+1,1))</f>
        <v>411.67183422518411</v>
      </c>
      <c r="CE133" s="59">
        <f t="shared" ref="CE133:CE196" si="148">$CE$3</f>
        <v>379.16642539721556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20.845809804935694</v>
      </c>
      <c r="CL133" s="21">
        <f>EXP(-LN(2)/25)*CL132+(1-EXP(-LN(2)/25))/(LN(2)/25)*Calculateur!CG133*Calculateur!CI133*VLOOKUP('Données projet'!$B$12,Paramètres!$A$1:$I$89,3,0)*0.475*44/12</f>
        <v>5.850556957561448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26.696366762497142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110.91025641025698</v>
      </c>
      <c r="O134" s="13">
        <f>N134*VLOOKUP('Données projet'!$B$9,Paramètres!$A$1:$I$89,3,0)*VLOOKUP('Données projet'!$B$9,Paramètres!$A$1:$I$89,5,0)</f>
        <v>100.3516000000005</v>
      </c>
      <c r="P134" s="13">
        <f t="shared" si="141"/>
        <v>27.045744281593826</v>
      </c>
      <c r="Q134" s="20">
        <f t="shared" si="108"/>
        <v>221.88370795711012</v>
      </c>
      <c r="R134" s="59">
        <f t="shared" si="109"/>
        <v>505.95746020021585</v>
      </c>
      <c r="S134" s="59">
        <f ca="1">AVERAGE(OFFSET($R$3,0,0,'Données projet'!$E$9+1,1))-AVERAGE(OFFSET($H$3,0,0,'Données projet'!$E$9+1,1))</f>
        <v>421.33534980160005</v>
      </c>
      <c r="T134" s="59">
        <f t="shared" si="142"/>
        <v>299.0473530693472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-1.0197709343628959E-13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337.99164391755608</v>
      </c>
      <c r="AO134" s="59">
        <f t="shared" si="144"/>
        <v>421.45428231923393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36.87380547734125</v>
      </c>
      <c r="AV134" s="21">
        <f>EXP(-LN(2)/25)*AV133+(1-EXP(-LN(2)/25))/(LN(2)/25)*Calculateur!AQ134*Calculateur!AS134*VLOOKUP('Données projet'!$B$10,Paramètres!$A$1:$I$89,3,0)*0.475*44/12</f>
        <v>5.5250721991388412</v>
      </c>
      <c r="AW134" s="21">
        <f>EXP(-LN(2)/2)*AW133+(1-EXP(-LN(2)/2))/(LN(2)/2)*AQ134*AT134*VLOOKUP('Données projet'!$B$10,Paramètres!$A$1:$I$89,3,0)*0.475*44/12</f>
        <v>2.0788588806171677E-10</v>
      </c>
      <c r="AX134" s="21">
        <f t="shared" si="114"/>
        <v>42.398877676687974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110.91025641025641</v>
      </c>
      <c r="BB134" s="12">
        <f>VLOOKUP(A134,'Données projet'!$A$87:$I$107,9,0)</f>
        <v>1.5064102564102591</v>
      </c>
      <c r="BC134" s="12">
        <f t="array" ref="BC134">INDEX(BB:BB,MIN(IF(ISNUMBER(BB134:BB330),ROW(BB134:BB330),"")))</f>
        <v>1.5064102564102591</v>
      </c>
      <c r="BD134" s="12">
        <f>IF('Données projet'!$A$88&gt;35,BD133+BC134-BL133,IF(A134&lt;'Données projet'!$A$88,$BA$205^A134,IF(A134='Données projet'!$A$88,'Données projet'!$B$88,BD133+BC134-BL133)))</f>
        <v>110.91025641025698</v>
      </c>
      <c r="BE134" s="13">
        <f>BD134*VLOOKUP('Données projet'!$B$11,Paramètres!$A$1:$I$89,3,0)*VLOOKUP('Données projet'!$B$11,Paramètres!$A$1:$I$89,5,0)</f>
        <v>112.46300000000058</v>
      </c>
      <c r="BF134" s="13">
        <f t="shared" si="145"/>
        <v>29.910536589672557</v>
      </c>
      <c r="BG134" s="20">
        <f t="shared" si="115"/>
        <v>247.96724289368069</v>
      </c>
      <c r="BH134" s="59">
        <f t="shared" si="116"/>
        <v>532.04099513678648</v>
      </c>
      <c r="BI134" s="59">
        <f ca="1">AVERAGE(OFFSET($BH$3,0,0,'Données projet'!$E$11+1,1))-AVERAGE(OFFSET($H$3,0,0,'Données projet'!$E$11+1,1))</f>
        <v>462.74754756814662</v>
      </c>
      <c r="BJ134" s="59">
        <f t="shared" si="146"/>
        <v>327.65191293226667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110.91025641025641</v>
      </c>
      <c r="BM134" s="16">
        <f>IF(ISNA(VLOOKUP(A134,'Données projet'!$A$87:$I$107,5,0)),0%,VLOOKUP(A134,'Données projet'!$A$87:$I$107,5,0)*VLOOKUP('Données projet'!$B$11,Paramètres!$A$1:$I$89,7,0))</f>
        <v>0.38700000000000001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191.62203984280035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191.62203984280035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259.99999999999983</v>
      </c>
      <c r="BZ134" s="13">
        <f>BY134*VLOOKUP('Données projet'!$B$12,Paramètres!$A$1:$I$89,3,0)*VLOOKUP('Données projet'!$B$12,Paramètres!$A$1:$I$89,5,0)</f>
        <v>227.13599999999985</v>
      </c>
      <c r="CA134" s="13">
        <f t="shared" si="147"/>
        <v>55.662966886685133</v>
      </c>
      <c r="CB134" s="20">
        <f t="shared" si="118"/>
        <v>492.5415339943097</v>
      </c>
      <c r="CC134" s="59">
        <f t="shared" si="119"/>
        <v>776.61528623741538</v>
      </c>
      <c r="CD134" s="59">
        <f ca="1">AVERAGE(OFFSET($CC$3,0,0,'Données projet'!$E$12+1,1))-AVERAGE(OFFSET($H$3,0,0,'Données projet'!$E$12+1,1))</f>
        <v>411.67183422518411</v>
      </c>
      <c r="CE134" s="59">
        <f t="shared" si="148"/>
        <v>379.16642539721556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20.437036189349413</v>
      </c>
      <c r="CL134" s="21">
        <f>EXP(-LN(2)/25)*CL133+(1-EXP(-LN(2)/25))/(LN(2)/25)*Calculateur!CG134*Calculateur!CI134*VLOOKUP('Données projet'!$B$12,Paramètres!$A$1:$I$89,3,0)*0.475*44/12</f>
        <v>5.690573169889511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26.127609359238924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5.1431925385259092E-13</v>
      </c>
      <c r="P135" s="13">
        <f t="shared" si="141"/>
        <v>6.3855359115685756E-12</v>
      </c>
      <c r="Q135" s="20">
        <f t="shared" si="108"/>
        <v>1.2017247746441865E-11</v>
      </c>
      <c r="R135" s="59">
        <f t="shared" si="109"/>
        <v>284.23438527371115</v>
      </c>
      <c r="S135" s="59">
        <f ca="1">AVERAGE(OFFSET($R$3,0,0,'Données projet'!$E$9+1,1))-AVERAGE(OFFSET($H$3,0,0,'Données projet'!$E$9+1,1))</f>
        <v>421.33534980160005</v>
      </c>
      <c r="T135" s="59">
        <f t="shared" si="142"/>
        <v>299.0473530693472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-1.0197709343628959E-13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337.99164391755608</v>
      </c>
      <c r="AO135" s="59">
        <f t="shared" si="144"/>
        <v>421.45428231923393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36.15073264273115</v>
      </c>
      <c r="AV135" s="21">
        <f>EXP(-LN(2)/25)*AV134+(1-EXP(-LN(2)/25))/(LN(2)/25)*Calculateur!AQ135*Calculateur!AS135*VLOOKUP('Données projet'!$B$10,Paramètres!$A$1:$I$89,3,0)*0.475*44/12</f>
        <v>5.3739888093024701</v>
      </c>
      <c r="AW135" s="21">
        <f>EXP(-LN(2)/2)*AW134+(1-EXP(-LN(2)/2))/(LN(2)/2)*AQ135*AT135*VLOOKUP('Données projet'!$B$10,Paramètres!$A$1:$I$89,3,0)*0.475*44/12</f>
        <v>1.4699752116142747E-10</v>
      </c>
      <c r="AX135" s="21">
        <f t="shared" si="114"/>
        <v>41.524721452180614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5.6843418860808015E-13</v>
      </c>
      <c r="BE135" s="13">
        <f>BD135*VLOOKUP('Données projet'!$B$11,Paramètres!$A$1:$I$89,3,0)*VLOOKUP('Données projet'!$B$11,Paramètres!$A$1:$I$89,5,0)</f>
        <v>5.763922672485933E-13</v>
      </c>
      <c r="BF135" s="13">
        <f t="shared" si="145"/>
        <v>7.0619171555808457E-12</v>
      </c>
      <c r="BG135" s="20">
        <f t="shared" si="115"/>
        <v>1.3303388911427938E-11</v>
      </c>
      <c r="BH135" s="59">
        <f t="shared" si="116"/>
        <v>284.23438527371246</v>
      </c>
      <c r="BI135" s="59">
        <f ca="1">AVERAGE(OFFSET($BH$3,0,0,'Données projet'!$E$11+1,1))-AVERAGE(OFFSET($H$3,0,0,'Données projet'!$E$11+1,1))</f>
        <v>462.74754756814662</v>
      </c>
      <c r="BJ135" s="59">
        <f t="shared" si="146"/>
        <v>327.65191293226667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187.8644485193866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187.8644485193866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259.99999999999983</v>
      </c>
      <c r="BZ135" s="13">
        <f>BY135*VLOOKUP('Données projet'!$B$12,Paramètres!$A$1:$I$89,3,0)*VLOOKUP('Données projet'!$B$12,Paramètres!$A$1:$I$89,5,0)</f>
        <v>227.13599999999985</v>
      </c>
      <c r="CA135" s="13">
        <f t="shared" si="147"/>
        <v>55.662966886685133</v>
      </c>
      <c r="CB135" s="20">
        <f t="shared" si="118"/>
        <v>492.5415339943097</v>
      </c>
      <c r="CC135" s="59">
        <f t="shared" si="119"/>
        <v>776.77591926800892</v>
      </c>
      <c r="CD135" s="59">
        <f ca="1">AVERAGE(OFFSET($CC$3,0,0,'Données projet'!$E$12+1,1))-AVERAGE(OFFSET($H$3,0,0,'Données projet'!$E$12+1,1))</f>
        <v>411.67183422518411</v>
      </c>
      <c r="CE135" s="59">
        <f t="shared" si="148"/>
        <v>379.16642539721556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20.036278375037494</v>
      </c>
      <c r="CL135" s="21">
        <f>EXP(-LN(2)/25)*CL134+(1-EXP(-LN(2)/25))/(LN(2)/25)*Calculateur!CG135*Calculateur!CI135*VLOOKUP('Données projet'!$B$12,Paramètres!$A$1:$I$89,3,0)*0.475*44/12</f>
        <v>5.5349641473046454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25.571242522342139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5.1431925385259092E-13</v>
      </c>
      <c r="P136" s="13">
        <f t="shared" si="141"/>
        <v>6.3855359115685756E-12</v>
      </c>
      <c r="Q136" s="20">
        <f t="shared" si="108"/>
        <v>1.2017247746441865E-11</v>
      </c>
      <c r="R136" s="59">
        <f t="shared" si="109"/>
        <v>284.39223168034539</v>
      </c>
      <c r="S136" s="59">
        <f ca="1">AVERAGE(OFFSET($R$3,0,0,'Données projet'!$E$9+1,1))-AVERAGE(OFFSET($H$3,0,0,'Données projet'!$E$9+1,1))</f>
        <v>421.33534980160005</v>
      </c>
      <c r="T136" s="59">
        <f t="shared" si="142"/>
        <v>299.0473530693472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-1.0197709343628959E-13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337.99164391755608</v>
      </c>
      <c r="AO136" s="59">
        <f t="shared" si="144"/>
        <v>421.45428231923393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35.44183882537687</v>
      </c>
      <c r="AV136" s="21">
        <f>EXP(-LN(2)/25)*AV135+(1-EXP(-LN(2)/25))/(LN(2)/25)*Calculateur!AQ136*Calculateur!AS136*VLOOKUP('Données projet'!$B$10,Paramètres!$A$1:$I$89,3,0)*0.475*44/12</f>
        <v>5.227036802706305</v>
      </c>
      <c r="AW136" s="21">
        <f>EXP(-LN(2)/2)*AW135+(1-EXP(-LN(2)/2))/(LN(2)/2)*AQ136*AT136*VLOOKUP('Données projet'!$B$10,Paramètres!$A$1:$I$89,3,0)*0.475*44/12</f>
        <v>1.0394294403085838E-10</v>
      </c>
      <c r="AX136" s="21">
        <f t="shared" si="114"/>
        <v>40.668875628187116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5.6843418860808015E-13</v>
      </c>
      <c r="BE136" s="13">
        <f>BD136*VLOOKUP('Données projet'!$B$11,Paramètres!$A$1:$I$89,3,0)*VLOOKUP('Données projet'!$B$11,Paramètres!$A$1:$I$89,5,0)</f>
        <v>5.763922672485933E-13</v>
      </c>
      <c r="BF136" s="13">
        <f t="shared" si="145"/>
        <v>7.0619171555808457E-12</v>
      </c>
      <c r="BG136" s="20">
        <f t="shared" si="115"/>
        <v>1.3303388911427938E-11</v>
      </c>
      <c r="BH136" s="59">
        <f t="shared" si="116"/>
        <v>284.3922316803467</v>
      </c>
      <c r="BI136" s="59">
        <f ca="1">AVERAGE(OFFSET($BH$3,0,0,'Données projet'!$E$11+1,1))-AVERAGE(OFFSET($H$3,0,0,'Données projet'!$E$11+1,1))</f>
        <v>462.74754756814662</v>
      </c>
      <c r="BJ136" s="59">
        <f t="shared" si="146"/>
        <v>327.65191293226667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184.18054126992061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184.18054126992061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259.99999999999983</v>
      </c>
      <c r="BZ136" s="13">
        <f>BY136*VLOOKUP('Données projet'!$B$12,Paramètres!$A$1:$I$89,3,0)*VLOOKUP('Données projet'!$B$12,Paramètres!$A$1:$I$89,5,0)</f>
        <v>227.13599999999985</v>
      </c>
      <c r="CA136" s="13">
        <f t="shared" si="147"/>
        <v>55.662966886685133</v>
      </c>
      <c r="CB136" s="20">
        <f t="shared" si="118"/>
        <v>492.5415339943097</v>
      </c>
      <c r="CC136" s="59">
        <f t="shared" si="119"/>
        <v>776.93376567464315</v>
      </c>
      <c r="CD136" s="59">
        <f ca="1">AVERAGE(OFFSET($CC$3,0,0,'Données projet'!$E$12+1,1))-AVERAGE(OFFSET($H$3,0,0,'Données projet'!$E$12+1,1))</f>
        <v>411.67183422518411</v>
      </c>
      <c r="CE136" s="59">
        <f t="shared" si="148"/>
        <v>379.16642539721556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19.643379177026102</v>
      </c>
      <c r="CL136" s="21">
        <f>EXP(-LN(2)/25)*CL135+(1-EXP(-LN(2)/25))/(LN(2)/25)*Calculateur!CG136*Calculateur!CI136*VLOOKUP('Données projet'!$B$12,Paramètres!$A$1:$I$89,3,0)*0.475*44/12</f>
        <v>5.3836102616254857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25.026989438651587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5.1431925385259092E-13</v>
      </c>
      <c r="P137" s="13">
        <f t="shared" si="141"/>
        <v>6.3855359115685756E-12</v>
      </c>
      <c r="Q137" s="20">
        <f t="shared" si="108"/>
        <v>1.2017247746441865E-11</v>
      </c>
      <c r="R137" s="59">
        <f t="shared" si="109"/>
        <v>284.54733980471627</v>
      </c>
      <c r="S137" s="59">
        <f ca="1">AVERAGE(OFFSET($R$3,0,0,'Données projet'!$E$9+1,1))-AVERAGE(OFFSET($H$3,0,0,'Données projet'!$E$9+1,1))</f>
        <v>421.33534980160005</v>
      </c>
      <c r="T137" s="59">
        <f t="shared" si="142"/>
        <v>299.0473530693472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-1.0197709343628959E-13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337.99164391755608</v>
      </c>
      <c r="AO137" s="59">
        <f t="shared" si="144"/>
        <v>421.45428231923393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34.746845983398373</v>
      </c>
      <c r="AV137" s="21">
        <f>EXP(-LN(2)/25)*AV136+(1-EXP(-LN(2)/25))/(LN(2)/25)*Calculateur!AQ137*Calculateur!AS137*VLOOKUP('Données projet'!$B$10,Paramètres!$A$1:$I$89,3,0)*0.475*44/12</f>
        <v>5.0841032064583818</v>
      </c>
      <c r="AW137" s="21">
        <f>EXP(-LN(2)/2)*AW136+(1-EXP(-LN(2)/2))/(LN(2)/2)*AQ137*AT137*VLOOKUP('Données projet'!$B$10,Paramètres!$A$1:$I$89,3,0)*0.475*44/12</f>
        <v>7.3498760580713735E-11</v>
      </c>
      <c r="AX137" s="21">
        <f t="shared" si="114"/>
        <v>39.830949189930251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5.6843418860808015E-13</v>
      </c>
      <c r="BE137" s="13">
        <f>BD137*VLOOKUP('Données projet'!$B$11,Paramètres!$A$1:$I$89,3,0)*VLOOKUP('Données projet'!$B$11,Paramètres!$A$1:$I$89,5,0)</f>
        <v>5.763922672485933E-13</v>
      </c>
      <c r="BF137" s="13">
        <f t="shared" si="145"/>
        <v>7.0619171555808457E-12</v>
      </c>
      <c r="BG137" s="20">
        <f t="shared" si="115"/>
        <v>1.3303388911427938E-11</v>
      </c>
      <c r="BH137" s="59">
        <f t="shared" si="116"/>
        <v>284.54733980471758</v>
      </c>
      <c r="BI137" s="59">
        <f ca="1">AVERAGE(OFFSET($BH$3,0,0,'Données projet'!$E$11+1,1))-AVERAGE(OFFSET($H$3,0,0,'Données projet'!$E$11+1,1))</f>
        <v>462.74754756814662</v>
      </c>
      <c r="BJ137" s="59">
        <f t="shared" si="146"/>
        <v>327.65191293226667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180.56887319465508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180.56887319465508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259.99999999999983</v>
      </c>
      <c r="BZ137" s="13">
        <f>BY137*VLOOKUP('Données projet'!$B$12,Paramètres!$A$1:$I$89,3,0)*VLOOKUP('Données projet'!$B$12,Paramètres!$A$1:$I$89,5,0)</f>
        <v>227.13599999999985</v>
      </c>
      <c r="CA137" s="13">
        <f t="shared" si="147"/>
        <v>55.662966886685133</v>
      </c>
      <c r="CB137" s="20">
        <f t="shared" si="118"/>
        <v>492.5415339943097</v>
      </c>
      <c r="CC137" s="59">
        <f t="shared" si="119"/>
        <v>777.08887379901398</v>
      </c>
      <c r="CD137" s="59">
        <f ca="1">AVERAGE(OFFSET($CC$3,0,0,'Données projet'!$E$12+1,1))-AVERAGE(OFFSET($H$3,0,0,'Données projet'!$E$12+1,1))</f>
        <v>411.67183422518411</v>
      </c>
      <c r="CE137" s="59">
        <f t="shared" si="148"/>
        <v>379.16642539721556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19.258184492642865</v>
      </c>
      <c r="CL137" s="21">
        <f>EXP(-LN(2)/25)*CL136+(1-EXP(-LN(2)/25))/(LN(2)/25)*Calculateur!CG137*Calculateur!CI137*VLOOKUP('Données projet'!$B$12,Paramètres!$A$1:$I$89,3,0)*0.475*44/12</f>
        <v>5.2363951559095776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24.494579648552442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5.1431925385259092E-13</v>
      </c>
      <c r="P138" s="13">
        <f t="shared" si="141"/>
        <v>6.3855359115685756E-12</v>
      </c>
      <c r="Q138" s="20">
        <f t="shared" si="108"/>
        <v>1.2017247746441865E-11</v>
      </c>
      <c r="R138" s="59">
        <f t="shared" si="109"/>
        <v>284.69975714989914</v>
      </c>
      <c r="S138" s="59">
        <f ca="1">AVERAGE(OFFSET($R$3,0,0,'Données projet'!$E$9+1,1))-AVERAGE(OFFSET($H$3,0,0,'Données projet'!$E$9+1,1))</f>
        <v>421.33534980160005</v>
      </c>
      <c r="T138" s="59">
        <f t="shared" si="142"/>
        <v>299.0473530693472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-1.0197709343628959E-13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337.99164391755608</v>
      </c>
      <c r="AO138" s="59">
        <f t="shared" si="144"/>
        <v>421.45428231923393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34.065481527147298</v>
      </c>
      <c r="AV138" s="21">
        <f>EXP(-LN(2)/25)*AV137+(1-EXP(-LN(2)/25))/(LN(2)/25)*Calculateur!AQ138*Calculateur!AS138*VLOOKUP('Données projet'!$B$10,Paramètres!$A$1:$I$89,3,0)*0.475*44/12</f>
        <v>4.9450781369164094</v>
      </c>
      <c r="AW138" s="21">
        <f>EXP(-LN(2)/2)*AW137+(1-EXP(-LN(2)/2))/(LN(2)/2)*AQ138*AT138*VLOOKUP('Données projet'!$B$10,Paramètres!$A$1:$I$89,3,0)*0.475*44/12</f>
        <v>5.1971472015429192E-11</v>
      </c>
      <c r="AX138" s="21">
        <f t="shared" si="114"/>
        <v>39.010559664115675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5.6843418860808015E-13</v>
      </c>
      <c r="BE138" s="13">
        <f>BD138*VLOOKUP('Données projet'!$B$11,Paramètres!$A$1:$I$89,3,0)*VLOOKUP('Données projet'!$B$11,Paramètres!$A$1:$I$89,5,0)</f>
        <v>5.763922672485933E-13</v>
      </c>
      <c r="BF138" s="13">
        <f t="shared" si="145"/>
        <v>7.0619171555808457E-12</v>
      </c>
      <c r="BG138" s="20">
        <f t="shared" si="115"/>
        <v>1.3303388911427938E-11</v>
      </c>
      <c r="BH138" s="59">
        <f t="shared" si="116"/>
        <v>284.69975714990045</v>
      </c>
      <c r="BI138" s="59">
        <f ca="1">AVERAGE(OFFSET($BH$3,0,0,'Données projet'!$E$11+1,1))-AVERAGE(OFFSET($H$3,0,0,'Données projet'!$E$11+1,1))</f>
        <v>462.74754756814662</v>
      </c>
      <c r="BJ138" s="59">
        <f t="shared" si="146"/>
        <v>327.65191293226667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177.0280277274455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177.0280277274455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259.99999999999983</v>
      </c>
      <c r="BZ138" s="13">
        <f>BY138*VLOOKUP('Données projet'!$B$12,Paramètres!$A$1:$I$89,3,0)*VLOOKUP('Données projet'!$B$12,Paramètres!$A$1:$I$89,5,0)</f>
        <v>227.13599999999985</v>
      </c>
      <c r="CA138" s="13">
        <f t="shared" si="147"/>
        <v>55.662966886685133</v>
      </c>
      <c r="CB138" s="20">
        <f t="shared" si="118"/>
        <v>492.5415339943097</v>
      </c>
      <c r="CC138" s="59">
        <f t="shared" si="119"/>
        <v>777.24129114419679</v>
      </c>
      <c r="CD138" s="59">
        <f ca="1">AVERAGE(OFFSET($CC$3,0,0,'Données projet'!$E$12+1,1))-AVERAGE(OFFSET($H$3,0,0,'Données projet'!$E$12+1,1))</f>
        <v>411.67183422518411</v>
      </c>
      <c r="CE138" s="59">
        <f t="shared" si="148"/>
        <v>379.16642539721556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18.880543241074825</v>
      </c>
      <c r="CL138" s="21">
        <f>EXP(-LN(2)/25)*CL137+(1-EXP(-LN(2)/25))/(LN(2)/25)*Calculateur!CG138*Calculateur!CI138*VLOOKUP('Données projet'!$B$12,Paramètres!$A$1:$I$89,3,0)*0.475*44/12</f>
        <v>5.0932056550011771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23.973748896076003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5.1431925385259092E-13</v>
      </c>
      <c r="P139" s="13">
        <f t="shared" si="141"/>
        <v>6.3855359115685756E-12</v>
      </c>
      <c r="Q139" s="20">
        <f t="shared" si="108"/>
        <v>1.2017247746441865E-11</v>
      </c>
      <c r="R139" s="59">
        <f t="shared" si="109"/>
        <v>284.84953039489722</v>
      </c>
      <c r="S139" s="59">
        <f ca="1">AVERAGE(OFFSET($R$3,0,0,'Données projet'!$E$9+1,1))-AVERAGE(OFFSET($H$3,0,0,'Données projet'!$E$9+1,1))</f>
        <v>421.33534980160005</v>
      </c>
      <c r="T139" s="59">
        <f t="shared" si="142"/>
        <v>299.0473530693472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-1.0197709343628959E-13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337.99164391755608</v>
      </c>
      <c r="AO139" s="59">
        <f t="shared" si="144"/>
        <v>421.45428231923393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33.397478212292022</v>
      </c>
      <c r="AV139" s="21">
        <f>EXP(-LN(2)/25)*AV138+(1-EXP(-LN(2)/25))/(LN(2)/25)*Calculateur!AQ139*Calculateur!AS139*VLOOKUP('Données projet'!$B$10,Paramètres!$A$1:$I$89,3,0)*0.475*44/12</f>
        <v>4.8098547152120732</v>
      </c>
      <c r="AW139" s="21">
        <f>EXP(-LN(2)/2)*AW138+(1-EXP(-LN(2)/2))/(LN(2)/2)*AQ139*AT139*VLOOKUP('Données projet'!$B$10,Paramètres!$A$1:$I$89,3,0)*0.475*44/12</f>
        <v>3.6749380290356867E-11</v>
      </c>
      <c r="AX139" s="21">
        <f t="shared" si="114"/>
        <v>38.207332927540847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5.6843418860808015E-13</v>
      </c>
      <c r="BE139" s="13">
        <f>BD139*VLOOKUP('Données projet'!$B$11,Paramètres!$A$1:$I$89,3,0)*VLOOKUP('Données projet'!$B$11,Paramètres!$A$1:$I$89,5,0)</f>
        <v>5.763922672485933E-13</v>
      </c>
      <c r="BF139" s="13">
        <f t="shared" si="145"/>
        <v>7.0619171555808457E-12</v>
      </c>
      <c r="BG139" s="20">
        <f t="shared" si="115"/>
        <v>1.3303388911427938E-11</v>
      </c>
      <c r="BH139" s="59">
        <f t="shared" si="116"/>
        <v>284.84953039489852</v>
      </c>
      <c r="BI139" s="59">
        <f ca="1">AVERAGE(OFFSET($BH$3,0,0,'Données projet'!$E$11+1,1))-AVERAGE(OFFSET($H$3,0,0,'Données projet'!$E$11+1,1))</f>
        <v>462.74754756814662</v>
      </c>
      <c r="BJ139" s="59">
        <f t="shared" si="146"/>
        <v>327.65191293226667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173.55661608014543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173.55661608014543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259.99999999999983</v>
      </c>
      <c r="BZ139" s="13">
        <f>BY139*VLOOKUP('Données projet'!$B$12,Paramètres!$A$1:$I$89,3,0)*VLOOKUP('Données projet'!$B$12,Paramètres!$A$1:$I$89,5,0)</f>
        <v>227.13599999999985</v>
      </c>
      <c r="CA139" s="13">
        <f t="shared" si="147"/>
        <v>55.662966886685133</v>
      </c>
      <c r="CB139" s="20">
        <f t="shared" si="118"/>
        <v>492.5415339943097</v>
      </c>
      <c r="CC139" s="59">
        <f t="shared" si="119"/>
        <v>777.39106438919498</v>
      </c>
      <c r="CD139" s="59">
        <f ca="1">AVERAGE(OFFSET($CC$3,0,0,'Données projet'!$E$12+1,1))-AVERAGE(OFFSET($H$3,0,0,'Données projet'!$E$12+1,1))</f>
        <v>411.67183422518411</v>
      </c>
      <c r="CE139" s="59">
        <f t="shared" si="148"/>
        <v>379.16642539721556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18.510307304111613</v>
      </c>
      <c r="CL139" s="21">
        <f>EXP(-LN(2)/25)*CL138+(1-EXP(-LN(2)/25))/(LN(2)/25)*Calculateur!CG139*Calculateur!CI139*VLOOKUP('Données projet'!$B$12,Paramètres!$A$1:$I$89,3,0)*0.475*44/12</f>
        <v>4.9539316785251248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23.464238982636736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5.1431925385259092E-13</v>
      </c>
      <c r="P140" s="13">
        <f t="shared" si="141"/>
        <v>6.3855359115685756E-12</v>
      </c>
      <c r="Q140" s="20">
        <f t="shared" si="108"/>
        <v>1.2017247746441865E-11</v>
      </c>
      <c r="R140" s="59">
        <f t="shared" si="109"/>
        <v>284.99670540893737</v>
      </c>
      <c r="S140" s="59">
        <f ca="1">AVERAGE(OFFSET($R$3,0,0,'Données projet'!$E$9+1,1))-AVERAGE(OFFSET($H$3,0,0,'Données projet'!$E$9+1,1))</f>
        <v>421.33534980160005</v>
      </c>
      <c r="T140" s="59">
        <f t="shared" si="142"/>
        <v>299.0473530693472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-1.0197709343628959E-13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337.99164391755608</v>
      </c>
      <c r="AO140" s="59">
        <f t="shared" si="144"/>
        <v>421.45428231923393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32.742574034999272</v>
      </c>
      <c r="AV140" s="21">
        <f>EXP(-LN(2)/25)*AV139+(1-EXP(-LN(2)/25))/(LN(2)/25)*Calculateur!AQ140*Calculateur!AS140*VLOOKUP('Données projet'!$B$10,Paramètres!$A$1:$I$89,3,0)*0.475*44/12</f>
        <v>4.6783289850853329</v>
      </c>
      <c r="AW140" s="21">
        <f>EXP(-LN(2)/2)*AW139+(1-EXP(-LN(2)/2))/(LN(2)/2)*AQ140*AT140*VLOOKUP('Données projet'!$B$10,Paramètres!$A$1:$I$89,3,0)*0.475*44/12</f>
        <v>2.5985736007714596E-11</v>
      </c>
      <c r="AX140" s="21">
        <f t="shared" si="114"/>
        <v>37.420903020110593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5.6843418860808015E-13</v>
      </c>
      <c r="BE140" s="13">
        <f>BD140*VLOOKUP('Données projet'!$B$11,Paramètres!$A$1:$I$89,3,0)*VLOOKUP('Données projet'!$B$11,Paramètres!$A$1:$I$89,5,0)</f>
        <v>5.763922672485933E-13</v>
      </c>
      <c r="BF140" s="13">
        <f t="shared" si="145"/>
        <v>7.0619171555808457E-12</v>
      </c>
      <c r="BG140" s="20">
        <f t="shared" si="115"/>
        <v>1.3303388911427938E-11</v>
      </c>
      <c r="BH140" s="59">
        <f t="shared" si="116"/>
        <v>284.99670540893868</v>
      </c>
      <c r="BI140" s="59">
        <f ca="1">AVERAGE(OFFSET($BH$3,0,0,'Données projet'!$E$11+1,1))-AVERAGE(OFFSET($H$3,0,0,'Données projet'!$E$11+1,1))</f>
        <v>462.74754756814662</v>
      </c>
      <c r="BJ140" s="59">
        <f t="shared" si="146"/>
        <v>327.65191293226667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170.15327669789687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170.15327669789687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259.99999999999983</v>
      </c>
      <c r="BZ140" s="13">
        <f>BY140*VLOOKUP('Données projet'!$B$12,Paramètres!$A$1:$I$89,3,0)*VLOOKUP('Données projet'!$B$12,Paramètres!$A$1:$I$89,5,0)</f>
        <v>227.13599999999985</v>
      </c>
      <c r="CA140" s="13">
        <f t="shared" si="147"/>
        <v>55.662966886685133</v>
      </c>
      <c r="CB140" s="20">
        <f t="shared" si="118"/>
        <v>492.5415339943097</v>
      </c>
      <c r="CC140" s="59">
        <f t="shared" si="119"/>
        <v>777.53823940323514</v>
      </c>
      <c r="CD140" s="59">
        <f ca="1">AVERAGE(OFFSET($CC$3,0,0,'Données projet'!$E$12+1,1))-AVERAGE(OFFSET($H$3,0,0,'Données projet'!$E$12+1,1))</f>
        <v>411.67183422518411</v>
      </c>
      <c r="CE140" s="59">
        <f t="shared" si="148"/>
        <v>379.16642539721556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18.147331468050627</v>
      </c>
      <c r="CL140" s="21">
        <f>EXP(-LN(2)/25)*CL139+(1-EXP(-LN(2)/25))/(LN(2)/25)*Calculateur!CG140*Calculateur!CI140*VLOOKUP('Données projet'!$B$12,Paramètres!$A$1:$I$89,3,0)*0.475*44/12</f>
        <v>4.8184661562599107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22.96579762431054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5.1431925385259092E-13</v>
      </c>
      <c r="P141" s="13">
        <f t="shared" si="141"/>
        <v>6.3855359115685756E-12</v>
      </c>
      <c r="Q141" s="20">
        <f t="shared" si="108"/>
        <v>1.2017247746441865E-11</v>
      </c>
      <c r="R141" s="59">
        <f t="shared" si="109"/>
        <v>285.14132726551793</v>
      </c>
      <c r="S141" s="59">
        <f ca="1">AVERAGE(OFFSET($R$3,0,0,'Données projet'!$E$9+1,1))-AVERAGE(OFFSET($H$3,0,0,'Données projet'!$E$9+1,1))</f>
        <v>421.33534980160005</v>
      </c>
      <c r="T141" s="59">
        <f t="shared" si="142"/>
        <v>299.0473530693472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-1.0197709343628959E-13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337.99164391755608</v>
      </c>
      <c r="AO141" s="59">
        <f t="shared" si="144"/>
        <v>421.45428231923393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32.100512129171129</v>
      </c>
      <c r="AV141" s="21">
        <f>EXP(-LN(2)/25)*AV140+(1-EXP(-LN(2)/25))/(LN(2)/25)*Calculateur!AQ141*Calculateur!AS141*VLOOKUP('Données projet'!$B$10,Paramètres!$A$1:$I$89,3,0)*0.475*44/12</f>
        <v>4.550399832965546</v>
      </c>
      <c r="AW141" s="21">
        <f>EXP(-LN(2)/2)*AW140+(1-EXP(-LN(2)/2))/(LN(2)/2)*AQ141*AT141*VLOOKUP('Données projet'!$B$10,Paramètres!$A$1:$I$89,3,0)*0.475*44/12</f>
        <v>1.8374690145178434E-11</v>
      </c>
      <c r="AX141" s="21">
        <f t="shared" si="114"/>
        <v>36.65091196215505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5.6843418860808015E-13</v>
      </c>
      <c r="BE141" s="13">
        <f>BD141*VLOOKUP('Données projet'!$B$11,Paramètres!$A$1:$I$89,3,0)*VLOOKUP('Données projet'!$B$11,Paramètres!$A$1:$I$89,5,0)</f>
        <v>5.763922672485933E-13</v>
      </c>
      <c r="BF141" s="13">
        <f t="shared" si="145"/>
        <v>7.0619171555808457E-12</v>
      </c>
      <c r="BG141" s="20">
        <f t="shared" si="115"/>
        <v>1.3303388911427938E-11</v>
      </c>
      <c r="BH141" s="59">
        <f t="shared" si="116"/>
        <v>285.14132726551924</v>
      </c>
      <c r="BI141" s="59">
        <f ca="1">AVERAGE(OFFSET($BH$3,0,0,'Données projet'!$E$11+1,1))-AVERAGE(OFFSET($H$3,0,0,'Données projet'!$E$11+1,1))</f>
        <v>462.74754756814662</v>
      </c>
      <c r="BJ141" s="59">
        <f t="shared" si="146"/>
        <v>327.65191293226667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166.81667472510216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166.81667472510216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259.99999999999983</v>
      </c>
      <c r="BZ141" s="13">
        <f>BY141*VLOOKUP('Données projet'!$B$12,Paramètres!$A$1:$I$89,3,0)*VLOOKUP('Données projet'!$B$12,Paramètres!$A$1:$I$89,5,0)</f>
        <v>227.13599999999985</v>
      </c>
      <c r="CA141" s="13">
        <f t="shared" si="147"/>
        <v>55.662966886685133</v>
      </c>
      <c r="CB141" s="20">
        <f t="shared" si="118"/>
        <v>492.5415339943097</v>
      </c>
      <c r="CC141" s="59">
        <f t="shared" si="119"/>
        <v>777.68286125981558</v>
      </c>
      <c r="CD141" s="59">
        <f ca="1">AVERAGE(OFFSET($CC$3,0,0,'Données projet'!$E$12+1,1))-AVERAGE(OFFSET($H$3,0,0,'Données projet'!$E$12+1,1))</f>
        <v>411.67183422518411</v>
      </c>
      <c r="CE141" s="59">
        <f t="shared" si="148"/>
        <v>379.16642539721556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17.7914733667414</v>
      </c>
      <c r="CL141" s="21">
        <f>EXP(-LN(2)/25)*CL140+(1-EXP(-LN(2)/25))/(LN(2)/25)*Calculateur!CG141*Calculateur!CI141*VLOOKUP('Données projet'!$B$12,Paramètres!$A$1:$I$89,3,0)*0.475*44/12</f>
        <v>4.6867049458248609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22.478178312566261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5.1431925385259092E-13</v>
      </c>
      <c r="P142" s="13">
        <f t="shared" si="141"/>
        <v>6.3855359115685756E-12</v>
      </c>
      <c r="Q142" s="20">
        <f t="shared" si="108"/>
        <v>1.2017247746441865E-11</v>
      </c>
      <c r="R142" s="59">
        <f t="shared" si="109"/>
        <v>285.28344025621288</v>
      </c>
      <c r="S142" s="59">
        <f ca="1">AVERAGE(OFFSET($R$3,0,0,'Données projet'!$E$9+1,1))-AVERAGE(OFFSET($H$3,0,0,'Données projet'!$E$9+1,1))</f>
        <v>421.33534980160005</v>
      </c>
      <c r="T142" s="59">
        <f t="shared" si="142"/>
        <v>299.0473530693472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-1.0197709343628959E-13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337.99164391755608</v>
      </c>
      <c r="AO142" s="59">
        <f t="shared" si="144"/>
        <v>421.45428231923393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31.471040665697178</v>
      </c>
      <c r="AV142" s="21">
        <f>EXP(-LN(2)/25)*AV141+(1-EXP(-LN(2)/25))/(LN(2)/25)*Calculateur!AQ142*Calculateur!AS142*VLOOKUP('Données projet'!$B$10,Paramètres!$A$1:$I$89,3,0)*0.475*44/12</f>
        <v>4.4259689102379758</v>
      </c>
      <c r="AW142" s="21">
        <f>EXP(-LN(2)/2)*AW141+(1-EXP(-LN(2)/2))/(LN(2)/2)*AQ142*AT142*VLOOKUP('Données projet'!$B$10,Paramètres!$A$1:$I$89,3,0)*0.475*44/12</f>
        <v>1.2992868003857298E-11</v>
      </c>
      <c r="AX142" s="21">
        <f t="shared" si="114"/>
        <v>35.897009575948147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5.6843418860808015E-13</v>
      </c>
      <c r="BE142" s="13">
        <f>BD142*VLOOKUP('Données projet'!$B$11,Paramètres!$A$1:$I$89,3,0)*VLOOKUP('Données projet'!$B$11,Paramètres!$A$1:$I$89,5,0)</f>
        <v>5.763922672485933E-13</v>
      </c>
      <c r="BF142" s="13">
        <f t="shared" si="145"/>
        <v>7.0619171555808457E-12</v>
      </c>
      <c r="BG142" s="20">
        <f t="shared" si="115"/>
        <v>1.3303388911427938E-11</v>
      </c>
      <c r="BH142" s="59">
        <f t="shared" si="116"/>
        <v>285.28344025621419</v>
      </c>
      <c r="BI142" s="59">
        <f ca="1">AVERAGE(OFFSET($BH$3,0,0,'Données projet'!$E$11+1,1))-AVERAGE(OFFSET($H$3,0,0,'Données projet'!$E$11+1,1))</f>
        <v>462.74754756814662</v>
      </c>
      <c r="BJ142" s="59">
        <f t="shared" si="146"/>
        <v>327.65191293226667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163.54550148186769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163.54550148186769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259.99999999999983</v>
      </c>
      <c r="BZ142" s="13">
        <f>BY142*VLOOKUP('Données projet'!$B$12,Paramètres!$A$1:$I$89,3,0)*VLOOKUP('Données projet'!$B$12,Paramètres!$A$1:$I$89,5,0)</f>
        <v>227.13599999999985</v>
      </c>
      <c r="CA142" s="13">
        <f t="shared" si="147"/>
        <v>55.662966886685133</v>
      </c>
      <c r="CB142" s="20">
        <f t="shared" si="118"/>
        <v>492.5415339943097</v>
      </c>
      <c r="CC142" s="59">
        <f t="shared" si="119"/>
        <v>777.82497425051065</v>
      </c>
      <c r="CD142" s="59">
        <f ca="1">AVERAGE(OFFSET($CC$3,0,0,'Données projet'!$E$12+1,1))-AVERAGE(OFFSET($H$3,0,0,'Données projet'!$E$12+1,1))</f>
        <v>411.67183422518411</v>
      </c>
      <c r="CE142" s="59">
        <f t="shared" si="148"/>
        <v>379.16642539721556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17.442593425746836</v>
      </c>
      <c r="CL142" s="21">
        <f>EXP(-LN(2)/25)*CL141+(1-EXP(-LN(2)/25))/(LN(2)/25)*Calculateur!CG142*Calculateur!CI142*VLOOKUP('Données projet'!$B$12,Paramètres!$A$1:$I$89,3,0)*0.475*44/12</f>
        <v>4.5585467526181782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22.001140178365013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5.1431925385259092E-13</v>
      </c>
      <c r="P143" s="13">
        <f t="shared" si="141"/>
        <v>6.3855359115685756E-12</v>
      </c>
      <c r="Q143" s="20">
        <f t="shared" si="108"/>
        <v>1.2017247746441865E-11</v>
      </c>
      <c r="R143" s="59">
        <f t="shared" si="109"/>
        <v>285.42308790423635</v>
      </c>
      <c r="S143" s="59">
        <f ca="1">AVERAGE(OFFSET($R$3,0,0,'Données projet'!$E$9+1,1))-AVERAGE(OFFSET($H$3,0,0,'Données projet'!$E$9+1,1))</f>
        <v>421.33534980160005</v>
      </c>
      <c r="T143" s="59">
        <f t="shared" si="142"/>
        <v>299.0473530693472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-1.0197709343628959E-13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337.99164391755608</v>
      </c>
      <c r="AO143" s="59">
        <f t="shared" si="144"/>
        <v>421.45428231923393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30.85391275368227</v>
      </c>
      <c r="AV143" s="21">
        <f>EXP(-LN(2)/25)*AV142+(1-EXP(-LN(2)/25))/(LN(2)/25)*Calculateur!AQ143*Calculateur!AS143*VLOOKUP('Données projet'!$B$10,Paramètres!$A$1:$I$89,3,0)*0.475*44/12</f>
        <v>4.3049405576359288</v>
      </c>
      <c r="AW143" s="21">
        <f>EXP(-LN(2)/2)*AW142+(1-EXP(-LN(2)/2))/(LN(2)/2)*AQ143*AT143*VLOOKUP('Données projet'!$B$10,Paramètres!$A$1:$I$89,3,0)*0.475*44/12</f>
        <v>9.1873450725892168E-12</v>
      </c>
      <c r="AX143" s="21">
        <f t="shared" si="114"/>
        <v>35.158853311327384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5.6843418860808015E-13</v>
      </c>
      <c r="BE143" s="13">
        <f>BD143*VLOOKUP('Données projet'!$B$11,Paramètres!$A$1:$I$89,3,0)*VLOOKUP('Données projet'!$B$11,Paramètres!$A$1:$I$89,5,0)</f>
        <v>5.763922672485933E-13</v>
      </c>
      <c r="BF143" s="13">
        <f t="shared" si="145"/>
        <v>7.0619171555808457E-12</v>
      </c>
      <c r="BG143" s="20">
        <f t="shared" si="115"/>
        <v>1.3303388911427938E-11</v>
      </c>
      <c r="BH143" s="59">
        <f t="shared" si="116"/>
        <v>285.42308790423766</v>
      </c>
      <c r="BI143" s="59">
        <f ca="1">AVERAGE(OFFSET($BH$3,0,0,'Données projet'!$E$11+1,1))-AVERAGE(OFFSET($H$3,0,0,'Données projet'!$E$11+1,1))</f>
        <v>462.74754756814662</v>
      </c>
      <c r="BJ143" s="59">
        <f t="shared" si="146"/>
        <v>327.65191293226667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160.33847395071439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160.33847395071439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259.99999999999983</v>
      </c>
      <c r="BZ143" s="13">
        <f>BY143*VLOOKUP('Données projet'!$B$12,Paramètres!$A$1:$I$89,3,0)*VLOOKUP('Données projet'!$B$12,Paramètres!$A$1:$I$89,5,0)</f>
        <v>227.13599999999985</v>
      </c>
      <c r="CA143" s="13">
        <f t="shared" si="147"/>
        <v>55.662966886685133</v>
      </c>
      <c r="CB143" s="20">
        <f t="shared" si="118"/>
        <v>492.5415339943097</v>
      </c>
      <c r="CC143" s="59">
        <f t="shared" si="119"/>
        <v>777.96462189853401</v>
      </c>
      <c r="CD143" s="59">
        <f ca="1">AVERAGE(OFFSET($CC$3,0,0,'Données projet'!$E$12+1,1))-AVERAGE(OFFSET($H$3,0,0,'Données projet'!$E$12+1,1))</f>
        <v>411.67183422518411</v>
      </c>
      <c r="CE143" s="59">
        <f t="shared" si="148"/>
        <v>379.16642539721556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17.100554807599423</v>
      </c>
      <c r="CL143" s="21">
        <f>EXP(-LN(2)/25)*CL142+(1-EXP(-LN(2)/25))/(LN(2)/25)*Calculateur!CG143*Calculateur!CI143*VLOOKUP('Données projet'!$B$12,Paramètres!$A$1:$I$89,3,0)*0.475*44/12</f>
        <v>4.4338930519442794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21.534447859543704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5.1431925385259092E-13</v>
      </c>
      <c r="P144" s="13">
        <f t="shared" si="141"/>
        <v>6.3855359115685756E-12</v>
      </c>
      <c r="Q144" s="20">
        <f t="shared" si="108"/>
        <v>1.2017247746441865E-11</v>
      </c>
      <c r="R144" s="59">
        <f t="shared" si="109"/>
        <v>285.56031297777201</v>
      </c>
      <c r="S144" s="59">
        <f ca="1">AVERAGE(OFFSET($R$3,0,0,'Données projet'!$E$9+1,1))-AVERAGE(OFFSET($H$3,0,0,'Données projet'!$E$9+1,1))</f>
        <v>421.33534980160005</v>
      </c>
      <c r="T144" s="59">
        <f t="shared" si="142"/>
        <v>299.0473530693472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-1.0197709343628959E-13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337.99164391755608</v>
      </c>
      <c r="AO144" s="59">
        <f t="shared" si="144"/>
        <v>421.45428231923393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30.248886343611115</v>
      </c>
      <c r="AV144" s="21">
        <f>EXP(-LN(2)/25)*AV143+(1-EXP(-LN(2)/25))/(LN(2)/25)*Calculateur!AQ144*Calculateur!AS144*VLOOKUP('Données projet'!$B$10,Paramètres!$A$1:$I$89,3,0)*0.475*44/12</f>
        <v>4.1872217317003892</v>
      </c>
      <c r="AW144" s="21">
        <f>EXP(-LN(2)/2)*AW143+(1-EXP(-LN(2)/2))/(LN(2)/2)*AQ144*AT144*VLOOKUP('Données projet'!$B$10,Paramètres!$A$1:$I$89,3,0)*0.475*44/12</f>
        <v>6.496434001928649E-12</v>
      </c>
      <c r="AX144" s="21">
        <f t="shared" si="114"/>
        <v>34.436108075317996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5.6843418860808015E-13</v>
      </c>
      <c r="BE144" s="13">
        <f>BD144*VLOOKUP('Données projet'!$B$11,Paramètres!$A$1:$I$89,3,0)*VLOOKUP('Données projet'!$B$11,Paramètres!$A$1:$I$89,5,0)</f>
        <v>5.763922672485933E-13</v>
      </c>
      <c r="BF144" s="13">
        <f t="shared" si="145"/>
        <v>7.0619171555808457E-12</v>
      </c>
      <c r="BG144" s="20">
        <f t="shared" si="115"/>
        <v>1.3303388911427938E-11</v>
      </c>
      <c r="BH144" s="59">
        <f t="shared" si="116"/>
        <v>285.56031297777332</v>
      </c>
      <c r="BI144" s="59">
        <f ca="1">AVERAGE(OFFSET($BH$3,0,0,'Données projet'!$E$11+1,1))-AVERAGE(OFFSET($H$3,0,0,'Données projet'!$E$11+1,1))</f>
        <v>462.74754756814662</v>
      </c>
      <c r="BJ144" s="59">
        <f t="shared" si="146"/>
        <v>327.65191293226667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157.19433427335335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157.19433427335335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259.99999999999983</v>
      </c>
      <c r="BZ144" s="13">
        <f>BY144*VLOOKUP('Données projet'!$B$12,Paramètres!$A$1:$I$89,3,0)*VLOOKUP('Données projet'!$B$12,Paramètres!$A$1:$I$89,5,0)</f>
        <v>227.13599999999985</v>
      </c>
      <c r="CA144" s="13">
        <f t="shared" si="147"/>
        <v>55.662966886685133</v>
      </c>
      <c r="CB144" s="20">
        <f t="shared" si="118"/>
        <v>492.5415339943097</v>
      </c>
      <c r="CC144" s="59">
        <f t="shared" si="119"/>
        <v>778.10184697206978</v>
      </c>
      <c r="CD144" s="59">
        <f ca="1">AVERAGE(OFFSET($CC$3,0,0,'Données projet'!$E$12+1,1))-AVERAGE(OFFSET($H$3,0,0,'Données projet'!$E$12+1,1))</f>
        <v>411.67183422518411</v>
      </c>
      <c r="CE144" s="59">
        <f t="shared" si="148"/>
        <v>379.16642539721556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16.765223358130925</v>
      </c>
      <c r="CL144" s="21">
        <f>EXP(-LN(2)/25)*CL143+(1-EXP(-LN(2)/25))/(LN(2)/25)*Calculateur!CG144*Calculateur!CI144*VLOOKUP('Données projet'!$B$12,Paramètres!$A$1:$I$89,3,0)*0.475*44/12</f>
        <v>4.3126480132705609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21.077871371401486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5.1431925385259092E-13</v>
      </c>
      <c r="P145" s="13">
        <f t="shared" si="141"/>
        <v>6.3855359115685756E-12</v>
      </c>
      <c r="Q145" s="20">
        <f t="shared" si="108"/>
        <v>1.2017247746441865E-11</v>
      </c>
      <c r="R145" s="59">
        <f t="shared" si="109"/>
        <v>285.69515750307107</v>
      </c>
      <c r="S145" s="59">
        <f ca="1">AVERAGE(OFFSET($R$3,0,0,'Données projet'!$E$9+1,1))-AVERAGE(OFFSET($H$3,0,0,'Données projet'!$E$9+1,1))</f>
        <v>421.33534980160005</v>
      </c>
      <c r="T145" s="59">
        <f t="shared" si="142"/>
        <v>299.0473530693472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-1.0197709343628959E-13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337.99164391755608</v>
      </c>
      <c r="AO145" s="59">
        <f t="shared" si="144"/>
        <v>421.45428231923393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29.655724132411784</v>
      </c>
      <c r="AV145" s="21">
        <f>EXP(-LN(2)/25)*AV144+(1-EXP(-LN(2)/25))/(LN(2)/25)*Calculateur!AQ145*Calculateur!AS145*VLOOKUP('Données projet'!$B$10,Paramètres!$A$1:$I$89,3,0)*0.475*44/12</f>
        <v>4.0727219332506213</v>
      </c>
      <c r="AW145" s="21">
        <f>EXP(-LN(2)/2)*AW144+(1-EXP(-LN(2)/2))/(LN(2)/2)*AQ145*AT145*VLOOKUP('Données projet'!$B$10,Paramètres!$A$1:$I$89,3,0)*0.475*44/12</f>
        <v>4.5936725362946084E-12</v>
      </c>
      <c r="AX145" s="21">
        <f t="shared" si="114"/>
        <v>33.728446065667001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5.6843418860808015E-13</v>
      </c>
      <c r="BE145" s="13">
        <f>BD145*VLOOKUP('Données projet'!$B$11,Paramètres!$A$1:$I$89,3,0)*VLOOKUP('Données projet'!$B$11,Paramètres!$A$1:$I$89,5,0)</f>
        <v>5.763922672485933E-13</v>
      </c>
      <c r="BF145" s="13">
        <f t="shared" si="145"/>
        <v>7.0619171555808457E-12</v>
      </c>
      <c r="BG145" s="20">
        <f t="shared" si="115"/>
        <v>1.3303388911427938E-11</v>
      </c>
      <c r="BH145" s="59">
        <f t="shared" si="116"/>
        <v>285.69515750307238</v>
      </c>
      <c r="BI145" s="59">
        <f ca="1">AVERAGE(OFFSET($BH$3,0,0,'Données projet'!$E$11+1,1))-AVERAGE(OFFSET($H$3,0,0,'Données projet'!$E$11+1,1))</f>
        <v>462.74754756814662</v>
      </c>
      <c r="BJ145" s="59">
        <f t="shared" si="146"/>
        <v>327.65191293226667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154.11184925732951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154.11184925732951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259.99999999999983</v>
      </c>
      <c r="BZ145" s="13">
        <f>BY145*VLOOKUP('Données projet'!$B$12,Paramètres!$A$1:$I$89,3,0)*VLOOKUP('Données projet'!$B$12,Paramètres!$A$1:$I$89,5,0)</f>
        <v>227.13599999999985</v>
      </c>
      <c r="CA145" s="13">
        <f t="shared" si="147"/>
        <v>55.662966886685133</v>
      </c>
      <c r="CB145" s="20">
        <f t="shared" si="118"/>
        <v>492.5415339943097</v>
      </c>
      <c r="CC145" s="59">
        <f t="shared" si="119"/>
        <v>778.23669149736884</v>
      </c>
      <c r="CD145" s="59">
        <f ca="1">AVERAGE(OFFSET($CC$3,0,0,'Données projet'!$E$12+1,1))-AVERAGE(OFFSET($H$3,0,0,'Données projet'!$E$12+1,1))</f>
        <v>411.67183422518411</v>
      </c>
      <c r="CE145" s="59">
        <f t="shared" si="148"/>
        <v>379.16642539721556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16.436467553854513</v>
      </c>
      <c r="CL145" s="21">
        <f>EXP(-LN(2)/25)*CL144+(1-EXP(-LN(2)/25))/(LN(2)/25)*Calculateur!CG145*Calculateur!CI145*VLOOKUP('Données projet'!$B$12,Paramètres!$A$1:$I$89,3,0)*0.475*44/12</f>
        <v>4.194718426555375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20.631185980409889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5.1431925385259092E-13</v>
      </c>
      <c r="P146" s="13">
        <f t="shared" si="141"/>
        <v>6.3855359115685756E-12</v>
      </c>
      <c r="Q146" s="20">
        <f t="shared" si="108"/>
        <v>1.2017247746441865E-11</v>
      </c>
      <c r="R146" s="59">
        <f t="shared" si="109"/>
        <v>285.82766277732344</v>
      </c>
      <c r="S146" s="59">
        <f ca="1">AVERAGE(OFFSET($R$3,0,0,'Données projet'!$E$9+1,1))-AVERAGE(OFFSET($H$3,0,0,'Données projet'!$E$9+1,1))</f>
        <v>421.33534980160005</v>
      </c>
      <c r="T146" s="59">
        <f t="shared" si="142"/>
        <v>299.0473530693472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-1.0197709343628959E-13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337.99164391755608</v>
      </c>
      <c r="AO146" s="59">
        <f t="shared" si="144"/>
        <v>421.45428231923393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29.074193470380848</v>
      </c>
      <c r="AV146" s="21">
        <f>EXP(-LN(2)/25)*AV145+(1-EXP(-LN(2)/25))/(LN(2)/25)*Calculateur!AQ146*Calculateur!AS146*VLOOKUP('Données projet'!$B$10,Paramètres!$A$1:$I$89,3,0)*0.475*44/12</f>
        <v>3.9613531378107449</v>
      </c>
      <c r="AW146" s="21">
        <f>EXP(-LN(2)/2)*AW145+(1-EXP(-LN(2)/2))/(LN(2)/2)*AQ146*AT146*VLOOKUP('Données projet'!$B$10,Paramètres!$A$1:$I$89,3,0)*0.475*44/12</f>
        <v>3.2482170009643245E-12</v>
      </c>
      <c r="AX146" s="21">
        <f t="shared" si="114"/>
        <v>33.035546608194842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5.6843418860808015E-13</v>
      </c>
      <c r="BE146" s="13">
        <f>BD146*VLOOKUP('Données projet'!$B$11,Paramètres!$A$1:$I$89,3,0)*VLOOKUP('Données projet'!$B$11,Paramètres!$A$1:$I$89,5,0)</f>
        <v>5.763922672485933E-13</v>
      </c>
      <c r="BF146" s="13">
        <f t="shared" si="145"/>
        <v>7.0619171555808457E-12</v>
      </c>
      <c r="BG146" s="20">
        <f t="shared" si="115"/>
        <v>1.3303388911427938E-11</v>
      </c>
      <c r="BH146" s="59">
        <f t="shared" si="116"/>
        <v>285.82766277732475</v>
      </c>
      <c r="BI146" s="59">
        <f ca="1">AVERAGE(OFFSET($BH$3,0,0,'Données projet'!$E$11+1,1))-AVERAGE(OFFSET($H$3,0,0,'Données projet'!$E$11+1,1))</f>
        <v>462.74754756814662</v>
      </c>
      <c r="BJ146" s="59">
        <f t="shared" si="146"/>
        <v>327.65191293226667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151.0898098923397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151.0898098923397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259.99999999999983</v>
      </c>
      <c r="BZ146" s="13">
        <f>BY146*VLOOKUP('Données projet'!$B$12,Paramètres!$A$1:$I$89,3,0)*VLOOKUP('Données projet'!$B$12,Paramètres!$A$1:$I$89,5,0)</f>
        <v>227.13599999999985</v>
      </c>
      <c r="CA146" s="13">
        <f t="shared" si="147"/>
        <v>55.662966886685133</v>
      </c>
      <c r="CB146" s="20">
        <f t="shared" si="118"/>
        <v>492.5415339943097</v>
      </c>
      <c r="CC146" s="59">
        <f t="shared" si="119"/>
        <v>778.36919677162109</v>
      </c>
      <c r="CD146" s="59">
        <f ca="1">AVERAGE(OFFSET($CC$3,0,0,'Données projet'!$E$12+1,1))-AVERAGE(OFFSET($H$3,0,0,'Données projet'!$E$12+1,1))</f>
        <v>411.67183422518411</v>
      </c>
      <c r="CE146" s="59">
        <f t="shared" si="148"/>
        <v>379.16642539721556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16.114158450378721</v>
      </c>
      <c r="CL146" s="21">
        <f>EXP(-LN(2)/25)*CL145+(1-EXP(-LN(2)/25))/(LN(2)/25)*Calculateur!CG146*Calculateur!CI146*VLOOKUP('Données projet'!$B$12,Paramètres!$A$1:$I$89,3,0)*0.475*44/12</f>
        <v>4.080013630590563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20.194172080969285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5.1431925385259092E-13</v>
      </c>
      <c r="P147" s="13">
        <f t="shared" si="141"/>
        <v>6.3855359115685756E-12</v>
      </c>
      <c r="Q147" s="20">
        <f t="shared" si="108"/>
        <v>1.2017247746441865E-11</v>
      </c>
      <c r="R147" s="59">
        <f t="shared" si="109"/>
        <v>285.95786938130487</v>
      </c>
      <c r="S147" s="59">
        <f ca="1">AVERAGE(OFFSET($R$3,0,0,'Données projet'!$E$9+1,1))-AVERAGE(OFFSET($H$3,0,0,'Données projet'!$E$9+1,1))</f>
        <v>421.33534980160005</v>
      </c>
      <c r="T147" s="59">
        <f t="shared" si="142"/>
        <v>299.0473530693472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-1.0197709343628959E-13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337.99164391755608</v>
      </c>
      <c r="AO147" s="59">
        <f t="shared" si="144"/>
        <v>421.45428231923393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28.504066269933659</v>
      </c>
      <c r="AV147" s="21">
        <f>EXP(-LN(2)/25)*AV146+(1-EXP(-LN(2)/25))/(LN(2)/25)*Calculateur!AQ147*Calculateur!AS147*VLOOKUP('Données projet'!$B$10,Paramètres!$A$1:$I$89,3,0)*0.475*44/12</f>
        <v>3.8530297279388024</v>
      </c>
      <c r="AW147" s="21">
        <f>EXP(-LN(2)/2)*AW146+(1-EXP(-LN(2)/2))/(LN(2)/2)*AQ147*AT147*VLOOKUP('Données projet'!$B$10,Paramètres!$A$1:$I$89,3,0)*0.475*44/12</f>
        <v>2.2968362681473042E-12</v>
      </c>
      <c r="AX147" s="21">
        <f t="shared" si="114"/>
        <v>32.357095997874758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5.6843418860808015E-13</v>
      </c>
      <c r="BE147" s="13">
        <f>BD147*VLOOKUP('Données projet'!$B$11,Paramètres!$A$1:$I$89,3,0)*VLOOKUP('Données projet'!$B$11,Paramètres!$A$1:$I$89,5,0)</f>
        <v>5.763922672485933E-13</v>
      </c>
      <c r="BF147" s="13">
        <f t="shared" si="145"/>
        <v>7.0619171555808457E-12</v>
      </c>
      <c r="BG147" s="20">
        <f t="shared" si="115"/>
        <v>1.3303388911427938E-11</v>
      </c>
      <c r="BH147" s="59">
        <f t="shared" si="116"/>
        <v>285.95786938130618</v>
      </c>
      <c r="BI147" s="59">
        <f ca="1">AVERAGE(OFFSET($BH$3,0,0,'Données projet'!$E$11+1,1))-AVERAGE(OFFSET($H$3,0,0,'Données projet'!$E$11+1,1))</f>
        <v>462.74754756814662</v>
      </c>
      <c r="BJ147" s="59">
        <f t="shared" si="146"/>
        <v>327.65191293226667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148.12703087603535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148.12703087603535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259.99999999999983</v>
      </c>
      <c r="BZ147" s="13">
        <f>BY147*VLOOKUP('Données projet'!$B$12,Paramètres!$A$1:$I$89,3,0)*VLOOKUP('Données projet'!$B$12,Paramètres!$A$1:$I$89,5,0)</f>
        <v>227.13599999999985</v>
      </c>
      <c r="CA147" s="13">
        <f t="shared" si="147"/>
        <v>55.662966886685133</v>
      </c>
      <c r="CB147" s="20">
        <f t="shared" si="118"/>
        <v>492.5415339943097</v>
      </c>
      <c r="CC147" s="59">
        <f t="shared" si="119"/>
        <v>778.49940337560258</v>
      </c>
      <c r="CD147" s="59">
        <f ca="1">AVERAGE(OFFSET($CC$3,0,0,'Données projet'!$E$12+1,1))-AVERAGE(OFFSET($H$3,0,0,'Données projet'!$E$12+1,1))</f>
        <v>411.67183422518411</v>
      </c>
      <c r="CE147" s="59">
        <f t="shared" si="148"/>
        <v>379.16642539721556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15.798169631832948</v>
      </c>
      <c r="CL147" s="21">
        <f>EXP(-LN(2)/25)*CL146+(1-EXP(-LN(2)/25))/(LN(2)/25)*Calculateur!CG147*Calculateur!CI147*VLOOKUP('Données projet'!$B$12,Paramètres!$A$1:$I$89,3,0)*0.475*44/12</f>
        <v>3.9684454433034722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19.766615075136421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5.1431925385259092E-13</v>
      </c>
      <c r="P148" s="13">
        <f t="shared" si="141"/>
        <v>6.3855359115685756E-12</v>
      </c>
      <c r="Q148" s="20">
        <f t="shared" si="108"/>
        <v>1.2017247746441865E-11</v>
      </c>
      <c r="R148" s="59">
        <f t="shared" si="109"/>
        <v>286.08581719180557</v>
      </c>
      <c r="S148" s="59">
        <f ca="1">AVERAGE(OFFSET($R$3,0,0,'Données projet'!$E$9+1,1))-AVERAGE(OFFSET($H$3,0,0,'Données projet'!$E$9+1,1))</f>
        <v>421.33534980160005</v>
      </c>
      <c r="T148" s="59">
        <f t="shared" si="142"/>
        <v>299.0473530693472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-1.0197709343628959E-13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337.99164391755608</v>
      </c>
      <c r="AO148" s="59">
        <f t="shared" si="144"/>
        <v>421.45428231923393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27.945118916143983</v>
      </c>
      <c r="AV148" s="21">
        <f>EXP(-LN(2)/25)*AV147+(1-EXP(-LN(2)/25))/(LN(2)/25)*Calculateur!AQ148*Calculateur!AS148*VLOOKUP('Données projet'!$B$10,Paramètres!$A$1:$I$89,3,0)*0.475*44/12</f>
        <v>3.7476684274062886</v>
      </c>
      <c r="AW148" s="21">
        <f>EXP(-LN(2)/2)*AW147+(1-EXP(-LN(2)/2))/(LN(2)/2)*AQ148*AT148*VLOOKUP('Données projet'!$B$10,Paramètres!$A$1:$I$89,3,0)*0.475*44/12</f>
        <v>1.6241085004821623E-12</v>
      </c>
      <c r="AX148" s="21">
        <f t="shared" si="114"/>
        <v>31.692787343551895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5.6843418860808015E-13</v>
      </c>
      <c r="BE148" s="13">
        <f>BD148*VLOOKUP('Données projet'!$B$11,Paramètres!$A$1:$I$89,3,0)*VLOOKUP('Données projet'!$B$11,Paramètres!$A$1:$I$89,5,0)</f>
        <v>5.763922672485933E-13</v>
      </c>
      <c r="BF148" s="13">
        <f t="shared" si="145"/>
        <v>7.0619171555808457E-12</v>
      </c>
      <c r="BG148" s="20">
        <f t="shared" si="115"/>
        <v>1.3303388911427938E-11</v>
      </c>
      <c r="BH148" s="59">
        <f t="shared" si="116"/>
        <v>286.08581719180688</v>
      </c>
      <c r="BI148" s="59">
        <f ca="1">AVERAGE(OFFSET($BH$3,0,0,'Données projet'!$E$11+1,1))-AVERAGE(OFFSET($H$3,0,0,'Données projet'!$E$11+1,1))</f>
        <v>462.74754756814662</v>
      </c>
      <c r="BJ148" s="59">
        <f t="shared" si="146"/>
        <v>327.65191293226667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145.22235014912394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145.22235014912394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259.99999999999983</v>
      </c>
      <c r="BZ148" s="13">
        <f>BY148*VLOOKUP('Données projet'!$B$12,Paramètres!$A$1:$I$89,3,0)*VLOOKUP('Données projet'!$B$12,Paramètres!$A$1:$I$89,5,0)</f>
        <v>227.13599999999985</v>
      </c>
      <c r="CA148" s="13">
        <f t="shared" si="147"/>
        <v>55.662966886685133</v>
      </c>
      <c r="CB148" s="20">
        <f t="shared" si="118"/>
        <v>492.5415339943097</v>
      </c>
      <c r="CC148" s="59">
        <f t="shared" si="119"/>
        <v>778.62735118610328</v>
      </c>
      <c r="CD148" s="59">
        <f ca="1">AVERAGE(OFFSET($CC$3,0,0,'Données projet'!$E$12+1,1))-AVERAGE(OFFSET($H$3,0,0,'Données projet'!$E$12+1,1))</f>
        <v>411.67183422518411</v>
      </c>
      <c r="CE148" s="59">
        <f t="shared" si="148"/>
        <v>379.16642539721556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15.48837716128471</v>
      </c>
      <c r="CL148" s="21">
        <f>EXP(-LN(2)/25)*CL147+(1-EXP(-LN(2)/25))/(LN(2)/25)*Calculateur!CG148*Calculateur!CI148*VLOOKUP('Données projet'!$B$12,Paramètres!$A$1:$I$89,3,0)*0.475*44/12</f>
        <v>3.859928093964863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19.348305255249574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5.1431925385259092E-13</v>
      </c>
      <c r="P149" s="13">
        <f t="shared" si="141"/>
        <v>6.3855359115685756E-12</v>
      </c>
      <c r="Q149" s="20">
        <f t="shared" si="108"/>
        <v>1.2017247746441865E-11</v>
      </c>
      <c r="R149" s="59">
        <f t="shared" si="109"/>
        <v>286.21154539384264</v>
      </c>
      <c r="S149" s="59">
        <f ca="1">AVERAGE(OFFSET($R$3,0,0,'Données projet'!$E$9+1,1))-AVERAGE(OFFSET($H$3,0,0,'Données projet'!$E$9+1,1))</f>
        <v>421.33534980160005</v>
      </c>
      <c r="T149" s="59">
        <f t="shared" si="142"/>
        <v>299.0473530693472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-1.0197709343628959E-13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337.99164391755608</v>
      </c>
      <c r="AO149" s="59">
        <f t="shared" si="144"/>
        <v>421.45428231923393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27.3971321790379</v>
      </c>
      <c r="AV149" s="21">
        <f>EXP(-LN(2)/25)*AV148+(1-EXP(-LN(2)/25))/(LN(2)/25)*Calculateur!AQ149*Calculateur!AS149*VLOOKUP('Données projet'!$B$10,Paramètres!$A$1:$I$89,3,0)*0.475*44/12</f>
        <v>3.6451882371775466</v>
      </c>
      <c r="AW149" s="21">
        <f>EXP(-LN(2)/2)*AW148+(1-EXP(-LN(2)/2))/(LN(2)/2)*AQ149*AT149*VLOOKUP('Données projet'!$B$10,Paramètres!$A$1:$I$89,3,0)*0.475*44/12</f>
        <v>1.1484181340736521E-12</v>
      </c>
      <c r="AX149" s="21">
        <f t="shared" si="114"/>
        <v>31.042320416216594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5.6843418860808015E-13</v>
      </c>
      <c r="BE149" s="13">
        <f>BD149*VLOOKUP('Données projet'!$B$11,Paramètres!$A$1:$I$89,3,0)*VLOOKUP('Données projet'!$B$11,Paramètres!$A$1:$I$89,5,0)</f>
        <v>5.763922672485933E-13</v>
      </c>
      <c r="BF149" s="13">
        <f t="shared" si="145"/>
        <v>7.0619171555808457E-12</v>
      </c>
      <c r="BG149" s="20">
        <f t="shared" si="115"/>
        <v>1.3303388911427938E-11</v>
      </c>
      <c r="BH149" s="59">
        <f t="shared" si="116"/>
        <v>286.21154539384395</v>
      </c>
      <c r="BI149" s="59">
        <f ca="1">AVERAGE(OFFSET($BH$3,0,0,'Données projet'!$E$11+1,1))-AVERAGE(OFFSET($H$3,0,0,'Données projet'!$E$11+1,1))</f>
        <v>462.74754756814662</v>
      </c>
      <c r="BJ149" s="59">
        <f t="shared" si="146"/>
        <v>327.65191293226667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142.37462843958696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142.37462843958696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259.99999999999983</v>
      </c>
      <c r="BZ149" s="13">
        <f>BY149*VLOOKUP('Données projet'!$B$12,Paramètres!$A$1:$I$89,3,0)*VLOOKUP('Données projet'!$B$12,Paramètres!$A$1:$I$89,5,0)</f>
        <v>227.13599999999985</v>
      </c>
      <c r="CA149" s="13">
        <f t="shared" si="147"/>
        <v>55.662966886685133</v>
      </c>
      <c r="CB149" s="20">
        <f t="shared" si="118"/>
        <v>492.5415339943097</v>
      </c>
      <c r="CC149" s="59">
        <f t="shared" si="119"/>
        <v>778.75307938814035</v>
      </c>
      <c r="CD149" s="59">
        <f ca="1">AVERAGE(OFFSET($CC$3,0,0,'Données projet'!$E$12+1,1))-AVERAGE(OFFSET($H$3,0,0,'Données projet'!$E$12+1,1))</f>
        <v>411.67183422518411</v>
      </c>
      <c r="CE149" s="59">
        <f t="shared" si="148"/>
        <v>379.16642539721556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15.184659532129174</v>
      </c>
      <c r="CL149" s="21">
        <f>EXP(-LN(2)/25)*CL148+(1-EXP(-LN(2)/25))/(LN(2)/25)*Calculateur!CG149*Calculateur!CI149*VLOOKUP('Données projet'!$B$12,Paramètres!$A$1:$I$89,3,0)*0.475*44/12</f>
        <v>3.7543781572505974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18.939037689379774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5.1431925385259092E-13</v>
      </c>
      <c r="P150" s="13">
        <f t="shared" si="141"/>
        <v>6.3855359115685756E-12</v>
      </c>
      <c r="Q150" s="20">
        <f t="shared" si="108"/>
        <v>1.2017247746441865E-11</v>
      </c>
      <c r="R150" s="59">
        <f t="shared" si="109"/>
        <v>286.33509249266041</v>
      </c>
      <c r="S150" s="59">
        <f ca="1">AVERAGE(OFFSET($R$3,0,0,'Données projet'!$E$9+1,1))-AVERAGE(OFFSET($H$3,0,0,'Données projet'!$E$9+1,1))</f>
        <v>421.33534980160005</v>
      </c>
      <c r="T150" s="59">
        <f t="shared" si="142"/>
        <v>299.0473530693472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-1.0197709343628959E-13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337.99164391755608</v>
      </c>
      <c r="AO150" s="59">
        <f t="shared" si="144"/>
        <v>421.45428231923393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26.859891127607561</v>
      </c>
      <c r="AV150" s="21">
        <f>EXP(-LN(2)/25)*AV149+(1-EXP(-LN(2)/25))/(LN(2)/25)*Calculateur!AQ150*Calculateur!AS150*VLOOKUP('Données projet'!$B$10,Paramètres!$A$1:$I$89,3,0)*0.475*44/12</f>
        <v>3.5455103731398085</v>
      </c>
      <c r="AW150" s="21">
        <f>EXP(-LN(2)/2)*AW149+(1-EXP(-LN(2)/2))/(LN(2)/2)*AQ150*AT150*VLOOKUP('Données projet'!$B$10,Paramètres!$A$1:$I$89,3,0)*0.475*44/12</f>
        <v>8.1205425024108113E-13</v>
      </c>
      <c r="AX150" s="21">
        <f t="shared" si="114"/>
        <v>30.405401500748184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5.6843418860808015E-13</v>
      </c>
      <c r="BE150" s="13">
        <f>BD150*VLOOKUP('Données projet'!$B$11,Paramètres!$A$1:$I$89,3,0)*VLOOKUP('Données projet'!$B$11,Paramètres!$A$1:$I$89,5,0)</f>
        <v>5.763922672485933E-13</v>
      </c>
      <c r="BF150" s="13">
        <f t="shared" si="145"/>
        <v>7.0619171555808457E-12</v>
      </c>
      <c r="BG150" s="20">
        <f t="shared" si="115"/>
        <v>1.3303388911427938E-11</v>
      </c>
      <c r="BH150" s="59">
        <f t="shared" si="116"/>
        <v>286.33509249266172</v>
      </c>
      <c r="BI150" s="59">
        <f ca="1">AVERAGE(OFFSET($BH$3,0,0,'Données projet'!$E$11+1,1))-AVERAGE(OFFSET($H$3,0,0,'Données projet'!$E$11+1,1))</f>
        <v>462.74754756814662</v>
      </c>
      <c r="BJ150" s="59">
        <f t="shared" si="146"/>
        <v>327.65191293226667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139.58274881583526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139.58274881583526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259.99999999999983</v>
      </c>
      <c r="BZ150" s="13">
        <f>BY150*VLOOKUP('Données projet'!$B$12,Paramètres!$A$1:$I$89,3,0)*VLOOKUP('Données projet'!$B$12,Paramètres!$A$1:$I$89,5,0)</f>
        <v>227.13599999999985</v>
      </c>
      <c r="CA150" s="13">
        <f t="shared" si="147"/>
        <v>55.662966886685133</v>
      </c>
      <c r="CB150" s="20">
        <f t="shared" si="118"/>
        <v>492.5415339943097</v>
      </c>
      <c r="CC150" s="59">
        <f t="shared" si="119"/>
        <v>778.87662648695812</v>
      </c>
      <c r="CD150" s="59">
        <f ca="1">AVERAGE(OFFSET($CC$3,0,0,'Données projet'!$E$12+1,1))-AVERAGE(OFFSET($H$3,0,0,'Données projet'!$E$12+1,1))</f>
        <v>411.67183422518411</v>
      </c>
      <c r="CE150" s="59">
        <f t="shared" si="148"/>
        <v>379.16642539721556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14.886897620431917</v>
      </c>
      <c r="CL150" s="21">
        <f>EXP(-LN(2)/25)*CL149+(1-EXP(-LN(2)/25))/(LN(2)/25)*Calculateur!CG150*Calculateur!CI150*VLOOKUP('Données projet'!$B$12,Paramètres!$A$1:$I$89,3,0)*0.475*44/12</f>
        <v>3.6517144891064133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18.538612109538331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5.1431925385259092E-13</v>
      </c>
      <c r="P151" s="13">
        <f t="shared" si="141"/>
        <v>6.3855359115685756E-12</v>
      </c>
      <c r="Q151" s="20">
        <f t="shared" si="108"/>
        <v>1.2017247746441865E-11</v>
      </c>
      <c r="R151" s="59">
        <f t="shared" si="109"/>
        <v>286.45649632552369</v>
      </c>
      <c r="S151" s="59">
        <f ca="1">AVERAGE(OFFSET($R$3,0,0,'Données projet'!$E$9+1,1))-AVERAGE(OFFSET($H$3,0,0,'Données projet'!$E$9+1,1))</f>
        <v>421.33534980160005</v>
      </c>
      <c r="T151" s="59">
        <f t="shared" si="142"/>
        <v>299.0473530693472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-1.0197709343628959E-13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337.99164391755608</v>
      </c>
      <c r="AO151" s="59">
        <f t="shared" si="144"/>
        <v>421.45428231923393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26.333185045511087</v>
      </c>
      <c r="AV151" s="21">
        <f>EXP(-LN(2)/25)*AV150+(1-EXP(-LN(2)/25))/(LN(2)/25)*Calculateur!AQ151*Calculateur!AS151*VLOOKUP('Données projet'!$B$10,Paramètres!$A$1:$I$89,3,0)*0.475*44/12</f>
        <v>3.4485582055360133</v>
      </c>
      <c r="AW151" s="21">
        <f>EXP(-LN(2)/2)*AW150+(1-EXP(-LN(2)/2))/(LN(2)/2)*AQ151*AT151*VLOOKUP('Données projet'!$B$10,Paramètres!$A$1:$I$89,3,0)*0.475*44/12</f>
        <v>5.7420906703682605E-13</v>
      </c>
      <c r="AX151" s="21">
        <f t="shared" si="114"/>
        <v>29.781743251047676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5.6843418860808015E-13</v>
      </c>
      <c r="BE151" s="13">
        <f>BD151*VLOOKUP('Données projet'!$B$11,Paramètres!$A$1:$I$89,3,0)*VLOOKUP('Données projet'!$B$11,Paramètres!$A$1:$I$89,5,0)</f>
        <v>5.763922672485933E-13</v>
      </c>
      <c r="BF151" s="13">
        <f t="shared" si="145"/>
        <v>7.0619171555808457E-12</v>
      </c>
      <c r="BG151" s="20">
        <f t="shared" si="115"/>
        <v>1.3303388911427938E-11</v>
      </c>
      <c r="BH151" s="59">
        <f t="shared" si="116"/>
        <v>286.45649632552499</v>
      </c>
      <c r="BI151" s="59">
        <f ca="1">AVERAGE(OFFSET($BH$3,0,0,'Données projet'!$E$11+1,1))-AVERAGE(OFFSET($H$3,0,0,'Données projet'!$E$11+1,1))</f>
        <v>462.74754756814662</v>
      </c>
      <c r="BJ151" s="59">
        <f t="shared" si="146"/>
        <v>327.65191293226667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136.84561624862692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136.84561624862692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259.99999999999983</v>
      </c>
      <c r="BZ151" s="13">
        <f>BY151*VLOOKUP('Données projet'!$B$12,Paramètres!$A$1:$I$89,3,0)*VLOOKUP('Données projet'!$B$12,Paramètres!$A$1:$I$89,5,0)</f>
        <v>227.13599999999985</v>
      </c>
      <c r="CA151" s="13">
        <f t="shared" si="147"/>
        <v>55.662966886685133</v>
      </c>
      <c r="CB151" s="20">
        <f t="shared" si="118"/>
        <v>492.5415339943097</v>
      </c>
      <c r="CC151" s="59">
        <f t="shared" si="119"/>
        <v>778.9980303198214</v>
      </c>
      <c r="CD151" s="59">
        <f ca="1">AVERAGE(OFFSET($CC$3,0,0,'Données projet'!$E$12+1,1))-AVERAGE(OFFSET($H$3,0,0,'Données projet'!$E$12+1,1))</f>
        <v>411.67183422518411</v>
      </c>
      <c r="CE151" s="59">
        <f t="shared" si="148"/>
        <v>379.16642539721556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14.594974638206208</v>
      </c>
      <c r="CL151" s="21">
        <f>EXP(-LN(2)/25)*CL150+(1-EXP(-LN(2)/25))/(LN(2)/25)*Calculateur!CG151*Calculateur!CI151*VLOOKUP('Données projet'!$B$12,Paramètres!$A$1:$I$89,3,0)*0.475*44/12</f>
        <v>3.5518581643664797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18.146832802572689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5.1431925385259092E-13</v>
      </c>
      <c r="P152" s="13">
        <f t="shared" si="141"/>
        <v>6.3855359115685756E-12</v>
      </c>
      <c r="Q152" s="20">
        <f t="shared" si="108"/>
        <v>1.2017247746441865E-11</v>
      </c>
      <c r="R152" s="59">
        <f t="shared" si="109"/>
        <v>286.57579407330508</v>
      </c>
      <c r="S152" s="59">
        <f ca="1">AVERAGE(OFFSET($R$3,0,0,'Données projet'!$E$9+1,1))-AVERAGE(OFFSET($H$3,0,0,'Données projet'!$E$9+1,1))</f>
        <v>421.33534980160005</v>
      </c>
      <c r="T152" s="59">
        <f t="shared" si="142"/>
        <v>299.0473530693472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-1.0197709343628959E-13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337.99164391755608</v>
      </c>
      <c r="AO152" s="59">
        <f t="shared" si="144"/>
        <v>421.45428231923393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25.816807348425534</v>
      </c>
      <c r="AV152" s="21">
        <f>EXP(-LN(2)/25)*AV151+(1-EXP(-LN(2)/25))/(LN(2)/25)*Calculateur!AQ152*Calculateur!AS152*VLOOKUP('Données projet'!$B$10,Paramètres!$A$1:$I$89,3,0)*0.475*44/12</f>
        <v>3.3542572000538367</v>
      </c>
      <c r="AW152" s="21">
        <f>EXP(-LN(2)/2)*AW151+(1-EXP(-LN(2)/2))/(LN(2)/2)*AQ152*AT152*VLOOKUP('Données projet'!$B$10,Paramètres!$A$1:$I$89,3,0)*0.475*44/12</f>
        <v>4.0602712512054057E-13</v>
      </c>
      <c r="AX152" s="21">
        <f t="shared" si="114"/>
        <v>29.171064548479777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5.6843418860808015E-13</v>
      </c>
      <c r="BE152" s="13">
        <f>BD152*VLOOKUP('Données projet'!$B$11,Paramètres!$A$1:$I$89,3,0)*VLOOKUP('Données projet'!$B$11,Paramètres!$A$1:$I$89,5,0)</f>
        <v>5.763922672485933E-13</v>
      </c>
      <c r="BF152" s="13">
        <f t="shared" si="145"/>
        <v>7.0619171555808457E-12</v>
      </c>
      <c r="BG152" s="20">
        <f t="shared" si="115"/>
        <v>1.3303388911427938E-11</v>
      </c>
      <c r="BH152" s="59">
        <f t="shared" si="116"/>
        <v>286.57579407330638</v>
      </c>
      <c r="BI152" s="59">
        <f ca="1">AVERAGE(OFFSET($BH$3,0,0,'Données projet'!$E$11+1,1))-AVERAGE(OFFSET($H$3,0,0,'Données projet'!$E$11+1,1))</f>
        <v>462.74754756814662</v>
      </c>
      <c r="BJ152" s="59">
        <f t="shared" si="146"/>
        <v>327.65191293226667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134.16215718157554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134.16215718157554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259.99999999999983</v>
      </c>
      <c r="BZ152" s="13">
        <f>BY152*VLOOKUP('Données projet'!$B$12,Paramètres!$A$1:$I$89,3,0)*VLOOKUP('Données projet'!$B$12,Paramètres!$A$1:$I$89,5,0)</f>
        <v>227.13599999999985</v>
      </c>
      <c r="CA152" s="13">
        <f t="shared" si="147"/>
        <v>55.662966886685133</v>
      </c>
      <c r="CB152" s="20">
        <f t="shared" si="118"/>
        <v>492.5415339943097</v>
      </c>
      <c r="CC152" s="59">
        <f t="shared" si="119"/>
        <v>779.11732806760278</v>
      </c>
      <c r="CD152" s="59">
        <f ca="1">AVERAGE(OFFSET($CC$3,0,0,'Données projet'!$E$12+1,1))-AVERAGE(OFFSET($H$3,0,0,'Données projet'!$E$12+1,1))</f>
        <v>411.67183422518411</v>
      </c>
      <c r="CE152" s="59">
        <f t="shared" si="148"/>
        <v>379.16642539721556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14.308776087606509</v>
      </c>
      <c r="CL152" s="21">
        <f>EXP(-LN(2)/25)*CL151+(1-EXP(-LN(2)/25))/(LN(2)/25)*Calculateur!CG152*Calculateur!CI152*VLOOKUP('Données projet'!$B$12,Paramètres!$A$1:$I$89,3,0)*0.475*44/12</f>
        <v>3.4547324160777753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17.763508503684285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5.1431925385259092E-13</v>
      </c>
      <c r="P153" s="13">
        <f t="shared" si="141"/>
        <v>6.3855359115685756E-12</v>
      </c>
      <c r="Q153" s="20">
        <f t="shared" si="108"/>
        <v>1.2017247746441865E-11</v>
      </c>
      <c r="R153" s="59">
        <f t="shared" si="109"/>
        <v>286.69302227187234</v>
      </c>
      <c r="S153" s="59">
        <f ca="1">AVERAGE(OFFSET($R$3,0,0,'Données projet'!$E$9+1,1))-AVERAGE(OFFSET($H$3,0,0,'Données projet'!$E$9+1,1))</f>
        <v>421.33534980160005</v>
      </c>
      <c r="T153" s="59">
        <f t="shared" si="142"/>
        <v>299.0473530693472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-1.0197709343628959E-13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337.99164391755608</v>
      </c>
      <c r="AO153" s="59">
        <f t="shared" si="144"/>
        <v>421.45428231923393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25.310555503020534</v>
      </c>
      <c r="AV153" s="21">
        <f>EXP(-LN(2)/25)*AV152+(1-EXP(-LN(2)/25))/(LN(2)/25)*Calculateur!AQ153*Calculateur!AS153*VLOOKUP('Données projet'!$B$10,Paramètres!$A$1:$I$89,3,0)*0.475*44/12</f>
        <v>3.2625348605256446</v>
      </c>
      <c r="AW153" s="21">
        <f>EXP(-LN(2)/2)*AW152+(1-EXP(-LN(2)/2))/(LN(2)/2)*AQ153*AT153*VLOOKUP('Données projet'!$B$10,Paramètres!$A$1:$I$89,3,0)*0.475*44/12</f>
        <v>2.8710453351841303E-13</v>
      </c>
      <c r="AX153" s="21">
        <f t="shared" si="114"/>
        <v>28.573090363546466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5.6843418860808015E-13</v>
      </c>
      <c r="BE153" s="13">
        <f>BD153*VLOOKUP('Données projet'!$B$11,Paramètres!$A$1:$I$89,3,0)*VLOOKUP('Données projet'!$B$11,Paramètres!$A$1:$I$89,5,0)</f>
        <v>5.763922672485933E-13</v>
      </c>
      <c r="BF153" s="13">
        <f t="shared" si="145"/>
        <v>7.0619171555808457E-12</v>
      </c>
      <c r="BG153" s="20">
        <f t="shared" si="115"/>
        <v>1.3303388911427938E-11</v>
      </c>
      <c r="BH153" s="59">
        <f t="shared" si="116"/>
        <v>286.69302227187364</v>
      </c>
      <c r="BI153" s="59">
        <f ca="1">AVERAGE(OFFSET($BH$3,0,0,'Données projet'!$E$11+1,1))-AVERAGE(OFFSET($H$3,0,0,'Données projet'!$E$11+1,1))</f>
        <v>462.74754756814662</v>
      </c>
      <c r="BJ153" s="59">
        <f t="shared" si="146"/>
        <v>327.65191293226667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131.5313191100806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131.5313191100806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259.99999999999983</v>
      </c>
      <c r="BZ153" s="13">
        <f>BY153*VLOOKUP('Données projet'!$B$12,Paramètres!$A$1:$I$89,3,0)*VLOOKUP('Données projet'!$B$12,Paramètres!$A$1:$I$89,5,0)</f>
        <v>227.13599999999985</v>
      </c>
      <c r="CA153" s="13">
        <f t="shared" si="147"/>
        <v>55.662966886685133</v>
      </c>
      <c r="CB153" s="20">
        <f t="shared" si="118"/>
        <v>492.5415339943097</v>
      </c>
      <c r="CC153" s="59">
        <f t="shared" si="119"/>
        <v>779.2345562661701</v>
      </c>
      <c r="CD153" s="59">
        <f ca="1">AVERAGE(OFFSET($CC$3,0,0,'Données projet'!$E$12+1,1))-AVERAGE(OFFSET($H$3,0,0,'Données projet'!$E$12+1,1))</f>
        <v>411.67183422518411</v>
      </c>
      <c r="CE153" s="59">
        <f t="shared" si="148"/>
        <v>379.16642539721556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14.02818971602019</v>
      </c>
      <c r="CL153" s="21">
        <f>EXP(-LN(2)/25)*CL152+(1-EXP(-LN(2)/25))/(LN(2)/25)*Calculateur!CG153*Calculateur!CI153*VLOOKUP('Données projet'!$B$12,Paramètres!$A$1:$I$89,3,0)*0.475*44/12</f>
        <v>3.3602625764836467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17.388452292503835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5.1431925385259092E-13</v>
      </c>
      <c r="P154" s="13">
        <f t="shared" si="141"/>
        <v>6.3855359115685756E-12</v>
      </c>
      <c r="Q154" s="20">
        <f t="shared" ref="Q154:Q203" si="162">(O154+P154)*0.475*44/12</f>
        <v>1.2017247746441865E-11</v>
      </c>
      <c r="R154" s="59">
        <f t="shared" si="109"/>
        <v>286.80821682327735</v>
      </c>
      <c r="S154" s="59">
        <f ca="1">AVERAGE(OFFSET($R$3,0,0,'Données projet'!$E$9+1,1))-AVERAGE(OFFSET($H$3,0,0,'Données projet'!$E$9+1,1))</f>
        <v>421.33534980160005</v>
      </c>
      <c r="T154" s="59">
        <f t="shared" si="142"/>
        <v>299.0473530693472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-1.0197709343628959E-13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337.99164391755608</v>
      </c>
      <c r="AO154" s="59">
        <f t="shared" si="144"/>
        <v>421.45428231923393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24.814230947520791</v>
      </c>
      <c r="AV154" s="21">
        <f>EXP(-LN(2)/25)*AV153+(1-EXP(-LN(2)/25))/(LN(2)/25)*Calculateur!AQ154*Calculateur!AS154*VLOOKUP('Données projet'!$B$10,Paramètres!$A$1:$I$89,3,0)*0.475*44/12</f>
        <v>3.173320673195319</v>
      </c>
      <c r="AW154" s="21">
        <f>EXP(-LN(2)/2)*AW153+(1-EXP(-LN(2)/2))/(LN(2)/2)*AQ154*AT154*VLOOKUP('Données projet'!$B$10,Paramètres!$A$1:$I$89,3,0)*0.475*44/12</f>
        <v>2.0301356256027028E-13</v>
      </c>
      <c r="AX154" s="21">
        <f t="shared" ref="AX154:AX203" si="166">SUM(AU154:AW154)</f>
        <v>27.987551620716314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5.6843418860808015E-13</v>
      </c>
      <c r="BE154" s="13">
        <f>BD154*VLOOKUP('Données projet'!$B$11,Paramètres!$A$1:$I$89,3,0)*VLOOKUP('Données projet'!$B$11,Paramètres!$A$1:$I$89,5,0)</f>
        <v>5.763922672485933E-13</v>
      </c>
      <c r="BF154" s="13">
        <f t="shared" ref="BF154:BF203" si="167">EXP(-1.0587+0.8836*LN(BE154)+0.284)</f>
        <v>7.0619171555808457E-12</v>
      </c>
      <c r="BG154" s="20">
        <f t="shared" ref="BG154:BG203" si="168">(BE154+BF154)*0.475*44/12</f>
        <v>1.3303388911427938E-11</v>
      </c>
      <c r="BH154" s="59">
        <f t="shared" si="116"/>
        <v>286.80821682327866</v>
      </c>
      <c r="BI154" s="59">
        <f ca="1">AVERAGE(OFFSET($BH$3,0,0,'Données projet'!$E$11+1,1))-AVERAGE(OFFSET($H$3,0,0,'Données projet'!$E$11+1,1))</f>
        <v>462.74754756814662</v>
      </c>
      <c r="BJ154" s="59">
        <f t="shared" si="146"/>
        <v>327.65191293226667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128.95207016851489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128.95207016851489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259.99999999999983</v>
      </c>
      <c r="BZ154" s="13">
        <f>BY154*VLOOKUP('Données projet'!$B$12,Paramètres!$A$1:$I$89,3,0)*VLOOKUP('Données projet'!$B$12,Paramètres!$A$1:$I$89,5,0)</f>
        <v>227.13599999999985</v>
      </c>
      <c r="CA154" s="13">
        <f t="shared" ref="CA154:CA203" si="170">EXP(-1.0587+0.8836*LN(BZ154)+0.284)</f>
        <v>55.662966886685133</v>
      </c>
      <c r="CB154" s="20">
        <f t="shared" ref="CB154:CB203" si="171">(BZ154+CA154)*0.475*44/12</f>
        <v>492.5415339943097</v>
      </c>
      <c r="CC154" s="59">
        <f t="shared" si="119"/>
        <v>779.34975081757511</v>
      </c>
      <c r="CD154" s="59">
        <f ca="1">AVERAGE(OFFSET($CC$3,0,0,'Données projet'!$E$12+1,1))-AVERAGE(OFFSET($H$3,0,0,'Données projet'!$E$12+1,1))</f>
        <v>411.67183422518411</v>
      </c>
      <c r="CE154" s="59">
        <f t="shared" si="148"/>
        <v>379.16642539721556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13.753105472039891</v>
      </c>
      <c r="CL154" s="21">
        <f>EXP(-LN(2)/25)*CL153+(1-EXP(-LN(2)/25))/(LN(2)/25)*Calculateur!CG154*Calculateur!CI154*VLOOKUP('Données projet'!$B$12,Paramètres!$A$1:$I$89,3,0)*0.475*44/12</f>
        <v>3.2683760196211726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17.021481491661064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5.1431925385259092E-13</v>
      </c>
      <c r="P155" s="13">
        <f t="shared" si="141"/>
        <v>6.3855359115685756E-12</v>
      </c>
      <c r="Q155" s="20">
        <f t="shared" si="162"/>
        <v>1.2017247746441865E-11</v>
      </c>
      <c r="R155" s="59">
        <f t="shared" si="109"/>
        <v>286.92141300675189</v>
      </c>
      <c r="S155" s="59">
        <f ca="1">AVERAGE(OFFSET($R$3,0,0,'Données projet'!$E$9+1,1))-AVERAGE(OFFSET($H$3,0,0,'Données projet'!$E$9+1,1))</f>
        <v>421.33534980160005</v>
      </c>
      <c r="T155" s="59">
        <f t="shared" si="142"/>
        <v>299.0473530693472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-1.0197709343628959E-13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337.99164391755608</v>
      </c>
      <c r="AO155" s="59">
        <f t="shared" si="144"/>
        <v>421.45428231923393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24.32763901382631</v>
      </c>
      <c r="AV155" s="21">
        <f>EXP(-LN(2)/25)*AV154+(1-EXP(-LN(2)/25))/(LN(2)/25)*Calculateur!AQ155*Calculateur!AS155*VLOOKUP('Données projet'!$B$10,Paramètres!$A$1:$I$89,3,0)*0.475*44/12</f>
        <v>3.0865460525091115</v>
      </c>
      <c r="AW155" s="21">
        <f>EXP(-LN(2)/2)*AW154+(1-EXP(-LN(2)/2))/(LN(2)/2)*AQ155*AT155*VLOOKUP('Données projet'!$B$10,Paramètres!$A$1:$I$89,3,0)*0.475*44/12</f>
        <v>1.4355226675920651E-13</v>
      </c>
      <c r="AX155" s="21">
        <f t="shared" si="166"/>
        <v>27.414185066335563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5.6843418860808015E-13</v>
      </c>
      <c r="BE155" s="13">
        <f>BD155*VLOOKUP('Données projet'!$B$11,Paramètres!$A$1:$I$89,3,0)*VLOOKUP('Données projet'!$B$11,Paramètres!$A$1:$I$89,5,0)</f>
        <v>5.763922672485933E-13</v>
      </c>
      <c r="BF155" s="13">
        <f t="shared" si="167"/>
        <v>7.0619171555808457E-12</v>
      </c>
      <c r="BG155" s="20">
        <f t="shared" si="168"/>
        <v>1.3303388911427938E-11</v>
      </c>
      <c r="BH155" s="59">
        <f t="shared" si="116"/>
        <v>286.9214130067532</v>
      </c>
      <c r="BI155" s="59">
        <f ca="1">AVERAGE(OFFSET($BH$3,0,0,'Données projet'!$E$11+1,1))-AVERAGE(OFFSET($H$3,0,0,'Données projet'!$E$11+1,1))</f>
        <v>462.74754756814662</v>
      </c>
      <c r="BJ155" s="59">
        <f t="shared" si="146"/>
        <v>327.65191293226667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126.42339872550679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126.42339872550679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259.99999999999983</v>
      </c>
      <c r="BZ155" s="13">
        <f>BY155*VLOOKUP('Données projet'!$B$12,Paramètres!$A$1:$I$89,3,0)*VLOOKUP('Données projet'!$B$12,Paramètres!$A$1:$I$89,5,0)</f>
        <v>227.13599999999985</v>
      </c>
      <c r="CA155" s="13">
        <f t="shared" si="170"/>
        <v>55.662966886685133</v>
      </c>
      <c r="CB155" s="20">
        <f t="shared" si="171"/>
        <v>492.5415339943097</v>
      </c>
      <c r="CC155" s="59">
        <f t="shared" si="119"/>
        <v>779.46294700104954</v>
      </c>
      <c r="CD155" s="59">
        <f ca="1">AVERAGE(OFFSET($CC$3,0,0,'Données projet'!$E$12+1,1))-AVERAGE(OFFSET($H$3,0,0,'Données projet'!$E$12+1,1))</f>
        <v>411.67183422518411</v>
      </c>
      <c r="CE155" s="59">
        <f t="shared" si="148"/>
        <v>379.16642539721556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13.483415462299225</v>
      </c>
      <c r="CL155" s="21">
        <f>EXP(-LN(2)/25)*CL154+(1-EXP(-LN(2)/25))/(LN(2)/25)*Calculateur!CG155*Calculateur!CI155*VLOOKUP('Données projet'!$B$12,Paramètres!$A$1:$I$89,3,0)*0.475*44/12</f>
        <v>3.1790021054882067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16.662417567787433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5.1431925385259092E-13</v>
      </c>
      <c r="P156" s="13">
        <f t="shared" si="141"/>
        <v>6.3855359115685756E-12</v>
      </c>
      <c r="Q156" s="20">
        <f t="shared" si="162"/>
        <v>1.2017247746441865E-11</v>
      </c>
      <c r="R156" s="59">
        <f t="shared" si="109"/>
        <v>287.03264548951199</v>
      </c>
      <c r="S156" s="59">
        <f ca="1">AVERAGE(OFFSET($R$3,0,0,'Données projet'!$E$9+1,1))-AVERAGE(OFFSET($H$3,0,0,'Données projet'!$E$9+1,1))</f>
        <v>421.33534980160005</v>
      </c>
      <c r="T156" s="59">
        <f t="shared" si="142"/>
        <v>299.0473530693472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-1.0197709343628959E-13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337.99164391755608</v>
      </c>
      <c r="AO156" s="59">
        <f t="shared" si="144"/>
        <v>421.45428231923393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23.850588851159806</v>
      </c>
      <c r="AV156" s="21">
        <f>EXP(-LN(2)/25)*AV155+(1-EXP(-LN(2)/25))/(LN(2)/25)*Calculateur!AQ156*Calculateur!AS156*VLOOKUP('Données projet'!$B$10,Paramètres!$A$1:$I$89,3,0)*0.475*44/12</f>
        <v>3.0021442883888474</v>
      </c>
      <c r="AW156" s="21">
        <f>EXP(-LN(2)/2)*AW155+(1-EXP(-LN(2)/2))/(LN(2)/2)*AQ156*AT156*VLOOKUP('Données projet'!$B$10,Paramètres!$A$1:$I$89,3,0)*0.475*44/12</f>
        <v>1.0150678128013514E-13</v>
      </c>
      <c r="AX156" s="21">
        <f t="shared" si="166"/>
        <v>26.852733139548757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5.6843418860808015E-13</v>
      </c>
      <c r="BE156" s="13">
        <f>BD156*VLOOKUP('Données projet'!$B$11,Paramètres!$A$1:$I$89,3,0)*VLOOKUP('Données projet'!$B$11,Paramètres!$A$1:$I$89,5,0)</f>
        <v>5.763922672485933E-13</v>
      </c>
      <c r="BF156" s="13">
        <f t="shared" si="167"/>
        <v>7.0619171555808457E-12</v>
      </c>
      <c r="BG156" s="20">
        <f t="shared" si="168"/>
        <v>1.3303388911427938E-11</v>
      </c>
      <c r="BH156" s="59">
        <f t="shared" si="116"/>
        <v>287.0326454895133</v>
      </c>
      <c r="BI156" s="59">
        <f ca="1">AVERAGE(OFFSET($BH$3,0,0,'Données projet'!$E$11+1,1))-AVERAGE(OFFSET($H$3,0,0,'Données projet'!$E$11+1,1))</f>
        <v>462.74754756814662</v>
      </c>
      <c r="BJ156" s="59">
        <f t="shared" si="146"/>
        <v>327.65191293226667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123.94431298715878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123.94431298715878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259.99999999999983</v>
      </c>
      <c r="BZ156" s="13">
        <f>BY156*VLOOKUP('Données projet'!$B$12,Paramètres!$A$1:$I$89,3,0)*VLOOKUP('Données projet'!$B$12,Paramètres!$A$1:$I$89,5,0)</f>
        <v>227.13599999999985</v>
      </c>
      <c r="CA156" s="13">
        <f t="shared" si="170"/>
        <v>55.662966886685133</v>
      </c>
      <c r="CB156" s="20">
        <f t="shared" si="171"/>
        <v>492.5415339943097</v>
      </c>
      <c r="CC156" s="59">
        <f t="shared" si="119"/>
        <v>779.57417948380976</v>
      </c>
      <c r="CD156" s="59">
        <f ca="1">AVERAGE(OFFSET($CC$3,0,0,'Données projet'!$E$12+1,1))-AVERAGE(OFFSET($H$3,0,0,'Données projet'!$E$12+1,1))</f>
        <v>411.67183422518411</v>
      </c>
      <c r="CE156" s="59">
        <f t="shared" si="148"/>
        <v>379.16642539721556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13.21901390915491</v>
      </c>
      <c r="CL156" s="21">
        <f>EXP(-LN(2)/25)*CL155+(1-EXP(-LN(2)/25))/(LN(2)/25)*Calculateur!CG156*Calculateur!CI156*VLOOKUP('Données projet'!$B$12,Paramètres!$A$1:$I$89,3,0)*0.475*44/12</f>
        <v>3.0920721257371766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16.311086034892085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5.1431925385259092E-13</v>
      </c>
      <c r="P157" s="13">
        <f t="shared" si="141"/>
        <v>6.3855359115685756E-12</v>
      </c>
      <c r="Q157" s="20">
        <f t="shared" si="162"/>
        <v>1.2017247746441865E-11</v>
      </c>
      <c r="R157" s="59">
        <f t="shared" si="109"/>
        <v>287.14194833737474</v>
      </c>
      <c r="S157" s="59">
        <f ca="1">AVERAGE(OFFSET($R$3,0,0,'Données projet'!$E$9+1,1))-AVERAGE(OFFSET($H$3,0,0,'Données projet'!$E$9+1,1))</f>
        <v>421.33534980160005</v>
      </c>
      <c r="T157" s="59">
        <f t="shared" si="142"/>
        <v>299.0473530693472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-1.0197709343628959E-13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337.99164391755608</v>
      </c>
      <c r="AO157" s="59">
        <f t="shared" si="144"/>
        <v>421.45428231923393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23.382893351211322</v>
      </c>
      <c r="AV157" s="21">
        <f>EXP(-LN(2)/25)*AV156+(1-EXP(-LN(2)/25))/(LN(2)/25)*Calculateur!AQ157*Calculateur!AS157*VLOOKUP('Données projet'!$B$10,Paramètres!$A$1:$I$89,3,0)*0.475*44/12</f>
        <v>2.9200504949469477</v>
      </c>
      <c r="AW157" s="21">
        <f>EXP(-LN(2)/2)*AW156+(1-EXP(-LN(2)/2))/(LN(2)/2)*AQ157*AT157*VLOOKUP('Données projet'!$B$10,Paramètres!$A$1:$I$89,3,0)*0.475*44/12</f>
        <v>7.1776133379603257E-14</v>
      </c>
      <c r="AX157" s="21">
        <f t="shared" si="166"/>
        <v>26.302943846158342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5.6843418860808015E-13</v>
      </c>
      <c r="BE157" s="13">
        <f>BD157*VLOOKUP('Données projet'!$B$11,Paramètres!$A$1:$I$89,3,0)*VLOOKUP('Données projet'!$B$11,Paramètres!$A$1:$I$89,5,0)</f>
        <v>5.763922672485933E-13</v>
      </c>
      <c r="BF157" s="13">
        <f t="shared" si="167"/>
        <v>7.0619171555808457E-12</v>
      </c>
      <c r="BG157" s="20">
        <f t="shared" si="168"/>
        <v>1.3303388911427938E-11</v>
      </c>
      <c r="BH157" s="59">
        <f t="shared" si="116"/>
        <v>287.14194833737605</v>
      </c>
      <c r="BI157" s="59">
        <f ca="1">AVERAGE(OFFSET($BH$3,0,0,'Données projet'!$E$11+1,1))-AVERAGE(OFFSET($H$3,0,0,'Données projet'!$E$11+1,1))</f>
        <v>462.74754756814662</v>
      </c>
      <c r="BJ157" s="59">
        <f t="shared" si="146"/>
        <v>327.65191293226667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121.51384060804678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121.51384060804678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259.99999999999983</v>
      </c>
      <c r="BZ157" s="13">
        <f>BY157*VLOOKUP('Données projet'!$B$12,Paramètres!$A$1:$I$89,3,0)*VLOOKUP('Données projet'!$B$12,Paramètres!$A$1:$I$89,5,0)</f>
        <v>227.13599999999985</v>
      </c>
      <c r="CA157" s="13">
        <f t="shared" si="170"/>
        <v>55.662966886685133</v>
      </c>
      <c r="CB157" s="20">
        <f t="shared" si="171"/>
        <v>492.5415339943097</v>
      </c>
      <c r="CC157" s="59">
        <f t="shared" si="119"/>
        <v>779.68348233167239</v>
      </c>
      <c r="CD157" s="59">
        <f ca="1">AVERAGE(OFFSET($CC$3,0,0,'Données projet'!$E$12+1,1))-AVERAGE(OFFSET($H$3,0,0,'Données projet'!$E$12+1,1))</f>
        <v>411.67183422518411</v>
      </c>
      <c r="CE157" s="59">
        <f t="shared" si="148"/>
        <v>379.16642539721556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12.959797109198732</v>
      </c>
      <c r="CL157" s="21">
        <f>EXP(-LN(2)/25)*CL156+(1-EXP(-LN(2)/25))/(LN(2)/25)*Calculateur!CG157*Calculateur!CI157*VLOOKUP('Données projet'!$B$12,Paramètres!$A$1:$I$89,3,0)*0.475*44/12</f>
        <v>3.0075192508538873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15.967316360052619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5.1431925385259092E-13</v>
      </c>
      <c r="P158" s="13">
        <f t="shared" si="141"/>
        <v>6.3855359115685756E-12</v>
      </c>
      <c r="Q158" s="20">
        <f t="shared" si="162"/>
        <v>1.2017247746441865E-11</v>
      </c>
      <c r="R158" s="59">
        <f t="shared" si="109"/>
        <v>287.24935502519168</v>
      </c>
      <c r="S158" s="59">
        <f ca="1">AVERAGE(OFFSET($R$3,0,0,'Données projet'!$E$9+1,1))-AVERAGE(OFFSET($H$3,0,0,'Données projet'!$E$9+1,1))</f>
        <v>421.33534980160005</v>
      </c>
      <c r="T158" s="59">
        <f t="shared" si="142"/>
        <v>299.0473530693472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-1.0197709343628959E-13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337.99164391755608</v>
      </c>
      <c r="AO158" s="59">
        <f t="shared" si="144"/>
        <v>421.45428231923393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22.924369074750743</v>
      </c>
      <c r="AV158" s="21">
        <f>EXP(-LN(2)/25)*AV157+(1-EXP(-LN(2)/25))/(LN(2)/25)*Calculateur!AQ158*Calculateur!AS158*VLOOKUP('Données projet'!$B$10,Paramètres!$A$1:$I$89,3,0)*0.475*44/12</f>
        <v>2.8402015606038415</v>
      </c>
      <c r="AW158" s="21">
        <f>EXP(-LN(2)/2)*AW157+(1-EXP(-LN(2)/2))/(LN(2)/2)*AQ158*AT158*VLOOKUP('Données projet'!$B$10,Paramètres!$A$1:$I$89,3,0)*0.475*44/12</f>
        <v>5.0753390640067571E-14</v>
      </c>
      <c r="AX158" s="21">
        <f t="shared" si="166"/>
        <v>25.764570635354634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5.6843418860808015E-13</v>
      </c>
      <c r="BE158" s="13">
        <f>BD158*VLOOKUP('Données projet'!$B$11,Paramètres!$A$1:$I$89,3,0)*VLOOKUP('Données projet'!$B$11,Paramètres!$A$1:$I$89,5,0)</f>
        <v>5.763922672485933E-13</v>
      </c>
      <c r="BF158" s="13">
        <f t="shared" si="167"/>
        <v>7.0619171555808457E-12</v>
      </c>
      <c r="BG158" s="20">
        <f t="shared" si="168"/>
        <v>1.3303388911427938E-11</v>
      </c>
      <c r="BH158" s="59">
        <f t="shared" si="116"/>
        <v>287.24935502519298</v>
      </c>
      <c r="BI158" s="59">
        <f ca="1">AVERAGE(OFFSET($BH$3,0,0,'Données projet'!$E$11+1,1))-AVERAGE(OFFSET($H$3,0,0,'Données projet'!$E$11+1,1))</f>
        <v>462.74754756814662</v>
      </c>
      <c r="BJ158" s="59">
        <f t="shared" si="146"/>
        <v>327.65191293226667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119.13102830984739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119.13102830984739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259.99999999999983</v>
      </c>
      <c r="BZ158" s="13">
        <f>BY158*VLOOKUP('Données projet'!$B$12,Paramètres!$A$1:$I$89,3,0)*VLOOKUP('Données projet'!$B$12,Paramètres!$A$1:$I$89,5,0)</f>
        <v>227.13599999999985</v>
      </c>
      <c r="CA158" s="13">
        <f t="shared" si="170"/>
        <v>55.662966886685133</v>
      </c>
      <c r="CB158" s="20">
        <f t="shared" si="171"/>
        <v>492.5415339943097</v>
      </c>
      <c r="CC158" s="59">
        <f t="shared" si="119"/>
        <v>779.79088901948944</v>
      </c>
      <c r="CD158" s="59">
        <f ca="1">AVERAGE(OFFSET($CC$3,0,0,'Données projet'!$E$12+1,1))-AVERAGE(OFFSET($H$3,0,0,'Données projet'!$E$12+1,1))</f>
        <v>411.67183422518411</v>
      </c>
      <c r="CE158" s="59">
        <f t="shared" si="148"/>
        <v>379.16642539721556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12.705663392583057</v>
      </c>
      <c r="CL158" s="21">
        <f>EXP(-LN(2)/25)*CL157+(1-EXP(-LN(2)/25))/(LN(2)/25)*Calculateur!CG158*Calculateur!CI158*VLOOKUP('Données projet'!$B$12,Paramètres!$A$1:$I$89,3,0)*0.475*44/12</f>
        <v>2.925278478780724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15.630941871363781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5.1431925385259092E-13</v>
      </c>
      <c r="P159" s="13">
        <f t="shared" si="141"/>
        <v>6.3855359115685756E-12</v>
      </c>
      <c r="Q159" s="20">
        <f t="shared" si="162"/>
        <v>1.2017247746441865E-11</v>
      </c>
      <c r="R159" s="59">
        <f t="shared" si="109"/>
        <v>287.35489844710031</v>
      </c>
      <c r="S159" s="59">
        <f ca="1">AVERAGE(OFFSET($R$3,0,0,'Données projet'!$E$9+1,1))-AVERAGE(OFFSET($H$3,0,0,'Données projet'!$E$9+1,1))</f>
        <v>421.33534980160005</v>
      </c>
      <c r="T159" s="59">
        <f t="shared" si="142"/>
        <v>299.0473530693472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-1.0197709343628959E-13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337.99164391755608</v>
      </c>
      <c r="AO159" s="59">
        <f t="shared" si="144"/>
        <v>421.45428231923393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22.474836179679361</v>
      </c>
      <c r="AV159" s="21">
        <f>EXP(-LN(2)/25)*AV158+(1-EXP(-LN(2)/25))/(LN(2)/25)*Calculateur!AQ159*Calculateur!AS159*VLOOKUP('Données projet'!$B$10,Paramètres!$A$1:$I$89,3,0)*0.475*44/12</f>
        <v>2.7625360995694206</v>
      </c>
      <c r="AW159" s="21">
        <f>EXP(-LN(2)/2)*AW158+(1-EXP(-LN(2)/2))/(LN(2)/2)*AQ159*AT159*VLOOKUP('Données projet'!$B$10,Paramètres!$A$1:$I$89,3,0)*0.475*44/12</f>
        <v>3.5888066689801628E-14</v>
      </c>
      <c r="AX159" s="21">
        <f t="shared" si="166"/>
        <v>25.237372279248817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5.6843418860808015E-13</v>
      </c>
      <c r="BE159" s="13">
        <f>BD159*VLOOKUP('Données projet'!$B$11,Paramètres!$A$1:$I$89,3,0)*VLOOKUP('Données projet'!$B$11,Paramètres!$A$1:$I$89,5,0)</f>
        <v>5.763922672485933E-13</v>
      </c>
      <c r="BF159" s="13">
        <f t="shared" si="167"/>
        <v>7.0619171555808457E-12</v>
      </c>
      <c r="BG159" s="20">
        <f t="shared" si="168"/>
        <v>1.3303388911427938E-11</v>
      </c>
      <c r="BH159" s="59">
        <f t="shared" si="116"/>
        <v>287.35489844710162</v>
      </c>
      <c r="BI159" s="59">
        <f ca="1">AVERAGE(OFFSET($BH$3,0,0,'Données projet'!$E$11+1,1))-AVERAGE(OFFSET($H$3,0,0,'Données projet'!$E$11+1,1))</f>
        <v>462.74754756814662</v>
      </c>
      <c r="BJ159" s="59">
        <f t="shared" si="146"/>
        <v>327.65191293226667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116.79494150744371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116.79494150744371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259.99999999999983</v>
      </c>
      <c r="BZ159" s="13">
        <f>BY159*VLOOKUP('Données projet'!$B$12,Paramètres!$A$1:$I$89,3,0)*VLOOKUP('Données projet'!$B$12,Paramètres!$A$1:$I$89,5,0)</f>
        <v>227.13599999999985</v>
      </c>
      <c r="CA159" s="13">
        <f t="shared" si="170"/>
        <v>55.662966886685133</v>
      </c>
      <c r="CB159" s="20">
        <f t="shared" si="171"/>
        <v>492.5415339943097</v>
      </c>
      <c r="CC159" s="59">
        <f t="shared" si="119"/>
        <v>779.89643244139802</v>
      </c>
      <c r="CD159" s="59">
        <f ca="1">AVERAGE(OFFSET($CC$3,0,0,'Données projet'!$E$12+1,1))-AVERAGE(OFFSET($H$3,0,0,'Données projet'!$E$12+1,1))</f>
        <v>411.67183422518411</v>
      </c>
      <c r="CE159" s="59">
        <f t="shared" si="148"/>
        <v>379.16642539721556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12.456513083143955</v>
      </c>
      <c r="CL159" s="21">
        <f>EXP(-LN(2)/25)*CL158+(1-EXP(-LN(2)/25))/(LN(2)/25)*Calculateur!CG159*Calculateur!CI159*VLOOKUP('Données projet'!$B$12,Paramètres!$A$1:$I$89,3,0)*0.475*44/12</f>
        <v>2.8452865849447555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15.301799668088711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5.1431925385259092E-13</v>
      </c>
      <c r="P160" s="13">
        <f t="shared" si="141"/>
        <v>6.3855359115685756E-12</v>
      </c>
      <c r="Q160" s="20">
        <f t="shared" si="162"/>
        <v>1.2017247746441865E-11</v>
      </c>
      <c r="R160" s="59">
        <f t="shared" si="109"/>
        <v>287.45861092659857</v>
      </c>
      <c r="S160" s="59">
        <f ca="1">AVERAGE(OFFSET($R$3,0,0,'Données projet'!$E$9+1,1))-AVERAGE(OFFSET($H$3,0,0,'Données projet'!$E$9+1,1))</f>
        <v>421.33534980160005</v>
      </c>
      <c r="T160" s="59">
        <f t="shared" si="142"/>
        <v>299.0473530693472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-1.0197709343628959E-13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337.99164391755608</v>
      </c>
      <c r="AO160" s="59">
        <f t="shared" si="144"/>
        <v>421.45428231923393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22.034118350492335</v>
      </c>
      <c r="AV160" s="21">
        <f>EXP(-LN(2)/25)*AV159+(1-EXP(-LN(2)/25))/(LN(2)/25)*Calculateur!AQ160*Calculateur!AS160*VLOOKUP('Données projet'!$B$10,Paramètres!$A$1:$I$89,3,0)*0.475*44/12</f>
        <v>2.6869944046512351</v>
      </c>
      <c r="AW160" s="21">
        <f>EXP(-LN(2)/2)*AW159+(1-EXP(-LN(2)/2))/(LN(2)/2)*AQ160*AT160*VLOOKUP('Données projet'!$B$10,Paramètres!$A$1:$I$89,3,0)*0.475*44/12</f>
        <v>2.5376695320033785E-14</v>
      </c>
      <c r="AX160" s="21">
        <f t="shared" si="166"/>
        <v>24.721112755143594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5.6843418860808015E-13</v>
      </c>
      <c r="BE160" s="13">
        <f>BD160*VLOOKUP('Données projet'!$B$11,Paramètres!$A$1:$I$89,3,0)*VLOOKUP('Données projet'!$B$11,Paramètres!$A$1:$I$89,5,0)</f>
        <v>5.763922672485933E-13</v>
      </c>
      <c r="BF160" s="13">
        <f t="shared" si="167"/>
        <v>7.0619171555808457E-12</v>
      </c>
      <c r="BG160" s="20">
        <f t="shared" si="168"/>
        <v>1.3303388911427938E-11</v>
      </c>
      <c r="BH160" s="59">
        <f t="shared" si="116"/>
        <v>287.45861092659987</v>
      </c>
      <c r="BI160" s="59">
        <f ca="1">AVERAGE(OFFSET($BH$3,0,0,'Données projet'!$E$11+1,1))-AVERAGE(OFFSET($H$3,0,0,'Données projet'!$E$11+1,1))</f>
        <v>462.74754756814662</v>
      </c>
      <c r="BJ160" s="59">
        <f t="shared" si="146"/>
        <v>327.65191293226667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114.5046639423629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114.5046639423629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259.99999999999983</v>
      </c>
      <c r="BZ160" s="13">
        <f>BY160*VLOOKUP('Données projet'!$B$12,Paramètres!$A$1:$I$89,3,0)*VLOOKUP('Données projet'!$B$12,Paramètres!$A$1:$I$89,5,0)</f>
        <v>227.13599999999985</v>
      </c>
      <c r="CA160" s="13">
        <f t="shared" si="170"/>
        <v>55.662966886685133</v>
      </c>
      <c r="CB160" s="20">
        <f t="shared" si="171"/>
        <v>492.5415339943097</v>
      </c>
      <c r="CC160" s="59">
        <f t="shared" si="119"/>
        <v>780.00014492089622</v>
      </c>
      <c r="CD160" s="59">
        <f ca="1">AVERAGE(OFFSET($CC$3,0,0,'Données projet'!$E$12+1,1))-AVERAGE(OFFSET($H$3,0,0,'Données projet'!$E$12+1,1))</f>
        <v>411.67183422518411</v>
      </c>
      <c r="CE160" s="59">
        <f t="shared" si="148"/>
        <v>379.16642539721556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12.21224845930627</v>
      </c>
      <c r="CL160" s="21">
        <f>EXP(-LN(2)/25)*CL159+(1-EXP(-LN(2)/25))/(LN(2)/25)*Calculateur!CG160*Calculateur!CI160*VLOOKUP('Données projet'!$B$12,Paramètres!$A$1:$I$89,3,0)*0.475*44/12</f>
        <v>2.7674820736523227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14.979730532958593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5.1431925385259092E-13</v>
      </c>
      <c r="P161" s="13">
        <f t="shared" si="141"/>
        <v>6.3855359115685756E-12</v>
      </c>
      <c r="Q161" s="20">
        <f t="shared" si="162"/>
        <v>1.2017247746441865E-11</v>
      </c>
      <c r="R161" s="59">
        <f t="shared" si="109"/>
        <v>287.56052422644399</v>
      </c>
      <c r="S161" s="59">
        <f ca="1">AVERAGE(OFFSET($R$3,0,0,'Données projet'!$E$9+1,1))-AVERAGE(OFFSET($H$3,0,0,'Données projet'!$E$9+1,1))</f>
        <v>421.33534980160005</v>
      </c>
      <c r="T161" s="59">
        <f t="shared" si="142"/>
        <v>299.0473530693472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-1.0197709343628959E-13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337.99164391755608</v>
      </c>
      <c r="AO161" s="59">
        <f t="shared" si="144"/>
        <v>421.45428231923393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21.602042729124335</v>
      </c>
      <c r="AV161" s="21">
        <f>EXP(-LN(2)/25)*AV160+(1-EXP(-LN(2)/25))/(LN(2)/25)*Calculateur!AQ161*Calculateur!AS161*VLOOKUP('Données projet'!$B$10,Paramètres!$A$1:$I$89,3,0)*0.475*44/12</f>
        <v>2.6135184013531525</v>
      </c>
      <c r="AW161" s="21">
        <f>EXP(-LN(2)/2)*AW160+(1-EXP(-LN(2)/2))/(LN(2)/2)*AQ161*AT161*VLOOKUP('Données projet'!$B$10,Paramètres!$A$1:$I$89,3,0)*0.475*44/12</f>
        <v>1.7944033344900814E-14</v>
      </c>
      <c r="AX161" s="21">
        <f t="shared" si="166"/>
        <v>24.215561130477507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5.6843418860808015E-13</v>
      </c>
      <c r="BE161" s="13">
        <f>BD161*VLOOKUP('Données projet'!$B$11,Paramètres!$A$1:$I$89,3,0)*VLOOKUP('Données projet'!$B$11,Paramètres!$A$1:$I$89,5,0)</f>
        <v>5.763922672485933E-13</v>
      </c>
      <c r="BF161" s="13">
        <f t="shared" si="167"/>
        <v>7.0619171555808457E-12</v>
      </c>
      <c r="BG161" s="20">
        <f t="shared" si="168"/>
        <v>1.3303388911427938E-11</v>
      </c>
      <c r="BH161" s="59">
        <f t="shared" si="116"/>
        <v>287.5605242264453</v>
      </c>
      <c r="BI161" s="59">
        <f ca="1">AVERAGE(OFFSET($BH$3,0,0,'Données projet'!$E$11+1,1))-AVERAGE(OFFSET($H$3,0,0,'Données projet'!$E$11+1,1))</f>
        <v>462.74754756814662</v>
      </c>
      <c r="BJ161" s="59">
        <f t="shared" si="146"/>
        <v>327.65191293226667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112.25929732340194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112.25929732340194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259.99999999999983</v>
      </c>
      <c r="BZ161" s="13">
        <f>BY161*VLOOKUP('Données projet'!$B$12,Paramètres!$A$1:$I$89,3,0)*VLOOKUP('Données projet'!$B$12,Paramètres!$A$1:$I$89,5,0)</f>
        <v>227.13599999999985</v>
      </c>
      <c r="CA161" s="13">
        <f t="shared" si="170"/>
        <v>55.662966886685133</v>
      </c>
      <c r="CB161" s="20">
        <f t="shared" si="171"/>
        <v>492.5415339943097</v>
      </c>
      <c r="CC161" s="59">
        <f t="shared" si="119"/>
        <v>780.1020582207417</v>
      </c>
      <c r="CD161" s="59">
        <f ca="1">AVERAGE(OFFSET($CC$3,0,0,'Données projet'!$E$12+1,1))-AVERAGE(OFFSET($H$3,0,0,'Données projet'!$E$12+1,1))</f>
        <v>411.67183422518411</v>
      </c>
      <c r="CE161" s="59">
        <f t="shared" si="148"/>
        <v>379.16642539721556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11.972773715755332</v>
      </c>
      <c r="CL161" s="21">
        <f>EXP(-LN(2)/25)*CL160+(1-EXP(-LN(2)/25))/(LN(2)/25)*Calculateur!CG161*Calculateur!CI161*VLOOKUP('Données projet'!$B$12,Paramètres!$A$1:$I$89,3,0)*0.475*44/12</f>
        <v>2.6918051308127429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14.664578846568075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5.1431925385259092E-13</v>
      </c>
      <c r="P162" s="13">
        <f t="shared" si="141"/>
        <v>6.3855359115685756E-12</v>
      </c>
      <c r="Q162" s="20">
        <f t="shared" si="162"/>
        <v>1.2017247746441865E-11</v>
      </c>
      <c r="R162" s="59">
        <f t="shared" si="109"/>
        <v>287.66066955838096</v>
      </c>
      <c r="S162" s="59">
        <f ca="1">AVERAGE(OFFSET($R$3,0,0,'Données projet'!$E$9+1,1))-AVERAGE(OFFSET($H$3,0,0,'Données projet'!$E$9+1,1))</f>
        <v>421.33534980160005</v>
      </c>
      <c r="T162" s="59">
        <f t="shared" si="142"/>
        <v>299.0473530693472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-1.0197709343628959E-13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337.99164391755608</v>
      </c>
      <c r="AO162" s="59">
        <f t="shared" si="144"/>
        <v>421.45428231923393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21.178439847151257</v>
      </c>
      <c r="AV162" s="21">
        <f>EXP(-LN(2)/25)*AV161+(1-EXP(-LN(2)/25))/(LN(2)/25)*Calculateur!AQ162*Calculateur!AS162*VLOOKUP('Données projet'!$B$10,Paramètres!$A$1:$I$89,3,0)*0.475*44/12</f>
        <v>2.5420516032291909</v>
      </c>
      <c r="AW162" s="21">
        <f>EXP(-LN(2)/2)*AW161+(1-EXP(-LN(2)/2))/(LN(2)/2)*AQ162*AT162*VLOOKUP('Données projet'!$B$10,Paramètres!$A$1:$I$89,3,0)*0.475*44/12</f>
        <v>1.2688347660016893E-14</v>
      </c>
      <c r="AX162" s="21">
        <f t="shared" si="166"/>
        <v>23.720491450380461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5.6843418860808015E-13</v>
      </c>
      <c r="BE162" s="13">
        <f>BD162*VLOOKUP('Données projet'!$B$11,Paramètres!$A$1:$I$89,3,0)*VLOOKUP('Données projet'!$B$11,Paramètres!$A$1:$I$89,5,0)</f>
        <v>5.763922672485933E-13</v>
      </c>
      <c r="BF162" s="13">
        <f t="shared" si="167"/>
        <v>7.0619171555808457E-12</v>
      </c>
      <c r="BG162" s="20">
        <f t="shared" si="168"/>
        <v>1.3303388911427938E-11</v>
      </c>
      <c r="BH162" s="59">
        <f t="shared" si="116"/>
        <v>287.66066955838227</v>
      </c>
      <c r="BI162" s="59">
        <f ca="1">AVERAGE(OFFSET($BH$3,0,0,'Données projet'!$E$11+1,1))-AVERAGE(OFFSET($H$3,0,0,'Données projet'!$E$11+1,1))</f>
        <v>462.74754756814662</v>
      </c>
      <c r="BJ162" s="59">
        <f t="shared" si="146"/>
        <v>327.65191293226667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110.0579609743004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110.0579609743004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259.99999999999983</v>
      </c>
      <c r="BZ162" s="13">
        <f>BY162*VLOOKUP('Données projet'!$B$12,Paramètres!$A$1:$I$89,3,0)*VLOOKUP('Données projet'!$B$12,Paramètres!$A$1:$I$89,5,0)</f>
        <v>227.13599999999985</v>
      </c>
      <c r="CA162" s="13">
        <f t="shared" si="170"/>
        <v>55.662966886685133</v>
      </c>
      <c r="CB162" s="20">
        <f t="shared" si="171"/>
        <v>492.5415339943097</v>
      </c>
      <c r="CC162" s="59">
        <f t="shared" si="119"/>
        <v>780.20220355267861</v>
      </c>
      <c r="CD162" s="59">
        <f ca="1">AVERAGE(OFFSET($CC$3,0,0,'Données projet'!$E$12+1,1))-AVERAGE(OFFSET($H$3,0,0,'Données projet'!$E$12+1,1))</f>
        <v>411.67183422518411</v>
      </c>
      <c r="CE162" s="59">
        <f t="shared" si="148"/>
        <v>379.16642539721556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11.737994925860258</v>
      </c>
      <c r="CL162" s="21">
        <f>EXP(-LN(2)/25)*CL161+(1-EXP(-LN(2)/25))/(LN(2)/25)*Calculateur!CG162*Calculateur!CI162*VLOOKUP('Données projet'!$B$12,Paramètres!$A$1:$I$89,3,0)*0.475*44/12</f>
        <v>2.6181975779547888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14.356192503815047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5.1431925385259092E-13</v>
      </c>
      <c r="P163" s="13">
        <f t="shared" si="141"/>
        <v>6.3855359115685756E-12</v>
      </c>
      <c r="Q163" s="20">
        <f t="shared" si="162"/>
        <v>1.2017247746441865E-11</v>
      </c>
      <c r="R163" s="59">
        <f t="shared" si="109"/>
        <v>287.75907759270035</v>
      </c>
      <c r="S163" s="59">
        <f ca="1">AVERAGE(OFFSET($R$3,0,0,'Données projet'!$E$9+1,1))-AVERAGE(OFFSET($H$3,0,0,'Données projet'!$E$9+1,1))</f>
        <v>421.33534980160005</v>
      </c>
      <c r="T163" s="59">
        <f t="shared" si="142"/>
        <v>299.0473530693472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-1.0197709343628959E-13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337.99164391755608</v>
      </c>
      <c r="AO163" s="59">
        <f t="shared" si="144"/>
        <v>421.45428231923393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20.763143559321424</v>
      </c>
      <c r="AV163" s="21">
        <f>EXP(-LN(2)/25)*AV162+(1-EXP(-LN(2)/25))/(LN(2)/25)*Calculateur!AQ163*Calculateur!AS163*VLOOKUP('Données projet'!$B$10,Paramètres!$A$1:$I$89,3,0)*0.475*44/12</f>
        <v>2.4725390684582047</v>
      </c>
      <c r="AW163" s="21">
        <f>EXP(-LN(2)/2)*AW162+(1-EXP(-LN(2)/2))/(LN(2)/2)*AQ163*AT163*VLOOKUP('Données projet'!$B$10,Paramètres!$A$1:$I$89,3,0)*0.475*44/12</f>
        <v>8.9720166724504071E-15</v>
      </c>
      <c r="AX163" s="21">
        <f t="shared" si="166"/>
        <v>23.235682627779639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5.6843418860808015E-13</v>
      </c>
      <c r="BE163" s="13">
        <f>BD163*VLOOKUP('Données projet'!$B$11,Paramètres!$A$1:$I$89,3,0)*VLOOKUP('Données projet'!$B$11,Paramètres!$A$1:$I$89,5,0)</f>
        <v>5.763922672485933E-13</v>
      </c>
      <c r="BF163" s="13">
        <f t="shared" si="167"/>
        <v>7.0619171555808457E-12</v>
      </c>
      <c r="BG163" s="20">
        <f t="shared" si="168"/>
        <v>1.3303388911427938E-11</v>
      </c>
      <c r="BH163" s="59">
        <f t="shared" si="116"/>
        <v>287.75907759270166</v>
      </c>
      <c r="BI163" s="59">
        <f ca="1">AVERAGE(OFFSET($BH$3,0,0,'Données projet'!$E$11+1,1))-AVERAGE(OFFSET($H$3,0,0,'Données projet'!$E$11+1,1))</f>
        <v>462.74754756814662</v>
      </c>
      <c r="BJ163" s="59">
        <f t="shared" si="146"/>
        <v>327.65191293226667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107.89979148832215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107.89979148832215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259.99999999999983</v>
      </c>
      <c r="BZ163" s="13">
        <f>BY163*VLOOKUP('Données projet'!$B$12,Paramètres!$A$1:$I$89,3,0)*VLOOKUP('Données projet'!$B$12,Paramètres!$A$1:$I$89,5,0)</f>
        <v>227.13599999999985</v>
      </c>
      <c r="CA163" s="13">
        <f t="shared" si="170"/>
        <v>55.662966886685133</v>
      </c>
      <c r="CB163" s="20">
        <f t="shared" si="171"/>
        <v>492.5415339943097</v>
      </c>
      <c r="CC163" s="59">
        <f t="shared" si="119"/>
        <v>780.300611586998</v>
      </c>
      <c r="CD163" s="59">
        <f ca="1">AVERAGE(OFFSET($CC$3,0,0,'Données projet'!$E$12+1,1))-AVERAGE(OFFSET($H$3,0,0,'Données projet'!$E$12+1,1))</f>
        <v>411.67183422518411</v>
      </c>
      <c r="CE163" s="59">
        <f t="shared" si="148"/>
        <v>379.16642539721556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11.507820004834105</v>
      </c>
      <c r="CL163" s="21">
        <f>EXP(-LN(2)/25)*CL162+(1-EXP(-LN(2)/25))/(LN(2)/25)*Calculateur!CG163*Calculateur!CI163*VLOOKUP('Données projet'!$B$12,Paramètres!$A$1:$I$89,3,0)*0.475*44/12</f>
        <v>2.5466028275005885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14.054422832334694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5.1431925385259092E-13</v>
      </c>
      <c r="P164" s="13">
        <f t="shared" si="141"/>
        <v>6.3855359115685756E-12</v>
      </c>
      <c r="Q164" s="20">
        <f t="shared" si="162"/>
        <v>1.2017247746441865E-11</v>
      </c>
      <c r="R164" s="59">
        <f t="shared" si="109"/>
        <v>287.85577846763169</v>
      </c>
      <c r="S164" s="59">
        <f ca="1">AVERAGE(OFFSET($R$3,0,0,'Données projet'!$E$9+1,1))-AVERAGE(OFFSET($H$3,0,0,'Données projet'!$E$9+1,1))</f>
        <v>421.33534980160005</v>
      </c>
      <c r="T164" s="59">
        <f t="shared" si="142"/>
        <v>299.0473530693472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-1.0197709343628959E-13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337.99164391755608</v>
      </c>
      <c r="AO164" s="59">
        <f t="shared" si="144"/>
        <v>421.45428231923393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20.35599097839021</v>
      </c>
      <c r="AV164" s="21">
        <f>EXP(-LN(2)/25)*AV163+(1-EXP(-LN(2)/25))/(LN(2)/25)*Calculateur!AQ164*Calculateur!AS164*VLOOKUP('Données projet'!$B$10,Paramètres!$A$1:$I$89,3,0)*0.475*44/12</f>
        <v>2.4049273576060366</v>
      </c>
      <c r="AW164" s="21">
        <f>EXP(-LN(2)/2)*AW163+(1-EXP(-LN(2)/2))/(LN(2)/2)*AQ164*AT164*VLOOKUP('Données projet'!$B$10,Paramètres!$A$1:$I$89,3,0)*0.475*44/12</f>
        <v>6.3441738300084463E-15</v>
      </c>
      <c r="AX164" s="21">
        <f t="shared" si="166"/>
        <v>22.760918335996255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5.6843418860808015E-13</v>
      </c>
      <c r="BE164" s="13">
        <f>BD164*VLOOKUP('Données projet'!$B$11,Paramètres!$A$1:$I$89,3,0)*VLOOKUP('Données projet'!$B$11,Paramètres!$A$1:$I$89,5,0)</f>
        <v>5.763922672485933E-13</v>
      </c>
      <c r="BF164" s="13">
        <f t="shared" si="167"/>
        <v>7.0619171555808457E-12</v>
      </c>
      <c r="BG164" s="20">
        <f t="shared" si="168"/>
        <v>1.3303388911427938E-11</v>
      </c>
      <c r="BH164" s="59">
        <f t="shared" si="116"/>
        <v>287.855778467633</v>
      </c>
      <c r="BI164" s="59">
        <f ca="1">AVERAGE(OFFSET($BH$3,0,0,'Données projet'!$E$11+1,1))-AVERAGE(OFFSET($H$3,0,0,'Données projet'!$E$11+1,1))</f>
        <v>462.74754756814662</v>
      </c>
      <c r="BJ164" s="59">
        <f t="shared" si="146"/>
        <v>327.65191293226667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105.78394238961053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105.78394238961053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259.99999999999983</v>
      </c>
      <c r="BZ164" s="13">
        <f>BY164*VLOOKUP('Données projet'!$B$12,Paramètres!$A$1:$I$89,3,0)*VLOOKUP('Données projet'!$B$12,Paramètres!$A$1:$I$89,5,0)</f>
        <v>227.13599999999985</v>
      </c>
      <c r="CA164" s="13">
        <f t="shared" si="170"/>
        <v>55.662966886685133</v>
      </c>
      <c r="CB164" s="20">
        <f t="shared" si="171"/>
        <v>492.5415339943097</v>
      </c>
      <c r="CC164" s="59">
        <f t="shared" si="119"/>
        <v>780.39731246192946</v>
      </c>
      <c r="CD164" s="59">
        <f ca="1">AVERAGE(OFFSET($CC$3,0,0,'Données projet'!$E$12+1,1))-AVERAGE(OFFSET($H$3,0,0,'Données projet'!$E$12+1,1))</f>
        <v>411.67183422518411</v>
      </c>
      <c r="CE164" s="59">
        <f t="shared" si="148"/>
        <v>379.16642539721556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11.282158673616435</v>
      </c>
      <c r="CL164" s="21">
        <f>EXP(-LN(2)/25)*CL163+(1-EXP(-LN(2)/25))/(LN(2)/25)*Calculateur!CG164*Calculateur!CI164*VLOOKUP('Données projet'!$B$12,Paramètres!$A$1:$I$89,3,0)*0.475*44/12</f>
        <v>2.4769658392625624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13.759124512878998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5.1431925385259092E-13</v>
      </c>
      <c r="P165" s="13">
        <f t="shared" si="141"/>
        <v>6.3855359115685756E-12</v>
      </c>
      <c r="Q165" s="20">
        <f t="shared" si="162"/>
        <v>1.2017247746441865E-11</v>
      </c>
      <c r="R165" s="59">
        <f t="shared" si="109"/>
        <v>287.95080179857371</v>
      </c>
      <c r="S165" s="59">
        <f ca="1">AVERAGE(OFFSET($R$3,0,0,'Données projet'!$E$9+1,1))-AVERAGE(OFFSET($H$3,0,0,'Données projet'!$E$9+1,1))</f>
        <v>421.33534980160005</v>
      </c>
      <c r="T165" s="59">
        <f t="shared" si="142"/>
        <v>299.0473530693472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-1.0197709343628959E-13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337.99164391755608</v>
      </c>
      <c r="AO165" s="59">
        <f t="shared" si="144"/>
        <v>421.45428231923393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19.956822411232505</v>
      </c>
      <c r="AV165" s="21">
        <f>EXP(-LN(2)/25)*AV164+(1-EXP(-LN(2)/25))/(LN(2)/25)*Calculateur!AQ165*Calculateur!AS165*VLOOKUP('Données projet'!$B$10,Paramètres!$A$1:$I$89,3,0)*0.475*44/12</f>
        <v>2.3391644925426665</v>
      </c>
      <c r="AW165" s="21">
        <f>EXP(-LN(2)/2)*AW164+(1-EXP(-LN(2)/2))/(LN(2)/2)*AQ165*AT165*VLOOKUP('Données projet'!$B$10,Paramètres!$A$1:$I$89,3,0)*0.475*44/12</f>
        <v>4.4860083362252035E-15</v>
      </c>
      <c r="AX165" s="21">
        <f t="shared" si="166"/>
        <v>22.295986903775177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5.6843418860808015E-13</v>
      </c>
      <c r="BE165" s="13">
        <f>BD165*VLOOKUP('Données projet'!$B$11,Paramètres!$A$1:$I$89,3,0)*VLOOKUP('Données projet'!$B$11,Paramètres!$A$1:$I$89,5,0)</f>
        <v>5.763922672485933E-13</v>
      </c>
      <c r="BF165" s="13">
        <f t="shared" si="167"/>
        <v>7.0619171555808457E-12</v>
      </c>
      <c r="BG165" s="20">
        <f t="shared" si="168"/>
        <v>1.3303388911427938E-11</v>
      </c>
      <c r="BH165" s="59">
        <f t="shared" si="116"/>
        <v>287.95080179857501</v>
      </c>
      <c r="BI165" s="59">
        <f ca="1">AVERAGE(OFFSET($BH$3,0,0,'Données projet'!$E$11+1,1))-AVERAGE(OFFSET($H$3,0,0,'Données projet'!$E$11+1,1))</f>
        <v>462.74754756814662</v>
      </c>
      <c r="BJ165" s="59">
        <f t="shared" si="146"/>
        <v>327.65191293226667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103.70958380118412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103.70958380118412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259.99999999999983</v>
      </c>
      <c r="BZ165" s="13">
        <f>BY165*VLOOKUP('Données projet'!$B$12,Paramètres!$A$1:$I$89,3,0)*VLOOKUP('Données projet'!$B$12,Paramètres!$A$1:$I$89,5,0)</f>
        <v>227.13599999999985</v>
      </c>
      <c r="CA165" s="13">
        <f t="shared" si="170"/>
        <v>55.662966886685133</v>
      </c>
      <c r="CB165" s="20">
        <f t="shared" si="171"/>
        <v>492.5415339943097</v>
      </c>
      <c r="CC165" s="59">
        <f t="shared" si="119"/>
        <v>780.49233579287147</v>
      </c>
      <c r="CD165" s="59">
        <f ca="1">AVERAGE(OFFSET($CC$3,0,0,'Données projet'!$E$12+1,1))-AVERAGE(OFFSET($H$3,0,0,'Données projet'!$E$12+1,1))</f>
        <v>411.67183422518411</v>
      </c>
      <c r="CE165" s="59">
        <f t="shared" si="148"/>
        <v>379.16642539721556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11.060922423464122</v>
      </c>
      <c r="CL165" s="21">
        <f>EXP(-LN(2)/25)*CL164+(1-EXP(-LN(2)/25))/(LN(2)/25)*Calculateur!CG165*Calculateur!CI165*VLOOKUP('Données projet'!$B$12,Paramètres!$A$1:$I$89,3,0)*0.475*44/12</f>
        <v>2.4092330781299554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13.470155501594078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5.1431925385259092E-13</v>
      </c>
      <c r="P166" s="13">
        <f t="shared" si="141"/>
        <v>6.3855359115685756E-12</v>
      </c>
      <c r="Q166" s="20">
        <f t="shared" si="162"/>
        <v>1.2017247746441865E-11</v>
      </c>
      <c r="R166" s="59">
        <f t="shared" si="109"/>
        <v>288.04417668716422</v>
      </c>
      <c r="S166" s="59">
        <f ca="1">AVERAGE(OFFSET($R$3,0,0,'Données projet'!$E$9+1,1))-AVERAGE(OFFSET($H$3,0,0,'Données projet'!$E$9+1,1))</f>
        <v>421.33534980160005</v>
      </c>
      <c r="T166" s="59">
        <f t="shared" si="142"/>
        <v>299.0473530693472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-1.0197709343628959E-13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337.99164391755608</v>
      </c>
      <c r="AO166" s="59">
        <f t="shared" si="144"/>
        <v>421.45428231923393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19.565481296207977</v>
      </c>
      <c r="AV166" s="21">
        <f>EXP(-LN(2)/25)*AV165+(1-EXP(-LN(2)/25))/(LN(2)/25)*Calculateur!AQ166*Calculateur!AS166*VLOOKUP('Données projet'!$B$10,Paramètres!$A$1:$I$89,3,0)*0.475*44/12</f>
        <v>2.275199916482773</v>
      </c>
      <c r="AW166" s="21">
        <f>EXP(-LN(2)/2)*AW165+(1-EXP(-LN(2)/2))/(LN(2)/2)*AQ166*AT166*VLOOKUP('Données projet'!$B$10,Paramètres!$A$1:$I$89,3,0)*0.475*44/12</f>
        <v>3.1720869150042232E-15</v>
      </c>
      <c r="AX166" s="21">
        <f t="shared" si="166"/>
        <v>21.840681212690754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5.6843418860808015E-13</v>
      </c>
      <c r="BE166" s="13">
        <f>BD166*VLOOKUP('Données projet'!$B$11,Paramètres!$A$1:$I$89,3,0)*VLOOKUP('Données projet'!$B$11,Paramètres!$A$1:$I$89,5,0)</f>
        <v>5.763922672485933E-13</v>
      </c>
      <c r="BF166" s="13">
        <f t="shared" si="167"/>
        <v>7.0619171555808457E-12</v>
      </c>
      <c r="BG166" s="20">
        <f t="shared" si="168"/>
        <v>1.3303388911427938E-11</v>
      </c>
      <c r="BH166" s="59">
        <f t="shared" si="116"/>
        <v>288.04417668716553</v>
      </c>
      <c r="BI166" s="59">
        <f ca="1">AVERAGE(OFFSET($BH$3,0,0,'Données projet'!$E$11+1,1))-AVERAGE(OFFSET($H$3,0,0,'Données projet'!$E$11+1,1))</f>
        <v>462.74754756814662</v>
      </c>
      <c r="BJ166" s="59">
        <f t="shared" si="146"/>
        <v>327.65191293226667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101.67590211944295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101.67590211944295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259.99999999999983</v>
      </c>
      <c r="BZ166" s="13">
        <f>BY166*VLOOKUP('Données projet'!$B$12,Paramètres!$A$1:$I$89,3,0)*VLOOKUP('Données projet'!$B$12,Paramètres!$A$1:$I$89,5,0)</f>
        <v>227.13599999999985</v>
      </c>
      <c r="CA166" s="13">
        <f t="shared" si="170"/>
        <v>55.662966886685133</v>
      </c>
      <c r="CB166" s="20">
        <f t="shared" si="171"/>
        <v>492.5415339943097</v>
      </c>
      <c r="CC166" s="59">
        <f t="shared" si="119"/>
        <v>780.58571068146193</v>
      </c>
      <c r="CD166" s="59">
        <f ca="1">AVERAGE(OFFSET($CC$3,0,0,'Données projet'!$E$12+1,1))-AVERAGE(OFFSET($H$3,0,0,'Données projet'!$E$12+1,1))</f>
        <v>411.67183422518411</v>
      </c>
      <c r="CE166" s="59">
        <f t="shared" si="148"/>
        <v>379.16642539721556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10.844024481236508</v>
      </c>
      <c r="CL166" s="21">
        <f>EXP(-LN(2)/25)*CL165+(1-EXP(-LN(2)/25))/(LN(2)/25)*Calculateur!CG166*Calculateur!CI166*VLOOKUP('Données projet'!$B$12,Paramètres!$A$1:$I$89,3,0)*0.475*44/12</f>
        <v>2.3433524729124304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13.187376954148938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5.1431925385259092E-13</v>
      </c>
      <c r="P167" s="13">
        <f t="shared" si="141"/>
        <v>6.3855359115685756E-12</v>
      </c>
      <c r="Q167" s="20">
        <f t="shared" si="162"/>
        <v>1.2017247746441865E-11</v>
      </c>
      <c r="R167" s="59">
        <f t="shared" si="109"/>
        <v>288.13593173019268</v>
      </c>
      <c r="S167" s="59">
        <f ca="1">AVERAGE(OFFSET($R$3,0,0,'Données projet'!$E$9+1,1))-AVERAGE(OFFSET($H$3,0,0,'Données projet'!$E$9+1,1))</f>
        <v>421.33534980160005</v>
      </c>
      <c r="T167" s="59">
        <f t="shared" si="142"/>
        <v>299.0473530693472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-1.0197709343628959E-13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337.99164391755608</v>
      </c>
      <c r="AO167" s="59">
        <f t="shared" si="144"/>
        <v>421.45428231923393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19.181814141754568</v>
      </c>
      <c r="AV167" s="21">
        <f>EXP(-LN(2)/25)*AV166+(1-EXP(-LN(2)/25))/(LN(2)/25)*Calculateur!AQ167*Calculateur!AS167*VLOOKUP('Données projet'!$B$10,Paramètres!$A$1:$I$89,3,0)*0.475*44/12</f>
        <v>2.2129844551189879</v>
      </c>
      <c r="AW167" s="21">
        <f>EXP(-LN(2)/2)*AW166+(1-EXP(-LN(2)/2))/(LN(2)/2)*AQ167*AT167*VLOOKUP('Données projet'!$B$10,Paramètres!$A$1:$I$89,3,0)*0.475*44/12</f>
        <v>2.2430041681126018E-15</v>
      </c>
      <c r="AX167" s="21">
        <f t="shared" si="166"/>
        <v>21.39479859687356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5.6843418860808015E-13</v>
      </c>
      <c r="BE167" s="13">
        <f>BD167*VLOOKUP('Données projet'!$B$11,Paramètres!$A$1:$I$89,3,0)*VLOOKUP('Données projet'!$B$11,Paramètres!$A$1:$I$89,5,0)</f>
        <v>5.763922672485933E-13</v>
      </c>
      <c r="BF167" s="13">
        <f t="shared" si="167"/>
        <v>7.0619171555808457E-12</v>
      </c>
      <c r="BG167" s="20">
        <f t="shared" si="168"/>
        <v>1.3303388911427938E-11</v>
      </c>
      <c r="BH167" s="59">
        <f t="shared" si="116"/>
        <v>288.13593173019399</v>
      </c>
      <c r="BI167" s="59">
        <f ca="1">AVERAGE(OFFSET($BH$3,0,0,'Données projet'!$E$11+1,1))-AVERAGE(OFFSET($H$3,0,0,'Données projet'!$E$11+1,1))</f>
        <v>462.74754756814662</v>
      </c>
      <c r="BJ167" s="59">
        <f t="shared" si="146"/>
        <v>327.65191293226667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99.682099695057374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99.682099695057374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259.99999999999983</v>
      </c>
      <c r="BZ167" s="13">
        <f>BY167*VLOOKUP('Données projet'!$B$12,Paramètres!$A$1:$I$89,3,0)*VLOOKUP('Données projet'!$B$12,Paramètres!$A$1:$I$89,5,0)</f>
        <v>227.13599999999985</v>
      </c>
      <c r="CA167" s="13">
        <f t="shared" si="170"/>
        <v>55.662966886685133</v>
      </c>
      <c r="CB167" s="20">
        <f t="shared" si="171"/>
        <v>492.5415339943097</v>
      </c>
      <c r="CC167" s="59">
        <f t="shared" si="119"/>
        <v>780.67746572449039</v>
      </c>
      <c r="CD167" s="59">
        <f ca="1">AVERAGE(OFFSET($CC$3,0,0,'Données projet'!$E$12+1,1))-AVERAGE(OFFSET($H$3,0,0,'Données projet'!$E$12+1,1))</f>
        <v>411.67183422518411</v>
      </c>
      <c r="CE167" s="59">
        <f t="shared" si="148"/>
        <v>379.16642539721556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10.631379775361296</v>
      </c>
      <c r="CL167" s="21">
        <f>EXP(-LN(2)/25)*CL166+(1-EXP(-LN(2)/25))/(LN(2)/25)*Calculateur!CG167*Calculateur!CI167*VLOOKUP('Données projet'!$B$12,Paramètres!$A$1:$I$89,3,0)*0.475*44/12</f>
        <v>2.2792733763090891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12.910653151670385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5.1431925385259092E-13</v>
      </c>
      <c r="P168" s="13">
        <f t="shared" si="141"/>
        <v>6.3855359115685756E-12</v>
      </c>
      <c r="Q168" s="20">
        <f t="shared" si="162"/>
        <v>1.2017247746441865E-11</v>
      </c>
      <c r="R168" s="59">
        <f t="shared" si="109"/>
        <v>288.22609502835815</v>
      </c>
      <c r="S168" s="59">
        <f ca="1">AVERAGE(OFFSET($R$3,0,0,'Données projet'!$E$9+1,1))-AVERAGE(OFFSET($H$3,0,0,'Données projet'!$E$9+1,1))</f>
        <v>421.33534980160005</v>
      </c>
      <c r="T168" s="59">
        <f t="shared" si="142"/>
        <v>299.0473530693472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-1.0197709343628959E-13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337.99164391755608</v>
      </c>
      <c r="AO168" s="59">
        <f t="shared" si="144"/>
        <v>421.45428231923393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18.805670466186132</v>
      </c>
      <c r="AV168" s="21">
        <f>EXP(-LN(2)/25)*AV167+(1-EXP(-LN(2)/25))/(LN(2)/25)*Calculateur!AQ168*Calculateur!AS168*VLOOKUP('Données projet'!$B$10,Paramètres!$A$1:$I$89,3,0)*0.475*44/12</f>
        <v>2.1524702788179644</v>
      </c>
      <c r="AW168" s="21">
        <f>EXP(-LN(2)/2)*AW167+(1-EXP(-LN(2)/2))/(LN(2)/2)*AQ168*AT168*VLOOKUP('Données projet'!$B$10,Paramètres!$A$1:$I$89,3,0)*0.475*44/12</f>
        <v>1.5860434575021116E-15</v>
      </c>
      <c r="AX168" s="21">
        <f t="shared" si="166"/>
        <v>20.958140745004098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5.6843418860808015E-13</v>
      </c>
      <c r="BE168" s="13">
        <f>BD168*VLOOKUP('Données projet'!$B$11,Paramètres!$A$1:$I$89,3,0)*VLOOKUP('Données projet'!$B$11,Paramètres!$A$1:$I$89,5,0)</f>
        <v>5.763922672485933E-13</v>
      </c>
      <c r="BF168" s="13">
        <f t="shared" si="167"/>
        <v>7.0619171555808457E-12</v>
      </c>
      <c r="BG168" s="20">
        <f t="shared" si="168"/>
        <v>1.3303388911427938E-11</v>
      </c>
      <c r="BH168" s="59">
        <f t="shared" si="116"/>
        <v>288.22609502835945</v>
      </c>
      <c r="BI168" s="59">
        <f ca="1">AVERAGE(OFFSET($BH$3,0,0,'Données projet'!$E$11+1,1))-AVERAGE(OFFSET($H$3,0,0,'Données projet'!$E$11+1,1))</f>
        <v>462.74754756814662</v>
      </c>
      <c r="BJ168" s="59">
        <f t="shared" si="146"/>
        <v>327.65191293226667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97.727394520114601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97.727394520114601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259.99999999999983</v>
      </c>
      <c r="BZ168" s="13">
        <f>BY168*VLOOKUP('Données projet'!$B$12,Paramètres!$A$1:$I$89,3,0)*VLOOKUP('Données projet'!$B$12,Paramètres!$A$1:$I$89,5,0)</f>
        <v>227.13599999999985</v>
      </c>
      <c r="CA168" s="13">
        <f t="shared" si="170"/>
        <v>55.662966886685133</v>
      </c>
      <c r="CB168" s="20">
        <f t="shared" si="171"/>
        <v>492.5415339943097</v>
      </c>
      <c r="CC168" s="59">
        <f t="shared" si="119"/>
        <v>780.76762902265591</v>
      </c>
      <c r="CD168" s="59">
        <f ca="1">AVERAGE(OFFSET($CC$3,0,0,'Données projet'!$E$12+1,1))-AVERAGE(OFFSET($H$3,0,0,'Données projet'!$E$12+1,1))</f>
        <v>411.67183422518411</v>
      </c>
      <c r="CE168" s="59">
        <f t="shared" si="148"/>
        <v>379.16642539721556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10.422904902467833</v>
      </c>
      <c r="CL168" s="21">
        <f>EXP(-LN(2)/25)*CL167+(1-EXP(-LN(2)/25))/(LN(2)/25)*Calculateur!CG168*Calculateur!CI168*VLOOKUP('Données projet'!$B$12,Paramètres!$A$1:$I$89,3,0)*0.475*44/12</f>
        <v>2.2169465259721397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12.639851428439972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5.1431925385259092E-13</v>
      </c>
      <c r="P169" s="13">
        <f t="shared" si="141"/>
        <v>6.3855359115685756E-12</v>
      </c>
      <c r="Q169" s="20">
        <f t="shared" si="162"/>
        <v>1.2017247746441865E-11</v>
      </c>
      <c r="R169" s="59">
        <f t="shared" si="109"/>
        <v>288.31469419487541</v>
      </c>
      <c r="S169" s="59">
        <f ca="1">AVERAGE(OFFSET($R$3,0,0,'Données projet'!$E$9+1,1))-AVERAGE(OFFSET($H$3,0,0,'Données projet'!$E$9+1,1))</f>
        <v>421.33534980160005</v>
      </c>
      <c r="T169" s="59">
        <f t="shared" si="142"/>
        <v>299.0473530693472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-1.0197709343628959E-13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337.99164391755608</v>
      </c>
      <c r="AO169" s="59">
        <f t="shared" si="144"/>
        <v>421.45428231923393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18.436902738670607</v>
      </c>
      <c r="AV169" s="21">
        <f>EXP(-LN(2)/25)*AV168+(1-EXP(-LN(2)/25))/(LN(2)/25)*Calculateur!AQ169*Calculateur!AS169*VLOOKUP('Données projet'!$B$10,Paramètres!$A$1:$I$89,3,0)*0.475*44/12</f>
        <v>2.0936108658501946</v>
      </c>
      <c r="AW169" s="21">
        <f>EXP(-LN(2)/2)*AW168+(1-EXP(-LN(2)/2))/(LN(2)/2)*AQ169*AT169*VLOOKUP('Données projet'!$B$10,Paramètres!$A$1:$I$89,3,0)*0.475*44/12</f>
        <v>1.1215020840563009E-15</v>
      </c>
      <c r="AX169" s="21">
        <f t="shared" si="166"/>
        <v>20.530513604520802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5.6843418860808015E-13</v>
      </c>
      <c r="BE169" s="13">
        <f>BD169*VLOOKUP('Données projet'!$B$11,Paramètres!$A$1:$I$89,3,0)*VLOOKUP('Données projet'!$B$11,Paramètres!$A$1:$I$89,5,0)</f>
        <v>5.763922672485933E-13</v>
      </c>
      <c r="BF169" s="13">
        <f t="shared" si="167"/>
        <v>7.0619171555808457E-12</v>
      </c>
      <c r="BG169" s="20">
        <f t="shared" si="168"/>
        <v>1.3303388911427938E-11</v>
      </c>
      <c r="BH169" s="59">
        <f t="shared" si="116"/>
        <v>288.31469419487672</v>
      </c>
      <c r="BI169" s="59">
        <f ca="1">AVERAGE(OFFSET($BH$3,0,0,'Données projet'!$E$11+1,1))-AVERAGE(OFFSET($H$3,0,0,'Données projet'!$E$11+1,1))</f>
        <v>462.74754756814662</v>
      </c>
      <c r="BJ169" s="59">
        <f t="shared" si="146"/>
        <v>327.65191293226667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95.811019921400032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95.811019921400032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259.99999999999983</v>
      </c>
      <c r="BZ169" s="13">
        <f>BY169*VLOOKUP('Données projet'!$B$12,Paramètres!$A$1:$I$89,3,0)*VLOOKUP('Données projet'!$B$12,Paramètres!$A$1:$I$89,5,0)</f>
        <v>227.13599999999985</v>
      </c>
      <c r="CA169" s="13">
        <f t="shared" si="170"/>
        <v>55.662966886685133</v>
      </c>
      <c r="CB169" s="20">
        <f t="shared" si="171"/>
        <v>492.5415339943097</v>
      </c>
      <c r="CC169" s="59">
        <f t="shared" si="119"/>
        <v>780.85622818917318</v>
      </c>
      <c r="CD169" s="59">
        <f ca="1">AVERAGE(OFFSET($CC$3,0,0,'Données projet'!$E$12+1,1))-AVERAGE(OFFSET($H$3,0,0,'Données projet'!$E$12+1,1))</f>
        <v>411.67183422518411</v>
      </c>
      <c r="CE169" s="59">
        <f t="shared" si="148"/>
        <v>379.16642539721556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10.218518094674694</v>
      </c>
      <c r="CL169" s="21">
        <f>EXP(-LN(2)/25)*CL168+(1-EXP(-LN(2)/25))/(LN(2)/25)*Calculateur!CG169*Calculateur!CI169*VLOOKUP('Données projet'!$B$12,Paramètres!$A$1:$I$89,3,0)*0.475*44/12</f>
        <v>2.1563240066352805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12.374842101309975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5.1431925385259092E-13</v>
      </c>
      <c r="P170" s="13">
        <f t="shared" si="141"/>
        <v>6.3855359115685756E-12</v>
      </c>
      <c r="Q170" s="20">
        <f t="shared" si="162"/>
        <v>1.2017247746441865E-11</v>
      </c>
      <c r="R170" s="59">
        <f t="shared" si="109"/>
        <v>288.40175636393161</v>
      </c>
      <c r="S170" s="59">
        <f ca="1">AVERAGE(OFFSET($R$3,0,0,'Données projet'!$E$9+1,1))-AVERAGE(OFFSET($H$3,0,0,'Données projet'!$E$9+1,1))</f>
        <v>421.33534980160005</v>
      </c>
      <c r="T170" s="59">
        <f t="shared" si="142"/>
        <v>299.0473530693472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-1.0197709343628959E-13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337.99164391755608</v>
      </c>
      <c r="AO170" s="59">
        <f t="shared" si="144"/>
        <v>421.45428231923393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18.075366321365557</v>
      </c>
      <c r="AV170" s="21">
        <f>EXP(-LN(2)/25)*AV169+(1-EXP(-LN(2)/25))/(LN(2)/25)*Calculateur!AQ170*Calculateur!AS170*VLOOKUP('Données projet'!$B$10,Paramètres!$A$1:$I$89,3,0)*0.475*44/12</f>
        <v>2.0363609666253106</v>
      </c>
      <c r="AW170" s="21">
        <f>EXP(-LN(2)/2)*AW169+(1-EXP(-LN(2)/2))/(LN(2)/2)*AQ170*AT170*VLOOKUP('Données projet'!$B$10,Paramètres!$A$1:$I$89,3,0)*0.475*44/12</f>
        <v>7.9302172875105579E-16</v>
      </c>
      <c r="AX170" s="21">
        <f t="shared" si="166"/>
        <v>20.111727287990867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5.6843418860808015E-13</v>
      </c>
      <c r="BE170" s="13">
        <f>BD170*VLOOKUP('Données projet'!$B$11,Paramètres!$A$1:$I$89,3,0)*VLOOKUP('Données projet'!$B$11,Paramètres!$A$1:$I$89,5,0)</f>
        <v>5.763922672485933E-13</v>
      </c>
      <c r="BF170" s="13">
        <f t="shared" si="167"/>
        <v>7.0619171555808457E-12</v>
      </c>
      <c r="BG170" s="20">
        <f t="shared" si="168"/>
        <v>1.3303388911427938E-11</v>
      </c>
      <c r="BH170" s="59">
        <f t="shared" si="116"/>
        <v>288.40175636393292</v>
      </c>
      <c r="BI170" s="59">
        <f ca="1">AVERAGE(OFFSET($BH$3,0,0,'Données projet'!$E$11+1,1))-AVERAGE(OFFSET($H$3,0,0,'Données projet'!$E$11+1,1))</f>
        <v>462.74754756814662</v>
      </c>
      <c r="BJ170" s="59">
        <f t="shared" si="146"/>
        <v>327.65191293226667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93.932224259693157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93.932224259693157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259.99999999999983</v>
      </c>
      <c r="BZ170" s="13">
        <f>BY170*VLOOKUP('Données projet'!$B$12,Paramètres!$A$1:$I$89,3,0)*VLOOKUP('Données projet'!$B$12,Paramètres!$A$1:$I$89,5,0)</f>
        <v>227.13599999999985</v>
      </c>
      <c r="CA170" s="13">
        <f t="shared" si="170"/>
        <v>55.662966886685133</v>
      </c>
      <c r="CB170" s="20">
        <f t="shared" si="171"/>
        <v>492.5415339943097</v>
      </c>
      <c r="CC170" s="59">
        <f t="shared" si="119"/>
        <v>780.94329035822932</v>
      </c>
      <c r="CD170" s="59">
        <f ca="1">AVERAGE(OFFSET($CC$3,0,0,'Données projet'!$E$12+1,1))-AVERAGE(OFFSET($H$3,0,0,'Données projet'!$E$12+1,1))</f>
        <v>411.67183422518411</v>
      </c>
      <c r="CE170" s="59">
        <f t="shared" si="148"/>
        <v>379.16642539721556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10.018139187518734</v>
      </c>
      <c r="CL170" s="21">
        <f>EXP(-LN(2)/25)*CL169+(1-EXP(-LN(2)/25))/(LN(2)/25)*Calculateur!CG170*Calculateur!CI170*VLOOKUP('Données projet'!$B$12,Paramètres!$A$1:$I$89,3,0)*0.475*44/12</f>
        <v>2.0973592132776875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12.115498400796422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5.1431925385259092E-13</v>
      </c>
      <c r="P171" s="13">
        <f t="shared" si="141"/>
        <v>6.3855359115685756E-12</v>
      </c>
      <c r="Q171" s="20">
        <f t="shared" si="162"/>
        <v>1.2017247746441865E-11</v>
      </c>
      <c r="R171" s="59">
        <f t="shared" si="109"/>
        <v>288.48730819899652</v>
      </c>
      <c r="S171" s="59">
        <f ca="1">AVERAGE(OFFSET($R$3,0,0,'Données projet'!$E$9+1,1))-AVERAGE(OFFSET($H$3,0,0,'Données projet'!$E$9+1,1))</f>
        <v>421.33534980160005</v>
      </c>
      <c r="T171" s="59">
        <f t="shared" si="142"/>
        <v>299.0473530693472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-1.0197709343628959E-13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337.99164391755608</v>
      </c>
      <c r="AO171" s="59">
        <f t="shared" si="144"/>
        <v>421.45428231923393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17.720919412688417</v>
      </c>
      <c r="AV171" s="21">
        <f>EXP(-LN(2)/25)*AV170+(1-EXP(-LN(2)/25))/(LN(2)/25)*Calculateur!AQ171*Calculateur!AS171*VLOOKUP('Données projet'!$B$10,Paramètres!$A$1:$I$89,3,0)*0.475*44/12</f>
        <v>1.9806765689053725</v>
      </c>
      <c r="AW171" s="21">
        <f>EXP(-LN(2)/2)*AW170+(1-EXP(-LN(2)/2))/(LN(2)/2)*AQ171*AT171*VLOOKUP('Données projet'!$B$10,Paramètres!$A$1:$I$89,3,0)*0.475*44/12</f>
        <v>5.6075104202815044E-16</v>
      </c>
      <c r="AX171" s="21">
        <f t="shared" si="166"/>
        <v>19.70159598159379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5.6843418860808015E-13</v>
      </c>
      <c r="BE171" s="13">
        <f>BD171*VLOOKUP('Données projet'!$B$11,Paramètres!$A$1:$I$89,3,0)*VLOOKUP('Données projet'!$B$11,Paramètres!$A$1:$I$89,5,0)</f>
        <v>5.763922672485933E-13</v>
      </c>
      <c r="BF171" s="13">
        <f t="shared" si="167"/>
        <v>7.0619171555808457E-12</v>
      </c>
      <c r="BG171" s="20">
        <f t="shared" si="168"/>
        <v>1.3303388911427938E-11</v>
      </c>
      <c r="BH171" s="59">
        <f t="shared" si="116"/>
        <v>288.48730819899782</v>
      </c>
      <c r="BI171" s="59">
        <f ca="1">AVERAGE(OFFSET($BH$3,0,0,'Données projet'!$E$11+1,1))-AVERAGE(OFFSET($H$3,0,0,'Données projet'!$E$11+1,1))</f>
        <v>462.74754756814662</v>
      </c>
      <c r="BJ171" s="59">
        <f t="shared" si="146"/>
        <v>327.65191293226667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92.090270634960163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92.090270634960163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259.99999999999983</v>
      </c>
      <c r="BZ171" s="13">
        <f>BY171*VLOOKUP('Données projet'!$B$12,Paramètres!$A$1:$I$89,3,0)*VLOOKUP('Données projet'!$B$12,Paramètres!$A$1:$I$89,5,0)</f>
        <v>227.13599999999985</v>
      </c>
      <c r="CA171" s="13">
        <f t="shared" si="170"/>
        <v>55.662966886685133</v>
      </c>
      <c r="CB171" s="20">
        <f t="shared" si="171"/>
        <v>492.5415339943097</v>
      </c>
      <c r="CC171" s="59">
        <f t="shared" si="119"/>
        <v>781.02884219329417</v>
      </c>
      <c r="CD171" s="59">
        <f ca="1">AVERAGE(OFFSET($CC$3,0,0,'Données projet'!$E$12+1,1))-AVERAGE(OFFSET($H$3,0,0,'Données projet'!$E$12+1,1))</f>
        <v>411.67183422518411</v>
      </c>
      <c r="CE171" s="59">
        <f t="shared" si="148"/>
        <v>379.16642539721556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9.8216895885130384</v>
      </c>
      <c r="CL171" s="21">
        <f>EXP(-LN(2)/25)*CL170+(1-EXP(-LN(2)/25))/(LN(2)/25)*Calculateur!CG171*Calculateur!CI171*VLOOKUP('Données projet'!$B$12,Paramètres!$A$1:$I$89,3,0)*0.475*44/12</f>
        <v>2.0400068152952815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11.86169640380832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5.1431925385259092E-13</v>
      </c>
      <c r="P172" s="13">
        <f t="shared" si="141"/>
        <v>6.3855359115685756E-12</v>
      </c>
      <c r="Q172" s="20">
        <f t="shared" si="162"/>
        <v>1.2017247746441865E-11</v>
      </c>
      <c r="R172" s="59">
        <f t="shared" si="109"/>
        <v>288.57137590098841</v>
      </c>
      <c r="S172" s="59">
        <f ca="1">AVERAGE(OFFSET($R$3,0,0,'Données projet'!$E$9+1,1))-AVERAGE(OFFSET($H$3,0,0,'Données projet'!$E$9+1,1))</f>
        <v>421.33534980160005</v>
      </c>
      <c r="T172" s="59">
        <f t="shared" si="142"/>
        <v>299.0473530693472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-1.0197709343628959E-13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337.99164391755608</v>
      </c>
      <c r="AO172" s="59">
        <f t="shared" si="144"/>
        <v>421.45428231923393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17.373422991699169</v>
      </c>
      <c r="AV172" s="21">
        <f>EXP(-LN(2)/25)*AV171+(1-EXP(-LN(2)/25))/(LN(2)/25)*Calculateur!AQ172*Calculateur!AS172*VLOOKUP('Données projet'!$B$10,Paramètres!$A$1:$I$89,3,0)*0.475*44/12</f>
        <v>1.9265148639694012</v>
      </c>
      <c r="AW172" s="21">
        <f>EXP(-LN(2)/2)*AW171+(1-EXP(-LN(2)/2))/(LN(2)/2)*AQ172*AT172*VLOOKUP('Données projet'!$B$10,Paramètres!$A$1:$I$89,3,0)*0.475*44/12</f>
        <v>3.965108643755279E-16</v>
      </c>
      <c r="AX172" s="21">
        <f t="shared" si="166"/>
        <v>19.299937855668571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5.6843418860808015E-13</v>
      </c>
      <c r="BE172" s="13">
        <f>BD172*VLOOKUP('Données projet'!$B$11,Paramètres!$A$1:$I$89,3,0)*VLOOKUP('Données projet'!$B$11,Paramètres!$A$1:$I$89,5,0)</f>
        <v>5.763922672485933E-13</v>
      </c>
      <c r="BF172" s="13">
        <f t="shared" si="167"/>
        <v>7.0619171555808457E-12</v>
      </c>
      <c r="BG172" s="20">
        <f t="shared" si="168"/>
        <v>1.3303388911427938E-11</v>
      </c>
      <c r="BH172" s="59">
        <f t="shared" si="116"/>
        <v>288.57137590098972</v>
      </c>
      <c r="BI172" s="59">
        <f ca="1">AVERAGE(OFFSET($BH$3,0,0,'Données projet'!$E$11+1,1))-AVERAGE(OFFSET($H$3,0,0,'Données projet'!$E$11+1,1))</f>
        <v>462.74754756814662</v>
      </c>
      <c r="BJ172" s="59">
        <f t="shared" si="146"/>
        <v>327.65191293226667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90.284436597327399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90.284436597327399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259.99999999999983</v>
      </c>
      <c r="BZ172" s="13">
        <f>BY172*VLOOKUP('Données projet'!$B$12,Paramètres!$A$1:$I$89,3,0)*VLOOKUP('Données projet'!$B$12,Paramètres!$A$1:$I$89,5,0)</f>
        <v>227.13599999999985</v>
      </c>
      <c r="CA172" s="13">
        <f t="shared" si="170"/>
        <v>55.662966886685133</v>
      </c>
      <c r="CB172" s="20">
        <f t="shared" si="171"/>
        <v>492.5415339943097</v>
      </c>
      <c r="CC172" s="59">
        <f t="shared" si="119"/>
        <v>781.11290989528607</v>
      </c>
      <c r="CD172" s="59">
        <f ca="1">AVERAGE(OFFSET($CC$3,0,0,'Données projet'!$E$12+1,1))-AVERAGE(OFFSET($H$3,0,0,'Données projet'!$E$12+1,1))</f>
        <v>411.67183422518411</v>
      </c>
      <c r="CE172" s="59">
        <f t="shared" si="148"/>
        <v>379.16642539721556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9.6290922463214201</v>
      </c>
      <c r="CL172" s="21">
        <f>EXP(-LN(2)/25)*CL171+(1-EXP(-LN(2)/25))/(LN(2)/25)*Calculateur!CG172*Calculateur!CI172*VLOOKUP('Données projet'!$B$12,Paramètres!$A$1:$I$89,3,0)*0.475*44/12</f>
        <v>1.9842227216517361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11.613314967973157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5.1431925385259092E-13</v>
      </c>
      <c r="P173" s="13">
        <f t="shared" si="141"/>
        <v>6.3855359115685756E-12</v>
      </c>
      <c r="Q173" s="20">
        <f t="shared" si="162"/>
        <v>1.2017247746441865E-11</v>
      </c>
      <c r="R173" s="59">
        <f t="shared" si="109"/>
        <v>288.65398521629788</v>
      </c>
      <c r="S173" s="59">
        <f ca="1">AVERAGE(OFFSET($R$3,0,0,'Données projet'!$E$9+1,1))-AVERAGE(OFFSET($H$3,0,0,'Données projet'!$E$9+1,1))</f>
        <v>421.33534980160005</v>
      </c>
      <c r="T173" s="59">
        <f t="shared" si="142"/>
        <v>299.0473530693472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-1.0197709343628959E-13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337.99164391755608</v>
      </c>
      <c r="AO173" s="59">
        <f t="shared" si="144"/>
        <v>421.45428231923393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17.032740763573631</v>
      </c>
      <c r="AV173" s="21">
        <f>EXP(-LN(2)/25)*AV172+(1-EXP(-LN(2)/25))/(LN(2)/25)*Calculateur!AQ173*Calculateur!AS173*VLOOKUP('Données projet'!$B$10,Paramètres!$A$1:$I$89,3,0)*0.475*44/12</f>
        <v>1.8738342137031443</v>
      </c>
      <c r="AW173" s="21">
        <f>EXP(-LN(2)/2)*AW172+(1-EXP(-LN(2)/2))/(LN(2)/2)*AQ173*AT173*VLOOKUP('Données projet'!$B$10,Paramètres!$A$1:$I$89,3,0)*0.475*44/12</f>
        <v>2.8037552101407522E-16</v>
      </c>
      <c r="AX173" s="21">
        <f t="shared" si="166"/>
        <v>18.906574977276776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5.6843418860808015E-13</v>
      </c>
      <c r="BE173" s="13">
        <f>BD173*VLOOKUP('Données projet'!$B$11,Paramètres!$A$1:$I$89,3,0)*VLOOKUP('Données projet'!$B$11,Paramètres!$A$1:$I$89,5,0)</f>
        <v>5.763922672485933E-13</v>
      </c>
      <c r="BF173" s="13">
        <f t="shared" si="167"/>
        <v>7.0619171555808457E-12</v>
      </c>
      <c r="BG173" s="20">
        <f t="shared" si="168"/>
        <v>1.3303388911427938E-11</v>
      </c>
      <c r="BH173" s="59">
        <f t="shared" si="116"/>
        <v>288.65398521629919</v>
      </c>
      <c r="BI173" s="59">
        <f ca="1">AVERAGE(OFFSET($BH$3,0,0,'Données projet'!$E$11+1,1))-AVERAGE(OFFSET($H$3,0,0,'Données projet'!$E$11+1,1))</f>
        <v>462.74754756814662</v>
      </c>
      <c r="BJ173" s="59">
        <f t="shared" si="146"/>
        <v>327.65191293226667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88.51401386372261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88.51401386372261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259.99999999999983</v>
      </c>
      <c r="BZ173" s="13">
        <f>BY173*VLOOKUP('Données projet'!$B$12,Paramètres!$A$1:$I$89,3,0)*VLOOKUP('Données projet'!$B$12,Paramètres!$A$1:$I$89,5,0)</f>
        <v>227.13599999999985</v>
      </c>
      <c r="CA173" s="13">
        <f t="shared" si="170"/>
        <v>55.662966886685133</v>
      </c>
      <c r="CB173" s="20">
        <f t="shared" si="171"/>
        <v>492.5415339943097</v>
      </c>
      <c r="CC173" s="59">
        <f t="shared" si="119"/>
        <v>781.19551921059565</v>
      </c>
      <c r="CD173" s="59">
        <f ca="1">AVERAGE(OFFSET($CC$3,0,0,'Données projet'!$E$12+1,1))-AVERAGE(OFFSET($H$3,0,0,'Données projet'!$E$12+1,1))</f>
        <v>411.67183422518411</v>
      </c>
      <c r="CE173" s="59">
        <f t="shared" si="148"/>
        <v>379.16642539721556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9.4402716205374002</v>
      </c>
      <c r="CL173" s="21">
        <f>EXP(-LN(2)/25)*CL172+(1-EXP(-LN(2)/25))/(LN(2)/25)*Calculateur!CG173*Calculateur!CI173*VLOOKUP('Données projet'!$B$12,Paramètres!$A$1:$I$89,3,0)*0.475*44/12</f>
        <v>1.9299640469824315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11.370235667519832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5.1431925385259092E-13</v>
      </c>
      <c r="P174" s="13">
        <f t="shared" si="141"/>
        <v>6.3855359115685756E-12</v>
      </c>
      <c r="Q174" s="20">
        <f t="shared" si="162"/>
        <v>1.2017247746441865E-11</v>
      </c>
      <c r="R174" s="59">
        <f t="shared" si="109"/>
        <v>288.73516144467351</v>
      </c>
      <c r="S174" s="59">
        <f ca="1">AVERAGE(OFFSET($R$3,0,0,'Données projet'!$E$9+1,1))-AVERAGE(OFFSET($H$3,0,0,'Données projet'!$E$9+1,1))</f>
        <v>421.33534980160005</v>
      </c>
      <c r="T174" s="59">
        <f t="shared" si="142"/>
        <v>299.0473530693472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-1.0197709343628959E-13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337.99164391755608</v>
      </c>
      <c r="AO174" s="59">
        <f t="shared" si="144"/>
        <v>421.45428231923393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16.698739106145997</v>
      </c>
      <c r="AV174" s="21">
        <f>EXP(-LN(2)/25)*AV173+(1-EXP(-LN(2)/25))/(LN(2)/25)*Calculateur!AQ174*Calculateur!AS174*VLOOKUP('Données projet'!$B$10,Paramètres!$A$1:$I$89,3,0)*0.475*44/12</f>
        <v>1.8225941185887733</v>
      </c>
      <c r="AW174" s="21">
        <f>EXP(-LN(2)/2)*AW173+(1-EXP(-LN(2)/2))/(LN(2)/2)*AQ174*AT174*VLOOKUP('Données projet'!$B$10,Paramètres!$A$1:$I$89,3,0)*0.475*44/12</f>
        <v>1.9825543218776395E-16</v>
      </c>
      <c r="AX174" s="21">
        <f t="shared" si="166"/>
        <v>18.521333224734772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5.6843418860808015E-13</v>
      </c>
      <c r="BE174" s="13">
        <f>BD174*VLOOKUP('Données projet'!$B$11,Paramètres!$A$1:$I$89,3,0)*VLOOKUP('Données projet'!$B$11,Paramètres!$A$1:$I$89,5,0)</f>
        <v>5.763922672485933E-13</v>
      </c>
      <c r="BF174" s="13">
        <f t="shared" si="167"/>
        <v>7.0619171555808457E-12</v>
      </c>
      <c r="BG174" s="20">
        <f t="shared" si="168"/>
        <v>1.3303388911427938E-11</v>
      </c>
      <c r="BH174" s="59">
        <f t="shared" si="116"/>
        <v>288.73516144467482</v>
      </c>
      <c r="BI174" s="59">
        <f ca="1">AVERAGE(OFFSET($BH$3,0,0,'Données projet'!$E$11+1,1))-AVERAGE(OFFSET($H$3,0,0,'Données projet'!$E$11+1,1))</f>
        <v>462.74754756814662</v>
      </c>
      <c r="BJ174" s="59">
        <f t="shared" si="146"/>
        <v>327.65191293226667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86.778308040072574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86.778308040072574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259.99999999999983</v>
      </c>
      <c r="BZ174" s="13">
        <f>BY174*VLOOKUP('Données projet'!$B$12,Paramètres!$A$1:$I$89,3,0)*VLOOKUP('Données projet'!$B$12,Paramètres!$A$1:$I$89,5,0)</f>
        <v>227.13599999999985</v>
      </c>
      <c r="CA174" s="13">
        <f t="shared" si="170"/>
        <v>55.662966886685133</v>
      </c>
      <c r="CB174" s="20">
        <f t="shared" si="171"/>
        <v>492.5415339943097</v>
      </c>
      <c r="CC174" s="59">
        <f t="shared" si="119"/>
        <v>781.27669543897127</v>
      </c>
      <c r="CD174" s="59">
        <f ca="1">AVERAGE(OFFSET($CC$3,0,0,'Données projet'!$E$12+1,1))-AVERAGE(OFFSET($H$3,0,0,'Données projet'!$E$12+1,1))</f>
        <v>411.67183422518411</v>
      </c>
      <c r="CE174" s="59">
        <f t="shared" si="148"/>
        <v>379.16642539721556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9.255153652055796</v>
      </c>
      <c r="CL174" s="21">
        <f>EXP(-LN(2)/25)*CL173+(1-EXP(-LN(2)/25))/(LN(2)/25)*Calculateur!CG174*Calculateur!CI174*VLOOKUP('Données projet'!$B$12,Paramètres!$A$1:$I$89,3,0)*0.475*44/12</f>
        <v>1.8771890786252987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11.132342730681096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5.1431925385259092E-13</v>
      </c>
      <c r="P175" s="13">
        <f t="shared" si="141"/>
        <v>6.3855359115685756E-12</v>
      </c>
      <c r="Q175" s="20">
        <f t="shared" si="162"/>
        <v>1.2017247746441865E-11</v>
      </c>
      <c r="R175" s="59">
        <f t="shared" si="109"/>
        <v>288.81492944696964</v>
      </c>
      <c r="S175" s="59">
        <f ca="1">AVERAGE(OFFSET($R$3,0,0,'Données projet'!$E$9+1,1))-AVERAGE(OFFSET($H$3,0,0,'Données projet'!$E$9+1,1))</f>
        <v>421.33534980160005</v>
      </c>
      <c r="T175" s="59">
        <f t="shared" si="142"/>
        <v>299.0473530693472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-1.0197709343628959E-13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337.99164391755608</v>
      </c>
      <c r="AO175" s="59">
        <f t="shared" si="144"/>
        <v>421.45428231923393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16.371287017499622</v>
      </c>
      <c r="AV175" s="21">
        <f>EXP(-LN(2)/25)*AV174+(1-EXP(-LN(2)/25))/(LN(2)/25)*Calculateur!AQ175*Calculateur!AS175*VLOOKUP('Données projet'!$B$10,Paramètres!$A$1:$I$89,3,0)*0.475*44/12</f>
        <v>1.7727551865699043</v>
      </c>
      <c r="AW175" s="21">
        <f>EXP(-LN(2)/2)*AW174+(1-EXP(-LN(2)/2))/(LN(2)/2)*AQ175*AT175*VLOOKUP('Données projet'!$B$10,Paramètres!$A$1:$I$89,3,0)*0.475*44/12</f>
        <v>1.4018776050703761E-16</v>
      </c>
      <c r="AX175" s="21">
        <f t="shared" si="166"/>
        <v>18.144042204069525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5.6843418860808015E-13</v>
      </c>
      <c r="BE175" s="13">
        <f>BD175*VLOOKUP('Données projet'!$B$11,Paramètres!$A$1:$I$89,3,0)*VLOOKUP('Données projet'!$B$11,Paramètres!$A$1:$I$89,5,0)</f>
        <v>5.763922672485933E-13</v>
      </c>
      <c r="BF175" s="13">
        <f t="shared" si="167"/>
        <v>7.0619171555808457E-12</v>
      </c>
      <c r="BG175" s="20">
        <f t="shared" si="168"/>
        <v>1.3303388911427938E-11</v>
      </c>
      <c r="BH175" s="59">
        <f t="shared" si="116"/>
        <v>288.81492944697095</v>
      </c>
      <c r="BI175" s="59">
        <f ca="1">AVERAGE(OFFSET($BH$3,0,0,'Données projet'!$E$11+1,1))-AVERAGE(OFFSET($H$3,0,0,'Données projet'!$E$11+1,1))</f>
        <v>462.74754756814662</v>
      </c>
      <c r="BJ175" s="59">
        <f t="shared" si="146"/>
        <v>327.65191293226667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85.076638348948293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85.076638348948293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259.99999999999983</v>
      </c>
      <c r="BZ175" s="13">
        <f>BY175*VLOOKUP('Données projet'!$B$12,Paramètres!$A$1:$I$89,3,0)*VLOOKUP('Données projet'!$B$12,Paramètres!$A$1:$I$89,5,0)</f>
        <v>227.13599999999985</v>
      </c>
      <c r="CA175" s="13">
        <f t="shared" si="170"/>
        <v>55.662966886685133</v>
      </c>
      <c r="CB175" s="20">
        <f t="shared" si="171"/>
        <v>492.5415339943097</v>
      </c>
      <c r="CC175" s="59">
        <f t="shared" si="119"/>
        <v>781.35646344126735</v>
      </c>
      <c r="CD175" s="59">
        <f ca="1">AVERAGE(OFFSET($CC$3,0,0,'Données projet'!$E$12+1,1))-AVERAGE(OFFSET($H$3,0,0,'Données projet'!$E$12+1,1))</f>
        <v>411.67183422518411</v>
      </c>
      <c r="CE175" s="59">
        <f t="shared" si="148"/>
        <v>379.16642539721556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9.0736657340253029</v>
      </c>
      <c r="CL175" s="21">
        <f>EXP(-LN(2)/25)*CL174+(1-EXP(-LN(2)/25))/(LN(2)/25)*Calculateur!CG175*Calculateur!CI175*VLOOKUP('Données projet'!$B$12,Paramètres!$A$1:$I$89,3,0)*0.475*44/12</f>
        <v>1.8258572445532066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10.89952297857851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5.1431925385259092E-13</v>
      </c>
      <c r="P176" s="13">
        <f t="shared" si="141"/>
        <v>6.3855359115685756E-12</v>
      </c>
      <c r="Q176" s="20">
        <f t="shared" si="162"/>
        <v>1.2017247746441865E-11</v>
      </c>
      <c r="R176" s="59">
        <f t="shared" si="109"/>
        <v>288.89331365276047</v>
      </c>
      <c r="S176" s="59">
        <f ca="1">AVERAGE(OFFSET($R$3,0,0,'Données projet'!$E$9+1,1))-AVERAGE(OFFSET($H$3,0,0,'Données projet'!$E$9+1,1))</f>
        <v>421.33534980160005</v>
      </c>
      <c r="T176" s="59">
        <f t="shared" si="142"/>
        <v>299.0473530693472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-1.0197709343628959E-13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337.99164391755608</v>
      </c>
      <c r="AO176" s="59">
        <f t="shared" si="144"/>
        <v>421.45428231923393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16.05025606458555</v>
      </c>
      <c r="AV176" s="21">
        <f>EXP(-LN(2)/25)*AV175+(1-EXP(-LN(2)/25))/(LN(2)/25)*Calculateur!AQ176*Calculateur!AS176*VLOOKUP('Données projet'!$B$10,Paramètres!$A$1:$I$89,3,0)*0.475*44/12</f>
        <v>1.7242791027680067</v>
      </c>
      <c r="AW176" s="21">
        <f>EXP(-LN(2)/2)*AW175+(1-EXP(-LN(2)/2))/(LN(2)/2)*AQ176*AT176*VLOOKUP('Données projet'!$B$10,Paramètres!$A$1:$I$89,3,0)*0.475*44/12</f>
        <v>9.9127716093881974E-17</v>
      </c>
      <c r="AX176" s="21">
        <f t="shared" si="166"/>
        <v>17.774535167353555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5.6843418860808015E-13</v>
      </c>
      <c r="BE176" s="13">
        <f>BD176*VLOOKUP('Données projet'!$B$11,Paramètres!$A$1:$I$89,3,0)*VLOOKUP('Données projet'!$B$11,Paramètres!$A$1:$I$89,5,0)</f>
        <v>5.763922672485933E-13</v>
      </c>
      <c r="BF176" s="13">
        <f t="shared" si="167"/>
        <v>7.0619171555808457E-12</v>
      </c>
      <c r="BG176" s="20">
        <f t="shared" si="168"/>
        <v>1.3303388911427938E-11</v>
      </c>
      <c r="BH176" s="59">
        <f t="shared" si="116"/>
        <v>288.89331365276178</v>
      </c>
      <c r="BI176" s="59">
        <f ca="1">AVERAGE(OFFSET($BH$3,0,0,'Données projet'!$E$11+1,1))-AVERAGE(OFFSET($H$3,0,0,'Données projet'!$E$11+1,1))</f>
        <v>462.74754756814662</v>
      </c>
      <c r="BJ176" s="59">
        <f t="shared" si="146"/>
        <v>327.65191293226667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83.408337362550938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83.408337362550938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259.99999999999983</v>
      </c>
      <c r="BZ176" s="13">
        <f>BY176*VLOOKUP('Données projet'!$B$12,Paramètres!$A$1:$I$89,3,0)*VLOOKUP('Données projet'!$B$12,Paramètres!$A$1:$I$89,5,0)</f>
        <v>227.13599999999985</v>
      </c>
      <c r="CA176" s="13">
        <f t="shared" si="170"/>
        <v>55.662966886685133</v>
      </c>
      <c r="CB176" s="20">
        <f t="shared" si="171"/>
        <v>492.5415339943097</v>
      </c>
      <c r="CC176" s="59">
        <f t="shared" si="119"/>
        <v>781.43484764705818</v>
      </c>
      <c r="CD176" s="59">
        <f ca="1">AVERAGE(OFFSET($CC$3,0,0,'Données projet'!$E$12+1,1))-AVERAGE(OFFSET($H$3,0,0,'Données projet'!$E$12+1,1))</f>
        <v>411.67183422518411</v>
      </c>
      <c r="CE176" s="59">
        <f t="shared" si="148"/>
        <v>379.16642539721556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8.8957366833706892</v>
      </c>
      <c r="CL176" s="21">
        <f>EXP(-LN(2)/25)*CL175+(1-EXP(-LN(2)/25))/(LN(2)/25)*Calculateur!CG176*Calculateur!CI176*VLOOKUP('Données projet'!$B$12,Paramètres!$A$1:$I$89,3,0)*0.475*44/12</f>
        <v>1.7759290821832399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10.671665765553929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5.1431925385259092E-13</v>
      </c>
      <c r="P177" s="13">
        <f t="shared" si="141"/>
        <v>6.3855359115685756E-12</v>
      </c>
      <c r="Q177" s="20">
        <f t="shared" si="162"/>
        <v>1.2017247746441865E-11</v>
      </c>
      <c r="R177" s="59">
        <f t="shared" si="109"/>
        <v>288.97033806782173</v>
      </c>
      <c r="S177" s="59">
        <f ca="1">AVERAGE(OFFSET($R$3,0,0,'Données projet'!$E$9+1,1))-AVERAGE(OFFSET($H$3,0,0,'Données projet'!$E$9+1,1))</f>
        <v>421.33534980160005</v>
      </c>
      <c r="T177" s="59">
        <f t="shared" si="142"/>
        <v>299.0473530693472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-1.0197709343628959E-13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337.99164391755608</v>
      </c>
      <c r="AO177" s="59">
        <f t="shared" si="144"/>
        <v>421.45428231923393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15.735520332848575</v>
      </c>
      <c r="AV177" s="21">
        <f>EXP(-LN(2)/25)*AV176+(1-EXP(-LN(2)/25))/(LN(2)/25)*Calculateur!AQ177*Calculateur!AS177*VLOOKUP('Données projet'!$B$10,Paramètres!$A$1:$I$89,3,0)*0.475*44/12</f>
        <v>1.6771286000269183</v>
      </c>
      <c r="AW177" s="21">
        <f>EXP(-LN(2)/2)*AW176+(1-EXP(-LN(2)/2))/(LN(2)/2)*AQ177*AT177*VLOOKUP('Données projet'!$B$10,Paramètres!$A$1:$I$89,3,0)*0.475*44/12</f>
        <v>7.0093880253518805E-17</v>
      </c>
      <c r="AX177" s="21">
        <f t="shared" si="166"/>
        <v>17.412648932875491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5.6843418860808015E-13</v>
      </c>
      <c r="BE177" s="13">
        <f>BD177*VLOOKUP('Données projet'!$B$11,Paramètres!$A$1:$I$89,3,0)*VLOOKUP('Données projet'!$B$11,Paramètres!$A$1:$I$89,5,0)</f>
        <v>5.763922672485933E-13</v>
      </c>
      <c r="BF177" s="13">
        <f t="shared" si="167"/>
        <v>7.0619171555808457E-12</v>
      </c>
      <c r="BG177" s="20">
        <f t="shared" si="168"/>
        <v>1.3303388911427938E-11</v>
      </c>
      <c r="BH177" s="59">
        <f t="shared" si="116"/>
        <v>288.97033806782304</v>
      </c>
      <c r="BI177" s="59">
        <f ca="1">AVERAGE(OFFSET($BH$3,0,0,'Données projet'!$E$11+1,1))-AVERAGE(OFFSET($H$3,0,0,'Données projet'!$E$11+1,1))</f>
        <v>462.74754756814662</v>
      </c>
      <c r="BJ177" s="59">
        <f t="shared" si="146"/>
        <v>327.65191293226667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81.772750740933702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81.772750740933702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259.99999999999983</v>
      </c>
      <c r="BZ177" s="13">
        <f>BY177*VLOOKUP('Données projet'!$B$12,Paramètres!$A$1:$I$89,3,0)*VLOOKUP('Données projet'!$B$12,Paramètres!$A$1:$I$89,5,0)</f>
        <v>227.13599999999985</v>
      </c>
      <c r="CA177" s="13">
        <f t="shared" si="170"/>
        <v>55.662966886685133</v>
      </c>
      <c r="CB177" s="20">
        <f t="shared" si="171"/>
        <v>492.5415339943097</v>
      </c>
      <c r="CC177" s="59">
        <f t="shared" si="119"/>
        <v>781.51187206211944</v>
      </c>
      <c r="CD177" s="59">
        <f ca="1">AVERAGE(OFFSET($CC$3,0,0,'Données projet'!$E$12+1,1))-AVERAGE(OFFSET($H$3,0,0,'Données projet'!$E$12+1,1))</f>
        <v>411.67183422518411</v>
      </c>
      <c r="CE177" s="59">
        <f t="shared" si="148"/>
        <v>379.16642539721556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8.7212967128734071</v>
      </c>
      <c r="CL177" s="21">
        <f>EXP(-LN(2)/25)*CL176+(1-EXP(-LN(2)/25))/(LN(2)/25)*Calculateur!CG177*Calculateur!CI177*VLOOKUP('Données projet'!$B$12,Paramètres!$A$1:$I$89,3,0)*0.475*44/12</f>
        <v>1.7273662080388876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10.448662920912295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5.1431925385259092E-13</v>
      </c>
      <c r="P178" s="13">
        <f t="shared" si="141"/>
        <v>6.3855359115685756E-12</v>
      </c>
      <c r="Q178" s="20">
        <f t="shared" si="162"/>
        <v>1.2017247746441865E-11</v>
      </c>
      <c r="R178" s="59">
        <f t="shared" si="109"/>
        <v>289.0460262814824</v>
      </c>
      <c r="S178" s="59">
        <f ca="1">AVERAGE(OFFSET($R$3,0,0,'Données projet'!$E$9+1,1))-AVERAGE(OFFSET($H$3,0,0,'Données projet'!$E$9+1,1))</f>
        <v>421.33534980160005</v>
      </c>
      <c r="T178" s="59">
        <f t="shared" si="142"/>
        <v>299.0473530693472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-1.0197709343628959E-13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337.99164391755608</v>
      </c>
      <c r="AO178" s="59">
        <f t="shared" si="144"/>
        <v>421.45428231923393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15.426956376841121</v>
      </c>
      <c r="AV178" s="21">
        <f>EXP(-LN(2)/25)*AV177+(1-EXP(-LN(2)/25))/(LN(2)/25)*Calculateur!AQ178*Calculateur!AS178*VLOOKUP('Données projet'!$B$10,Paramètres!$A$1:$I$89,3,0)*0.475*44/12</f>
        <v>1.6312674302628223</v>
      </c>
      <c r="AW178" s="21">
        <f>EXP(-LN(2)/2)*AW177+(1-EXP(-LN(2)/2))/(LN(2)/2)*AQ178*AT178*VLOOKUP('Données projet'!$B$10,Paramètres!$A$1:$I$89,3,0)*0.475*44/12</f>
        <v>4.9563858046940987E-17</v>
      </c>
      <c r="AX178" s="21">
        <f t="shared" si="166"/>
        <v>17.058223807103943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5.6843418860808015E-13</v>
      </c>
      <c r="BE178" s="13">
        <f>BD178*VLOOKUP('Données projet'!$B$11,Paramètres!$A$1:$I$89,3,0)*VLOOKUP('Données projet'!$B$11,Paramètres!$A$1:$I$89,5,0)</f>
        <v>5.763922672485933E-13</v>
      </c>
      <c r="BF178" s="13">
        <f t="shared" si="167"/>
        <v>7.0619171555808457E-12</v>
      </c>
      <c r="BG178" s="20">
        <f t="shared" si="168"/>
        <v>1.3303388911427938E-11</v>
      </c>
      <c r="BH178" s="59">
        <f t="shared" si="116"/>
        <v>289.04602628148371</v>
      </c>
      <c r="BI178" s="59">
        <f ca="1">AVERAGE(OFFSET($BH$3,0,0,'Données projet'!$E$11+1,1))-AVERAGE(OFFSET($H$3,0,0,'Données projet'!$E$11+1,1))</f>
        <v>462.74754756814662</v>
      </c>
      <c r="BJ178" s="59">
        <f t="shared" si="146"/>
        <v>327.65191293226667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80.169236975357052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80.169236975357052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259.99999999999983</v>
      </c>
      <c r="BZ178" s="13">
        <f>BY178*VLOOKUP('Données projet'!$B$12,Paramètres!$A$1:$I$89,3,0)*VLOOKUP('Données projet'!$B$12,Paramètres!$A$1:$I$89,5,0)</f>
        <v>227.13599999999985</v>
      </c>
      <c r="CA178" s="13">
        <f t="shared" si="170"/>
        <v>55.662966886685133</v>
      </c>
      <c r="CB178" s="20">
        <f t="shared" si="171"/>
        <v>492.5415339943097</v>
      </c>
      <c r="CC178" s="59">
        <f t="shared" si="119"/>
        <v>781.58756027578011</v>
      </c>
      <c r="CD178" s="59">
        <f ca="1">AVERAGE(OFFSET($CC$3,0,0,'Données projet'!$E$12+1,1))-AVERAGE(OFFSET($H$3,0,0,'Données projet'!$E$12+1,1))</f>
        <v>411.67183422518411</v>
      </c>
      <c r="CE178" s="59">
        <f t="shared" si="148"/>
        <v>379.16642539721556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8.5502774037997007</v>
      </c>
      <c r="CL178" s="21">
        <f>EXP(-LN(2)/25)*CL177+(1-EXP(-LN(2)/25))/(LN(2)/25)*Calculateur!CG178*Calculateur!CI178*VLOOKUP('Données projet'!$B$12,Paramètres!$A$1:$I$89,3,0)*0.475*44/12</f>
        <v>1.6801312882418233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10.230408692041523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5.1431925385259092E-13</v>
      </c>
      <c r="P179" s="13">
        <f t="shared" si="141"/>
        <v>6.3855359115685756E-12</v>
      </c>
      <c r="Q179" s="20">
        <f t="shared" si="162"/>
        <v>1.2017247746441865E-11</v>
      </c>
      <c r="R179" s="59">
        <f t="shared" si="109"/>
        <v>289.1204014738496</v>
      </c>
      <c r="S179" s="59">
        <f ca="1">AVERAGE(OFFSET($R$3,0,0,'Données projet'!$E$9+1,1))-AVERAGE(OFFSET($H$3,0,0,'Données projet'!$E$9+1,1))</f>
        <v>421.33534980160005</v>
      </c>
      <c r="T179" s="59">
        <f t="shared" si="142"/>
        <v>299.0473530693472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-1.0197709343628959E-13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337.99164391755608</v>
      </c>
      <c r="AO179" s="59">
        <f t="shared" si="144"/>
        <v>421.45428231923393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15.124443171805543</v>
      </c>
      <c r="AV179" s="21">
        <f>EXP(-LN(2)/25)*AV178+(1-EXP(-LN(2)/25))/(LN(2)/25)*Calculateur!AQ179*Calculateur!AS179*VLOOKUP('Données projet'!$B$10,Paramètres!$A$1:$I$89,3,0)*0.475*44/12</f>
        <v>1.5866603365976595</v>
      </c>
      <c r="AW179" s="21">
        <f>EXP(-LN(2)/2)*AW178+(1-EXP(-LN(2)/2))/(LN(2)/2)*AQ179*AT179*VLOOKUP('Données projet'!$B$10,Paramètres!$A$1:$I$89,3,0)*0.475*44/12</f>
        <v>3.5046940126759403E-17</v>
      </c>
      <c r="AX179" s="21">
        <f t="shared" si="166"/>
        <v>16.711103508403202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5.6843418860808015E-13</v>
      </c>
      <c r="BE179" s="13">
        <f>BD179*VLOOKUP('Données projet'!$B$11,Paramètres!$A$1:$I$89,3,0)*VLOOKUP('Données projet'!$B$11,Paramètres!$A$1:$I$89,5,0)</f>
        <v>5.763922672485933E-13</v>
      </c>
      <c r="BF179" s="13">
        <f t="shared" si="167"/>
        <v>7.0619171555808457E-12</v>
      </c>
      <c r="BG179" s="20">
        <f t="shared" si="168"/>
        <v>1.3303388911427938E-11</v>
      </c>
      <c r="BH179" s="59">
        <f t="shared" si="116"/>
        <v>289.1204014738509</v>
      </c>
      <c r="BI179" s="59">
        <f ca="1">AVERAGE(OFFSET($BH$3,0,0,'Données projet'!$E$11+1,1))-AVERAGE(OFFSET($H$3,0,0,'Données projet'!$E$11+1,1))</f>
        <v>462.74754756814662</v>
      </c>
      <c r="BJ179" s="59">
        <f t="shared" si="146"/>
        <v>327.65191293226667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78.597167136676532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78.597167136676532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259.99999999999983</v>
      </c>
      <c r="BZ179" s="13">
        <f>BY179*VLOOKUP('Données projet'!$B$12,Paramètres!$A$1:$I$89,3,0)*VLOOKUP('Données projet'!$B$12,Paramètres!$A$1:$I$89,5,0)</f>
        <v>227.13599999999985</v>
      </c>
      <c r="CA179" s="13">
        <f t="shared" si="170"/>
        <v>55.662966886685133</v>
      </c>
      <c r="CB179" s="20">
        <f t="shared" si="171"/>
        <v>492.5415339943097</v>
      </c>
      <c r="CC179" s="59">
        <f t="shared" si="119"/>
        <v>781.66193546814725</v>
      </c>
      <c r="CD179" s="59">
        <f ca="1">AVERAGE(OFFSET($CC$3,0,0,'Données projet'!$E$12+1,1))-AVERAGE(OFFSET($H$3,0,0,'Données projet'!$E$12+1,1))</f>
        <v>411.67183422518411</v>
      </c>
      <c r="CE179" s="59">
        <f t="shared" si="148"/>
        <v>379.16642539721556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8.3826116790654517</v>
      </c>
      <c r="CL179" s="21">
        <f>EXP(-LN(2)/25)*CL178+(1-EXP(-LN(2)/25))/(LN(2)/25)*Calculateur!CG179*Calculateur!CI179*VLOOKUP('Données projet'!$B$12,Paramètres!$A$1:$I$89,3,0)*0.475*44/12</f>
        <v>1.6341880098105863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10.016799688876038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5.1431925385259092E-13</v>
      </c>
      <c r="P180" s="13">
        <f t="shared" si="141"/>
        <v>6.3855359115685756E-12</v>
      </c>
      <c r="Q180" s="20">
        <f t="shared" si="162"/>
        <v>1.2017247746441865E-11</v>
      </c>
      <c r="R180" s="59">
        <f t="shared" si="109"/>
        <v>289.19348642290726</v>
      </c>
      <c r="S180" s="59">
        <f ca="1">AVERAGE(OFFSET($R$3,0,0,'Données projet'!$E$9+1,1))-AVERAGE(OFFSET($H$3,0,0,'Données projet'!$E$9+1,1))</f>
        <v>421.33534980160005</v>
      </c>
      <c r="T180" s="59">
        <f t="shared" si="142"/>
        <v>299.0473530693472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-1.0197709343628959E-13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337.99164391755608</v>
      </c>
      <c r="AO180" s="59">
        <f t="shared" si="144"/>
        <v>421.45428231923393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14.827862066205878</v>
      </c>
      <c r="AV180" s="21">
        <f>EXP(-LN(2)/25)*AV179+(1-EXP(-LN(2)/25))/(LN(2)/25)*Calculateur!AQ180*Calculateur!AS180*VLOOKUP('Données projet'!$B$10,Paramètres!$A$1:$I$89,3,0)*0.475*44/12</f>
        <v>1.5432730262545558</v>
      </c>
      <c r="AW180" s="21">
        <f>EXP(-LN(2)/2)*AW179+(1-EXP(-LN(2)/2))/(LN(2)/2)*AQ180*AT180*VLOOKUP('Données projet'!$B$10,Paramètres!$A$1:$I$89,3,0)*0.475*44/12</f>
        <v>2.4781929023470494E-17</v>
      </c>
      <c r="AX180" s="21">
        <f t="shared" si="166"/>
        <v>16.371135092460435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5.6843418860808015E-13</v>
      </c>
      <c r="BE180" s="13">
        <f>BD180*VLOOKUP('Données projet'!$B$11,Paramètres!$A$1:$I$89,3,0)*VLOOKUP('Données projet'!$B$11,Paramètres!$A$1:$I$89,5,0)</f>
        <v>5.763922672485933E-13</v>
      </c>
      <c r="BF180" s="13">
        <f t="shared" si="167"/>
        <v>7.0619171555808457E-12</v>
      </c>
      <c r="BG180" s="20">
        <f t="shared" si="168"/>
        <v>1.3303388911427938E-11</v>
      </c>
      <c r="BH180" s="59">
        <f t="shared" si="116"/>
        <v>289.19348642290856</v>
      </c>
      <c r="BI180" s="59">
        <f ca="1">AVERAGE(OFFSET($BH$3,0,0,'Données projet'!$E$11+1,1))-AVERAGE(OFFSET($H$3,0,0,'Données projet'!$E$11+1,1))</f>
        <v>462.74754756814662</v>
      </c>
      <c r="BJ180" s="59">
        <f t="shared" si="146"/>
        <v>327.65191293226667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77.055924628664627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77.055924628664627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259.99999999999983</v>
      </c>
      <c r="BZ180" s="13">
        <f>BY180*VLOOKUP('Données projet'!$B$12,Paramètres!$A$1:$I$89,3,0)*VLOOKUP('Données projet'!$B$12,Paramètres!$A$1:$I$89,5,0)</f>
        <v>227.13599999999985</v>
      </c>
      <c r="CA180" s="13">
        <f t="shared" si="170"/>
        <v>55.662966886685133</v>
      </c>
      <c r="CB180" s="20">
        <f t="shared" si="171"/>
        <v>492.5415339943097</v>
      </c>
      <c r="CC180" s="59">
        <f t="shared" si="119"/>
        <v>781.73502041720496</v>
      </c>
      <c r="CD180" s="59">
        <f ca="1">AVERAGE(OFFSET($CC$3,0,0,'Données projet'!$E$12+1,1))-AVERAGE(OFFSET($H$3,0,0,'Données projet'!$E$12+1,1))</f>
        <v>411.67183422518411</v>
      </c>
      <c r="CE180" s="59">
        <f t="shared" si="148"/>
        <v>379.16642539721556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8.2182337769272458</v>
      </c>
      <c r="CL180" s="21">
        <f>EXP(-LN(2)/25)*CL179+(1-EXP(-LN(2)/25))/(LN(2)/25)*Calculateur!CG180*Calculateur!CI180*VLOOKUP('Données projet'!$B$12,Paramètres!$A$1:$I$89,3,0)*0.475*44/12</f>
        <v>1.5895010527441034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9.8077348296713485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5.1431925385259092E-13</v>
      </c>
      <c r="P181" s="13">
        <f t="shared" si="141"/>
        <v>6.3855359115685756E-12</v>
      </c>
      <c r="Q181" s="20">
        <f t="shared" si="162"/>
        <v>1.2017247746441865E-11</v>
      </c>
      <c r="R181" s="59">
        <f t="shared" si="109"/>
        <v>289.26530351149216</v>
      </c>
      <c r="S181" s="59">
        <f ca="1">AVERAGE(OFFSET($R$3,0,0,'Données projet'!$E$9+1,1))-AVERAGE(OFFSET($H$3,0,0,'Données projet'!$E$9+1,1))</f>
        <v>421.33534980160005</v>
      </c>
      <c r="T181" s="59">
        <f t="shared" si="142"/>
        <v>299.0473530693472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-1.0197709343628959E-13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337.99164391755608</v>
      </c>
      <c r="AO181" s="59">
        <f t="shared" si="144"/>
        <v>421.45428231923393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14.53709673519041</v>
      </c>
      <c r="AV181" s="21">
        <f>EXP(-LN(2)/25)*AV180+(1-EXP(-LN(2)/25))/(LN(2)/25)*Calculateur!AQ181*Calculateur!AS181*VLOOKUP('Données projet'!$B$10,Paramètres!$A$1:$I$89,3,0)*0.475*44/12</f>
        <v>1.5010721441944237</v>
      </c>
      <c r="AW181" s="21">
        <f>EXP(-LN(2)/2)*AW180+(1-EXP(-LN(2)/2))/(LN(2)/2)*AQ181*AT181*VLOOKUP('Données projet'!$B$10,Paramètres!$A$1:$I$89,3,0)*0.475*44/12</f>
        <v>1.7523470063379701E-17</v>
      </c>
      <c r="AX181" s="21">
        <f t="shared" si="166"/>
        <v>16.038168879384834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5.6843418860808015E-13</v>
      </c>
      <c r="BE181" s="13">
        <f>BD181*VLOOKUP('Données projet'!$B$11,Paramètres!$A$1:$I$89,3,0)*VLOOKUP('Données projet'!$B$11,Paramètres!$A$1:$I$89,5,0)</f>
        <v>5.763922672485933E-13</v>
      </c>
      <c r="BF181" s="13">
        <f t="shared" si="167"/>
        <v>7.0619171555808457E-12</v>
      </c>
      <c r="BG181" s="20">
        <f t="shared" si="168"/>
        <v>1.3303388911427938E-11</v>
      </c>
      <c r="BH181" s="59">
        <f t="shared" si="116"/>
        <v>289.26530351149347</v>
      </c>
      <c r="BI181" s="59">
        <f ca="1">AVERAGE(OFFSET($BH$3,0,0,'Données projet'!$E$11+1,1))-AVERAGE(OFFSET($H$3,0,0,'Données projet'!$E$11+1,1))</f>
        <v>462.74754756814662</v>
      </c>
      <c r="BJ181" s="59">
        <f t="shared" si="146"/>
        <v>327.65191293226667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75.544904946169723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75.544904946169723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259.99999999999983</v>
      </c>
      <c r="BZ181" s="13">
        <f>BY181*VLOOKUP('Données projet'!$B$12,Paramètres!$A$1:$I$89,3,0)*VLOOKUP('Données projet'!$B$12,Paramètres!$A$1:$I$89,5,0)</f>
        <v>227.13599999999985</v>
      </c>
      <c r="CA181" s="13">
        <f t="shared" si="170"/>
        <v>55.662966886685133</v>
      </c>
      <c r="CB181" s="20">
        <f t="shared" si="171"/>
        <v>492.5415339943097</v>
      </c>
      <c r="CC181" s="59">
        <f t="shared" si="119"/>
        <v>781.80683750578987</v>
      </c>
      <c r="CD181" s="59">
        <f ca="1">AVERAGE(OFFSET($CC$3,0,0,'Données projet'!$E$12+1,1))-AVERAGE(OFFSET($H$3,0,0,'Données projet'!$E$12+1,1))</f>
        <v>411.67183422518411</v>
      </c>
      <c r="CE181" s="59">
        <f t="shared" si="148"/>
        <v>379.16642539721556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8.0570792251893497</v>
      </c>
      <c r="CL181" s="21">
        <f>EXP(-LN(2)/25)*CL180+(1-EXP(-LN(2)/25))/(LN(2)/25)*Calculateur!CG181*Calculateur!CI181*VLOOKUP('Données projet'!$B$12,Paramètres!$A$1:$I$89,3,0)*0.475*44/12</f>
        <v>1.5460360628685883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9.6031152880579373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5.1431925385259092E-13</v>
      </c>
      <c r="P182" s="13">
        <f t="shared" si="141"/>
        <v>6.3855359115685756E-12</v>
      </c>
      <c r="Q182" s="20">
        <f t="shared" si="162"/>
        <v>1.2017247746441865E-11</v>
      </c>
      <c r="R182" s="59">
        <f t="shared" si="109"/>
        <v>289.33587473414912</v>
      </c>
      <c r="S182" s="59">
        <f ca="1">AVERAGE(OFFSET($R$3,0,0,'Données projet'!$E$9+1,1))-AVERAGE(OFFSET($H$3,0,0,'Données projet'!$E$9+1,1))</f>
        <v>421.33534980160005</v>
      </c>
      <c r="T182" s="59">
        <f t="shared" si="142"/>
        <v>299.0473530693472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-1.0197709343628959E-13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337.99164391755608</v>
      </c>
      <c r="AO182" s="59">
        <f t="shared" si="144"/>
        <v>421.45428231923393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14.252033134966815</v>
      </c>
      <c r="AV182" s="21">
        <f>EXP(-LN(2)/25)*AV181+(1-EXP(-LN(2)/25))/(LN(2)/25)*Calculateur!AQ182*Calculateur!AS182*VLOOKUP('Données projet'!$B$10,Paramètres!$A$1:$I$89,3,0)*0.475*44/12</f>
        <v>1.4600252474734738</v>
      </c>
      <c r="AW182" s="21">
        <f>EXP(-LN(2)/2)*AW181+(1-EXP(-LN(2)/2))/(LN(2)/2)*AQ182*AT182*VLOOKUP('Données projet'!$B$10,Paramètres!$A$1:$I$89,3,0)*0.475*44/12</f>
        <v>1.2390964511735247E-17</v>
      </c>
      <c r="AX182" s="21">
        <f t="shared" si="166"/>
        <v>15.71205838244029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5.6843418860808015E-13</v>
      </c>
      <c r="BE182" s="13">
        <f>BD182*VLOOKUP('Données projet'!$B$11,Paramètres!$A$1:$I$89,3,0)*VLOOKUP('Données projet'!$B$11,Paramètres!$A$1:$I$89,5,0)</f>
        <v>5.763922672485933E-13</v>
      </c>
      <c r="BF182" s="13">
        <f t="shared" si="167"/>
        <v>7.0619171555808457E-12</v>
      </c>
      <c r="BG182" s="20">
        <f t="shared" si="168"/>
        <v>1.3303388911427938E-11</v>
      </c>
      <c r="BH182" s="59">
        <f t="shared" si="116"/>
        <v>289.33587473415042</v>
      </c>
      <c r="BI182" s="59">
        <f ca="1">AVERAGE(OFFSET($BH$3,0,0,'Données projet'!$E$11+1,1))-AVERAGE(OFFSET($H$3,0,0,'Données projet'!$E$11+1,1))</f>
        <v>462.74754756814662</v>
      </c>
      <c r="BJ182" s="59">
        <f t="shared" si="146"/>
        <v>327.65191293226667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74.063515438017546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74.063515438017546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259.99999999999983</v>
      </c>
      <c r="BZ182" s="13">
        <f>BY182*VLOOKUP('Données projet'!$B$12,Paramètres!$A$1:$I$89,3,0)*VLOOKUP('Données projet'!$B$12,Paramètres!$A$1:$I$89,5,0)</f>
        <v>227.13599999999985</v>
      </c>
      <c r="CA182" s="13">
        <f t="shared" si="170"/>
        <v>55.662966886685133</v>
      </c>
      <c r="CB182" s="20">
        <f t="shared" si="171"/>
        <v>492.5415339943097</v>
      </c>
      <c r="CC182" s="59">
        <f t="shared" si="119"/>
        <v>781.87740872844688</v>
      </c>
      <c r="CD182" s="59">
        <f ca="1">AVERAGE(OFFSET($CC$3,0,0,'Données projet'!$E$12+1,1))-AVERAGE(OFFSET($H$3,0,0,'Données projet'!$E$12+1,1))</f>
        <v>411.67183422518411</v>
      </c>
      <c r="CE182" s="59">
        <f t="shared" si="148"/>
        <v>379.16642539721556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7.8990848159164635</v>
      </c>
      <c r="CL182" s="21">
        <f>EXP(-LN(2)/25)*CL181+(1-EXP(-LN(2)/25))/(LN(2)/25)*Calculateur!CG182*Calculateur!CI182*VLOOKUP('Données projet'!$B$12,Paramètres!$A$1:$I$89,3,0)*0.475*44/12</f>
        <v>1.5037596254269436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9.402844441343408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5.1431925385259092E-13</v>
      </c>
      <c r="P183" s="13">
        <f t="shared" si="141"/>
        <v>6.3855359115685756E-12</v>
      </c>
      <c r="Q183" s="20">
        <f t="shared" si="162"/>
        <v>1.2017247746441865E-11</v>
      </c>
      <c r="R183" s="59">
        <f t="shared" si="109"/>
        <v>289.40522170386663</v>
      </c>
      <c r="S183" s="59">
        <f ca="1">AVERAGE(OFFSET($R$3,0,0,'Données projet'!$E$9+1,1))-AVERAGE(OFFSET($H$3,0,0,'Données projet'!$E$9+1,1))</f>
        <v>421.33534980160005</v>
      </c>
      <c r="T183" s="59">
        <f t="shared" si="142"/>
        <v>299.0473530693472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-1.0197709343628959E-13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337.99164391755608</v>
      </c>
      <c r="AO183" s="59">
        <f t="shared" si="144"/>
        <v>421.45428231923393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13.972559458071977</v>
      </c>
      <c r="AV183" s="21">
        <f>EXP(-LN(2)/25)*AV182+(1-EXP(-LN(2)/25))/(LN(2)/25)*Calculateur!AQ183*Calculateur!AS183*VLOOKUP('Données projet'!$B$10,Paramètres!$A$1:$I$89,3,0)*0.475*44/12</f>
        <v>1.4201007803019208</v>
      </c>
      <c r="AW183" s="21">
        <f>EXP(-LN(2)/2)*AW182+(1-EXP(-LN(2)/2))/(LN(2)/2)*AQ183*AT183*VLOOKUP('Données projet'!$B$10,Paramètres!$A$1:$I$89,3,0)*0.475*44/12</f>
        <v>8.7617350316898507E-18</v>
      </c>
      <c r="AX183" s="21">
        <f t="shared" si="166"/>
        <v>15.392660238373898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5.6843418860808015E-13</v>
      </c>
      <c r="BE183" s="13">
        <f>BD183*VLOOKUP('Données projet'!$B$11,Paramètres!$A$1:$I$89,3,0)*VLOOKUP('Données projet'!$B$11,Paramètres!$A$1:$I$89,5,0)</f>
        <v>5.763922672485933E-13</v>
      </c>
      <c r="BF183" s="13">
        <f t="shared" si="167"/>
        <v>7.0619171555808457E-12</v>
      </c>
      <c r="BG183" s="20">
        <f t="shared" si="168"/>
        <v>1.3303388911427938E-11</v>
      </c>
      <c r="BH183" s="59">
        <f t="shared" si="116"/>
        <v>289.40522170386794</v>
      </c>
      <c r="BI183" s="59">
        <f ca="1">AVERAGE(OFFSET($BH$3,0,0,'Données projet'!$E$11+1,1))-AVERAGE(OFFSET($H$3,0,0,'Données projet'!$E$11+1,1))</f>
        <v>462.74754756814662</v>
      </c>
      <c r="BJ183" s="59">
        <f t="shared" si="146"/>
        <v>327.65191293226667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72.611175074561856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72.611175074561856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259.99999999999983</v>
      </c>
      <c r="BZ183" s="13">
        <f>BY183*VLOOKUP('Données projet'!$B$12,Paramètres!$A$1:$I$89,3,0)*VLOOKUP('Données projet'!$B$12,Paramètres!$A$1:$I$89,5,0)</f>
        <v>227.13599999999985</v>
      </c>
      <c r="CA183" s="13">
        <f t="shared" si="170"/>
        <v>55.662966886685133</v>
      </c>
      <c r="CB183" s="20">
        <f t="shared" si="171"/>
        <v>492.5415339943097</v>
      </c>
      <c r="CC183" s="59">
        <f t="shared" si="119"/>
        <v>781.94675569816434</v>
      </c>
      <c r="CD183" s="59">
        <f ca="1">AVERAGE(OFFSET($CC$3,0,0,'Données projet'!$E$12+1,1))-AVERAGE(OFFSET($H$3,0,0,'Données projet'!$E$12+1,1))</f>
        <v>411.67183422518411</v>
      </c>
      <c r="CE183" s="59">
        <f t="shared" si="148"/>
        <v>379.16642539721556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7.7441885806423452</v>
      </c>
      <c r="CL183" s="21">
        <f>EXP(-LN(2)/25)*CL182+(1-EXP(-LN(2)/25))/(LN(2)/25)*Calculateur!CG183*Calculateur!CI183*VLOOKUP('Données projet'!$B$12,Paramètres!$A$1:$I$89,3,0)*0.475*44/12</f>
        <v>1.462639239390362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9.2068278200327072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5.1431925385259092E-13</v>
      </c>
      <c r="P184" s="13">
        <f t="shared" si="141"/>
        <v>6.3855359115685756E-12</v>
      </c>
      <c r="Q184" s="20">
        <f t="shared" si="162"/>
        <v>1.2017247746441865E-11</v>
      </c>
      <c r="R184" s="59">
        <f t="shared" si="109"/>
        <v>289.47336565869608</v>
      </c>
      <c r="S184" s="59">
        <f ca="1">AVERAGE(OFFSET($R$3,0,0,'Données projet'!$E$9+1,1))-AVERAGE(OFFSET($H$3,0,0,'Données projet'!$E$9+1,1))</f>
        <v>421.33534980160005</v>
      </c>
      <c r="T184" s="59">
        <f t="shared" si="142"/>
        <v>299.0473530693472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-1.0197709343628959E-13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337.99164391755608</v>
      </c>
      <c r="AO184" s="59">
        <f t="shared" si="144"/>
        <v>421.45428231923393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13.698566089518936</v>
      </c>
      <c r="AV184" s="21">
        <f>EXP(-LN(2)/25)*AV183+(1-EXP(-LN(2)/25))/(LN(2)/25)*Calculateur!AQ184*Calculateur!AS184*VLOOKUP('Données projet'!$B$10,Paramètres!$A$1:$I$89,3,0)*0.475*44/12</f>
        <v>1.3812680497847103</v>
      </c>
      <c r="AW184" s="21">
        <f>EXP(-LN(2)/2)*AW183+(1-EXP(-LN(2)/2))/(LN(2)/2)*AQ184*AT184*VLOOKUP('Données projet'!$B$10,Paramètres!$A$1:$I$89,3,0)*0.475*44/12</f>
        <v>6.1954822558676234E-18</v>
      </c>
      <c r="AX184" s="21">
        <f t="shared" si="166"/>
        <v>15.079834139303646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5.6843418860808015E-13</v>
      </c>
      <c r="BE184" s="13">
        <f>BD184*VLOOKUP('Données projet'!$B$11,Paramètres!$A$1:$I$89,3,0)*VLOOKUP('Données projet'!$B$11,Paramètres!$A$1:$I$89,5,0)</f>
        <v>5.763922672485933E-13</v>
      </c>
      <c r="BF184" s="13">
        <f t="shared" si="167"/>
        <v>7.0619171555808457E-12</v>
      </c>
      <c r="BG184" s="20">
        <f t="shared" si="168"/>
        <v>1.3303388911427938E-11</v>
      </c>
      <c r="BH184" s="59">
        <f t="shared" si="116"/>
        <v>289.47336565869739</v>
      </c>
      <c r="BI184" s="59">
        <f ca="1">AVERAGE(OFFSET($BH$3,0,0,'Données projet'!$E$11+1,1))-AVERAGE(OFFSET($H$3,0,0,'Données projet'!$E$11+1,1))</f>
        <v>462.74754756814662</v>
      </c>
      <c r="BJ184" s="59">
        <f t="shared" si="146"/>
        <v>327.65191293226667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71.187314219793379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71.187314219793379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259.99999999999983</v>
      </c>
      <c r="BZ184" s="13">
        <f>BY184*VLOOKUP('Données projet'!$B$12,Paramètres!$A$1:$I$89,3,0)*VLOOKUP('Données projet'!$B$12,Paramètres!$A$1:$I$89,5,0)</f>
        <v>227.13599999999985</v>
      </c>
      <c r="CA184" s="13">
        <f t="shared" si="170"/>
        <v>55.662966886685133</v>
      </c>
      <c r="CB184" s="20">
        <f t="shared" si="171"/>
        <v>492.5415339943097</v>
      </c>
      <c r="CC184" s="59">
        <f t="shared" si="119"/>
        <v>782.01489965299379</v>
      </c>
      <c r="CD184" s="59">
        <f ca="1">AVERAGE(OFFSET($CC$3,0,0,'Données projet'!$E$12+1,1))-AVERAGE(OFFSET($H$3,0,0,'Données projet'!$E$12+1,1))</f>
        <v>411.67183422518411</v>
      </c>
      <c r="CE184" s="59">
        <f t="shared" si="148"/>
        <v>379.16642539721556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7.5923297660645774</v>
      </c>
      <c r="CL184" s="21">
        <f>EXP(-LN(2)/25)*CL183+(1-EXP(-LN(2)/25))/(LN(2)/25)*Calculateur!CG184*Calculateur!CI184*VLOOKUP('Données projet'!$B$12,Paramètres!$A$1:$I$89,3,0)*0.475*44/12</f>
        <v>1.4226432924723778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9.0149730585369561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5.1431925385259092E-13</v>
      </c>
      <c r="P185" s="13">
        <f t="shared" si="141"/>
        <v>6.3855359115685756E-12</v>
      </c>
      <c r="Q185" s="20">
        <f t="shared" si="162"/>
        <v>1.2017247746441865E-11</v>
      </c>
      <c r="R185" s="59">
        <f t="shared" si="109"/>
        <v>289.54032746825641</v>
      </c>
      <c r="S185" s="59">
        <f ca="1">AVERAGE(OFFSET($R$3,0,0,'Données projet'!$E$9+1,1))-AVERAGE(OFFSET($H$3,0,0,'Données projet'!$E$9+1,1))</f>
        <v>421.33534980160005</v>
      </c>
      <c r="T185" s="59">
        <f t="shared" si="142"/>
        <v>299.0473530693472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-1.0197709343628959E-13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337.99164391755608</v>
      </c>
      <c r="AO185" s="59">
        <f t="shared" si="144"/>
        <v>421.45428231923393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13.429945563803766</v>
      </c>
      <c r="AV185" s="21">
        <f>EXP(-LN(2)/25)*AV184+(1-EXP(-LN(2)/25))/(LN(2)/25)*Calculateur!AQ185*Calculateur!AS185*VLOOKUP('Données projet'!$B$10,Paramètres!$A$1:$I$89,3,0)*0.475*44/12</f>
        <v>1.3434972023256175</v>
      </c>
      <c r="AW185" s="21">
        <f>EXP(-LN(2)/2)*AW184+(1-EXP(-LN(2)/2))/(LN(2)/2)*AQ185*AT185*VLOOKUP('Données projet'!$B$10,Paramètres!$A$1:$I$89,3,0)*0.475*44/12</f>
        <v>4.3808675158449253E-18</v>
      </c>
      <c r="AX185" s="21">
        <f t="shared" si="166"/>
        <v>14.773442766129383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5.6843418860808015E-13</v>
      </c>
      <c r="BE185" s="13">
        <f>BD185*VLOOKUP('Données projet'!$B$11,Paramètres!$A$1:$I$89,3,0)*VLOOKUP('Données projet'!$B$11,Paramètres!$A$1:$I$89,5,0)</f>
        <v>5.763922672485933E-13</v>
      </c>
      <c r="BF185" s="13">
        <f t="shared" si="167"/>
        <v>7.0619171555808457E-12</v>
      </c>
      <c r="BG185" s="20">
        <f t="shared" si="168"/>
        <v>1.3303388911427938E-11</v>
      </c>
      <c r="BH185" s="59">
        <f t="shared" si="116"/>
        <v>289.54032746825771</v>
      </c>
      <c r="BI185" s="59">
        <f ca="1">AVERAGE(OFFSET($BH$3,0,0,'Données projet'!$E$11+1,1))-AVERAGE(OFFSET($H$3,0,0,'Données projet'!$E$11+1,1))</f>
        <v>462.74754756814662</v>
      </c>
      <c r="BJ185" s="59">
        <f t="shared" si="146"/>
        <v>327.65191293226667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69.791374407917544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69.791374407917544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259.99999999999983</v>
      </c>
      <c r="BZ185" s="13">
        <f>BY185*VLOOKUP('Données projet'!$B$12,Paramètres!$A$1:$I$89,3,0)*VLOOKUP('Données projet'!$B$12,Paramètres!$A$1:$I$89,5,0)</f>
        <v>227.13599999999985</v>
      </c>
      <c r="CA185" s="13">
        <f t="shared" si="170"/>
        <v>55.662966886685133</v>
      </c>
      <c r="CB185" s="20">
        <f t="shared" si="171"/>
        <v>492.5415339943097</v>
      </c>
      <c r="CC185" s="59">
        <f t="shared" si="119"/>
        <v>782.08186146255412</v>
      </c>
      <c r="CD185" s="59">
        <f ca="1">AVERAGE(OFFSET($CC$3,0,0,'Données projet'!$E$12+1,1))-AVERAGE(OFFSET($H$3,0,0,'Données projet'!$E$12+1,1))</f>
        <v>411.67183422518411</v>
      </c>
      <c r="CE185" s="59">
        <f t="shared" si="148"/>
        <v>379.16642539721556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7.4434488102159486</v>
      </c>
      <c r="CL185" s="21">
        <f>EXP(-LN(2)/25)*CL184+(1-EXP(-LN(2)/25))/(LN(2)/25)*Calculateur!CG185*Calculateur!CI185*VLOOKUP('Données projet'!$B$12,Paramètres!$A$1:$I$89,3,0)*0.475*44/12</f>
        <v>1.3837410368261613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8.82718984704211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5.1431925385259092E-13</v>
      </c>
      <c r="P186" s="13">
        <f t="shared" si="141"/>
        <v>6.3855359115685756E-12</v>
      </c>
      <c r="Q186" s="20">
        <f t="shared" si="162"/>
        <v>1.2017247746441865E-11</v>
      </c>
      <c r="R186" s="59">
        <f t="shared" si="109"/>
        <v>289.60612764012495</v>
      </c>
      <c r="S186" s="59">
        <f ca="1">AVERAGE(OFFSET($R$3,0,0,'Données projet'!$E$9+1,1))-AVERAGE(OFFSET($H$3,0,0,'Données projet'!$E$9+1,1))</f>
        <v>421.33534980160005</v>
      </c>
      <c r="T186" s="59">
        <f t="shared" si="142"/>
        <v>299.0473530693472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-1.0197709343628959E-13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337.99164391755608</v>
      </c>
      <c r="AO186" s="59">
        <f t="shared" si="144"/>
        <v>421.45428231923393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13.166592522755529</v>
      </c>
      <c r="AV186" s="21">
        <f>EXP(-LN(2)/25)*AV185+(1-EXP(-LN(2)/25))/(LN(2)/25)*Calculateur!AQ186*Calculateur!AS186*VLOOKUP('Données projet'!$B$10,Paramètres!$A$1:$I$89,3,0)*0.475*44/12</f>
        <v>1.3067592006765762</v>
      </c>
      <c r="AW186" s="21">
        <f>EXP(-LN(2)/2)*AW185+(1-EXP(-LN(2)/2))/(LN(2)/2)*AQ186*AT186*VLOOKUP('Données projet'!$B$10,Paramètres!$A$1:$I$89,3,0)*0.475*44/12</f>
        <v>3.0977411279338117E-18</v>
      </c>
      <c r="AX186" s="21">
        <f t="shared" si="166"/>
        <v>14.473351723432106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5.6843418860808015E-13</v>
      </c>
      <c r="BE186" s="13">
        <f>BD186*VLOOKUP('Données projet'!$B$11,Paramètres!$A$1:$I$89,3,0)*VLOOKUP('Données projet'!$B$11,Paramètres!$A$1:$I$89,5,0)</f>
        <v>5.763922672485933E-13</v>
      </c>
      <c r="BF186" s="13">
        <f t="shared" si="167"/>
        <v>7.0619171555808457E-12</v>
      </c>
      <c r="BG186" s="20">
        <f t="shared" si="168"/>
        <v>1.3303388911427938E-11</v>
      </c>
      <c r="BH186" s="59">
        <f t="shared" si="116"/>
        <v>289.60612764012626</v>
      </c>
      <c r="BI186" s="59">
        <f ca="1">AVERAGE(OFFSET($BH$3,0,0,'Données projet'!$E$11+1,1))-AVERAGE(OFFSET($H$3,0,0,'Données projet'!$E$11+1,1))</f>
        <v>462.74754756814662</v>
      </c>
      <c r="BJ186" s="59">
        <f t="shared" si="146"/>
        <v>327.65191293226667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68.422808124313377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68.422808124313377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259.99999999999983</v>
      </c>
      <c r="BZ186" s="13">
        <f>BY186*VLOOKUP('Données projet'!$B$12,Paramètres!$A$1:$I$89,3,0)*VLOOKUP('Données projet'!$B$12,Paramètres!$A$1:$I$89,5,0)</f>
        <v>227.13599999999985</v>
      </c>
      <c r="CA186" s="13">
        <f t="shared" si="170"/>
        <v>55.662966886685133</v>
      </c>
      <c r="CB186" s="20">
        <f t="shared" si="171"/>
        <v>492.5415339943097</v>
      </c>
      <c r="CC186" s="59">
        <f t="shared" si="119"/>
        <v>782.14766163442266</v>
      </c>
      <c r="CD186" s="59">
        <f ca="1">AVERAGE(OFFSET($CC$3,0,0,'Données projet'!$E$12+1,1))-AVERAGE(OFFSET($H$3,0,0,'Données projet'!$E$12+1,1))</f>
        <v>411.67183422518411</v>
      </c>
      <c r="CE186" s="59">
        <f t="shared" si="148"/>
        <v>379.16642539721556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7.2974873191030944</v>
      </c>
      <c r="CL186" s="21">
        <f>EXP(-LN(2)/25)*CL185+(1-EXP(-LN(2)/25))/(LN(2)/25)*Calculateur!CG186*Calculateur!CI186*VLOOKUP('Données projet'!$B$12,Paramètres!$A$1:$I$89,3,0)*0.475*44/12</f>
        <v>1.3459025654063714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8.6433898845094657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5.1431925385259092E-13</v>
      </c>
      <c r="P187" s="13">
        <f t="shared" si="141"/>
        <v>6.3855359115685756E-12</v>
      </c>
      <c r="Q187" s="20">
        <f t="shared" si="162"/>
        <v>1.2017247746441865E-11</v>
      </c>
      <c r="R187" s="59">
        <f t="shared" si="109"/>
        <v>289.67078632611873</v>
      </c>
      <c r="S187" s="59">
        <f ca="1">AVERAGE(OFFSET($R$3,0,0,'Données projet'!$E$9+1,1))-AVERAGE(OFFSET($H$3,0,0,'Données projet'!$E$9+1,1))</f>
        <v>421.33534980160005</v>
      </c>
      <c r="T187" s="59">
        <f t="shared" si="142"/>
        <v>299.0473530693472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-1.0197709343628959E-13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337.99164391755608</v>
      </c>
      <c r="AO187" s="59">
        <f t="shared" si="144"/>
        <v>421.45428231923393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12.908403674212753</v>
      </c>
      <c r="AV187" s="21">
        <f>EXP(-LN(2)/25)*AV186+(1-EXP(-LN(2)/25))/(LN(2)/25)*Calculateur!AQ187*Calculateur!AS187*VLOOKUP('Données projet'!$B$10,Paramètres!$A$1:$I$89,3,0)*0.475*44/12</f>
        <v>1.2710258016145954</v>
      </c>
      <c r="AW187" s="21">
        <f>EXP(-LN(2)/2)*AW186+(1-EXP(-LN(2)/2))/(LN(2)/2)*AQ187*AT187*VLOOKUP('Données projet'!$B$10,Paramètres!$A$1:$I$89,3,0)*0.475*44/12</f>
        <v>2.1904337579224627E-18</v>
      </c>
      <c r="AX187" s="21">
        <f t="shared" si="166"/>
        <v>14.179429475827348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5.6843418860808015E-13</v>
      </c>
      <c r="BE187" s="13">
        <f>BD187*VLOOKUP('Données projet'!$B$11,Paramètres!$A$1:$I$89,3,0)*VLOOKUP('Données projet'!$B$11,Paramètres!$A$1:$I$89,5,0)</f>
        <v>5.763922672485933E-13</v>
      </c>
      <c r="BF187" s="13">
        <f t="shared" si="167"/>
        <v>7.0619171555808457E-12</v>
      </c>
      <c r="BG187" s="20">
        <f t="shared" si="168"/>
        <v>1.3303388911427938E-11</v>
      </c>
      <c r="BH187" s="59">
        <f t="shared" si="116"/>
        <v>289.67078632612004</v>
      </c>
      <c r="BI187" s="59">
        <f ca="1">AVERAGE(OFFSET($BH$3,0,0,'Données projet'!$E$11+1,1))-AVERAGE(OFFSET($H$3,0,0,'Données projet'!$E$11+1,1))</f>
        <v>462.74754756814662</v>
      </c>
      <c r="BJ187" s="59">
        <f t="shared" si="146"/>
        <v>327.65191293226667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67.081078590787683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67.081078590787683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259.99999999999983</v>
      </c>
      <c r="BZ187" s="13">
        <f>BY187*VLOOKUP('Données projet'!$B$12,Paramètres!$A$1:$I$89,3,0)*VLOOKUP('Données projet'!$B$12,Paramètres!$A$1:$I$89,5,0)</f>
        <v>227.13599999999985</v>
      </c>
      <c r="CA187" s="13">
        <f t="shared" si="170"/>
        <v>55.662966886685133</v>
      </c>
      <c r="CB187" s="20">
        <f t="shared" si="171"/>
        <v>492.5415339943097</v>
      </c>
      <c r="CC187" s="59">
        <f t="shared" si="119"/>
        <v>782.21232032041644</v>
      </c>
      <c r="CD187" s="59">
        <f ca="1">AVERAGE(OFFSET($CC$3,0,0,'Données projet'!$E$12+1,1))-AVERAGE(OFFSET($H$3,0,0,'Données projet'!$E$12+1,1))</f>
        <v>411.67183422518411</v>
      </c>
      <c r="CE187" s="59">
        <f t="shared" si="148"/>
        <v>379.16642539721556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7.1543880438032446</v>
      </c>
      <c r="CL187" s="21">
        <f>EXP(-LN(2)/25)*CL186+(1-EXP(-LN(2)/25))/(LN(2)/25)*Calculateur!CG187*Calculateur!CI187*VLOOKUP('Données projet'!$B$12,Paramètres!$A$1:$I$89,3,0)*0.475*44/12</f>
        <v>1.3090987889773944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8.4634868327806387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5.1431925385259092E-13</v>
      </c>
      <c r="P188" s="13">
        <f t="shared" si="141"/>
        <v>6.3855359115685756E-12</v>
      </c>
      <c r="Q188" s="20">
        <f t="shared" si="162"/>
        <v>1.2017247746441865E-11</v>
      </c>
      <c r="R188" s="59">
        <f t="shared" si="109"/>
        <v>289.73432332846573</v>
      </c>
      <c r="S188" s="59">
        <f ca="1">AVERAGE(OFFSET($R$3,0,0,'Données projet'!$E$9+1,1))-AVERAGE(OFFSET($H$3,0,0,'Données projet'!$E$9+1,1))</f>
        <v>421.33534980160005</v>
      </c>
      <c r="T188" s="59">
        <f t="shared" si="142"/>
        <v>299.0473530693472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-1.0197709343628959E-13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337.99164391755608</v>
      </c>
      <c r="AO188" s="59">
        <f t="shared" si="144"/>
        <v>421.45428231923393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12.655277751510253</v>
      </c>
      <c r="AV188" s="21">
        <f>EXP(-LN(2)/25)*AV187+(1-EXP(-LN(2)/25))/(LN(2)/25)*Calculateur!AQ188*Calculateur!AS188*VLOOKUP('Données projet'!$B$10,Paramètres!$A$1:$I$89,3,0)*0.475*44/12</f>
        <v>1.2362695342291024</v>
      </c>
      <c r="AW188" s="21">
        <f>EXP(-LN(2)/2)*AW187+(1-EXP(-LN(2)/2))/(LN(2)/2)*AQ188*AT188*VLOOKUP('Données projet'!$B$10,Paramètres!$A$1:$I$89,3,0)*0.475*44/12</f>
        <v>1.5488705639669058E-18</v>
      </c>
      <c r="AX188" s="21">
        <f t="shared" si="166"/>
        <v>13.891547285739355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5.6843418860808015E-13</v>
      </c>
      <c r="BE188" s="13">
        <f>BD188*VLOOKUP('Données projet'!$B$11,Paramètres!$A$1:$I$89,3,0)*VLOOKUP('Données projet'!$B$11,Paramètres!$A$1:$I$89,5,0)</f>
        <v>5.763922672485933E-13</v>
      </c>
      <c r="BF188" s="13">
        <f t="shared" si="167"/>
        <v>7.0619171555808457E-12</v>
      </c>
      <c r="BG188" s="20">
        <f t="shared" si="168"/>
        <v>1.3303388911427938E-11</v>
      </c>
      <c r="BH188" s="59">
        <f t="shared" si="116"/>
        <v>289.73432332846704</v>
      </c>
      <c r="BI188" s="59">
        <f ca="1">AVERAGE(OFFSET($BH$3,0,0,'Données projet'!$E$11+1,1))-AVERAGE(OFFSET($H$3,0,0,'Données projet'!$E$11+1,1))</f>
        <v>462.74754756814662</v>
      </c>
      <c r="BJ188" s="59">
        <f t="shared" si="146"/>
        <v>327.65191293226667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65.765659555040216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65.765659555040216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259.99999999999983</v>
      </c>
      <c r="BZ188" s="13">
        <f>BY188*VLOOKUP('Données projet'!$B$12,Paramètres!$A$1:$I$89,3,0)*VLOOKUP('Données projet'!$B$12,Paramètres!$A$1:$I$89,5,0)</f>
        <v>227.13599999999985</v>
      </c>
      <c r="CA188" s="13">
        <f t="shared" si="170"/>
        <v>55.662966886685133</v>
      </c>
      <c r="CB188" s="20">
        <f t="shared" si="171"/>
        <v>492.5415339943097</v>
      </c>
      <c r="CC188" s="59">
        <f t="shared" si="119"/>
        <v>782.27585732276339</v>
      </c>
      <c r="CD188" s="59">
        <f ca="1">AVERAGE(OFFSET($CC$3,0,0,'Données projet'!$E$12+1,1))-AVERAGE(OFFSET($H$3,0,0,'Données projet'!$E$12+1,1))</f>
        <v>411.67183422518411</v>
      </c>
      <c r="CE188" s="59">
        <f t="shared" si="148"/>
        <v>379.16642539721556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7.0140948580100853</v>
      </c>
      <c r="CL188" s="21">
        <f>EXP(-LN(2)/25)*CL187+(1-EXP(-LN(2)/25))/(LN(2)/25)*Calculateur!CG188*Calculateur!CI188*VLOOKUP('Données projet'!$B$12,Paramètres!$A$1:$I$89,3,0)*0.475*44/12</f>
        <v>1.2733014137502943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8.2873962717603789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5.1431925385259092E-13</v>
      </c>
      <c r="P189" s="13">
        <f t="shared" si="141"/>
        <v>6.3855359115685756E-12</v>
      </c>
      <c r="Q189" s="20">
        <f t="shared" si="162"/>
        <v>1.2017247746441865E-11</v>
      </c>
      <c r="R189" s="59">
        <f t="shared" si="109"/>
        <v>289.7967581058694</v>
      </c>
      <c r="S189" s="59">
        <f ca="1">AVERAGE(OFFSET($R$3,0,0,'Données projet'!$E$9+1,1))-AVERAGE(OFFSET($H$3,0,0,'Données projet'!$E$9+1,1))</f>
        <v>421.33534980160005</v>
      </c>
      <c r="T189" s="59">
        <f t="shared" si="142"/>
        <v>299.0473530693472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-1.0197709343628959E-13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337.99164391755608</v>
      </c>
      <c r="AO189" s="59">
        <f t="shared" si="144"/>
        <v>421.45428231923393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12.407115473760381</v>
      </c>
      <c r="AV189" s="21">
        <f>EXP(-LN(2)/25)*AV188+(1-EXP(-LN(2)/25))/(LN(2)/25)*Calculateur!AQ189*Calculateur!AS189*VLOOKUP('Données projet'!$B$10,Paramètres!$A$1:$I$89,3,0)*0.475*44/12</f>
        <v>1.2024636788030183</v>
      </c>
      <c r="AW189" s="21">
        <f>EXP(-LN(2)/2)*AW188+(1-EXP(-LN(2)/2))/(LN(2)/2)*AQ189*AT189*VLOOKUP('Données projet'!$B$10,Paramètres!$A$1:$I$89,3,0)*0.475*44/12</f>
        <v>1.0952168789612313E-18</v>
      </c>
      <c r="AX189" s="21">
        <f t="shared" si="166"/>
        <v>13.6095791525634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5.6843418860808015E-13</v>
      </c>
      <c r="BE189" s="13">
        <f>BD189*VLOOKUP('Données projet'!$B$11,Paramètres!$A$1:$I$89,3,0)*VLOOKUP('Données projet'!$B$11,Paramètres!$A$1:$I$89,5,0)</f>
        <v>5.763922672485933E-13</v>
      </c>
      <c r="BF189" s="13">
        <f t="shared" si="167"/>
        <v>7.0619171555808457E-12</v>
      </c>
      <c r="BG189" s="20">
        <f t="shared" si="168"/>
        <v>1.3303388911427938E-11</v>
      </c>
      <c r="BH189" s="59">
        <f t="shared" si="116"/>
        <v>289.79675810587071</v>
      </c>
      <c r="BI189" s="59">
        <f ca="1">AVERAGE(OFFSET($BH$3,0,0,'Données projet'!$E$11+1,1))-AVERAGE(OFFSET($H$3,0,0,'Données projet'!$E$11+1,1))</f>
        <v>462.74754756814662</v>
      </c>
      <c r="BJ189" s="59">
        <f t="shared" si="146"/>
        <v>327.65191293226667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64.476035084257362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64.476035084257362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259.99999999999983</v>
      </c>
      <c r="BZ189" s="13">
        <f>BY189*VLOOKUP('Données projet'!$B$12,Paramètres!$A$1:$I$89,3,0)*VLOOKUP('Données projet'!$B$12,Paramètres!$A$1:$I$89,5,0)</f>
        <v>227.13599999999985</v>
      </c>
      <c r="CA189" s="13">
        <f t="shared" si="170"/>
        <v>55.662966886685133</v>
      </c>
      <c r="CB189" s="20">
        <f t="shared" si="171"/>
        <v>492.5415339943097</v>
      </c>
      <c r="CC189" s="59">
        <f t="shared" si="119"/>
        <v>782.33829210016711</v>
      </c>
      <c r="CD189" s="59">
        <f ca="1">AVERAGE(OFFSET($CC$3,0,0,'Données projet'!$E$12+1,1))-AVERAGE(OFFSET($H$3,0,0,'Données projet'!$E$12+1,1))</f>
        <v>411.67183422518411</v>
      </c>
      <c r="CE189" s="59">
        <f t="shared" si="148"/>
        <v>379.16642539721556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6.8765527360199359</v>
      </c>
      <c r="CL189" s="21">
        <f>EXP(-LN(2)/25)*CL188+(1-EXP(-LN(2)/25))/(LN(2)/25)*Calculateur!CG189*Calculateur!CI189*VLOOKUP('Données projet'!$B$12,Paramètres!$A$1:$I$89,3,0)*0.475*44/12</f>
        <v>1.2384829196312812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8.1150356556512175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5.1431925385259092E-13</v>
      </c>
      <c r="P190" s="13">
        <f t="shared" si="141"/>
        <v>6.3855359115685756E-12</v>
      </c>
      <c r="Q190" s="20">
        <f t="shared" si="162"/>
        <v>1.2017247746441865E-11</v>
      </c>
      <c r="R190" s="59">
        <f t="shared" si="109"/>
        <v>289.85810977946841</v>
      </c>
      <c r="S190" s="59">
        <f ca="1">AVERAGE(OFFSET($R$3,0,0,'Données projet'!$E$9+1,1))-AVERAGE(OFFSET($H$3,0,0,'Données projet'!$E$9+1,1))</f>
        <v>421.33534980160005</v>
      </c>
      <c r="T190" s="59">
        <f t="shared" si="142"/>
        <v>299.0473530693472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-1.0197709343628959E-13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337.99164391755608</v>
      </c>
      <c r="AO190" s="59">
        <f t="shared" si="144"/>
        <v>421.45428231923393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12.163819506913141</v>
      </c>
      <c r="AV190" s="21">
        <f>EXP(-LN(2)/25)*AV189+(1-EXP(-LN(2)/25))/(LN(2)/25)*Calculateur!AQ190*Calculateur!AS190*VLOOKUP('Données projet'!$B$10,Paramètres!$A$1:$I$89,3,0)*0.475*44/12</f>
        <v>1.1695822462713332</v>
      </c>
      <c r="AW190" s="21">
        <f>EXP(-LN(2)/2)*AW189+(1-EXP(-LN(2)/2))/(LN(2)/2)*AQ190*AT190*VLOOKUP('Données projet'!$B$10,Paramètres!$A$1:$I$89,3,0)*0.475*44/12</f>
        <v>7.7443528198345292E-19</v>
      </c>
      <c r="AX190" s="21">
        <f t="shared" si="166"/>
        <v>13.333401753184475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5.6843418860808015E-13</v>
      </c>
      <c r="BE190" s="13">
        <f>BD190*VLOOKUP('Données projet'!$B$11,Paramètres!$A$1:$I$89,3,0)*VLOOKUP('Données projet'!$B$11,Paramètres!$A$1:$I$89,5,0)</f>
        <v>5.763922672485933E-13</v>
      </c>
      <c r="BF190" s="13">
        <f t="shared" si="167"/>
        <v>7.0619171555808457E-12</v>
      </c>
      <c r="BG190" s="20">
        <f t="shared" si="168"/>
        <v>1.3303388911427938E-11</v>
      </c>
      <c r="BH190" s="59">
        <f t="shared" si="116"/>
        <v>289.85810977946971</v>
      </c>
      <c r="BI190" s="59">
        <f ca="1">AVERAGE(OFFSET($BH$3,0,0,'Données projet'!$E$11+1,1))-AVERAGE(OFFSET($H$3,0,0,'Données projet'!$E$11+1,1))</f>
        <v>462.74754756814662</v>
      </c>
      <c r="BJ190" s="59">
        <f t="shared" si="146"/>
        <v>327.65191293226667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63.211699362753308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63.211699362753308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259.99999999999983</v>
      </c>
      <c r="BZ190" s="13">
        <f>BY190*VLOOKUP('Données projet'!$B$12,Paramètres!$A$1:$I$89,3,0)*VLOOKUP('Données projet'!$B$12,Paramètres!$A$1:$I$89,5,0)</f>
        <v>227.13599999999985</v>
      </c>
      <c r="CA190" s="13">
        <f t="shared" si="170"/>
        <v>55.662966886685133</v>
      </c>
      <c r="CB190" s="20">
        <f t="shared" si="171"/>
        <v>492.5415339943097</v>
      </c>
      <c r="CC190" s="59">
        <f t="shared" si="119"/>
        <v>782.39964377376612</v>
      </c>
      <c r="CD190" s="59">
        <f ca="1">AVERAGE(OFFSET($CC$3,0,0,'Données projet'!$E$12+1,1))-AVERAGE(OFFSET($H$3,0,0,'Données projet'!$E$12+1,1))</f>
        <v>411.67183422518411</v>
      </c>
      <c r="CE190" s="59">
        <f t="shared" si="148"/>
        <v>379.16642539721556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6.741707731149603</v>
      </c>
      <c r="CL190" s="21">
        <f>EXP(-LN(2)/25)*CL189+(1-EXP(-LN(2)/25))/(LN(2)/25)*Calculateur!CG190*Calculateur!CI190*VLOOKUP('Données projet'!$B$12,Paramètres!$A$1:$I$89,3,0)*0.475*44/12</f>
        <v>1.2046165390649777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7.9463242702145802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5.1431925385259092E-13</v>
      </c>
      <c r="P191" s="13">
        <f t="shared" si="141"/>
        <v>6.3855359115685756E-12</v>
      </c>
      <c r="Q191" s="20">
        <f t="shared" si="162"/>
        <v>1.2017247746441865E-11</v>
      </c>
      <c r="R191" s="59">
        <f t="shared" si="109"/>
        <v>289.91839713869223</v>
      </c>
      <c r="S191" s="59">
        <f ca="1">AVERAGE(OFFSET($R$3,0,0,'Données projet'!$E$9+1,1))-AVERAGE(OFFSET($H$3,0,0,'Données projet'!$E$9+1,1))</f>
        <v>421.33534980160005</v>
      </c>
      <c r="T191" s="59">
        <f t="shared" si="142"/>
        <v>299.0473530693472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-1.0197709343628959E-13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337.99164391755608</v>
      </c>
      <c r="AO191" s="59">
        <f t="shared" si="144"/>
        <v>421.45428231923393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11.925294425579889</v>
      </c>
      <c r="AV191" s="21">
        <f>EXP(-LN(2)/25)*AV190+(1-EXP(-LN(2)/25))/(LN(2)/25)*Calculateur!AQ191*Calculateur!AS191*VLOOKUP('Données projet'!$B$10,Paramètres!$A$1:$I$89,3,0)*0.475*44/12</f>
        <v>1.1375999582413865</v>
      </c>
      <c r="AW191" s="21">
        <f>EXP(-LN(2)/2)*AW190+(1-EXP(-LN(2)/2))/(LN(2)/2)*AQ191*AT191*VLOOKUP('Données projet'!$B$10,Paramètres!$A$1:$I$89,3,0)*0.475*44/12</f>
        <v>5.4760843948061567E-19</v>
      </c>
      <c r="AX191" s="21">
        <f t="shared" si="166"/>
        <v>13.062894383821275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5.6843418860808015E-13</v>
      </c>
      <c r="BE191" s="13">
        <f>BD191*VLOOKUP('Données projet'!$B$11,Paramètres!$A$1:$I$89,3,0)*VLOOKUP('Données projet'!$B$11,Paramètres!$A$1:$I$89,5,0)</f>
        <v>5.763922672485933E-13</v>
      </c>
      <c r="BF191" s="13">
        <f t="shared" si="167"/>
        <v>7.0619171555808457E-12</v>
      </c>
      <c r="BG191" s="20">
        <f t="shared" si="168"/>
        <v>1.3303388911427938E-11</v>
      </c>
      <c r="BH191" s="59">
        <f t="shared" si="116"/>
        <v>289.91839713869354</v>
      </c>
      <c r="BI191" s="59">
        <f ca="1">AVERAGE(OFFSET($BH$3,0,0,'Données projet'!$E$11+1,1))-AVERAGE(OFFSET($H$3,0,0,'Données projet'!$E$11+1,1))</f>
        <v>462.74754756814662</v>
      </c>
      <c r="BJ191" s="59">
        <f t="shared" si="146"/>
        <v>327.65191293226667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61.972156493579305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61.972156493579305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259.99999999999983</v>
      </c>
      <c r="BZ191" s="13">
        <f>BY191*VLOOKUP('Données projet'!$B$12,Paramètres!$A$1:$I$89,3,0)*VLOOKUP('Données projet'!$B$12,Paramètres!$A$1:$I$89,5,0)</f>
        <v>227.13599999999985</v>
      </c>
      <c r="CA191" s="13">
        <f t="shared" si="170"/>
        <v>55.662966886685133</v>
      </c>
      <c r="CB191" s="20">
        <f t="shared" si="171"/>
        <v>492.5415339943097</v>
      </c>
      <c r="CC191" s="59">
        <f t="shared" si="119"/>
        <v>782.45993113298994</v>
      </c>
      <c r="CD191" s="59">
        <f ca="1">AVERAGE(OFFSET($CC$3,0,0,'Données projet'!$E$12+1,1))-AVERAGE(OFFSET($H$3,0,0,'Données projet'!$E$12+1,1))</f>
        <v>411.67183422518411</v>
      </c>
      <c r="CE191" s="59">
        <f t="shared" si="148"/>
        <v>379.16642539721556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6.6095069545774452</v>
      </c>
      <c r="CL191" s="21">
        <f>EXP(-LN(2)/25)*CL190+(1-EXP(-LN(2)/25))/(LN(2)/25)*Calculateur!CG191*Calculateur!CI191*VLOOKUP('Données projet'!$B$12,Paramètres!$A$1:$I$89,3,0)*0.475*44/12</f>
        <v>1.1716762364562152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7.7811831910336604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5.1431925385259092E-13</v>
      </c>
      <c r="P192" s="13">
        <f t="shared" si="141"/>
        <v>6.3855359115685756E-12</v>
      </c>
      <c r="Q192" s="20">
        <f t="shared" si="162"/>
        <v>1.2017247746441865E-11</v>
      </c>
      <c r="R192" s="59">
        <f t="shared" si="109"/>
        <v>289.97763864701585</v>
      </c>
      <c r="S192" s="59">
        <f ca="1">AVERAGE(OFFSET($R$3,0,0,'Données projet'!$E$9+1,1))-AVERAGE(OFFSET($H$3,0,0,'Données projet'!$E$9+1,1))</f>
        <v>421.33534980160005</v>
      </c>
      <c r="T192" s="59">
        <f t="shared" si="142"/>
        <v>299.0473530693472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-1.0197709343628959E-13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337.99164391755608</v>
      </c>
      <c r="AO192" s="59">
        <f t="shared" si="144"/>
        <v>421.45428231923393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11.691446675605647</v>
      </c>
      <c r="AV192" s="21">
        <f>EXP(-LN(2)/25)*AV191+(1-EXP(-LN(2)/25))/(LN(2)/25)*Calculateur!AQ192*Calculateur!AS192*VLOOKUP('Données projet'!$B$10,Paramètres!$A$1:$I$89,3,0)*0.475*44/12</f>
        <v>1.1064922275594939</v>
      </c>
      <c r="AW192" s="21">
        <f>EXP(-LN(2)/2)*AW191+(1-EXP(-LN(2)/2))/(LN(2)/2)*AQ192*AT192*VLOOKUP('Données projet'!$B$10,Paramètres!$A$1:$I$89,3,0)*0.475*44/12</f>
        <v>3.8721764099172646E-19</v>
      </c>
      <c r="AX192" s="21">
        <f t="shared" si="166"/>
        <v>12.797938903165141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5.6843418860808015E-13</v>
      </c>
      <c r="BE192" s="13">
        <f>BD192*VLOOKUP('Données projet'!$B$11,Paramètres!$A$1:$I$89,3,0)*VLOOKUP('Données projet'!$B$11,Paramètres!$A$1:$I$89,5,0)</f>
        <v>5.763922672485933E-13</v>
      </c>
      <c r="BF192" s="13">
        <f t="shared" si="167"/>
        <v>7.0619171555808457E-12</v>
      </c>
      <c r="BG192" s="20">
        <f t="shared" si="168"/>
        <v>1.3303388911427938E-11</v>
      </c>
      <c r="BH192" s="59">
        <f t="shared" si="116"/>
        <v>289.97763864701716</v>
      </c>
      <c r="BI192" s="59">
        <f ca="1">AVERAGE(OFFSET($BH$3,0,0,'Données projet'!$E$11+1,1))-AVERAGE(OFFSET($H$3,0,0,'Données projet'!$E$11+1,1))</f>
        <v>462.74754756814662</v>
      </c>
      <c r="BJ192" s="59">
        <f t="shared" si="146"/>
        <v>327.65191293226667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60.756920304023311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60.756920304023311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259.99999999999983</v>
      </c>
      <c r="BZ192" s="13">
        <f>BY192*VLOOKUP('Données projet'!$B$12,Paramètres!$A$1:$I$89,3,0)*VLOOKUP('Données projet'!$B$12,Paramètres!$A$1:$I$89,5,0)</f>
        <v>227.13599999999985</v>
      </c>
      <c r="CA192" s="13">
        <f t="shared" si="170"/>
        <v>55.662966886685133</v>
      </c>
      <c r="CB192" s="20">
        <f t="shared" si="171"/>
        <v>492.5415339943097</v>
      </c>
      <c r="CC192" s="59">
        <f t="shared" si="119"/>
        <v>782.51917264131362</v>
      </c>
      <c r="CD192" s="59">
        <f ca="1">AVERAGE(OFFSET($CC$3,0,0,'Données projet'!$E$12+1,1))-AVERAGE(OFFSET($H$3,0,0,'Données projet'!$E$12+1,1))</f>
        <v>411.67183422518411</v>
      </c>
      <c r="CE192" s="59">
        <f t="shared" si="148"/>
        <v>379.16642539721556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6.4798985545993562</v>
      </c>
      <c r="CL192" s="21">
        <f>EXP(-LN(2)/25)*CL191+(1-EXP(-LN(2)/25))/(LN(2)/25)*Calculateur!CG192*Calculateur!CI192*VLOOKUP('Données projet'!$B$12,Paramètres!$A$1:$I$89,3,0)*0.475*44/12</f>
        <v>1.1396366881545446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7.6195352427539005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5.1431925385259092E-13</v>
      </c>
      <c r="P193" s="13">
        <f t="shared" si="141"/>
        <v>6.3855359115685756E-12</v>
      </c>
      <c r="Q193" s="20">
        <f t="shared" si="162"/>
        <v>1.2017247746441865E-11</v>
      </c>
      <c r="R193" s="59">
        <f t="shared" si="109"/>
        <v>290.03585244761427</v>
      </c>
      <c r="S193" s="59">
        <f ca="1">AVERAGE(OFFSET($R$3,0,0,'Données projet'!$E$9+1,1))-AVERAGE(OFFSET($H$3,0,0,'Données projet'!$E$9+1,1))</f>
        <v>421.33534980160005</v>
      </c>
      <c r="T193" s="59">
        <f t="shared" si="142"/>
        <v>299.0473530693472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-1.0197709343628959E-13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337.99164391755608</v>
      </c>
      <c r="AO193" s="59">
        <f t="shared" si="144"/>
        <v>421.45428231923393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11.462184537375357</v>
      </c>
      <c r="AV193" s="21">
        <f>EXP(-LN(2)/25)*AV192+(1-EXP(-LN(2)/25))/(LN(2)/25)*Calculateur!AQ193*Calculateur!AS193*VLOOKUP('Données projet'!$B$10,Paramètres!$A$1:$I$89,3,0)*0.475*44/12</f>
        <v>1.0762351394089822</v>
      </c>
      <c r="AW193" s="21">
        <f>EXP(-LN(2)/2)*AW192+(1-EXP(-LN(2)/2))/(LN(2)/2)*AQ193*AT193*VLOOKUP('Données projet'!$B$10,Paramètres!$A$1:$I$89,3,0)*0.475*44/12</f>
        <v>2.7380421974030783E-19</v>
      </c>
      <c r="AX193" s="21">
        <f t="shared" si="166"/>
        <v>12.53841967678434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5.6843418860808015E-13</v>
      </c>
      <c r="BE193" s="13">
        <f>BD193*VLOOKUP('Données projet'!$B$11,Paramètres!$A$1:$I$89,3,0)*VLOOKUP('Données projet'!$B$11,Paramètres!$A$1:$I$89,5,0)</f>
        <v>5.763922672485933E-13</v>
      </c>
      <c r="BF193" s="13">
        <f t="shared" si="167"/>
        <v>7.0619171555808457E-12</v>
      </c>
      <c r="BG193" s="20">
        <f t="shared" si="168"/>
        <v>1.3303388911427938E-11</v>
      </c>
      <c r="BH193" s="59">
        <f t="shared" si="116"/>
        <v>290.03585244761558</v>
      </c>
      <c r="BI193" s="59">
        <f ca="1">AVERAGE(OFFSET($BH$3,0,0,'Données projet'!$E$11+1,1))-AVERAGE(OFFSET($H$3,0,0,'Données projet'!$E$11+1,1))</f>
        <v>462.74754756814662</v>
      </c>
      <c r="BJ193" s="59">
        <f t="shared" si="146"/>
        <v>327.65191293226667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59.565514154923619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59.565514154923619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259.99999999999983</v>
      </c>
      <c r="BZ193" s="13">
        <f>BY193*VLOOKUP('Données projet'!$B$12,Paramètres!$A$1:$I$89,3,0)*VLOOKUP('Données projet'!$B$12,Paramètres!$A$1:$I$89,5,0)</f>
        <v>227.13599999999985</v>
      </c>
      <c r="CA193" s="13">
        <f t="shared" si="170"/>
        <v>55.662966886685133</v>
      </c>
      <c r="CB193" s="20">
        <f t="shared" si="171"/>
        <v>492.5415339943097</v>
      </c>
      <c r="CC193" s="59">
        <f t="shared" si="119"/>
        <v>782.57738644191204</v>
      </c>
      <c r="CD193" s="59">
        <f ca="1">AVERAGE(OFFSET($CC$3,0,0,'Données projet'!$E$12+1,1))-AVERAGE(OFFSET($H$3,0,0,'Données projet'!$E$12+1,1))</f>
        <v>411.67183422518411</v>
      </c>
      <c r="CE193" s="59">
        <f t="shared" si="148"/>
        <v>379.16642539721556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6.3528316962915188</v>
      </c>
      <c r="CL193" s="21">
        <f>EXP(-LN(2)/25)*CL192+(1-EXP(-LN(2)/25))/(LN(2)/25)*Calculateur!CG193*Calculateur!CI193*VLOOKUP('Données projet'!$B$12,Paramètres!$A$1:$I$89,3,0)*0.475*44/12</f>
        <v>1.1084732629860699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7.4613049592775891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5.1431925385259092E-13</v>
      </c>
      <c r="P194" s="13">
        <f t="shared" si="141"/>
        <v>6.3855359115685756E-12</v>
      </c>
      <c r="Q194" s="20">
        <f t="shared" si="162"/>
        <v>1.2017247746441865E-11</v>
      </c>
      <c r="R194" s="59">
        <f t="shared" si="109"/>
        <v>290.09305636891884</v>
      </c>
      <c r="S194" s="59">
        <f ca="1">AVERAGE(OFFSET($R$3,0,0,'Données projet'!$E$9+1,1))-AVERAGE(OFFSET($H$3,0,0,'Données projet'!$E$9+1,1))</f>
        <v>421.33534980160005</v>
      </c>
      <c r="T194" s="59">
        <f t="shared" si="142"/>
        <v>299.0473530693472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-1.0197709343628959E-13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337.99164391755608</v>
      </c>
      <c r="AO194" s="59">
        <f t="shared" si="144"/>
        <v>421.45428231923393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11.237418089839666</v>
      </c>
      <c r="AV194" s="21">
        <f>EXP(-LN(2)/25)*AV193+(1-EXP(-LN(2)/25))/(LN(2)/25)*Calculateur!AQ194*Calculateur!AS194*VLOOKUP('Données projet'!$B$10,Paramètres!$A$1:$I$89,3,0)*0.475*44/12</f>
        <v>1.0468054329250973</v>
      </c>
      <c r="AW194" s="21">
        <f>EXP(-LN(2)/2)*AW193+(1-EXP(-LN(2)/2))/(LN(2)/2)*AQ194*AT194*VLOOKUP('Données projet'!$B$10,Paramètres!$A$1:$I$89,3,0)*0.475*44/12</f>
        <v>1.9360882049586323E-19</v>
      </c>
      <c r="AX194" s="21">
        <f t="shared" si="166"/>
        <v>12.284223522764764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5.6843418860808015E-13</v>
      </c>
      <c r="BE194" s="13">
        <f>BD194*VLOOKUP('Données projet'!$B$11,Paramètres!$A$1:$I$89,3,0)*VLOOKUP('Données projet'!$B$11,Paramètres!$A$1:$I$89,5,0)</f>
        <v>5.763922672485933E-13</v>
      </c>
      <c r="BF194" s="13">
        <f t="shared" si="167"/>
        <v>7.0619171555808457E-12</v>
      </c>
      <c r="BG194" s="20">
        <f t="shared" si="168"/>
        <v>1.3303388911427938E-11</v>
      </c>
      <c r="BH194" s="59">
        <f t="shared" si="116"/>
        <v>290.09305636892014</v>
      </c>
      <c r="BI194" s="59">
        <f ca="1">AVERAGE(OFFSET($BH$3,0,0,'Données projet'!$E$11+1,1))-AVERAGE(OFFSET($H$3,0,0,'Données projet'!$E$11+1,1))</f>
        <v>462.74754756814662</v>
      </c>
      <c r="BJ194" s="59">
        <f t="shared" si="146"/>
        <v>327.65191293226667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58.397470753721777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58.397470753721777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259.99999999999983</v>
      </c>
      <c r="BZ194" s="13">
        <f>BY194*VLOOKUP('Données projet'!$B$12,Paramètres!$A$1:$I$89,3,0)*VLOOKUP('Données projet'!$B$12,Paramètres!$A$1:$I$89,5,0)</f>
        <v>227.13599999999985</v>
      </c>
      <c r="CA194" s="13">
        <f t="shared" si="170"/>
        <v>55.662966886685133</v>
      </c>
      <c r="CB194" s="20">
        <f t="shared" si="171"/>
        <v>492.5415339943097</v>
      </c>
      <c r="CC194" s="59">
        <f t="shared" si="119"/>
        <v>782.6345903632166</v>
      </c>
      <c r="CD194" s="59">
        <f ca="1">AVERAGE(OFFSET($CC$3,0,0,'Données projet'!$E$12+1,1))-AVERAGE(OFFSET($H$3,0,0,'Données projet'!$E$12+1,1))</f>
        <v>411.67183422518411</v>
      </c>
      <c r="CE194" s="59">
        <f t="shared" si="148"/>
        <v>379.16642539721556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6.2282565415719677</v>
      </c>
      <c r="CL194" s="21">
        <f>EXP(-LN(2)/25)*CL193+(1-EXP(-LN(2)/25))/(LN(2)/25)*Calculateur!CG194*Calculateur!CI194*VLOOKUP('Données projet'!$B$12,Paramètres!$A$1:$I$89,3,0)*0.475*44/12</f>
        <v>1.0781620033176402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7.306418544889608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5.1431925385259092E-13</v>
      </c>
      <c r="P195" s="13">
        <f t="shared" si="141"/>
        <v>6.3855359115685756E-12</v>
      </c>
      <c r="Q195" s="20">
        <f t="shared" si="162"/>
        <v>1.2017247746441865E-11</v>
      </c>
      <c r="R195" s="59">
        <f t="shared" ref="R195:R203" si="191">Q195+(I195+J195)*44/12</f>
        <v>290.14926793007766</v>
      </c>
      <c r="S195" s="59">
        <f ca="1">AVERAGE(OFFSET($R$3,0,0,'Données projet'!$E$9+1,1))-AVERAGE(OFFSET($H$3,0,0,'Données projet'!$E$9+1,1))</f>
        <v>421.33534980160005</v>
      </c>
      <c r="T195" s="59">
        <f t="shared" si="142"/>
        <v>299.0473530693472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-1.0197709343628959E-13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337.99164391755608</v>
      </c>
      <c r="AO195" s="59">
        <f t="shared" si="144"/>
        <v>421.45428231923393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11.017059175246155</v>
      </c>
      <c r="AV195" s="21">
        <f>EXP(-LN(2)/25)*AV194+(1-EXP(-LN(2)/25))/(LN(2)/25)*Calculateur!AQ195*Calculateur!AS195*VLOOKUP('Données projet'!$B$10,Paramètres!$A$1:$I$89,3,0)*0.475*44/12</f>
        <v>1.0181804833126553</v>
      </c>
      <c r="AW195" s="21">
        <f>EXP(-LN(2)/2)*AW194+(1-EXP(-LN(2)/2))/(LN(2)/2)*AQ195*AT195*VLOOKUP('Données projet'!$B$10,Paramètres!$A$1:$I$89,3,0)*0.475*44/12</f>
        <v>1.3690210987015392E-19</v>
      </c>
      <c r="AX195" s="21">
        <f t="shared" si="166"/>
        <v>12.03523965855881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5.6843418860808015E-13</v>
      </c>
      <c r="BE195" s="13">
        <f>BD195*VLOOKUP('Données projet'!$B$11,Paramètres!$A$1:$I$89,3,0)*VLOOKUP('Données projet'!$B$11,Paramètres!$A$1:$I$89,5,0)</f>
        <v>5.763922672485933E-13</v>
      </c>
      <c r="BF195" s="13">
        <f t="shared" si="167"/>
        <v>7.0619171555808457E-12</v>
      </c>
      <c r="BG195" s="20">
        <f t="shared" si="168"/>
        <v>1.3303388911427938E-11</v>
      </c>
      <c r="BH195" s="59">
        <f t="shared" si="116"/>
        <v>290.14926793007896</v>
      </c>
      <c r="BI195" s="59">
        <f ca="1">AVERAGE(OFFSET($BH$3,0,0,'Données projet'!$E$11+1,1))-AVERAGE(OFFSET($H$3,0,0,'Données projet'!$E$11+1,1))</f>
        <v>462.74754756814662</v>
      </c>
      <c r="BJ195" s="59">
        <f t="shared" si="146"/>
        <v>327.65191293226667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57.252331971181377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57.252331971181377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259.99999999999983</v>
      </c>
      <c r="BZ195" s="13">
        <f>BY195*VLOOKUP('Données projet'!$B$12,Paramètres!$A$1:$I$89,3,0)*VLOOKUP('Données projet'!$B$12,Paramètres!$A$1:$I$89,5,0)</f>
        <v>227.13599999999985</v>
      </c>
      <c r="CA195" s="13">
        <f t="shared" si="170"/>
        <v>55.662966886685133</v>
      </c>
      <c r="CB195" s="20">
        <f t="shared" si="171"/>
        <v>492.5415339943097</v>
      </c>
      <c r="CC195" s="59">
        <f t="shared" si="119"/>
        <v>782.69080192437536</v>
      </c>
      <c r="CD195" s="59">
        <f ca="1">AVERAGE(OFFSET($CC$3,0,0,'Données projet'!$E$12+1,1))-AVERAGE(OFFSET($H$3,0,0,'Données projet'!$E$12+1,1))</f>
        <v>411.67183422518411</v>
      </c>
      <c r="CE195" s="59">
        <f t="shared" si="148"/>
        <v>379.16642539721556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6.1061242296531253</v>
      </c>
      <c r="CL195" s="21">
        <f>EXP(-LN(2)/25)*CL194+(1-EXP(-LN(2)/25))/(LN(2)/25)*Calculateur!CG195*Calculateur!CI195*VLOOKUP('Données projet'!$B$12,Paramètres!$A$1:$I$89,3,0)*0.475*44/12</f>
        <v>1.0486796066388437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7.1548038362919693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5.1431925385259092E-13</v>
      </c>
      <c r="P196" s="13">
        <f t="shared" si="141"/>
        <v>6.3855359115685756E-12</v>
      </c>
      <c r="Q196" s="20">
        <f t="shared" si="162"/>
        <v>1.2017247746441865E-11</v>
      </c>
      <c r="R196" s="59">
        <f t="shared" si="191"/>
        <v>290.2045043463205</v>
      </c>
      <c r="S196" s="59">
        <f ca="1">AVERAGE(OFFSET($R$3,0,0,'Données projet'!$E$9+1,1))-AVERAGE(OFFSET($H$3,0,0,'Données projet'!$E$9+1,1))</f>
        <v>421.33534980160005</v>
      </c>
      <c r="T196" s="59">
        <f t="shared" si="142"/>
        <v>299.0473530693472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-1.0197709343628959E-13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337.99164391755608</v>
      </c>
      <c r="AO196" s="59">
        <f t="shared" si="144"/>
        <v>421.45428231923393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10.801021364562155</v>
      </c>
      <c r="AV196" s="21">
        <f>EXP(-LN(2)/25)*AV195+(1-EXP(-LN(2)/25))/(LN(2)/25)*Calculateur!AQ196*Calculateur!AS196*VLOOKUP('Données projet'!$B$10,Paramètres!$A$1:$I$89,3,0)*0.475*44/12</f>
        <v>0.99033828445268623</v>
      </c>
      <c r="AW196" s="21">
        <f>EXP(-LN(2)/2)*AW195+(1-EXP(-LN(2)/2))/(LN(2)/2)*AQ196*AT196*VLOOKUP('Données projet'!$B$10,Paramètres!$A$1:$I$89,3,0)*0.475*44/12</f>
        <v>9.6804410247931615E-20</v>
      </c>
      <c r="AX196" s="21">
        <f t="shared" si="166"/>
        <v>11.791359649014842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5.6843418860808015E-13</v>
      </c>
      <c r="BE196" s="13">
        <f>BD196*VLOOKUP('Données projet'!$B$11,Paramètres!$A$1:$I$89,3,0)*VLOOKUP('Données projet'!$B$11,Paramètres!$A$1:$I$89,5,0)</f>
        <v>5.763922672485933E-13</v>
      </c>
      <c r="BF196" s="13">
        <f t="shared" si="167"/>
        <v>7.0619171555808457E-12</v>
      </c>
      <c r="BG196" s="20">
        <f t="shared" si="168"/>
        <v>1.3303388911427938E-11</v>
      </c>
      <c r="BH196" s="59">
        <f t="shared" ref="BH196:BH203" si="194">BG196+(AY196+AZ196)*44/12</f>
        <v>290.20450434632181</v>
      </c>
      <c r="BI196" s="59">
        <f ca="1">AVERAGE(OFFSET($BH$3,0,0,'Données projet'!$E$11+1,1))-AVERAGE(OFFSET($H$3,0,0,'Données projet'!$E$11+1,1))</f>
        <v>462.74754756814662</v>
      </c>
      <c r="BJ196" s="59">
        <f t="shared" si="146"/>
        <v>327.65191293226667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56.129648661700905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56.129648661700905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259.99999999999983</v>
      </c>
      <c r="BZ196" s="13">
        <f>BY196*VLOOKUP('Données projet'!$B$12,Paramètres!$A$1:$I$89,3,0)*VLOOKUP('Données projet'!$B$12,Paramètres!$A$1:$I$89,5,0)</f>
        <v>227.13599999999985</v>
      </c>
      <c r="CA196" s="13">
        <f t="shared" si="170"/>
        <v>55.662966886685133</v>
      </c>
      <c r="CB196" s="20">
        <f t="shared" si="171"/>
        <v>492.5415339943097</v>
      </c>
      <c r="CC196" s="59">
        <f t="shared" ref="CC196:CC203" si="195">CB196+(BT196+BU196)*44/12</f>
        <v>782.74603834061827</v>
      </c>
      <c r="CD196" s="59">
        <f ca="1">AVERAGE(OFFSET($CC$3,0,0,'Données projet'!$E$12+1,1))-AVERAGE(OFFSET($H$3,0,0,'Données projet'!$E$12+1,1))</f>
        <v>411.67183422518411</v>
      </c>
      <c r="CE196" s="59">
        <f t="shared" si="148"/>
        <v>379.16642539721556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5.9863868578776565</v>
      </c>
      <c r="CL196" s="21">
        <f>EXP(-LN(2)/25)*CL195+(1-EXP(-LN(2)/25))/(LN(2)/25)*Calculateur!CG196*Calculateur!CI196*VLOOKUP('Données projet'!$B$12,Paramètres!$A$1:$I$89,3,0)*0.475*44/12</f>
        <v>1.0200034076476407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7.0063902655252974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5.1431925385259092E-13</v>
      </c>
      <c r="P197" s="13">
        <f t="shared" ref="P197:P203" si="203">EXP(-1.0587+0.8836*LN(O197)+0.284)</f>
        <v>6.3855359115685756E-12</v>
      </c>
      <c r="Q197" s="20">
        <f t="shared" si="162"/>
        <v>1.2017247746441865E-11</v>
      </c>
      <c r="R197" s="59">
        <f t="shared" si="191"/>
        <v>290.25878253423173</v>
      </c>
      <c r="S197" s="59">
        <f ca="1">AVERAGE(OFFSET($R$3,0,0,'Données projet'!$E$9+1,1))-AVERAGE(OFFSET($H$3,0,0,'Données projet'!$E$9+1,1))</f>
        <v>421.33534980160005</v>
      </c>
      <c r="T197" s="59">
        <f t="shared" ref="T197:T203" si="204">$T$3</f>
        <v>299.0473530693472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-1.0197709343628959E-13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337.99164391755608</v>
      </c>
      <c r="AO197" s="59">
        <f t="shared" ref="AO197:AO203" si="205">$AO$3</f>
        <v>421.45428231923393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10.589219923575616</v>
      </c>
      <c r="AV197" s="21">
        <f>EXP(-LN(2)/25)*AV196+(1-EXP(-LN(2)/25))/(LN(2)/25)*Calculateur!AQ197*Calculateur!AS197*VLOOKUP('Données projet'!$B$10,Paramètres!$A$1:$I$89,3,0)*0.475*44/12</f>
        <v>0.9632574319847006</v>
      </c>
      <c r="AW197" s="21">
        <f>EXP(-LN(2)/2)*AW196+(1-EXP(-LN(2)/2))/(LN(2)/2)*AQ197*AT197*VLOOKUP('Données projet'!$B$10,Paramètres!$A$1:$I$89,3,0)*0.475*44/12</f>
        <v>6.8451054935076958E-20</v>
      </c>
      <c r="AX197" s="21">
        <f t="shared" si="166"/>
        <v>11.552477355560317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5.6843418860808015E-13</v>
      </c>
      <c r="BE197" s="13">
        <f>BD197*VLOOKUP('Données projet'!$B$11,Paramètres!$A$1:$I$89,3,0)*VLOOKUP('Données projet'!$B$11,Paramètres!$A$1:$I$89,5,0)</f>
        <v>5.763922672485933E-13</v>
      </c>
      <c r="BF197" s="13">
        <f t="shared" si="167"/>
        <v>7.0619171555808457E-12</v>
      </c>
      <c r="BG197" s="20">
        <f t="shared" si="168"/>
        <v>1.3303388911427938E-11</v>
      </c>
      <c r="BH197" s="59">
        <f t="shared" si="194"/>
        <v>290.25878253423303</v>
      </c>
      <c r="BI197" s="59">
        <f ca="1">AVERAGE(OFFSET($BH$3,0,0,'Données projet'!$E$11+1,1))-AVERAGE(OFFSET($H$3,0,0,'Données projet'!$E$11+1,1))</f>
        <v>462.74754756814662</v>
      </c>
      <c r="BJ197" s="59">
        <f t="shared" ref="BJ197:BJ203" si="206">$BJ$3</f>
        <v>327.65191293226667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55.028980487150136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55.028980487150136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259.99999999999983</v>
      </c>
      <c r="BZ197" s="13">
        <f>BY197*VLOOKUP('Données projet'!$B$12,Paramètres!$A$1:$I$89,3,0)*VLOOKUP('Données projet'!$B$12,Paramètres!$A$1:$I$89,5,0)</f>
        <v>227.13599999999985</v>
      </c>
      <c r="CA197" s="13">
        <f t="shared" si="170"/>
        <v>55.662966886685133</v>
      </c>
      <c r="CB197" s="20">
        <f t="shared" si="171"/>
        <v>492.5415339943097</v>
      </c>
      <c r="CC197" s="59">
        <f t="shared" si="195"/>
        <v>782.80031652852949</v>
      </c>
      <c r="CD197" s="59">
        <f ca="1">AVERAGE(OFFSET($CC$3,0,0,'Données projet'!$E$12+1,1))-AVERAGE(OFFSET($H$3,0,0,'Données projet'!$E$12+1,1))</f>
        <v>411.67183422518411</v>
      </c>
      <c r="CE197" s="59">
        <f t="shared" ref="CE197:CE203" si="207">$CE$3</f>
        <v>379.16642539721556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5.8689974629301194</v>
      </c>
      <c r="CL197" s="21">
        <f>EXP(-LN(2)/25)*CL196+(1-EXP(-LN(2)/25))/(LN(2)/25)*Calculateur!CG197*Calculateur!CI197*VLOOKUP('Données projet'!$B$12,Paramètres!$A$1:$I$89,3,0)*0.475*44/12</f>
        <v>0.99211136082586804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6.8611088237559876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5.1431925385259092E-13</v>
      </c>
      <c r="P198" s="13">
        <f t="shared" si="203"/>
        <v>6.3855359115685756E-12</v>
      </c>
      <c r="Q198" s="20">
        <f t="shared" si="162"/>
        <v>1.2017247746441865E-11</v>
      </c>
      <c r="R198" s="59">
        <f t="shared" si="191"/>
        <v>290.31211911693049</v>
      </c>
      <c r="S198" s="59">
        <f ca="1">AVERAGE(OFFSET($R$3,0,0,'Données projet'!$E$9+1,1))-AVERAGE(OFFSET($H$3,0,0,'Données projet'!$E$9+1,1))</f>
        <v>421.33534980160005</v>
      </c>
      <c r="T198" s="59">
        <f t="shared" si="204"/>
        <v>299.0473530693472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-1.0197709343628959E-13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337.99164391755608</v>
      </c>
      <c r="AO198" s="59">
        <f t="shared" si="205"/>
        <v>421.45428231923393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10.3815717796607</v>
      </c>
      <c r="AV198" s="21">
        <f>EXP(-LN(2)/25)*AV197+(1-EXP(-LN(2)/25))/(LN(2)/25)*Calculateur!AQ198*Calculateur!AS198*VLOOKUP('Données projet'!$B$10,Paramètres!$A$1:$I$89,3,0)*0.475*44/12</f>
        <v>0.93691710685157215</v>
      </c>
      <c r="AW198" s="21">
        <f>EXP(-LN(2)/2)*AW197+(1-EXP(-LN(2)/2))/(LN(2)/2)*AQ198*AT198*VLOOKUP('Données projet'!$B$10,Paramètres!$A$1:$I$89,3,0)*0.475*44/12</f>
        <v>4.8402205123965808E-20</v>
      </c>
      <c r="AX198" s="21">
        <f t="shared" si="166"/>
        <v>11.318488886512272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5.6843418860808015E-13</v>
      </c>
      <c r="BE198" s="13">
        <f>BD198*VLOOKUP('Données projet'!$B$11,Paramètres!$A$1:$I$89,3,0)*VLOOKUP('Données projet'!$B$11,Paramètres!$A$1:$I$89,5,0)</f>
        <v>5.763922672485933E-13</v>
      </c>
      <c r="BF198" s="13">
        <f t="shared" si="167"/>
        <v>7.0619171555808457E-12</v>
      </c>
      <c r="BG198" s="20">
        <f t="shared" si="168"/>
        <v>1.3303388911427938E-11</v>
      </c>
      <c r="BH198" s="59">
        <f t="shared" si="194"/>
        <v>290.3121191169318</v>
      </c>
      <c r="BI198" s="59">
        <f ca="1">AVERAGE(OFFSET($BH$3,0,0,'Données projet'!$E$11+1,1))-AVERAGE(OFFSET($H$3,0,0,'Données projet'!$E$11+1,1))</f>
        <v>462.74754756814662</v>
      </c>
      <c r="BJ198" s="59">
        <f t="shared" si="206"/>
        <v>327.65191293226667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53.949895744161012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53.949895744161012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259.99999999999983</v>
      </c>
      <c r="BZ198" s="13">
        <f>BY198*VLOOKUP('Données projet'!$B$12,Paramètres!$A$1:$I$89,3,0)*VLOOKUP('Données projet'!$B$12,Paramètres!$A$1:$I$89,5,0)</f>
        <v>227.13599999999985</v>
      </c>
      <c r="CA198" s="13">
        <f t="shared" si="170"/>
        <v>55.662966886685133</v>
      </c>
      <c r="CB198" s="20">
        <f t="shared" si="171"/>
        <v>492.5415339943097</v>
      </c>
      <c r="CC198" s="59">
        <f t="shared" si="195"/>
        <v>782.85365311122814</v>
      </c>
      <c r="CD198" s="59">
        <f ca="1">AVERAGE(OFFSET($CC$3,0,0,'Données projet'!$E$12+1,1))-AVERAGE(OFFSET($H$3,0,0,'Données projet'!$E$12+1,1))</f>
        <v>411.67183422518411</v>
      </c>
      <c r="CE198" s="59">
        <f t="shared" si="207"/>
        <v>379.16642539721556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5.7539100024170429</v>
      </c>
      <c r="CL198" s="21">
        <f>EXP(-LN(2)/25)*CL197+(1-EXP(-LN(2)/25))/(LN(2)/25)*Calculateur!CG198*Calculateur!CI198*VLOOKUP('Données projet'!$B$12,Paramètres!$A$1:$I$89,3,0)*0.475*44/12</f>
        <v>0.96498202349121576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6.718892025908259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5.1431925385259092E-13</v>
      </c>
      <c r="P199" s="13">
        <f t="shared" si="203"/>
        <v>6.3855359115685756E-12</v>
      </c>
      <c r="Q199" s="20">
        <f t="shared" si="162"/>
        <v>1.2017247746441865E-11</v>
      </c>
      <c r="R199" s="59">
        <f t="shared" si="191"/>
        <v>290.36453042916219</v>
      </c>
      <c r="S199" s="59">
        <f ca="1">AVERAGE(OFFSET($R$3,0,0,'Données projet'!$E$9+1,1))-AVERAGE(OFFSET($H$3,0,0,'Données projet'!$E$9+1,1))</f>
        <v>421.33534980160005</v>
      </c>
      <c r="T199" s="59">
        <f t="shared" si="204"/>
        <v>299.0473530693472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-1.0197709343628959E-13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337.99164391755608</v>
      </c>
      <c r="AO199" s="59">
        <f t="shared" si="205"/>
        <v>421.45428231923393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10.177995489195093</v>
      </c>
      <c r="AV199" s="21">
        <f>EXP(-LN(2)/25)*AV198+(1-EXP(-LN(2)/25))/(LN(2)/25)*Calculateur!AQ199*Calculateur!AS199*VLOOKUP('Données projet'!$B$10,Paramètres!$A$1:$I$89,3,0)*0.475*44/12</f>
        <v>0.91129705929438665</v>
      </c>
      <c r="AW199" s="21">
        <f>EXP(-LN(2)/2)*AW198+(1-EXP(-LN(2)/2))/(LN(2)/2)*AQ199*AT199*VLOOKUP('Données projet'!$B$10,Paramètres!$A$1:$I$89,3,0)*0.475*44/12</f>
        <v>3.4225527467538479E-20</v>
      </c>
      <c r="AX199" s="21">
        <f t="shared" si="166"/>
        <v>11.08929254848948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5.6843418860808015E-13</v>
      </c>
      <c r="BE199" s="13">
        <f>BD199*VLOOKUP('Données projet'!$B$11,Paramètres!$A$1:$I$89,3,0)*VLOOKUP('Données projet'!$B$11,Paramètres!$A$1:$I$89,5,0)</f>
        <v>5.763922672485933E-13</v>
      </c>
      <c r="BF199" s="13">
        <f t="shared" si="167"/>
        <v>7.0619171555808457E-12</v>
      </c>
      <c r="BG199" s="20">
        <f t="shared" si="168"/>
        <v>1.3303388911427938E-11</v>
      </c>
      <c r="BH199" s="59">
        <f t="shared" si="194"/>
        <v>290.36453042916349</v>
      </c>
      <c r="BI199" s="59">
        <f ca="1">AVERAGE(OFFSET($BH$3,0,0,'Données projet'!$E$11+1,1))-AVERAGE(OFFSET($H$3,0,0,'Données projet'!$E$11+1,1))</f>
        <v>462.74754756814662</v>
      </c>
      <c r="BJ199" s="59">
        <f t="shared" si="206"/>
        <v>327.65191293226667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52.891971194805201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52.891971194805201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259.99999999999983</v>
      </c>
      <c r="BZ199" s="13">
        <f>BY199*VLOOKUP('Données projet'!$B$12,Paramètres!$A$1:$I$89,3,0)*VLOOKUP('Données projet'!$B$12,Paramètres!$A$1:$I$89,5,0)</f>
        <v>227.13599999999985</v>
      </c>
      <c r="CA199" s="13">
        <f t="shared" si="170"/>
        <v>55.662966886685133</v>
      </c>
      <c r="CB199" s="20">
        <f t="shared" si="171"/>
        <v>492.5415339943097</v>
      </c>
      <c r="CC199" s="59">
        <f t="shared" si="195"/>
        <v>782.90606442345984</v>
      </c>
      <c r="CD199" s="59">
        <f ca="1">AVERAGE(OFFSET($CC$3,0,0,'Données projet'!$E$12+1,1))-AVERAGE(OFFSET($H$3,0,0,'Données projet'!$E$12+1,1))</f>
        <v>411.67183422518411</v>
      </c>
      <c r="CE199" s="59">
        <f t="shared" si="207"/>
        <v>379.16642539721556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5.6410793368082084</v>
      </c>
      <c r="CL199" s="21">
        <f>EXP(-LN(2)/25)*CL198+(1-EXP(-LN(2)/25))/(LN(2)/25)*Calculateur!CG199*Calculateur!CI199*VLOOKUP('Données projet'!$B$12,Paramètres!$A$1:$I$89,3,0)*0.475*44/12</f>
        <v>0.93859453931264936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6.5796738761208573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5.1431925385259092E-13</v>
      </c>
      <c r="P200" s="13">
        <f t="shared" si="203"/>
        <v>6.3855359115685756E-12</v>
      </c>
      <c r="Q200" s="20">
        <f t="shared" si="162"/>
        <v>1.2017247746441865E-11</v>
      </c>
      <c r="R200" s="59">
        <f t="shared" si="191"/>
        <v>290.41603252230078</v>
      </c>
      <c r="S200" s="59">
        <f ca="1">AVERAGE(OFFSET($R$3,0,0,'Données projet'!$E$9+1,1))-AVERAGE(OFFSET($H$3,0,0,'Données projet'!$E$9+1,1))</f>
        <v>421.33534980160005</v>
      </c>
      <c r="T200" s="59">
        <f t="shared" si="204"/>
        <v>299.0473530693472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-1.0197709343628959E-13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337.99164391755608</v>
      </c>
      <c r="AO200" s="59">
        <f t="shared" si="205"/>
        <v>421.45428231923393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9.97841120561624</v>
      </c>
      <c r="AV200" s="21">
        <f>EXP(-LN(2)/25)*AV199+(1-EXP(-LN(2)/25))/(LN(2)/25)*Calculateur!AQ200*Calculateur!AS200*VLOOKUP('Données projet'!$B$10,Paramètres!$A$1:$I$89,3,0)*0.475*44/12</f>
        <v>0.88637759328495214</v>
      </c>
      <c r="AW200" s="21">
        <f>EXP(-LN(2)/2)*AW199+(1-EXP(-LN(2)/2))/(LN(2)/2)*AQ200*AT200*VLOOKUP('Données projet'!$B$10,Paramètres!$A$1:$I$89,3,0)*0.475*44/12</f>
        <v>2.4201102561982904E-20</v>
      </c>
      <c r="AX200" s="21">
        <f t="shared" si="166"/>
        <v>10.864788798901191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5.6843418860808015E-13</v>
      </c>
      <c r="BE200" s="13">
        <f>BD200*VLOOKUP('Données projet'!$B$11,Paramètres!$A$1:$I$89,3,0)*VLOOKUP('Données projet'!$B$11,Paramètres!$A$1:$I$89,5,0)</f>
        <v>5.763922672485933E-13</v>
      </c>
      <c r="BF200" s="13">
        <f t="shared" si="167"/>
        <v>7.0619171555808457E-12</v>
      </c>
      <c r="BG200" s="20">
        <f t="shared" si="168"/>
        <v>1.3303388911427938E-11</v>
      </c>
      <c r="BH200" s="59">
        <f t="shared" si="194"/>
        <v>290.41603252230209</v>
      </c>
      <c r="BI200" s="59">
        <f ca="1">AVERAGE(OFFSET($BH$3,0,0,'Données projet'!$E$11+1,1))-AVERAGE(OFFSET($H$3,0,0,'Données projet'!$E$11+1,1))</f>
        <v>462.74754756814662</v>
      </c>
      <c r="BJ200" s="59">
        <f t="shared" si="206"/>
        <v>327.65191293226667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51.854791900591998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51.854791900591998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259.99999999999983</v>
      </c>
      <c r="BZ200" s="13">
        <f>BY200*VLOOKUP('Données projet'!$B$12,Paramètres!$A$1:$I$89,3,0)*VLOOKUP('Données projet'!$B$12,Paramètres!$A$1:$I$89,5,0)</f>
        <v>227.13599999999985</v>
      </c>
      <c r="CA200" s="13">
        <f t="shared" si="170"/>
        <v>55.662966886685133</v>
      </c>
      <c r="CB200" s="20">
        <f t="shared" si="171"/>
        <v>492.5415339943097</v>
      </c>
      <c r="CC200" s="59">
        <f t="shared" si="195"/>
        <v>782.95756651659849</v>
      </c>
      <c r="CD200" s="59">
        <f ca="1">AVERAGE(OFFSET($CC$3,0,0,'Données projet'!$E$12+1,1))-AVERAGE(OFFSET($H$3,0,0,'Données projet'!$E$12+1,1))</f>
        <v>411.67183422518411</v>
      </c>
      <c r="CE200" s="59">
        <f t="shared" si="207"/>
        <v>379.16642539721556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5.5304612117320522</v>
      </c>
      <c r="CL200" s="21">
        <f>EXP(-LN(2)/25)*CL199+(1-EXP(-LN(2)/25))/(LN(2)/25)*Calculateur!CG200*Calculateur!CI200*VLOOKUP('Données projet'!$B$12,Paramètres!$A$1:$I$89,3,0)*0.475*44/12</f>
        <v>0.91292862227660332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6.4433898340086557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5.1431925385259092E-13</v>
      </c>
      <c r="P201" s="13">
        <f t="shared" si="203"/>
        <v>6.3855359115685756E-12</v>
      </c>
      <c r="Q201" s="20">
        <f t="shared" si="162"/>
        <v>1.2017247746441865E-11</v>
      </c>
      <c r="R201" s="59">
        <f t="shared" si="191"/>
        <v>290.4666411692649</v>
      </c>
      <c r="S201" s="59">
        <f ca="1">AVERAGE(OFFSET($R$3,0,0,'Données projet'!$E$9+1,1))-AVERAGE(OFFSET($H$3,0,0,'Données projet'!$E$9+1,1))</f>
        <v>421.33534980160005</v>
      </c>
      <c r="T201" s="59">
        <f t="shared" si="204"/>
        <v>299.0473530693472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-1.0197709343628959E-13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337.99164391755608</v>
      </c>
      <c r="AO201" s="59">
        <f t="shared" si="205"/>
        <v>421.45428231923393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9.7827406481039763</v>
      </c>
      <c r="AV201" s="21">
        <f>EXP(-LN(2)/25)*AV200+(1-EXP(-LN(2)/25))/(LN(2)/25)*Calculateur!AQ201*Calculateur!AS201*VLOOKUP('Données projet'!$B$10,Paramètres!$A$1:$I$89,3,0)*0.475*44/12</f>
        <v>0.86213955138400333</v>
      </c>
      <c r="AW201" s="21">
        <f>EXP(-LN(2)/2)*AW200+(1-EXP(-LN(2)/2))/(LN(2)/2)*AQ201*AT201*VLOOKUP('Données projet'!$B$10,Paramètres!$A$1:$I$89,3,0)*0.475*44/12</f>
        <v>1.711276373376924E-20</v>
      </c>
      <c r="AX201" s="21">
        <f t="shared" si="166"/>
        <v>10.644880199487979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5.6843418860808015E-13</v>
      </c>
      <c r="BE201" s="13">
        <f>BD201*VLOOKUP('Données projet'!$B$11,Paramètres!$A$1:$I$89,3,0)*VLOOKUP('Données projet'!$B$11,Paramètres!$A$1:$I$89,5,0)</f>
        <v>5.763922672485933E-13</v>
      </c>
      <c r="BF201" s="13">
        <f t="shared" si="167"/>
        <v>7.0619171555808457E-12</v>
      </c>
      <c r="BG201" s="20">
        <f t="shared" si="168"/>
        <v>1.3303388911427938E-11</v>
      </c>
      <c r="BH201" s="59">
        <f t="shared" si="194"/>
        <v>290.46664116926621</v>
      </c>
      <c r="BI201" s="59">
        <f ca="1">AVERAGE(OFFSET($BH$3,0,0,'Données projet'!$E$11+1,1))-AVERAGE(OFFSET($H$3,0,0,'Données projet'!$E$11+1,1))</f>
        <v>462.74754756814662</v>
      </c>
      <c r="BJ201" s="59">
        <f t="shared" si="206"/>
        <v>327.65191293226667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50.837951059721412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50.837951059721412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259.99999999999983</v>
      </c>
      <c r="BZ201" s="13">
        <f>BY201*VLOOKUP('Données projet'!$B$12,Paramètres!$A$1:$I$89,3,0)*VLOOKUP('Données projet'!$B$12,Paramètres!$A$1:$I$89,5,0)</f>
        <v>227.13599999999985</v>
      </c>
      <c r="CA201" s="13">
        <f t="shared" si="170"/>
        <v>55.662966886685133</v>
      </c>
      <c r="CB201" s="20">
        <f t="shared" si="171"/>
        <v>492.5415339943097</v>
      </c>
      <c r="CC201" s="59">
        <f t="shared" si="195"/>
        <v>783.00817516356256</v>
      </c>
      <c r="CD201" s="59">
        <f ca="1">AVERAGE(OFFSET($CC$3,0,0,'Données projet'!$E$12+1,1))-AVERAGE(OFFSET($H$3,0,0,'Données projet'!$E$12+1,1))</f>
        <v>411.67183422518411</v>
      </c>
      <c r="CE201" s="59">
        <f t="shared" si="207"/>
        <v>379.16642539721556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5.4220122406182449</v>
      </c>
      <c r="CL201" s="21">
        <f>EXP(-LN(2)/25)*CL200+(1-EXP(-LN(2)/25))/(LN(2)/25)*Calculateur!CG201*Calculateur!CI201*VLOOKUP('Données projet'!$B$12,Paramètres!$A$1:$I$89,3,0)*0.475*44/12</f>
        <v>0.88796454109161993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6.3099767817098646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5.1431925385259092E-13</v>
      </c>
      <c r="P202" s="13">
        <f t="shared" si="203"/>
        <v>6.3855359115685756E-12</v>
      </c>
      <c r="Q202" s="20">
        <f t="shared" si="162"/>
        <v>1.2017247746441865E-11</v>
      </c>
      <c r="R202" s="59">
        <f t="shared" si="191"/>
        <v>290.51637186934812</v>
      </c>
      <c r="S202" s="59">
        <f ca="1">AVERAGE(OFFSET($R$3,0,0,'Données projet'!$E$9+1,1))-AVERAGE(OFFSET($H$3,0,0,'Données projet'!$E$9+1,1))</f>
        <v>421.33534980160005</v>
      </c>
      <c r="T202" s="59">
        <f t="shared" si="204"/>
        <v>299.0473530693472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-1.0197709343628959E-13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337.99164391755608</v>
      </c>
      <c r="AO202" s="59">
        <f t="shared" si="205"/>
        <v>421.45428231923393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9.5909070708772717</v>
      </c>
      <c r="AV202" s="21">
        <f>EXP(-LN(2)/25)*AV201+(1-EXP(-LN(2)/25))/(LN(2)/25)*Calculateur!AQ202*Calculateur!AS202*VLOOKUP('Données projet'!$B$10,Paramètres!$A$1:$I$89,3,0)*0.475*44/12</f>
        <v>0.83856430001345916</v>
      </c>
      <c r="AW202" s="21">
        <f>EXP(-LN(2)/2)*AW201+(1-EXP(-LN(2)/2))/(LN(2)/2)*AQ202*AT202*VLOOKUP('Données projet'!$B$10,Paramètres!$A$1:$I$89,3,0)*0.475*44/12</f>
        <v>1.2100551280991452E-20</v>
      </c>
      <c r="AX202" s="21">
        <f t="shared" si="166"/>
        <v>10.429471370890731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5.6843418860808015E-13</v>
      </c>
      <c r="BE202" s="13">
        <f>BD202*VLOOKUP('Données projet'!$B$11,Paramètres!$A$1:$I$89,3,0)*VLOOKUP('Données projet'!$B$11,Paramètres!$A$1:$I$89,5,0)</f>
        <v>5.763922672485933E-13</v>
      </c>
      <c r="BF202" s="13">
        <f t="shared" si="167"/>
        <v>7.0619171555808457E-12</v>
      </c>
      <c r="BG202" s="20">
        <f t="shared" si="168"/>
        <v>1.3303388911427938E-11</v>
      </c>
      <c r="BH202" s="59">
        <f t="shared" si="194"/>
        <v>290.51637186934943</v>
      </c>
      <c r="BI202" s="59">
        <f ca="1">AVERAGE(OFFSET($BH$3,0,0,'Données projet'!$E$11+1,1))-AVERAGE(OFFSET($H$3,0,0,'Données projet'!$E$11+1,1))</f>
        <v>462.74754756814662</v>
      </c>
      <c r="BJ202" s="59">
        <f t="shared" si="206"/>
        <v>327.65191293226667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49.84104984752863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49.84104984752863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259.99999999999983</v>
      </c>
      <c r="BZ202" s="13">
        <f>BY202*VLOOKUP('Données projet'!$B$12,Paramètres!$A$1:$I$89,3,0)*VLOOKUP('Données projet'!$B$12,Paramètres!$A$1:$I$89,5,0)</f>
        <v>227.13599999999985</v>
      </c>
      <c r="CA202" s="13">
        <f t="shared" si="170"/>
        <v>55.662966886685133</v>
      </c>
      <c r="CB202" s="20">
        <f t="shared" si="171"/>
        <v>492.5415339943097</v>
      </c>
      <c r="CC202" s="59">
        <f t="shared" si="195"/>
        <v>783.05790586364583</v>
      </c>
      <c r="CD202" s="59">
        <f ca="1">AVERAGE(OFFSET($CC$3,0,0,'Données projet'!$E$12+1,1))-AVERAGE(OFFSET($H$3,0,0,'Données projet'!$E$12+1,1))</f>
        <v>411.67183422518411</v>
      </c>
      <c r="CE202" s="59">
        <f t="shared" si="207"/>
        <v>379.16642539721556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5.3156898876806391</v>
      </c>
      <c r="CL202" s="21">
        <f>EXP(-LN(2)/25)*CL201+(1-EXP(-LN(2)/25))/(LN(2)/25)*Calculateur!CG202*Calculateur!CI202*VLOOKUP('Données projet'!$B$12,Paramètres!$A$1:$I$89,3,0)*0.475*44/12</f>
        <v>0.86368310401944381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6.1793729917000828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5.1431925385259092E-13</v>
      </c>
      <c r="P203" s="13">
        <f t="shared" si="203"/>
        <v>6.3855359115685756E-12</v>
      </c>
      <c r="Q203" s="20">
        <f t="shared" si="162"/>
        <v>1.2017247746441865E-11</v>
      </c>
      <c r="R203" s="59">
        <f t="shared" si="191"/>
        <v>290.5652398529661</v>
      </c>
      <c r="S203" s="59">
        <f ca="1">AVERAGE(OFFSET($R$3,0,0,'Données projet'!$E$9+1,1))-AVERAGE(OFFSET($H$3,0,0,'Données projet'!$E$9+1,1))</f>
        <v>421.33534980160005</v>
      </c>
      <c r="T203" s="59">
        <f t="shared" si="204"/>
        <v>299.0473530693472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-1.0197709343628959E-13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337.99164391755608</v>
      </c>
      <c r="AO203" s="59">
        <f t="shared" si="205"/>
        <v>421.45428231923393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9.4028352330930538</v>
      </c>
      <c r="AV203" s="21">
        <f>EXP(-LN(2)/25)*AV202+(1-EXP(-LN(2)/25))/(LN(2)/25)*Calculateur!AQ203*Calculateur!AS203*VLOOKUP('Données projet'!$B$10,Paramètres!$A$1:$I$89,3,0)*0.475*44/12</f>
        <v>0.81563371513141114</v>
      </c>
      <c r="AW203" s="21">
        <f>EXP(-LN(2)/2)*AW202+(1-EXP(-LN(2)/2))/(LN(2)/2)*AQ203*AT203*VLOOKUP('Données projet'!$B$10,Paramètres!$A$1:$I$89,3,0)*0.475*44/12</f>
        <v>8.5563818668846198E-21</v>
      </c>
      <c r="AX203" s="21">
        <f t="shared" si="166"/>
        <v>10.218468948224466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5.6843418860808015E-13</v>
      </c>
      <c r="BE203" s="13">
        <f>BD203*VLOOKUP('Données projet'!$B$11,Paramètres!$A$1:$I$89,3,0)*VLOOKUP('Données projet'!$B$11,Paramètres!$A$1:$I$89,5,0)</f>
        <v>5.763922672485933E-13</v>
      </c>
      <c r="BF203" s="13">
        <f t="shared" si="167"/>
        <v>7.0619171555808457E-12</v>
      </c>
      <c r="BG203" s="20">
        <f t="shared" si="168"/>
        <v>1.3303388911427938E-11</v>
      </c>
      <c r="BH203" s="59">
        <f t="shared" si="194"/>
        <v>290.56523985296741</v>
      </c>
      <c r="BI203" s="59">
        <f ca="1">AVERAGE(OFFSET($BH$3,0,0,'Données projet'!$E$11+1,1))-AVERAGE(OFFSET($H$3,0,0,'Données projet'!$E$11+1,1))</f>
        <v>462.74754756814662</v>
      </c>
      <c r="BJ203" s="59">
        <f t="shared" si="206"/>
        <v>327.65191293226667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48.863697260057243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48.863697260057243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259.99999999999983</v>
      </c>
      <c r="BZ203" s="13">
        <f>BY203*VLOOKUP('Données projet'!$B$12,Paramètres!$A$1:$I$89,3,0)*VLOOKUP('Données projet'!$B$12,Paramètres!$A$1:$I$89,5,0)</f>
        <v>227.13599999999985</v>
      </c>
      <c r="CA203" s="13">
        <f t="shared" si="170"/>
        <v>55.662966886685133</v>
      </c>
      <c r="CB203" s="20">
        <f t="shared" si="171"/>
        <v>492.5415339943097</v>
      </c>
      <c r="CC203" s="59">
        <f t="shared" si="195"/>
        <v>783.10677384726387</v>
      </c>
      <c r="CD203" s="59">
        <f ca="1">AVERAGE(OFFSET($CC$3,0,0,'Données projet'!$E$12+1,1))-AVERAGE(OFFSET($H$3,0,0,'Données projet'!$E$12+1,1))</f>
        <v>411.67183422518411</v>
      </c>
      <c r="CE203" s="59">
        <f t="shared" si="207"/>
        <v>379.16642539721556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5.2114524512339075</v>
      </c>
      <c r="CL203" s="21">
        <f>EXP(-LN(2)/25)*CL202+(1-EXP(-LN(2)/25))/(LN(2)/25)*Calculateur!CG203*Calculateur!CI203*VLOOKUP('Données projet'!$B$12,Paramètres!$A$1:$I$89,3,0)*0.475*44/12</f>
        <v>0.84006564412091167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6.0515180953548189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115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115</v>
      </c>
      <c r="BA204" s="81" t="s">
        <v>115</v>
      </c>
      <c r="BV204" s="81" t="s">
        <v>115</v>
      </c>
      <c r="CQ204" s="81" t="s">
        <v>115</v>
      </c>
      <c r="DL204" s="81" t="s">
        <v>115</v>
      </c>
      <c r="EG204" s="81" t="s">
        <v>115</v>
      </c>
      <c r="FB204" s="81" t="s">
        <v>115</v>
      </c>
      <c r="FW204" s="81" t="s">
        <v>115</v>
      </c>
      <c r="GR204" s="81" t="s">
        <v>115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1.3909694153327172</v>
      </c>
      <c r="BA205" s="82">
        <f>EXP(LN('Données projet'!B88)/'Données projet'!A88)</f>
        <v>1.1736311550444201</v>
      </c>
      <c r="BV205" s="82">
        <f>EXP(LN('Données projet'!B114)/'Données projet'!A114)</f>
        <v>1.4269435884576509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116</v>
      </c>
      <c r="B1" s="112" t="s">
        <v>117</v>
      </c>
      <c r="C1" s="113" t="s">
        <v>118</v>
      </c>
      <c r="D1" s="112" t="s">
        <v>119</v>
      </c>
      <c r="E1" s="113" t="s">
        <v>120</v>
      </c>
      <c r="F1" s="113" t="s">
        <v>119</v>
      </c>
      <c r="G1" s="113" t="s">
        <v>121</v>
      </c>
      <c r="H1" s="113" t="s">
        <v>119</v>
      </c>
      <c r="I1" s="114" t="s">
        <v>122</v>
      </c>
      <c r="J1" s="78"/>
      <c r="K1" s="78"/>
      <c r="L1" s="78"/>
      <c r="M1" s="78"/>
      <c r="N1" s="78"/>
    </row>
    <row r="2" spans="1:16" x14ac:dyDescent="0.35">
      <c r="A2" s="115" t="s">
        <v>123</v>
      </c>
      <c r="B2" s="116" t="s">
        <v>124</v>
      </c>
      <c r="C2" s="117">
        <v>0.62</v>
      </c>
      <c r="D2" s="117" t="s">
        <v>125</v>
      </c>
      <c r="E2" s="117">
        <v>1.56</v>
      </c>
      <c r="F2" s="117" t="s">
        <v>126</v>
      </c>
      <c r="G2" s="118">
        <v>0.43</v>
      </c>
      <c r="H2" s="119" t="s">
        <v>127</v>
      </c>
      <c r="I2" s="120">
        <v>0.25</v>
      </c>
      <c r="J2" s="78"/>
      <c r="K2" s="78"/>
      <c r="L2" s="78"/>
      <c r="M2" s="78"/>
      <c r="N2" s="78"/>
      <c r="O2" s="281" t="s">
        <v>128</v>
      </c>
      <c r="P2" s="121">
        <v>0</v>
      </c>
    </row>
    <row r="3" spans="1:16" ht="15" thickBot="1" x14ac:dyDescent="0.4">
      <c r="A3" s="122" t="s">
        <v>129</v>
      </c>
      <c r="B3" s="123" t="s">
        <v>130</v>
      </c>
      <c r="C3" s="124">
        <v>0.64</v>
      </c>
      <c r="D3" s="124" t="s">
        <v>125</v>
      </c>
      <c r="E3" s="124">
        <v>1.56</v>
      </c>
      <c r="F3" s="125" t="s">
        <v>126</v>
      </c>
      <c r="G3" s="126">
        <v>0.43</v>
      </c>
      <c r="H3" s="124" t="s">
        <v>127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131</v>
      </c>
      <c r="B4" s="123" t="s">
        <v>132</v>
      </c>
      <c r="C4" s="124">
        <v>0.42</v>
      </c>
      <c r="D4" s="124" t="s">
        <v>125</v>
      </c>
      <c r="E4" s="124">
        <v>1.56</v>
      </c>
      <c r="F4" s="125" t="s">
        <v>126</v>
      </c>
      <c r="G4" s="126">
        <v>0.43</v>
      </c>
      <c r="H4" s="124" t="s">
        <v>127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133</v>
      </c>
      <c r="B5" s="123" t="s">
        <v>134</v>
      </c>
      <c r="C5" s="124">
        <v>0.42</v>
      </c>
      <c r="D5" s="124" t="s">
        <v>125</v>
      </c>
      <c r="E5" s="124">
        <v>1.56</v>
      </c>
      <c r="F5" s="125" t="s">
        <v>126</v>
      </c>
      <c r="G5" s="126">
        <v>0.43</v>
      </c>
      <c r="H5" s="124" t="s">
        <v>127</v>
      </c>
      <c r="I5" s="127">
        <v>0.25</v>
      </c>
      <c r="J5" s="78"/>
      <c r="K5" s="78"/>
      <c r="L5" s="78"/>
      <c r="M5" s="78"/>
      <c r="N5" s="78"/>
      <c r="O5" s="281" t="s">
        <v>135</v>
      </c>
      <c r="P5" s="121">
        <v>0</v>
      </c>
    </row>
    <row r="6" spans="1:16" x14ac:dyDescent="0.35">
      <c r="A6" s="122" t="s">
        <v>136</v>
      </c>
      <c r="B6" s="123" t="s">
        <v>137</v>
      </c>
      <c r="C6" s="124">
        <v>0.42</v>
      </c>
      <c r="D6" s="124" t="s">
        <v>125</v>
      </c>
      <c r="E6" s="124">
        <v>1.56</v>
      </c>
      <c r="F6" s="125" t="s">
        <v>126</v>
      </c>
      <c r="G6" s="126">
        <v>0.43</v>
      </c>
      <c r="H6" s="124" t="s">
        <v>127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138</v>
      </c>
      <c r="B7" s="123" t="s">
        <v>139</v>
      </c>
      <c r="C7" s="124">
        <v>0.52</v>
      </c>
      <c r="D7" s="124" t="s">
        <v>125</v>
      </c>
      <c r="E7" s="124">
        <v>1.56</v>
      </c>
      <c r="F7" s="125" t="s">
        <v>126</v>
      </c>
      <c r="G7" s="126">
        <v>0.43</v>
      </c>
      <c r="H7" s="124" t="s">
        <v>127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140</v>
      </c>
      <c r="B8" s="123" t="s">
        <v>141</v>
      </c>
      <c r="C8" s="124">
        <v>0.36</v>
      </c>
      <c r="D8" s="124" t="s">
        <v>125</v>
      </c>
      <c r="E8" s="124">
        <v>1.3</v>
      </c>
      <c r="F8" s="125" t="s">
        <v>126</v>
      </c>
      <c r="G8" s="126">
        <v>0.55000000000000004</v>
      </c>
      <c r="H8" s="124" t="s">
        <v>142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143</v>
      </c>
      <c r="B9" s="123" t="s">
        <v>144</v>
      </c>
      <c r="C9" s="124">
        <v>0.61</v>
      </c>
      <c r="D9" s="124" t="s">
        <v>125</v>
      </c>
      <c r="E9" s="124">
        <v>1.56</v>
      </c>
      <c r="F9" s="125" t="s">
        <v>126</v>
      </c>
      <c r="G9" s="126">
        <v>0.43</v>
      </c>
      <c r="H9" s="124" t="s">
        <v>127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145</v>
      </c>
      <c r="B10" s="123" t="s">
        <v>146</v>
      </c>
      <c r="C10" s="124">
        <v>0.66</v>
      </c>
      <c r="D10" s="124" t="s">
        <v>125</v>
      </c>
      <c r="E10" s="124">
        <v>1.56</v>
      </c>
      <c r="F10" s="125" t="s">
        <v>126</v>
      </c>
      <c r="G10" s="126">
        <v>0.43</v>
      </c>
      <c r="H10" s="124" t="s">
        <v>127</v>
      </c>
      <c r="I10" s="127">
        <v>0.25</v>
      </c>
      <c r="J10" s="78"/>
      <c r="K10" s="78"/>
      <c r="L10" s="78"/>
      <c r="M10" s="78"/>
      <c r="N10" s="78"/>
      <c r="O10" s="281" t="s">
        <v>147</v>
      </c>
      <c r="P10" s="121">
        <v>0</v>
      </c>
    </row>
    <row r="11" spans="1:16" ht="15" thickBot="1" x14ac:dyDescent="0.4">
      <c r="A11" s="122" t="s">
        <v>148</v>
      </c>
      <c r="B11" s="123" t="s">
        <v>149</v>
      </c>
      <c r="C11" s="124">
        <v>0.47</v>
      </c>
      <c r="D11" s="124" t="s">
        <v>125</v>
      </c>
      <c r="E11" s="124">
        <v>1.56</v>
      </c>
      <c r="F11" s="125" t="s">
        <v>126</v>
      </c>
      <c r="G11" s="126">
        <v>0.43</v>
      </c>
      <c r="H11" s="124" t="s">
        <v>127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150</v>
      </c>
      <c r="B12" s="123" t="s">
        <v>151</v>
      </c>
      <c r="C12" s="124">
        <v>0.67</v>
      </c>
      <c r="D12" s="124" t="s">
        <v>125</v>
      </c>
      <c r="E12" s="124">
        <v>1.56</v>
      </c>
      <c r="F12" s="125" t="s">
        <v>126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153</v>
      </c>
      <c r="B13" s="123" t="s">
        <v>154</v>
      </c>
      <c r="C13" s="124">
        <v>0.7</v>
      </c>
      <c r="D13" s="124" t="s">
        <v>125</v>
      </c>
      <c r="E13" s="124">
        <v>1.56</v>
      </c>
      <c r="F13" s="125" t="s">
        <v>126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155</v>
      </c>
      <c r="B14" s="123" t="s">
        <v>156</v>
      </c>
      <c r="C14" s="124">
        <v>0.54</v>
      </c>
      <c r="D14" s="124" t="s">
        <v>125</v>
      </c>
      <c r="E14" s="124">
        <v>1.56</v>
      </c>
      <c r="F14" s="125" t="s">
        <v>126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157</v>
      </c>
      <c r="C15" s="124">
        <v>0.65</v>
      </c>
      <c r="D15" s="124" t="s">
        <v>125</v>
      </c>
      <c r="E15" s="124">
        <v>1.56</v>
      </c>
      <c r="F15" s="125" t="s">
        <v>126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23</v>
      </c>
      <c r="B16" s="123" t="s">
        <v>158</v>
      </c>
      <c r="C16" s="124">
        <v>0.56000000000000005</v>
      </c>
      <c r="D16" s="124" t="s">
        <v>125</v>
      </c>
      <c r="E16" s="124">
        <v>1.56</v>
      </c>
      <c r="F16" s="125" t="s">
        <v>126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16</v>
      </c>
      <c r="B17" s="123" t="s">
        <v>159</v>
      </c>
      <c r="C17" s="124">
        <v>0.57999999999999996</v>
      </c>
      <c r="D17" s="124" t="s">
        <v>125</v>
      </c>
      <c r="E17" s="124">
        <v>1.56</v>
      </c>
      <c r="F17" s="125" t="s">
        <v>126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160</v>
      </c>
      <c r="B18" s="123" t="s">
        <v>161</v>
      </c>
      <c r="C18" s="124">
        <v>0.64</v>
      </c>
      <c r="D18" s="124" t="s">
        <v>125</v>
      </c>
      <c r="E18" s="124">
        <v>1.56</v>
      </c>
      <c r="F18" s="125" t="s">
        <v>126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162</v>
      </c>
      <c r="B19" s="123" t="s">
        <v>163</v>
      </c>
      <c r="C19" s="124">
        <v>0.73</v>
      </c>
      <c r="D19" s="124" t="s">
        <v>125</v>
      </c>
      <c r="E19" s="124">
        <v>1.56</v>
      </c>
      <c r="F19" s="125" t="s">
        <v>126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164</v>
      </c>
      <c r="B20" s="123" t="s">
        <v>165</v>
      </c>
      <c r="C20" s="124">
        <v>0.69</v>
      </c>
      <c r="D20" s="124" t="s">
        <v>166</v>
      </c>
      <c r="E20" s="124">
        <v>1.56</v>
      </c>
      <c r="F20" s="125" t="s">
        <v>126</v>
      </c>
      <c r="G20" s="126">
        <v>0.43</v>
      </c>
      <c r="H20" s="124" t="s">
        <v>167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168</v>
      </c>
      <c r="B21" s="123" t="s">
        <v>169</v>
      </c>
      <c r="C21" s="124">
        <v>0.36</v>
      </c>
      <c r="D21" s="124" t="s">
        <v>125</v>
      </c>
      <c r="E21" s="124">
        <v>1.3</v>
      </c>
      <c r="F21" s="125" t="s">
        <v>126</v>
      </c>
      <c r="G21" s="126">
        <v>0.55000000000000004</v>
      </c>
      <c r="H21" s="124" t="s">
        <v>142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170</v>
      </c>
      <c r="B22" s="123" t="s">
        <v>171</v>
      </c>
      <c r="C22" s="124">
        <v>0.4</v>
      </c>
      <c r="D22" s="124" t="s">
        <v>125</v>
      </c>
      <c r="E22" s="124">
        <v>1.3</v>
      </c>
      <c r="F22" s="125" t="s">
        <v>126</v>
      </c>
      <c r="G22" s="126">
        <v>0.55000000000000004</v>
      </c>
      <c r="H22" s="124" t="s">
        <v>142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172</v>
      </c>
      <c r="B23" s="123" t="s">
        <v>173</v>
      </c>
      <c r="C23" s="124">
        <v>0.43</v>
      </c>
      <c r="D23" s="124" t="s">
        <v>125</v>
      </c>
      <c r="E23" s="124">
        <v>1.3</v>
      </c>
      <c r="F23" s="125" t="s">
        <v>126</v>
      </c>
      <c r="G23" s="126">
        <v>0.55000000000000004</v>
      </c>
      <c r="H23" s="124" t="s">
        <v>142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174</v>
      </c>
      <c r="B24" s="123" t="s">
        <v>175</v>
      </c>
      <c r="C24" s="124">
        <v>0.37</v>
      </c>
      <c r="D24" s="124" t="s">
        <v>125</v>
      </c>
      <c r="E24" s="124">
        <v>1.3</v>
      </c>
      <c r="F24" s="125" t="s">
        <v>126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176</v>
      </c>
      <c r="B25" s="123" t="s">
        <v>177</v>
      </c>
      <c r="C25" s="124">
        <v>0.36</v>
      </c>
      <c r="D25" s="124" t="s">
        <v>125</v>
      </c>
      <c r="E25" s="124">
        <v>1.3</v>
      </c>
      <c r="F25" s="125" t="s">
        <v>126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178</v>
      </c>
      <c r="B26" s="123" t="s">
        <v>179</v>
      </c>
      <c r="C26" s="124">
        <v>0.56000000000000005</v>
      </c>
      <c r="D26" s="124" t="s">
        <v>125</v>
      </c>
      <c r="E26" s="124">
        <v>1.56</v>
      </c>
      <c r="F26" s="125" t="s">
        <v>126</v>
      </c>
      <c r="G26" s="126">
        <v>0.53</v>
      </c>
      <c r="H26" s="124" t="s">
        <v>180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181</v>
      </c>
      <c r="B27" s="123" t="s">
        <v>182</v>
      </c>
      <c r="C27" s="124">
        <v>0.51</v>
      </c>
      <c r="D27" s="124" t="s">
        <v>125</v>
      </c>
      <c r="E27" s="124">
        <v>1.56</v>
      </c>
      <c r="F27" s="125" t="s">
        <v>126</v>
      </c>
      <c r="G27" s="126">
        <v>0.53</v>
      </c>
      <c r="H27" s="124" t="s">
        <v>180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183</v>
      </c>
      <c r="B28" s="123" t="s">
        <v>184</v>
      </c>
      <c r="C28" s="124">
        <v>0.51</v>
      </c>
      <c r="D28" s="124" t="s">
        <v>125</v>
      </c>
      <c r="E28" s="124">
        <v>1.56</v>
      </c>
      <c r="F28" s="125" t="s">
        <v>126</v>
      </c>
      <c r="G28" s="126">
        <v>0.53</v>
      </c>
      <c r="H28" s="124" t="s">
        <v>180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185</v>
      </c>
      <c r="B29" s="123" t="s">
        <v>185</v>
      </c>
      <c r="C29" s="124">
        <v>0.56000000000000005</v>
      </c>
      <c r="D29" s="124" t="s">
        <v>125</v>
      </c>
      <c r="E29" s="124">
        <v>1.56</v>
      </c>
      <c r="F29" s="125" t="s">
        <v>126</v>
      </c>
      <c r="G29" s="126">
        <v>0.53</v>
      </c>
      <c r="H29" s="124" t="s">
        <v>180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186</v>
      </c>
      <c r="B30" s="123" t="s">
        <v>187</v>
      </c>
      <c r="C30" s="124">
        <v>0.55000000000000004</v>
      </c>
      <c r="D30" s="124" t="s">
        <v>125</v>
      </c>
      <c r="E30" s="124">
        <v>1.56</v>
      </c>
      <c r="F30" s="125" t="s">
        <v>126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188</v>
      </c>
      <c r="B31" s="123" t="s">
        <v>189</v>
      </c>
      <c r="C31" s="124">
        <v>0.56000000000000005</v>
      </c>
      <c r="D31" s="124" t="s">
        <v>125</v>
      </c>
      <c r="E31" s="124">
        <v>1.56</v>
      </c>
      <c r="F31" s="125" t="s">
        <v>126</v>
      </c>
      <c r="G31" s="126">
        <v>0.43</v>
      </c>
      <c r="H31" s="124" t="s">
        <v>127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190</v>
      </c>
      <c r="B32" s="123" t="s">
        <v>191</v>
      </c>
      <c r="C32" s="124">
        <v>0.48</v>
      </c>
      <c r="D32" s="124" t="s">
        <v>125</v>
      </c>
      <c r="E32" s="124">
        <v>1.3</v>
      </c>
      <c r="F32" s="125" t="s">
        <v>126</v>
      </c>
      <c r="G32" s="126">
        <v>0.6</v>
      </c>
      <c r="H32" s="124" t="s">
        <v>192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193</v>
      </c>
      <c r="B33" s="123" t="s">
        <v>194</v>
      </c>
      <c r="C33" s="124">
        <v>0.42</v>
      </c>
      <c r="D33" s="124" t="s">
        <v>125</v>
      </c>
      <c r="E33" s="124">
        <v>1.3</v>
      </c>
      <c r="F33" s="125" t="s">
        <v>126</v>
      </c>
      <c r="G33" s="126">
        <v>0.6</v>
      </c>
      <c r="H33" s="124" t="s">
        <v>192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195</v>
      </c>
      <c r="B34" s="123" t="s">
        <v>196</v>
      </c>
      <c r="C34" s="124">
        <v>0.42</v>
      </c>
      <c r="D34" s="124" t="s">
        <v>197</v>
      </c>
      <c r="E34" s="124">
        <v>1.3</v>
      </c>
      <c r="F34" s="125" t="s">
        <v>126</v>
      </c>
      <c r="G34" s="126">
        <v>0.6</v>
      </c>
      <c r="H34" s="123" t="s">
        <v>198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199</v>
      </c>
      <c r="B35" s="123" t="s">
        <v>200</v>
      </c>
      <c r="C35" s="124">
        <v>0.5</v>
      </c>
      <c r="D35" s="124" t="s">
        <v>125</v>
      </c>
      <c r="E35" s="124">
        <v>1.56</v>
      </c>
      <c r="F35" s="125" t="s">
        <v>126</v>
      </c>
      <c r="G35" s="126">
        <v>0.43</v>
      </c>
      <c r="H35" s="124" t="s">
        <v>127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201</v>
      </c>
      <c r="B36" s="123" t="s">
        <v>202</v>
      </c>
      <c r="C36" s="124">
        <v>0.55000000000000004</v>
      </c>
      <c r="D36" s="124" t="s">
        <v>125</v>
      </c>
      <c r="E36" s="124">
        <v>1.56</v>
      </c>
      <c r="F36" s="125" t="s">
        <v>126</v>
      </c>
      <c r="G36" s="126">
        <v>0.53</v>
      </c>
      <c r="H36" s="124" t="s">
        <v>180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203</v>
      </c>
      <c r="B37" s="123" t="s">
        <v>204</v>
      </c>
      <c r="C37" s="124">
        <v>0.52</v>
      </c>
      <c r="D37" s="124" t="s">
        <v>125</v>
      </c>
      <c r="E37" s="124">
        <v>1.56</v>
      </c>
      <c r="F37" s="125" t="s">
        <v>126</v>
      </c>
      <c r="G37" s="126">
        <v>0.53</v>
      </c>
      <c r="H37" s="124" t="s">
        <v>180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205</v>
      </c>
      <c r="B38" s="123" t="s">
        <v>206</v>
      </c>
      <c r="C38" s="124">
        <v>0.52</v>
      </c>
      <c r="D38" s="124" t="s">
        <v>125</v>
      </c>
      <c r="E38" s="124">
        <v>1.56</v>
      </c>
      <c r="F38" s="125" t="s">
        <v>126</v>
      </c>
      <c r="G38" s="126">
        <v>0.43</v>
      </c>
      <c r="H38" s="124" t="s">
        <v>127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207</v>
      </c>
      <c r="B39" s="123" t="s">
        <v>208</v>
      </c>
      <c r="C39" s="124">
        <v>0.313</v>
      </c>
      <c r="D39" s="124" t="s">
        <v>209</v>
      </c>
      <c r="E39" s="124">
        <v>1.56</v>
      </c>
      <c r="F39" s="125" t="s">
        <v>126</v>
      </c>
      <c r="G39" s="126">
        <v>0.6</v>
      </c>
      <c r="H39" s="124" t="s">
        <v>210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211</v>
      </c>
      <c r="B40" s="123" t="s">
        <v>208</v>
      </c>
      <c r="C40" s="124">
        <v>0.35199999999999998</v>
      </c>
      <c r="D40" s="124" t="s">
        <v>209</v>
      </c>
      <c r="E40" s="124">
        <v>1.56</v>
      </c>
      <c r="F40" s="125" t="s">
        <v>126</v>
      </c>
      <c r="G40" s="126">
        <v>0.6</v>
      </c>
      <c r="H40" s="124" t="s">
        <v>210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212</v>
      </c>
      <c r="B41" s="123" t="s">
        <v>208</v>
      </c>
      <c r="C41" s="124">
        <v>0.32200000000000001</v>
      </c>
      <c r="D41" s="124" t="s">
        <v>209</v>
      </c>
      <c r="E41" s="124">
        <v>1.56</v>
      </c>
      <c r="F41" s="125" t="s">
        <v>126</v>
      </c>
      <c r="G41" s="126">
        <v>0.6</v>
      </c>
      <c r="H41" s="124" t="s">
        <v>210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213</v>
      </c>
      <c r="B42" s="123" t="s">
        <v>208</v>
      </c>
      <c r="C42" s="124">
        <v>0.311</v>
      </c>
      <c r="D42" s="124" t="s">
        <v>209</v>
      </c>
      <c r="E42" s="124">
        <v>1.56</v>
      </c>
      <c r="F42" s="125" t="s">
        <v>126</v>
      </c>
      <c r="G42" s="126">
        <v>0.6</v>
      </c>
      <c r="H42" s="124" t="s">
        <v>210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214</v>
      </c>
      <c r="B43" s="123" t="s">
        <v>208</v>
      </c>
      <c r="C43" s="124">
        <v>0.33900000000000002</v>
      </c>
      <c r="D43" s="124" t="s">
        <v>209</v>
      </c>
      <c r="E43" s="124">
        <v>1.56</v>
      </c>
      <c r="F43" s="125" t="s">
        <v>126</v>
      </c>
      <c r="G43" s="126">
        <v>0.6</v>
      </c>
      <c r="H43" s="124" t="s">
        <v>210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215</v>
      </c>
      <c r="B44" s="123" t="s">
        <v>208</v>
      </c>
      <c r="C44" s="124">
        <v>0.33600000000000002</v>
      </c>
      <c r="D44" s="124" t="s">
        <v>209</v>
      </c>
      <c r="E44" s="124">
        <v>1.56</v>
      </c>
      <c r="F44" s="125" t="s">
        <v>126</v>
      </c>
      <c r="G44" s="126">
        <v>0.6</v>
      </c>
      <c r="H44" s="124" t="s">
        <v>210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216</v>
      </c>
      <c r="B45" s="123" t="s">
        <v>208</v>
      </c>
      <c r="C45" s="124">
        <v>0.32900000000000001</v>
      </c>
      <c r="D45" s="124" t="s">
        <v>209</v>
      </c>
      <c r="E45" s="124">
        <v>1.56</v>
      </c>
      <c r="F45" s="125" t="s">
        <v>126</v>
      </c>
      <c r="G45" s="126">
        <v>0.6</v>
      </c>
      <c r="H45" s="124" t="s">
        <v>210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217</v>
      </c>
      <c r="B46" s="123" t="s">
        <v>208</v>
      </c>
      <c r="C46" s="124">
        <v>0.34300000000000003</v>
      </c>
      <c r="D46" s="124" t="s">
        <v>209</v>
      </c>
      <c r="E46" s="124">
        <v>1.56</v>
      </c>
      <c r="F46" s="125" t="s">
        <v>126</v>
      </c>
      <c r="G46" s="126">
        <v>0.6</v>
      </c>
      <c r="H46" s="124" t="s">
        <v>210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218</v>
      </c>
      <c r="B47" s="123" t="s">
        <v>208</v>
      </c>
      <c r="C47" s="124">
        <v>0.32500000000000001</v>
      </c>
      <c r="D47" s="124" t="s">
        <v>209</v>
      </c>
      <c r="E47" s="124">
        <v>1.56</v>
      </c>
      <c r="F47" s="125" t="s">
        <v>126</v>
      </c>
      <c r="G47" s="126">
        <v>0.6</v>
      </c>
      <c r="H47" s="124" t="s">
        <v>210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219</v>
      </c>
      <c r="B48" s="123" t="s">
        <v>208</v>
      </c>
      <c r="C48" s="124">
        <v>0.32</v>
      </c>
      <c r="D48" s="124" t="s">
        <v>209</v>
      </c>
      <c r="E48" s="124">
        <v>1.56</v>
      </c>
      <c r="F48" s="125" t="s">
        <v>126</v>
      </c>
      <c r="G48" s="126">
        <v>0.6</v>
      </c>
      <c r="H48" s="124" t="s">
        <v>210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220</v>
      </c>
      <c r="B49" s="123" t="s">
        <v>208</v>
      </c>
      <c r="C49" s="124">
        <v>0.28199999999999997</v>
      </c>
      <c r="D49" s="124" t="s">
        <v>209</v>
      </c>
      <c r="E49" s="124">
        <v>1.56</v>
      </c>
      <c r="F49" s="125" t="s">
        <v>126</v>
      </c>
      <c r="G49" s="126">
        <v>0.6</v>
      </c>
      <c r="H49" s="124" t="s">
        <v>210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221</v>
      </c>
      <c r="B50" s="123" t="s">
        <v>208</v>
      </c>
      <c r="C50" s="124">
        <v>0.32800000000000001</v>
      </c>
      <c r="D50" s="124" t="s">
        <v>209</v>
      </c>
      <c r="E50" s="124">
        <v>1.56</v>
      </c>
      <c r="F50" s="125" t="s">
        <v>126</v>
      </c>
      <c r="G50" s="126">
        <v>0.6</v>
      </c>
      <c r="H50" s="124" t="s">
        <v>210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222</v>
      </c>
      <c r="B51" s="123" t="s">
        <v>208</v>
      </c>
      <c r="C51" s="124">
        <v>0.32600000000000001</v>
      </c>
      <c r="D51" s="124" t="s">
        <v>209</v>
      </c>
      <c r="E51" s="124">
        <v>1.56</v>
      </c>
      <c r="F51" s="125" t="s">
        <v>126</v>
      </c>
      <c r="G51" s="126">
        <v>0.6</v>
      </c>
      <c r="H51" s="124" t="s">
        <v>210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223</v>
      </c>
      <c r="B52" s="123" t="s">
        <v>208</v>
      </c>
      <c r="C52" s="124">
        <v>0.35899999999999999</v>
      </c>
      <c r="D52" s="124" t="s">
        <v>209</v>
      </c>
      <c r="E52" s="124">
        <v>1.56</v>
      </c>
      <c r="F52" s="125" t="s">
        <v>126</v>
      </c>
      <c r="G52" s="126">
        <v>0.6</v>
      </c>
      <c r="H52" s="124" t="s">
        <v>210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224</v>
      </c>
      <c r="B53" s="123" t="s">
        <v>208</v>
      </c>
      <c r="C53" s="124">
        <v>0.34599999999999997</v>
      </c>
      <c r="D53" s="124" t="s">
        <v>209</v>
      </c>
      <c r="E53" s="124">
        <v>1.56</v>
      </c>
      <c r="F53" s="125" t="s">
        <v>126</v>
      </c>
      <c r="G53" s="126">
        <v>0.6</v>
      </c>
      <c r="H53" s="124" t="s">
        <v>210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225</v>
      </c>
      <c r="B54" s="123" t="s">
        <v>208</v>
      </c>
      <c r="C54" s="124">
        <v>0.32600000000000001</v>
      </c>
      <c r="D54" s="124" t="s">
        <v>209</v>
      </c>
      <c r="E54" s="124">
        <v>1.56</v>
      </c>
      <c r="F54" s="125" t="s">
        <v>126</v>
      </c>
      <c r="G54" s="126">
        <v>0.6</v>
      </c>
      <c r="H54" s="124" t="s">
        <v>210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226</v>
      </c>
      <c r="B55" s="123" t="s">
        <v>208</v>
      </c>
      <c r="C55" s="124">
        <v>0.30499999999999999</v>
      </c>
      <c r="D55" s="124" t="s">
        <v>209</v>
      </c>
      <c r="E55" s="124">
        <v>1.56</v>
      </c>
      <c r="F55" s="125" t="s">
        <v>126</v>
      </c>
      <c r="G55" s="126">
        <v>0.6</v>
      </c>
      <c r="H55" s="124" t="s">
        <v>210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227</v>
      </c>
      <c r="B56" s="123" t="s">
        <v>208</v>
      </c>
      <c r="C56" s="124">
        <v>0.32300000000000001</v>
      </c>
      <c r="D56" s="124" t="s">
        <v>209</v>
      </c>
      <c r="E56" s="124">
        <v>1.56</v>
      </c>
      <c r="F56" s="125" t="s">
        <v>126</v>
      </c>
      <c r="G56" s="126">
        <v>0.6</v>
      </c>
      <c r="H56" s="124" t="s">
        <v>210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228</v>
      </c>
      <c r="B57" s="123" t="s">
        <v>208</v>
      </c>
      <c r="C57" s="124">
        <v>0.36699999999999999</v>
      </c>
      <c r="D57" s="124" t="s">
        <v>209</v>
      </c>
      <c r="E57" s="124">
        <v>1.56</v>
      </c>
      <c r="F57" s="125" t="s">
        <v>126</v>
      </c>
      <c r="G57" s="126">
        <v>0.6</v>
      </c>
      <c r="H57" s="124" t="s">
        <v>210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229</v>
      </c>
      <c r="B58" s="123" t="s">
        <v>208</v>
      </c>
      <c r="C58" s="124">
        <v>0.36</v>
      </c>
      <c r="D58" s="124" t="s">
        <v>209</v>
      </c>
      <c r="E58" s="124">
        <v>1.56</v>
      </c>
      <c r="F58" s="125" t="s">
        <v>126</v>
      </c>
      <c r="G58" s="126">
        <v>0.6</v>
      </c>
      <c r="H58" s="124" t="s">
        <v>210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230</v>
      </c>
      <c r="B59" s="123" t="s">
        <v>208</v>
      </c>
      <c r="C59" s="124">
        <v>0.36799999999999999</v>
      </c>
      <c r="D59" s="124" t="s">
        <v>209</v>
      </c>
      <c r="E59" s="124">
        <v>1.56</v>
      </c>
      <c r="F59" s="125" t="s">
        <v>126</v>
      </c>
      <c r="G59" s="126">
        <v>0.6</v>
      </c>
      <c r="H59" s="124" t="s">
        <v>210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231</v>
      </c>
      <c r="B60" s="123" t="s">
        <v>208</v>
      </c>
      <c r="C60" s="124">
        <v>0.30599999999999999</v>
      </c>
      <c r="D60" s="124" t="s">
        <v>209</v>
      </c>
      <c r="E60" s="124">
        <v>1.56</v>
      </c>
      <c r="F60" s="125" t="s">
        <v>126</v>
      </c>
      <c r="G60" s="126">
        <v>0.6</v>
      </c>
      <c r="H60" s="124" t="s">
        <v>210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232</v>
      </c>
      <c r="B61" s="123" t="s">
        <v>208</v>
      </c>
      <c r="C61" s="124">
        <v>0.313</v>
      </c>
      <c r="D61" s="124" t="s">
        <v>209</v>
      </c>
      <c r="E61" s="124">
        <v>1.56</v>
      </c>
      <c r="F61" s="125" t="s">
        <v>126</v>
      </c>
      <c r="G61" s="126">
        <v>0.6</v>
      </c>
      <c r="H61" s="124" t="s">
        <v>210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233</v>
      </c>
      <c r="B62" s="123" t="s">
        <v>234</v>
      </c>
      <c r="C62" s="124">
        <v>0.37</v>
      </c>
      <c r="D62" s="124" t="s">
        <v>125</v>
      </c>
      <c r="E62" s="124">
        <v>1.56</v>
      </c>
      <c r="F62" s="125" t="s">
        <v>126</v>
      </c>
      <c r="G62" s="126">
        <v>0.6</v>
      </c>
      <c r="H62" s="124" t="s">
        <v>210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235</v>
      </c>
      <c r="B63" s="123" t="s">
        <v>236</v>
      </c>
      <c r="C63" s="124">
        <v>0.45</v>
      </c>
      <c r="D63" s="124" t="s">
        <v>125</v>
      </c>
      <c r="E63" s="124">
        <v>1.3</v>
      </c>
      <c r="F63" s="125" t="s">
        <v>126</v>
      </c>
      <c r="G63" s="126">
        <v>0.45</v>
      </c>
      <c r="H63" s="124" t="s">
        <v>237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238</v>
      </c>
      <c r="B64" s="123" t="s">
        <v>239</v>
      </c>
      <c r="C64" s="124">
        <v>0.39</v>
      </c>
      <c r="D64" s="124" t="s">
        <v>125</v>
      </c>
      <c r="E64" s="124">
        <v>1.3</v>
      </c>
      <c r="F64" s="125" t="s">
        <v>126</v>
      </c>
      <c r="G64" s="126">
        <v>0.45</v>
      </c>
      <c r="H64" s="124" t="s">
        <v>237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240</v>
      </c>
      <c r="B65" s="123" t="s">
        <v>241</v>
      </c>
      <c r="C65" s="124">
        <v>0.44</v>
      </c>
      <c r="D65" s="124" t="s">
        <v>125</v>
      </c>
      <c r="E65" s="124">
        <v>1.3</v>
      </c>
      <c r="F65" s="125" t="s">
        <v>126</v>
      </c>
      <c r="G65" s="126">
        <v>0.45</v>
      </c>
      <c r="H65" s="124" t="s">
        <v>237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242</v>
      </c>
      <c r="B66" s="123" t="s">
        <v>243</v>
      </c>
      <c r="C66" s="124">
        <v>0.46</v>
      </c>
      <c r="D66" s="124" t="s">
        <v>125</v>
      </c>
      <c r="E66" s="124">
        <v>1.3</v>
      </c>
      <c r="F66" s="125" t="s">
        <v>126</v>
      </c>
      <c r="G66" s="126">
        <v>0.45</v>
      </c>
      <c r="H66" s="124" t="s">
        <v>237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19</v>
      </c>
      <c r="B67" s="123" t="s">
        <v>244</v>
      </c>
      <c r="C67" s="124">
        <v>0.46</v>
      </c>
      <c r="D67" s="124" t="s">
        <v>125</v>
      </c>
      <c r="E67" s="124">
        <v>1.3</v>
      </c>
      <c r="F67" s="125" t="s">
        <v>126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245</v>
      </c>
      <c r="B68" s="123" t="s">
        <v>246</v>
      </c>
      <c r="C68" s="124">
        <v>0.44</v>
      </c>
      <c r="D68" s="124" t="s">
        <v>125</v>
      </c>
      <c r="E68" s="124">
        <v>1.3</v>
      </c>
      <c r="F68" s="125" t="s">
        <v>126</v>
      </c>
      <c r="G68" s="126">
        <v>0.45</v>
      </c>
      <c r="H68" s="124" t="s">
        <v>237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247</v>
      </c>
      <c r="B69" s="123" t="s">
        <v>248</v>
      </c>
      <c r="C69" s="124">
        <v>0.46</v>
      </c>
      <c r="D69" s="124" t="s">
        <v>125</v>
      </c>
      <c r="E69" s="124">
        <v>1.3</v>
      </c>
      <c r="F69" s="125" t="s">
        <v>126</v>
      </c>
      <c r="G69" s="126">
        <v>0.45</v>
      </c>
      <c r="H69" s="124" t="s">
        <v>237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249</v>
      </c>
      <c r="B70" s="123" t="s">
        <v>250</v>
      </c>
      <c r="C70" s="124">
        <v>0.48</v>
      </c>
      <c r="D70" s="124" t="s">
        <v>125</v>
      </c>
      <c r="E70" s="124">
        <v>2.4</v>
      </c>
      <c r="F70" s="124" t="s">
        <v>251</v>
      </c>
      <c r="G70" s="126">
        <v>0.45</v>
      </c>
      <c r="H70" s="124" t="s">
        <v>237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252</v>
      </c>
      <c r="B71" s="123" t="s">
        <v>253</v>
      </c>
      <c r="C71" s="124">
        <v>0.46</v>
      </c>
      <c r="D71" s="124" t="s">
        <v>254</v>
      </c>
      <c r="E71" s="124">
        <v>1.3</v>
      </c>
      <c r="F71" s="125" t="s">
        <v>126</v>
      </c>
      <c r="G71" s="126">
        <v>0.45</v>
      </c>
      <c r="H71" s="124" t="s">
        <v>237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255</v>
      </c>
      <c r="B72" s="123" t="s">
        <v>256</v>
      </c>
      <c r="C72" s="124">
        <v>0.44</v>
      </c>
      <c r="D72" s="124" t="s">
        <v>125</v>
      </c>
      <c r="E72" s="124">
        <v>1.3</v>
      </c>
      <c r="F72" s="125" t="s">
        <v>126</v>
      </c>
      <c r="G72" s="126">
        <v>0.45</v>
      </c>
      <c r="H72" s="124" t="s">
        <v>237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257</v>
      </c>
      <c r="B73" s="123" t="s">
        <v>258</v>
      </c>
      <c r="C73" s="124">
        <v>0.46</v>
      </c>
      <c r="D73" s="124" t="s">
        <v>259</v>
      </c>
      <c r="E73" s="124">
        <v>1.3</v>
      </c>
      <c r="F73" s="125" t="s">
        <v>126</v>
      </c>
      <c r="G73" s="126">
        <v>0.45</v>
      </c>
      <c r="H73" s="124" t="s">
        <v>237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260</v>
      </c>
      <c r="B74" s="123" t="s">
        <v>261</v>
      </c>
      <c r="C74" s="124">
        <v>0.34</v>
      </c>
      <c r="D74" s="124" t="s">
        <v>125</v>
      </c>
      <c r="E74" s="124">
        <v>1.3</v>
      </c>
      <c r="F74" s="125" t="s">
        <v>126</v>
      </c>
      <c r="G74" s="126">
        <v>0.45</v>
      </c>
      <c r="H74" s="124" t="s">
        <v>237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262</v>
      </c>
      <c r="B75" s="123" t="s">
        <v>263</v>
      </c>
      <c r="C75" s="124">
        <v>0.5</v>
      </c>
      <c r="D75" s="124" t="s">
        <v>125</v>
      </c>
      <c r="E75" s="124">
        <v>1.56</v>
      </c>
      <c r="F75" s="125" t="s">
        <v>126</v>
      </c>
      <c r="G75" s="126">
        <v>0.53</v>
      </c>
      <c r="H75" s="124" t="s">
        <v>180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264</v>
      </c>
      <c r="B76" s="123" t="s">
        <v>265</v>
      </c>
      <c r="C76" s="124">
        <v>0.57999999999999996</v>
      </c>
      <c r="D76" s="124" t="s">
        <v>125</v>
      </c>
      <c r="E76" s="124">
        <v>1.56</v>
      </c>
      <c r="F76" s="125" t="s">
        <v>126</v>
      </c>
      <c r="G76" s="126">
        <v>0.3</v>
      </c>
      <c r="H76" s="124" t="s">
        <v>266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267</v>
      </c>
      <c r="B77" s="123" t="s">
        <v>268</v>
      </c>
      <c r="C77" s="124">
        <v>0.37</v>
      </c>
      <c r="D77" s="124" t="s">
        <v>125</v>
      </c>
      <c r="E77" s="124">
        <v>1.3</v>
      </c>
      <c r="F77" s="125" t="s">
        <v>126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269</v>
      </c>
      <c r="B78" s="123" t="s">
        <v>270</v>
      </c>
      <c r="C78" s="124">
        <v>0.37</v>
      </c>
      <c r="D78" s="124" t="s">
        <v>125</v>
      </c>
      <c r="E78" s="124">
        <v>1.3</v>
      </c>
      <c r="F78" s="125" t="s">
        <v>126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271</v>
      </c>
      <c r="B79" s="123" t="s">
        <v>272</v>
      </c>
      <c r="C79" s="124">
        <v>0.38</v>
      </c>
      <c r="D79" s="124" t="s">
        <v>125</v>
      </c>
      <c r="E79" s="124">
        <v>1.3</v>
      </c>
      <c r="F79" s="125" t="s">
        <v>126</v>
      </c>
      <c r="G79" s="126">
        <v>0.55000000000000004</v>
      </c>
      <c r="H79" s="124" t="s">
        <v>142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273</v>
      </c>
      <c r="B80" s="123" t="s">
        <v>274</v>
      </c>
      <c r="C80" s="124">
        <v>0.36</v>
      </c>
      <c r="D80" s="124" t="s">
        <v>125</v>
      </c>
      <c r="E80" s="124">
        <v>1.3</v>
      </c>
      <c r="F80" s="125" t="s">
        <v>126</v>
      </c>
      <c r="G80" s="126">
        <v>0.55000000000000004</v>
      </c>
      <c r="H80" s="124" t="s">
        <v>142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275</v>
      </c>
      <c r="B81" s="123" t="s">
        <v>276</v>
      </c>
      <c r="C81" s="124">
        <v>0.37</v>
      </c>
      <c r="D81" s="124" t="s">
        <v>125</v>
      </c>
      <c r="E81" s="124">
        <v>1.56</v>
      </c>
      <c r="F81" s="125" t="s">
        <v>126</v>
      </c>
      <c r="G81" s="126">
        <v>0.43</v>
      </c>
      <c r="H81" s="124" t="s">
        <v>127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277</v>
      </c>
      <c r="B82" s="123" t="s">
        <v>278</v>
      </c>
      <c r="C82" s="124">
        <v>0.35</v>
      </c>
      <c r="D82" s="124" t="s">
        <v>279</v>
      </c>
      <c r="E82" s="124">
        <v>1.3</v>
      </c>
      <c r="F82" s="125" t="s">
        <v>126</v>
      </c>
      <c r="G82" s="126">
        <v>0.55000000000000004</v>
      </c>
      <c r="H82" s="124" t="s">
        <v>142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280</v>
      </c>
      <c r="B83" s="123" t="s">
        <v>281</v>
      </c>
      <c r="C83" s="124">
        <v>0.34</v>
      </c>
      <c r="D83" s="124" t="s">
        <v>125</v>
      </c>
      <c r="E83" s="124">
        <v>1.3</v>
      </c>
      <c r="F83" s="125" t="s">
        <v>126</v>
      </c>
      <c r="G83" s="126">
        <v>0.55000000000000004</v>
      </c>
      <c r="H83" s="124" t="s">
        <v>142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282</v>
      </c>
      <c r="B84" s="123" t="s">
        <v>283</v>
      </c>
      <c r="C84" s="124">
        <v>0.31</v>
      </c>
      <c r="D84" s="124" t="s">
        <v>125</v>
      </c>
      <c r="E84" s="124">
        <v>1.3</v>
      </c>
      <c r="F84" s="125" t="s">
        <v>126</v>
      </c>
      <c r="G84" s="126">
        <v>0.55000000000000004</v>
      </c>
      <c r="H84" s="124" t="s">
        <v>142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284</v>
      </c>
      <c r="B85" s="123" t="s">
        <v>285</v>
      </c>
      <c r="C85" s="124">
        <v>0.43</v>
      </c>
      <c r="D85" s="124" t="s">
        <v>125</v>
      </c>
      <c r="E85" s="124">
        <v>1.56</v>
      </c>
      <c r="F85" s="125" t="s">
        <v>126</v>
      </c>
      <c r="G85" s="126">
        <v>0.53</v>
      </c>
      <c r="H85" s="124" t="s">
        <v>180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286</v>
      </c>
      <c r="B86" s="123" t="s">
        <v>287</v>
      </c>
      <c r="C86" s="124">
        <v>0.38</v>
      </c>
      <c r="D86" s="124" t="s">
        <v>125</v>
      </c>
      <c r="E86" s="124">
        <v>1.56</v>
      </c>
      <c r="F86" s="125" t="s">
        <v>126</v>
      </c>
      <c r="G86" s="126">
        <v>0.6</v>
      </c>
      <c r="H86" s="124" t="s">
        <v>288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289</v>
      </c>
      <c r="B87" s="252" t="s">
        <v>290</v>
      </c>
      <c r="C87" s="253">
        <v>0.41</v>
      </c>
      <c r="D87" s="253" t="s">
        <v>291</v>
      </c>
      <c r="E87" s="253">
        <v>1.56</v>
      </c>
      <c r="F87" s="254" t="s">
        <v>126</v>
      </c>
      <c r="G87" s="255">
        <v>0.43</v>
      </c>
      <c r="H87" s="253" t="s">
        <v>127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292</v>
      </c>
      <c r="B88" s="130"/>
      <c r="C88" s="124">
        <v>0.42</v>
      </c>
      <c r="D88" s="124" t="s">
        <v>125</v>
      </c>
      <c r="E88" s="124">
        <v>1.3</v>
      </c>
      <c r="F88" s="125" t="s">
        <v>126</v>
      </c>
      <c r="G88" s="131"/>
      <c r="H88" s="130"/>
      <c r="I88" s="132"/>
    </row>
    <row r="89" spans="1:14" ht="15" thickBot="1" x14ac:dyDescent="0.4">
      <c r="A89" s="133" t="s">
        <v>293</v>
      </c>
      <c r="B89" s="134"/>
      <c r="C89" s="135">
        <v>0.56999999999999995</v>
      </c>
      <c r="D89" s="136" t="s">
        <v>125</v>
      </c>
      <c r="E89" s="135">
        <v>1.56</v>
      </c>
      <c r="F89" s="135" t="s">
        <v>126</v>
      </c>
      <c r="G89" s="134"/>
      <c r="H89" s="134"/>
      <c r="I89" s="137"/>
    </row>
    <row r="93" spans="1:14" x14ac:dyDescent="0.35">
      <c r="A93" s="122" t="s">
        <v>86</v>
      </c>
    </row>
    <row r="94" spans="1:14" x14ac:dyDescent="0.35">
      <c r="A94" s="122" t="s">
        <v>87</v>
      </c>
    </row>
    <row r="95" spans="1:14" x14ac:dyDescent="0.35">
      <c r="A95" s="122" t="s">
        <v>88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11" zoomScale="90" zoomScaleNormal="90" workbookViewId="0">
      <selection activeCell="N11" sqref="N1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294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295</v>
      </c>
      <c r="B5" s="139" t="s">
        <v>296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297</v>
      </c>
      <c r="F5" s="140" t="s">
        <v>298</v>
      </c>
      <c r="G5" s="140" t="s">
        <v>299</v>
      </c>
      <c r="H5" s="141" t="s">
        <v>300</v>
      </c>
      <c r="I5" s="142" t="s">
        <v>301</v>
      </c>
      <c r="J5" s="143" t="s">
        <v>302</v>
      </c>
      <c r="K5" s="144" t="s">
        <v>303</v>
      </c>
      <c r="L5" s="84" t="s">
        <v>304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2.2800000000000002</v>
      </c>
      <c r="C6" s="147">
        <f ca="1">IF(OR('Données projet'!B9="",'Données projet'!C9="",'Données projet'!C9=0%),0,Calculateur!S3)</f>
        <v>421.33534980160005</v>
      </c>
      <c r="D6" s="147">
        <f>IF(OR('Données projet'!B9="",'Données projet'!C9="",'Données projet'!C9=0%),0,Calculateur!T3)</f>
        <v>299.0473530693472</v>
      </c>
      <c r="E6" s="147">
        <f ca="1">MIN(C6,D6)</f>
        <v>299.0473530693472</v>
      </c>
      <c r="F6" s="147">
        <f ca="1">E6*B6</f>
        <v>681.82796499811172</v>
      </c>
      <c r="G6" s="147">
        <f ca="1">F6*(100%-'Données projet'!$C$24)*(100%-'Données projet'!$C$25)*(100%-'Données projet'!$C$26)*(100%-'Données projet'!$C$27)</f>
        <v>582.9629100733855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582.9629100733855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maritime</v>
      </c>
      <c r="B7" s="154">
        <f>'Données projet'!D10</f>
        <v>1.8599999999999999</v>
      </c>
      <c r="C7" s="147">
        <f ca="1">IF(OR('Données projet'!B10="",'Données projet'!C10="",'Données projet'!C10=0%),0,Calculateur!AN3)</f>
        <v>337.99164391755608</v>
      </c>
      <c r="D7" s="147">
        <f>IF(OR('Données projet'!B10="",'Données projet'!C10="",'Données projet'!C10=0%),0,Calculateur!AO3)</f>
        <v>421.45428231923393</v>
      </c>
      <c r="E7" s="147">
        <f t="shared" ref="E7:E15" ca="1" si="0">MIN(C7,D7)</f>
        <v>337.99164391755608</v>
      </c>
      <c r="F7" s="147">
        <f t="shared" ref="F7:F15" ca="1" si="1">E7*B7</f>
        <v>628.66445768665426</v>
      </c>
      <c r="G7" s="147">
        <f ca="1">F7*(100%-'Données projet'!$C$24)*(100%-'Données projet'!$C$25)*(100%-'Données projet'!$C$26)*(100%-'Données projet'!$C$27)</f>
        <v>537.50811132208946</v>
      </c>
      <c r="H7" s="155">
        <f>IF(OR('Données projet'!B10="",'Données projet'!C10="",'Données projet'!C10=0%),0,AVERAGE(Calculateur!$AX$3:$AX$33)*B7)</f>
        <v>24.215234178548965</v>
      </c>
      <c r="I7" s="149">
        <f>H7*(100%-'Données projet'!$C$24)*(100%-'Données projet'!$C$25)*(100%-'Données projet'!$C$26)*(100%-'Données projet'!$C$27)</f>
        <v>20.704025222659364</v>
      </c>
      <c r="J7" s="150">
        <f>IF(OR('Données projet'!B10="",'Données projet'!C10="",'Données projet'!C10=0%),0,SUM(Calculateur!$AQ$3:$AQ$33)*VLOOKUP('Données projet'!$B$10,Paramètres!$A$1:$I$89,9,0)*B7)</f>
        <v>159.66325846153845</v>
      </c>
      <c r="K7" s="151">
        <f>J7*(100%-'Données projet'!$C$24)*(100%-'Données projet'!$C$25)*(100%-'Données projet'!$C$26)*(100%-'Données projet'!$C$27)</f>
        <v>136.51208598461537</v>
      </c>
      <c r="L7" s="152">
        <f t="shared" ref="L7:L15" ca="1" si="2">G7+I7+K7</f>
        <v>694.72422252936417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pubescent</v>
      </c>
      <c r="B8" s="154">
        <f>'Données projet'!D11</f>
        <v>1.3800000000000001</v>
      </c>
      <c r="C8" s="147">
        <f ca="1">IF(OR('Données projet'!B11="",'Données projet'!C11="",'Données projet'!C11=0%),0,Calculateur!BI3)</f>
        <v>462.74754756814662</v>
      </c>
      <c r="D8" s="147">
        <f>IF(OR('Données projet'!B11="",'Données projet'!C11="",'Données projet'!C11=0%),0,Calculateur!BJ3)</f>
        <v>327.65191293226667</v>
      </c>
      <c r="E8" s="147">
        <f t="shared" ca="1" si="0"/>
        <v>327.65191293226667</v>
      </c>
      <c r="F8" s="147">
        <f t="shared" ca="1" si="1"/>
        <v>452.15963984652802</v>
      </c>
      <c r="G8" s="147">
        <f ca="1">F8*(100%-'Données projet'!$C$24)*(100%-'Données projet'!$C$25)*(100%-'Données projet'!$C$26)*(100%-'Données projet'!$C$27)</f>
        <v>386.59649206878146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386.59649206878146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rouge d'Amérique</v>
      </c>
      <c r="B9" s="154">
        <f>'Données projet'!D12</f>
        <v>0.48</v>
      </c>
      <c r="C9" s="147">
        <f ca="1">IF(OR('Données projet'!B12="",'Données projet'!C12="",'Données projet'!C12=0%),0,Calculateur!CD3)</f>
        <v>411.67183422518411</v>
      </c>
      <c r="D9" s="147">
        <f>IF(OR('Données projet'!B12="",'Données projet'!C12="",'Données projet'!C12=0%),0,Calculateur!CE3)</f>
        <v>379.16642539721556</v>
      </c>
      <c r="E9" s="147">
        <f t="shared" ca="1" si="0"/>
        <v>379.16642539721556</v>
      </c>
      <c r="F9" s="147">
        <f t="shared" ca="1" si="1"/>
        <v>181.99988419066347</v>
      </c>
      <c r="G9" s="147">
        <f ca="1">F9*(100%-'Données projet'!$C$24)*(100%-'Données projet'!$C$25)*(100%-'Données projet'!$C$26)*(100%-'Données projet'!$C$27)</f>
        <v>155.60990098301727</v>
      </c>
      <c r="H9" s="155">
        <f>IF(OR('Données projet'!B12="",'Données projet'!C12="",'Données projet'!C12=0%),0,AVERAGE(Calculateur!$CN$3:$CN$33)*B9)</f>
        <v>0.1024741582006413</v>
      </c>
      <c r="I9" s="149">
        <f>H9*(100%-'Données projet'!$C$24)*(100%-'Données projet'!$C$25)*(100%-'Données projet'!$C$26)*(100%-'Données projet'!$C$27)</f>
        <v>8.7615405261548318E-2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155.69751638827881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1944.6519467219578</v>
      </c>
      <c r="G16" s="166">
        <f t="shared" ca="1" si="3"/>
        <v>1662.6774144472738</v>
      </c>
      <c r="H16" s="167">
        <f t="shared" si="3"/>
        <v>24.317708336749607</v>
      </c>
      <c r="I16" s="167">
        <f t="shared" si="3"/>
        <v>20.791640627920913</v>
      </c>
      <c r="J16" s="168">
        <f t="shared" si="3"/>
        <v>159.66325846153845</v>
      </c>
      <c r="K16" s="168">
        <f t="shared" si="3"/>
        <v>136.51208598461537</v>
      </c>
      <c r="L16" s="169">
        <f t="shared" ca="1" si="3"/>
        <v>1819.9811410598099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305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6" zoomScale="80" zoomScaleNormal="80" workbookViewId="0">
      <selection activeCell="P25" sqref="P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306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307</v>
      </c>
      <c r="I4" s="262"/>
      <c r="K4" s="286" t="s">
        <v>308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72</v>
      </c>
      <c r="O7" s="247"/>
      <c r="P7" s="248"/>
      <c r="Q7" s="249"/>
      <c r="R7" s="296" t="s">
        <v>309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310</v>
      </c>
      <c r="C9" s="23"/>
      <c r="D9" s="23"/>
      <c r="E9" s="23"/>
      <c r="F9" s="230"/>
      <c r="G9" s="93" t="s">
        <v>311</v>
      </c>
      <c r="J9" s="200"/>
      <c r="K9" s="208"/>
      <c r="O9" s="23"/>
      <c r="P9" s="23"/>
      <c r="Q9" s="234"/>
      <c r="R9" s="23"/>
      <c r="S9" s="4"/>
      <c r="T9" s="36" t="s">
        <v>312</v>
      </c>
      <c r="U9" s="176" t="s">
        <v>313</v>
      </c>
      <c r="V9" s="36" t="s">
        <v>314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315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1645.2338235710599</v>
      </c>
      <c r="U10" s="178">
        <f>'Données projet'!D9</f>
        <v>2.2800000000000002</v>
      </c>
      <c r="V10" s="177">
        <f>U10*T10</f>
        <v>3751.133117742017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317</v>
      </c>
      <c r="B11" s="23"/>
      <c r="C11" s="23"/>
      <c r="D11" s="23"/>
      <c r="E11" s="23"/>
      <c r="F11" s="230"/>
      <c r="G11" s="93" t="s">
        <v>318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3048.4050969191544</v>
      </c>
      <c r="U11" s="178">
        <f>'Données projet'!D10</f>
        <v>1.8599999999999999</v>
      </c>
      <c r="V11" s="177">
        <f t="shared" ref="V11" si="0">U11*T11</f>
        <v>5670.033480269627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1645.2338235710599</v>
      </c>
      <c r="U12" s="178">
        <f>'Données projet'!D11</f>
        <v>1.3800000000000001</v>
      </c>
      <c r="V12" s="177">
        <f t="shared" ref="V12:V19" si="1">U12*T12</f>
        <v>2270.4226765280628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319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4114.7512685208458</v>
      </c>
      <c r="U13" s="178">
        <f>'Données projet'!D12</f>
        <v>0.48</v>
      </c>
      <c r="V13" s="177">
        <f t="shared" si="1"/>
        <v>1975.0806088900058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90</v>
      </c>
      <c r="I14" s="36" t="s">
        <v>320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321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48</v>
      </c>
      <c r="B16" s="48" t="s">
        <v>322</v>
      </c>
      <c r="C16" s="48" t="s">
        <v>323</v>
      </c>
      <c r="D16" s="36" t="s">
        <v>324</v>
      </c>
      <c r="E16" s="36" t="s">
        <v>325</v>
      </c>
      <c r="F16" s="230"/>
      <c r="G16" s="289"/>
      <c r="H16" s="190"/>
      <c r="I16" s="191"/>
      <c r="J16" s="202"/>
      <c r="K16" s="208"/>
      <c r="L16" s="286" t="s">
        <v>326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208</v>
      </c>
      <c r="C17" s="198" t="s">
        <v>208</v>
      </c>
      <c r="D17" s="197" t="s">
        <v>208</v>
      </c>
      <c r="E17" s="193"/>
      <c r="F17" s="230"/>
      <c r="G17" s="289"/>
      <c r="J17" s="202"/>
      <c r="K17" s="208"/>
      <c r="L17" s="259" t="s">
        <v>327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208</v>
      </c>
      <c r="C18" s="198" t="s">
        <v>208</v>
      </c>
      <c r="D18" s="197" t="s">
        <v>208</v>
      </c>
      <c r="E18" s="193"/>
      <c r="F18" s="230"/>
      <c r="G18" s="289"/>
      <c r="J18" s="202"/>
      <c r="K18" s="208"/>
      <c r="L18" s="259" t="s">
        <v>323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208</v>
      </c>
      <c r="C19" s="198" t="s">
        <v>208</v>
      </c>
      <c r="D19" s="197" t="s">
        <v>208</v>
      </c>
      <c r="E19" s="193"/>
      <c r="F19" s="230"/>
      <c r="G19" s="289"/>
      <c r="H19" s="212" t="s">
        <v>90</v>
      </c>
      <c r="I19" s="212" t="s">
        <v>328</v>
      </c>
      <c r="J19" s="93"/>
      <c r="K19" s="173"/>
      <c r="L19" s="286" t="s">
        <v>329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208</v>
      </c>
      <c r="C20" s="198" t="s">
        <v>208</v>
      </c>
      <c r="D20" s="197" t="s">
        <v>208</v>
      </c>
      <c r="E20" s="193"/>
      <c r="F20" s="230"/>
      <c r="G20" s="289"/>
      <c r="H20" s="190">
        <v>1</v>
      </c>
      <c r="I20" s="191">
        <v>2904.2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208</v>
      </c>
      <c r="C21" s="198" t="s">
        <v>208</v>
      </c>
      <c r="D21" s="197" t="s">
        <v>208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208</v>
      </c>
      <c r="C22" s="198" t="s">
        <v>208</v>
      </c>
      <c r="D22" s="197" t="s">
        <v>208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330</v>
      </c>
      <c r="M23" s="288"/>
      <c r="N23" s="288"/>
      <c r="O23" s="23"/>
      <c r="P23" s="23"/>
      <c r="Q23" s="234"/>
      <c r="R23" s="23"/>
      <c r="S23" s="36" t="s">
        <v>331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-3008.1626524554558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332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41</v>
      </c>
      <c r="B25" s="181">
        <f>'Données projet'!D38</f>
        <v>38.512820512820511</v>
      </c>
      <c r="C25" s="193">
        <v>10</v>
      </c>
      <c r="D25" s="182">
        <f t="shared" si="2"/>
        <v>385.12820512820508</v>
      </c>
      <c r="E25" s="193">
        <v>150</v>
      </c>
      <c r="F25" s="233"/>
      <c r="H25" s="190"/>
      <c r="I25" s="191"/>
      <c r="K25" s="208"/>
      <c r="L25" s="130" t="s">
        <v>333</v>
      </c>
      <c r="M25" s="130"/>
      <c r="N25" s="130"/>
      <c r="O25" s="130"/>
      <c r="P25" s="192"/>
      <c r="Q25" s="234"/>
      <c r="R25" s="23"/>
      <c r="S25" s="186" t="s">
        <v>334</v>
      </c>
      <c r="T25" s="303">
        <f ca="1">T23-T24</f>
        <v>-3008.1626524554558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48</v>
      </c>
      <c r="B26" s="181">
        <f>'Données projet'!D39</f>
        <v>48.025641025641022</v>
      </c>
      <c r="C26" s="193">
        <v>50</v>
      </c>
      <c r="D26" s="182">
        <f t="shared" si="2"/>
        <v>2401.2820512820513</v>
      </c>
      <c r="E26" s="193">
        <v>150</v>
      </c>
      <c r="F26" s="233"/>
      <c r="G26" s="229"/>
      <c r="H26" s="190"/>
      <c r="I26" s="191"/>
      <c r="K26" s="208"/>
      <c r="L26" s="290" t="s">
        <v>335</v>
      </c>
      <c r="M26" s="291"/>
      <c r="N26" s="291"/>
      <c r="O26" s="291"/>
      <c r="P26" s="292"/>
      <c r="Q26" s="234"/>
      <c r="R26" s="23"/>
      <c r="S26" s="186" t="s">
        <v>336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337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63</v>
      </c>
      <c r="B28" s="181">
        <f>'Données projet'!D41</f>
        <v>41.724358974358978</v>
      </c>
      <c r="C28" s="193">
        <v>50</v>
      </c>
      <c r="D28" s="182">
        <f t="shared" si="2"/>
        <v>2086.2179487179487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71</v>
      </c>
      <c r="B29" s="181">
        <f>'Données projet'!D42</f>
        <v>39.935897435897431</v>
      </c>
      <c r="C29" s="193">
        <v>100</v>
      </c>
      <c r="D29" s="182">
        <f t="shared" si="2"/>
        <v>3993.5897435897432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45.608974358974358</v>
      </c>
      <c r="C30" s="193">
        <v>100</v>
      </c>
      <c r="D30" s="182">
        <f t="shared" si="2"/>
        <v>4560.8974358974356</v>
      </c>
      <c r="E30" s="193">
        <v>150</v>
      </c>
      <c r="F30" s="233"/>
      <c r="G30" s="203"/>
      <c r="H30" s="190"/>
      <c r="I30" s="191"/>
      <c r="K30" s="183"/>
      <c r="L30" s="36" t="s">
        <v>338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89</v>
      </c>
      <c r="B31" s="181">
        <f>'Données projet'!D44</f>
        <v>49.391025641025635</v>
      </c>
      <c r="C31" s="193">
        <v>150</v>
      </c>
      <c r="D31" s="182">
        <f t="shared" si="2"/>
        <v>7408.6538461538457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99</v>
      </c>
      <c r="B32" s="181">
        <f>'Données projet'!D45</f>
        <v>48.019230769230766</v>
      </c>
      <c r="C32" s="193">
        <v>150</v>
      </c>
      <c r="D32" s="182">
        <f t="shared" si="2"/>
        <v>7202.8846153846152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90</v>
      </c>
      <c r="P32" s="85" t="s">
        <v>324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109</v>
      </c>
      <c r="B33" s="181">
        <f>'Données projet'!D46</f>
        <v>51.28846153846154</v>
      </c>
      <c r="C33" s="193">
        <v>150</v>
      </c>
      <c r="D33" s="182">
        <f t="shared" si="2"/>
        <v>7693.2692307692314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119</v>
      </c>
      <c r="B34" s="181">
        <f>'Données projet'!D47</f>
        <v>150.02564102564102</v>
      </c>
      <c r="C34" s="193">
        <v>200</v>
      </c>
      <c r="D34" s="182">
        <f t="shared" si="2"/>
        <v>30005.128205128203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123</v>
      </c>
      <c r="B35" s="181">
        <f>'Données projet'!D48</f>
        <v>77.17307692307692</v>
      </c>
      <c r="C35" s="193">
        <v>200</v>
      </c>
      <c r="D35" s="182">
        <f t="shared" si="2"/>
        <v>15434.615384615385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127</v>
      </c>
      <c r="B36" s="181">
        <f>'Données projet'!D49</f>
        <v>49.916666666666671</v>
      </c>
      <c r="C36" s="193">
        <v>200</v>
      </c>
      <c r="D36" s="182">
        <f t="shared" si="2"/>
        <v>9983.3333333333339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131</v>
      </c>
      <c r="B37" s="181">
        <f>'Données projet'!D50</f>
        <v>110.91025641025641</v>
      </c>
      <c r="C37" s="193">
        <v>200</v>
      </c>
      <c r="D37" s="182">
        <f t="shared" si="2"/>
        <v>22182.051282051281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48</v>
      </c>
      <c r="B47" s="48" t="s">
        <v>322</v>
      </c>
      <c r="C47" s="48" t="s">
        <v>323</v>
      </c>
      <c r="D47" s="36" t="s">
        <v>324</v>
      </c>
      <c r="E47" s="36" t="s">
        <v>325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208</v>
      </c>
      <c r="C48" s="198" t="s">
        <v>208</v>
      </c>
      <c r="D48" s="197" t="s">
        <v>208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208</v>
      </c>
      <c r="C49" s="198" t="s">
        <v>208</v>
      </c>
      <c r="D49" s="197" t="s">
        <v>208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208</v>
      </c>
      <c r="C50" s="198" t="s">
        <v>208</v>
      </c>
      <c r="D50" s="197" t="s">
        <v>208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208</v>
      </c>
      <c r="C51" s="198" t="s">
        <v>208</v>
      </c>
      <c r="D51" s="197" t="s">
        <v>208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208</v>
      </c>
      <c r="C52" s="198" t="s">
        <v>208</v>
      </c>
      <c r="D52" s="197" t="s">
        <v>208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208</v>
      </c>
      <c r="C53" s="198" t="s">
        <v>208</v>
      </c>
      <c r="D53" s="197" t="s">
        <v>208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15</v>
      </c>
      <c r="B54" s="181">
        <f>'Données projet'!D62</f>
        <v>49.784615384615385</v>
      </c>
      <c r="C54" s="191">
        <v>10</v>
      </c>
      <c r="D54" s="179">
        <f>B54*C54</f>
        <v>497.84615384615387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20</v>
      </c>
      <c r="B55" s="181">
        <f>'Données projet'!D63</f>
        <v>48.723076923076924</v>
      </c>
      <c r="C55" s="191">
        <v>18</v>
      </c>
      <c r="D55" s="179">
        <f t="shared" ref="D55:D73" si="4">B55*C55</f>
        <v>877.01538461538462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26</v>
      </c>
      <c r="B56" s="181">
        <f>'Données projet'!D64</f>
        <v>46.984615384615381</v>
      </c>
      <c r="C56" s="191">
        <v>25</v>
      </c>
      <c r="D56" s="179">
        <f t="shared" si="4"/>
        <v>1174.6153846153845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32</v>
      </c>
      <c r="B57" s="181">
        <f>'Données projet'!D65</f>
        <v>64.523076923076914</v>
      </c>
      <c r="C57" s="191">
        <v>25</v>
      </c>
      <c r="D57" s="179">
        <f t="shared" si="4"/>
        <v>1613.0769230769229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40</v>
      </c>
      <c r="B58" s="181">
        <f>'Données projet'!D66</f>
        <v>92.661538461538456</v>
      </c>
      <c r="C58" s="191">
        <v>35</v>
      </c>
      <c r="D58" s="179">
        <f t="shared" si="4"/>
        <v>3243.1538461538457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48</v>
      </c>
      <c r="B59" s="181">
        <f>'Données projet'!D67</f>
        <v>83.969230769230762</v>
      </c>
      <c r="C59" s="191">
        <v>35</v>
      </c>
      <c r="D59" s="179">
        <f t="shared" si="4"/>
        <v>2938.9230769230767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56</v>
      </c>
      <c r="B60" s="181">
        <f>'Données projet'!D68</f>
        <v>446.47692307692301</v>
      </c>
      <c r="C60" s="191">
        <v>35</v>
      </c>
      <c r="D60" s="179">
        <f t="shared" si="4"/>
        <v>15626.692307692305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48</v>
      </c>
      <c r="B78" s="48" t="s">
        <v>322</v>
      </c>
      <c r="C78" s="48" t="s">
        <v>323</v>
      </c>
      <c r="D78" s="36" t="s">
        <v>324</v>
      </c>
      <c r="E78" s="36" t="s">
        <v>325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208</v>
      </c>
      <c r="C79" s="198" t="s">
        <v>208</v>
      </c>
      <c r="D79" s="197" t="s">
        <v>208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208</v>
      </c>
      <c r="C80" s="198" t="s">
        <v>208</v>
      </c>
      <c r="D80" s="197" t="s">
        <v>208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208</v>
      </c>
      <c r="C81" s="198" t="s">
        <v>208</v>
      </c>
      <c r="D81" s="197" t="s">
        <v>208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208</v>
      </c>
      <c r="C82" s="198" t="s">
        <v>208</v>
      </c>
      <c r="D82" s="197" t="s">
        <v>208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208</v>
      </c>
      <c r="C83" s="198" t="s">
        <v>208</v>
      </c>
      <c r="D83" s="197" t="s">
        <v>208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208</v>
      </c>
      <c r="C84" s="198" t="s">
        <v>208</v>
      </c>
      <c r="D84" s="197" t="s">
        <v>208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35</v>
      </c>
      <c r="B86" s="181">
        <f>'Données projet'!D89</f>
        <v>60.602564102564102</v>
      </c>
      <c r="C86" s="191">
        <v>10</v>
      </c>
      <c r="D86" s="179">
        <f t="shared" ref="D86:D104" si="6">B86*C86</f>
        <v>606.02564102564099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41</v>
      </c>
      <c r="B87" s="181">
        <f>'Données projet'!D90</f>
        <v>38.512820512820511</v>
      </c>
      <c r="C87" s="191">
        <v>10</v>
      </c>
      <c r="D87" s="179">
        <f t="shared" si="6"/>
        <v>385.12820512820508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48</v>
      </c>
      <c r="B88" s="181">
        <f>'Données projet'!D91</f>
        <v>48.025641025641022</v>
      </c>
      <c r="C88" s="191">
        <v>50</v>
      </c>
      <c r="D88" s="179">
        <f t="shared" si="6"/>
        <v>2401.2820512820513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55</v>
      </c>
      <c r="B89" s="181">
        <f>'Données projet'!D92</f>
        <v>45.147435897435898</v>
      </c>
      <c r="C89" s="191">
        <v>50</v>
      </c>
      <c r="D89" s="179">
        <f t="shared" si="6"/>
        <v>2257.3717948717949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63</v>
      </c>
      <c r="B90" s="181">
        <f>'Données projet'!D93</f>
        <v>41.724358974358978</v>
      </c>
      <c r="C90" s="191">
        <v>50</v>
      </c>
      <c r="D90" s="179">
        <f t="shared" si="6"/>
        <v>2086.2179487179487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71</v>
      </c>
      <c r="B91" s="181">
        <f>'Données projet'!D94</f>
        <v>39.935897435897431</v>
      </c>
      <c r="C91" s="191">
        <v>100</v>
      </c>
      <c r="D91" s="179">
        <f t="shared" si="6"/>
        <v>3993.5897435897432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80</v>
      </c>
      <c r="B92" s="181">
        <f>'Données projet'!D95</f>
        <v>45.608974358974358</v>
      </c>
      <c r="C92" s="191">
        <v>100</v>
      </c>
      <c r="D92" s="179">
        <f t="shared" si="6"/>
        <v>4560.8974358974356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89</v>
      </c>
      <c r="B93" s="181">
        <f>'Données projet'!D96</f>
        <v>49.391025641025635</v>
      </c>
      <c r="C93" s="191">
        <v>150</v>
      </c>
      <c r="D93" s="179">
        <f t="shared" si="6"/>
        <v>7408.6538461538457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99</v>
      </c>
      <c r="B94" s="181">
        <f>'Données projet'!D97</f>
        <v>48.019230769230766</v>
      </c>
      <c r="C94" s="191">
        <v>150</v>
      </c>
      <c r="D94" s="179">
        <f t="shared" si="6"/>
        <v>7202.8846153846152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109</v>
      </c>
      <c r="B95" s="181">
        <f>'Données projet'!D98</f>
        <v>51.28846153846154</v>
      </c>
      <c r="C95" s="191">
        <v>150</v>
      </c>
      <c r="D95" s="179">
        <f t="shared" si="6"/>
        <v>7693.2692307692314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119</v>
      </c>
      <c r="B96" s="181">
        <f>'Données projet'!D99</f>
        <v>150.02564102564102</v>
      </c>
      <c r="C96" s="191">
        <v>200</v>
      </c>
      <c r="D96" s="179">
        <f t="shared" si="6"/>
        <v>30005.128205128203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123</v>
      </c>
      <c r="B97" s="181">
        <f>'Données projet'!D100</f>
        <v>77.17307692307692</v>
      </c>
      <c r="C97" s="191">
        <v>200</v>
      </c>
      <c r="D97" s="179">
        <f t="shared" si="6"/>
        <v>15434.615384615385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127</v>
      </c>
      <c r="B98" s="181">
        <f>'Données projet'!D101</f>
        <v>49.916666666666671</v>
      </c>
      <c r="C98" s="191">
        <v>200</v>
      </c>
      <c r="D98" s="179">
        <f t="shared" si="6"/>
        <v>9983.3333333333339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131</v>
      </c>
      <c r="B99" s="181">
        <f>'Données projet'!D102</f>
        <v>110.91025641025641</v>
      </c>
      <c r="C99" s="191">
        <v>200</v>
      </c>
      <c r="D99" s="179">
        <f t="shared" si="6"/>
        <v>22182.051282051281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48</v>
      </c>
      <c r="B109" s="48" t="s">
        <v>322</v>
      </c>
      <c r="C109" s="48" t="s">
        <v>323</v>
      </c>
      <c r="D109" s="36" t="s">
        <v>324</v>
      </c>
      <c r="E109" s="36" t="s">
        <v>325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208</v>
      </c>
      <c r="C110" s="198" t="s">
        <v>208</v>
      </c>
      <c r="D110" s="197" t="s">
        <v>208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208</v>
      </c>
      <c r="C111" s="198" t="s">
        <v>208</v>
      </c>
      <c r="D111" s="197" t="s">
        <v>208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208</v>
      </c>
      <c r="C112" s="198" t="s">
        <v>208</v>
      </c>
      <c r="D112" s="197" t="s">
        <v>208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208</v>
      </c>
      <c r="C113" s="198" t="s">
        <v>208</v>
      </c>
      <c r="D113" s="197" t="s">
        <v>208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208</v>
      </c>
      <c r="C114" s="198" t="s">
        <v>208</v>
      </c>
      <c r="D114" s="197" t="s">
        <v>208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208</v>
      </c>
      <c r="C115" s="198" t="s">
        <v>208</v>
      </c>
      <c r="D115" s="197" t="s">
        <v>208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 t="str">
        <f>'Données projet'!D115</f>
        <v>30</v>
      </c>
      <c r="C117" s="191">
        <v>10</v>
      </c>
      <c r="D117" s="179">
        <f t="shared" ref="D117:D135" si="8">B117*C117</f>
        <v>300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 t="str">
        <f>'Données projet'!D116</f>
        <v>29</v>
      </c>
      <c r="C118" s="191">
        <v>10</v>
      </c>
      <c r="D118" s="179">
        <f t="shared" si="8"/>
        <v>290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 t="str">
        <f>'Données projet'!D117</f>
        <v>31</v>
      </c>
      <c r="C119" s="191">
        <v>50</v>
      </c>
      <c r="D119" s="179">
        <f t="shared" si="8"/>
        <v>1550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 t="str">
        <f>'Données projet'!D118</f>
        <v>32</v>
      </c>
      <c r="C120" s="191">
        <v>50</v>
      </c>
      <c r="D120" s="179">
        <f t="shared" si="8"/>
        <v>1600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 t="str">
        <f>'Données projet'!D119</f>
        <v>32</v>
      </c>
      <c r="C121" s="191">
        <v>50</v>
      </c>
      <c r="D121" s="179">
        <f t="shared" si="8"/>
        <v>1600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 t="str">
        <f>'Données projet'!D120</f>
        <v>31</v>
      </c>
      <c r="C122" s="191">
        <v>100</v>
      </c>
      <c r="D122" s="179">
        <f t="shared" si="8"/>
        <v>3100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 t="str">
        <f>'Données projet'!D121</f>
        <v>30</v>
      </c>
      <c r="C123" s="191">
        <v>100</v>
      </c>
      <c r="D123" s="179">
        <f t="shared" si="8"/>
        <v>3000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 t="str">
        <f>'Données projet'!D122</f>
        <v>28</v>
      </c>
      <c r="C124" s="191">
        <v>150</v>
      </c>
      <c r="D124" s="179">
        <f t="shared" si="8"/>
        <v>4200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 t="str">
        <f>'Données projet'!D123</f>
        <v>26</v>
      </c>
      <c r="C125" s="191">
        <v>150</v>
      </c>
      <c r="D125" s="179">
        <f t="shared" si="8"/>
        <v>3900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 t="str">
        <f>'Données projet'!D124</f>
        <v>24</v>
      </c>
      <c r="C126" s="191">
        <v>150</v>
      </c>
      <c r="D126" s="179">
        <f t="shared" si="8"/>
        <v>3600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 t="str">
        <f>'Données projet'!D125</f>
        <v>22</v>
      </c>
      <c r="C127" s="191">
        <v>200</v>
      </c>
      <c r="D127" s="179">
        <f t="shared" si="8"/>
        <v>4400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 t="str">
        <f>'Données projet'!D126</f>
        <v>21</v>
      </c>
      <c r="C128" s="191">
        <v>200</v>
      </c>
      <c r="D128" s="179">
        <f t="shared" si="8"/>
        <v>4200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 t="str">
        <f>'Données projet'!D127</f>
        <v>19</v>
      </c>
      <c r="C129" s="191">
        <v>200</v>
      </c>
      <c r="D129" s="179">
        <f t="shared" si="8"/>
        <v>3800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 t="str">
        <f>'Données projet'!D128</f>
        <v>17</v>
      </c>
      <c r="C130" s="191">
        <v>200</v>
      </c>
      <c r="D130" s="179">
        <f t="shared" si="8"/>
        <v>3400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85</v>
      </c>
      <c r="B131" s="181" t="str">
        <f>'Données projet'!D129</f>
        <v>16</v>
      </c>
      <c r="C131" s="191">
        <v>200</v>
      </c>
      <c r="D131" s="179">
        <f t="shared" si="8"/>
        <v>3200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90</v>
      </c>
      <c r="B132" s="181" t="str">
        <f>'Données projet'!D130</f>
        <v>14</v>
      </c>
      <c r="C132" s="191">
        <v>247.619047619047</v>
      </c>
      <c r="D132" s="179">
        <f t="shared" si="8"/>
        <v>3466.6666666666579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95</v>
      </c>
      <c r="B133" s="181" t="str">
        <f>'Données projet'!D131</f>
        <v>13</v>
      </c>
      <c r="C133" s="191">
        <v>263.40476190476198</v>
      </c>
      <c r="D133" s="179">
        <f t="shared" si="8"/>
        <v>3424.261904761906</v>
      </c>
      <c r="E133" s="193">
        <v>150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100</v>
      </c>
      <c r="B134" s="181" t="str">
        <f>'Données projet'!D132</f>
        <v>13</v>
      </c>
      <c r="C134" s="191">
        <v>279.19047619047598</v>
      </c>
      <c r="D134" s="179">
        <f t="shared" si="8"/>
        <v>3629.4761904761876</v>
      </c>
      <c r="E134" s="193">
        <v>150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48</v>
      </c>
      <c r="B140" s="48" t="s">
        <v>322</v>
      </c>
      <c r="C140" s="48" t="s">
        <v>323</v>
      </c>
      <c r="D140" s="36" t="s">
        <v>324</v>
      </c>
      <c r="E140" s="36" t="s">
        <v>325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208</v>
      </c>
      <c r="C141" s="198" t="s">
        <v>208</v>
      </c>
      <c r="D141" s="197" t="s">
        <v>208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208</v>
      </c>
      <c r="C142" s="198" t="s">
        <v>208</v>
      </c>
      <c r="D142" s="197" t="s">
        <v>208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208</v>
      </c>
      <c r="C143" s="198" t="s">
        <v>208</v>
      </c>
      <c r="D143" s="197" t="s">
        <v>208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208</v>
      </c>
      <c r="C144" s="198" t="s">
        <v>208</v>
      </c>
      <c r="D144" s="197" t="s">
        <v>208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208</v>
      </c>
      <c r="C145" s="198" t="s">
        <v>208</v>
      </c>
      <c r="D145" s="197" t="s">
        <v>208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208</v>
      </c>
      <c r="C146" s="198" t="s">
        <v>208</v>
      </c>
      <c r="D146" s="197" t="s">
        <v>208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25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48</v>
      </c>
      <c r="B171" s="48" t="s">
        <v>322</v>
      </c>
      <c r="C171" s="48" t="s">
        <v>323</v>
      </c>
      <c r="D171" s="36" t="s">
        <v>324</v>
      </c>
      <c r="E171" s="36" t="s">
        <v>325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208</v>
      </c>
      <c r="C172" s="198" t="s">
        <v>208</v>
      </c>
      <c r="D172" s="197" t="s">
        <v>208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208</v>
      </c>
      <c r="C173" s="198" t="s">
        <v>208</v>
      </c>
      <c r="D173" s="197" t="s">
        <v>208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208</v>
      </c>
      <c r="C174" s="198" t="s">
        <v>208</v>
      </c>
      <c r="D174" s="197" t="s">
        <v>208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208</v>
      </c>
      <c r="C175" s="198" t="s">
        <v>208</v>
      </c>
      <c r="D175" s="197" t="s">
        <v>208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208</v>
      </c>
      <c r="C176" s="198" t="s">
        <v>208</v>
      </c>
      <c r="D176" s="197" t="s">
        <v>208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208</v>
      </c>
      <c r="C177" s="198" t="s">
        <v>208</v>
      </c>
      <c r="D177" s="197" t="s">
        <v>208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26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48</v>
      </c>
      <c r="B202" s="48" t="s">
        <v>322</v>
      </c>
      <c r="C202" s="48" t="s">
        <v>323</v>
      </c>
      <c r="D202" s="36" t="s">
        <v>324</v>
      </c>
      <c r="E202" s="36" t="s">
        <v>325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208</v>
      </c>
      <c r="C203" s="198" t="s">
        <v>208</v>
      </c>
      <c r="D203" s="197" t="s">
        <v>208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208</v>
      </c>
      <c r="C204" s="198" t="s">
        <v>208</v>
      </c>
      <c r="D204" s="197" t="s">
        <v>208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208</v>
      </c>
      <c r="C205" s="198" t="s">
        <v>208</v>
      </c>
      <c r="D205" s="197" t="s">
        <v>208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208</v>
      </c>
      <c r="C206" s="198" t="s">
        <v>208</v>
      </c>
      <c r="D206" s="197" t="s">
        <v>208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208</v>
      </c>
      <c r="C207" s="198" t="s">
        <v>208</v>
      </c>
      <c r="D207" s="197" t="s">
        <v>208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208</v>
      </c>
      <c r="C208" s="198" t="s">
        <v>208</v>
      </c>
      <c r="D208" s="197" t="s">
        <v>208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27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48</v>
      </c>
      <c r="B233" s="48" t="s">
        <v>322</v>
      </c>
      <c r="C233" s="48" t="s">
        <v>323</v>
      </c>
      <c r="D233" s="36" t="s">
        <v>324</v>
      </c>
      <c r="E233" s="36" t="s">
        <v>325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208</v>
      </c>
      <c r="C234" s="198" t="s">
        <v>208</v>
      </c>
      <c r="D234" s="197" t="s">
        <v>208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208</v>
      </c>
      <c r="C235" s="198" t="s">
        <v>208</v>
      </c>
      <c r="D235" s="197" t="s">
        <v>208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208</v>
      </c>
      <c r="C236" s="198" t="s">
        <v>208</v>
      </c>
      <c r="D236" s="197" t="s">
        <v>208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208</v>
      </c>
      <c r="C237" s="198" t="s">
        <v>208</v>
      </c>
      <c r="D237" s="197" t="s">
        <v>208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208</v>
      </c>
      <c r="C238" s="198" t="s">
        <v>208</v>
      </c>
      <c r="D238" s="197" t="s">
        <v>208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208</v>
      </c>
      <c r="C239" s="198" t="s">
        <v>208</v>
      </c>
      <c r="D239" s="197" t="s">
        <v>208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28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48</v>
      </c>
      <c r="B264" s="48" t="s">
        <v>322</v>
      </c>
      <c r="C264" s="48" t="s">
        <v>323</v>
      </c>
      <c r="D264" s="36" t="s">
        <v>324</v>
      </c>
      <c r="E264" s="36" t="s">
        <v>325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208</v>
      </c>
      <c r="C265" s="198" t="s">
        <v>208</v>
      </c>
      <c r="D265" s="197" t="s">
        <v>208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208</v>
      </c>
      <c r="C266" s="198" t="s">
        <v>208</v>
      </c>
      <c r="D266" s="197" t="s">
        <v>208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208</v>
      </c>
      <c r="C267" s="198" t="s">
        <v>208</v>
      </c>
      <c r="D267" s="197" t="s">
        <v>208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208</v>
      </c>
      <c r="C268" s="198" t="s">
        <v>208</v>
      </c>
      <c r="D268" s="197" t="s">
        <v>208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208</v>
      </c>
      <c r="C269" s="198" t="s">
        <v>208</v>
      </c>
      <c r="D269" s="197" t="s">
        <v>208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208</v>
      </c>
      <c r="C270" s="198" t="s">
        <v>208</v>
      </c>
      <c r="D270" s="197" t="s">
        <v>208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29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48</v>
      </c>
      <c r="B295" s="48" t="s">
        <v>322</v>
      </c>
      <c r="C295" s="48" t="s">
        <v>323</v>
      </c>
      <c r="D295" s="36" t="s">
        <v>324</v>
      </c>
      <c r="E295" s="36" t="s">
        <v>325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208</v>
      </c>
      <c r="C296" s="198" t="s">
        <v>208</v>
      </c>
      <c r="D296" s="197" t="s">
        <v>208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208</v>
      </c>
      <c r="C297" s="198" t="s">
        <v>208</v>
      </c>
      <c r="D297" s="197" t="s">
        <v>208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208</v>
      </c>
      <c r="C298" s="198" t="s">
        <v>208</v>
      </c>
      <c r="D298" s="197" t="s">
        <v>208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208</v>
      </c>
      <c r="C299" s="198" t="s">
        <v>208</v>
      </c>
      <c r="D299" s="197" t="s">
        <v>208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208</v>
      </c>
      <c r="C300" s="198" t="s">
        <v>208</v>
      </c>
      <c r="D300" s="197" t="s">
        <v>208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208</v>
      </c>
      <c r="C301" s="198" t="s">
        <v>208</v>
      </c>
      <c r="D301" s="197" t="s">
        <v>208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53278D2E-6F38-4BDA-B6B7-C643D24D25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BAD202-6FFE-4378-AF7F-5E2579878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BED22-7FAE-47A3-B2C5-A2394CB9909D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2024-03-07T17:00:42Z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