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casFontaine\Downloads\"/>
    </mc:Choice>
  </mc:AlternateContent>
  <xr:revisionPtr revIDLastSave="0" documentId="13_ncr:1_{16F3715F-F6B7-4C6E-BFFF-12328DE6F8B8}" xr6:coauthVersionLast="47" xr6:coauthVersionMax="47" xr10:uidLastSave="{00000000-0000-0000-0000-000000000000}"/>
  <bookViews>
    <workbookView xWindow="-120" yWindow="-12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EC4" i="2"/>
  <c r="BQ4" i="2"/>
  <c r="FR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W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HI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FS156" i="2"/>
  <c r="EX156" i="2"/>
  <c r="EB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A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EV168" i="2"/>
  <c r="HH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W185" i="2"/>
  <c r="HH185" i="2"/>
  <c r="HG185" i="2"/>
  <c r="HI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AA195" i="2"/>
  <c r="E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C197" i="2"/>
  <c r="AA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G201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18" i="2" a="1"/>
  <c r="FY18" i="2" s="1"/>
  <c r="FY71" i="2" a="1"/>
  <c r="FY71" i="2" s="1"/>
  <c r="FY120" i="2" a="1"/>
  <c r="FY120" i="2" s="1"/>
  <c r="FY186" i="2" a="1"/>
  <c r="FY186" i="2" s="1"/>
  <c r="FY152" i="2" a="1"/>
  <c r="FY152" i="2" s="1"/>
  <c r="FY73" i="2" a="1"/>
  <c r="FY73" i="2" s="1"/>
  <c r="FY55" i="2" a="1"/>
  <c r="FY55" i="2" s="1"/>
  <c r="FY178" i="2" a="1"/>
  <c r="FY178" i="2" s="1"/>
  <c r="AH92" i="2" a="1"/>
  <c r="AH92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52" i="2" a="1"/>
  <c r="DN152" i="2" s="1"/>
  <c r="DN184" i="2" a="1"/>
  <c r="DN184" i="2" s="1"/>
  <c r="DN66" i="2" a="1"/>
  <c r="DN66" i="2" s="1"/>
  <c r="DN192" i="2" a="1"/>
  <c r="DN192" i="2" s="1"/>
  <c r="CS77" i="2" a="1"/>
  <c r="CS77" i="2" s="1"/>
  <c r="CS38" i="2" a="1"/>
  <c r="CS38" i="2" s="1"/>
  <c r="FY182" i="2" a="1"/>
  <c r="FY182" i="2" s="1"/>
  <c r="FY82" i="2" a="1"/>
  <c r="FY82" i="2" s="1"/>
  <c r="FY196" i="2" a="1"/>
  <c r="FY19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DN168" i="2" a="1"/>
  <c r="DN168" i="2" s="1"/>
  <c r="CS185" i="2" a="1"/>
  <c r="CS185" i="2" s="1"/>
  <c r="DN31" i="2" a="1"/>
  <c r="DN31" i="2" s="1"/>
  <c r="DN110" i="2" a="1"/>
  <c r="DN110" i="2" s="1"/>
  <c r="DN6" i="2" a="1"/>
  <c r="DN6" i="2" s="1"/>
  <c r="DO6" i="2" s="1"/>
  <c r="CS24" i="2" a="1"/>
  <c r="CS24" i="2" s="1"/>
  <c r="CS134" i="2" a="1"/>
  <c r="CS134" i="2" s="1"/>
  <c r="FD82" i="2" a="1"/>
  <c r="FD82" i="2" s="1"/>
  <c r="HJ202" i="2"/>
  <c r="EY202" i="2"/>
  <c r="AX200" i="2"/>
  <c r="AH166" i="2" l="1" a="1"/>
  <c r="AH166" i="2" s="1"/>
  <c r="AH90" i="2" a="1"/>
  <c r="AH90" i="2" s="1"/>
  <c r="AH151" i="2" a="1"/>
  <c r="AH151" i="2" s="1"/>
  <c r="AH19" i="2" a="1"/>
  <c r="AH19" i="2" s="1"/>
  <c r="BC185" i="2" a="1"/>
  <c r="BC185" i="2" s="1"/>
  <c r="BC68" i="2" a="1"/>
  <c r="BC68" i="2" s="1"/>
  <c r="BC143" i="2" a="1"/>
  <c r="BC143" i="2" s="1"/>
  <c r="BC58" i="2" a="1"/>
  <c r="BC58" i="2" s="1"/>
  <c r="EI71" i="2" a="1"/>
  <c r="EI71" i="2" s="1"/>
  <c r="EI178" i="2" a="1"/>
  <c r="EI178" i="2" s="1"/>
  <c r="EI37" i="2" a="1"/>
  <c r="EI37" i="2" s="1"/>
  <c r="EI145" i="2" a="1"/>
  <c r="EI145" i="2" s="1"/>
  <c r="DN30" i="2" a="1"/>
  <c r="DN30" i="2" s="1"/>
  <c r="EI35" i="2" a="1"/>
  <c r="EI35" i="2" s="1"/>
  <c r="FY115" i="2" a="1"/>
  <c r="FY115" i="2" s="1"/>
  <c r="DN41" i="2" a="1"/>
  <c r="DN41" i="2" s="1"/>
  <c r="FY126" i="2" a="1"/>
  <c r="FY126" i="2" s="1"/>
  <c r="FY109" i="2" a="1"/>
  <c r="FY109" i="2" s="1"/>
  <c r="DN162" i="2" a="1"/>
  <c r="DN162" i="2" s="1"/>
  <c r="EI87" i="2" a="1"/>
  <c r="EI87" i="2" s="1"/>
  <c r="DN114" i="2" a="1"/>
  <c r="DN114" i="2" s="1"/>
  <c r="DN43" i="2" a="1"/>
  <c r="DN43" i="2" s="1"/>
  <c r="FY159" i="2" a="1"/>
  <c r="FY159" i="2" s="1"/>
  <c r="DN49" i="2" a="1"/>
  <c r="DN49" i="2" s="1"/>
  <c r="EI109" i="2" a="1"/>
  <c r="EI109" i="2" s="1"/>
  <c r="FY58" i="2" a="1"/>
  <c r="FY58" i="2" s="1"/>
  <c r="DN186" i="2" a="1"/>
  <c r="DN186" i="2" s="1"/>
  <c r="FY28" i="2" a="1"/>
  <c r="FY28" i="2" s="1"/>
  <c r="FY29" i="2" a="1"/>
  <c r="FY29" i="2" s="1"/>
  <c r="EI170" i="2" a="1"/>
  <c r="EI170" i="2" s="1"/>
  <c r="FY121" i="2" a="1"/>
  <c r="FY121" i="2" s="1"/>
  <c r="EI106" i="2" a="1"/>
  <c r="EI106" i="2" s="1"/>
  <c r="FY24" i="2" a="1"/>
  <c r="FY24" i="2" s="1"/>
  <c r="FY191" i="2" a="1"/>
  <c r="FY191" i="2" s="1"/>
  <c r="DN190" i="2" a="1"/>
  <c r="DN190" i="2" s="1"/>
  <c r="FY167" i="2" a="1"/>
  <c r="FY167" i="2" s="1"/>
  <c r="DN170" i="2" a="1"/>
  <c r="DN170" i="2" s="1"/>
  <c r="FY174" i="2" a="1"/>
  <c r="FY174" i="2" s="1"/>
  <c r="DN38" i="2" a="1"/>
  <c r="DN38" i="2" s="1"/>
  <c r="CS161" i="2" a="1"/>
  <c r="CS161" i="2" s="1"/>
  <c r="CS52" i="2" a="1"/>
  <c r="CS52" i="2" s="1"/>
  <c r="FY153" i="2" a="1"/>
  <c r="FY153" i="2" s="1"/>
  <c r="FY146" i="2" a="1"/>
  <c r="FY146" i="2" s="1"/>
  <c r="BX107" i="2" a="1"/>
  <c r="BX107" i="2" s="1"/>
  <c r="DN65" i="2" a="1"/>
  <c r="DN65" i="2" s="1"/>
  <c r="CS114" i="2" a="1"/>
  <c r="CS114" i="2" s="1"/>
  <c r="EI128" i="2" a="1"/>
  <c r="EI128" i="2" s="1"/>
  <c r="CS120" i="2" a="1"/>
  <c r="CS120" i="2" s="1"/>
  <c r="FY80" i="2" a="1"/>
  <c r="FY80" i="2" s="1"/>
  <c r="AH163" i="2" a="1"/>
  <c r="AH163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DN167" i="2" a="1"/>
  <c r="DN167" i="2" s="1"/>
  <c r="DN188" i="2" a="1"/>
  <c r="DN188" i="2" s="1"/>
  <c r="DN16" i="2" a="1"/>
  <c r="DN16" i="2" s="1"/>
  <c r="DN86" i="2" a="1"/>
  <c r="DN86" i="2" s="1"/>
  <c r="FY173" i="2" a="1"/>
  <c r="FY173" i="2" s="1"/>
  <c r="EI139" i="2" a="1"/>
  <c r="EI139" i="2" s="1"/>
  <c r="FY86" i="2" a="1"/>
  <c r="FY86" i="2" s="1"/>
  <c r="EI150" i="2" a="1"/>
  <c r="EI150" i="2" s="1"/>
  <c r="FY164" i="2" a="1"/>
  <c r="FY164" i="2" s="1"/>
  <c r="FY140" i="2" a="1"/>
  <c r="FY140" i="2" s="1"/>
  <c r="DN115" i="2" a="1"/>
  <c r="DN115" i="2" s="1"/>
  <c r="FY143" i="2" a="1"/>
  <c r="FY143" i="2" s="1"/>
  <c r="DN164" i="2" a="1"/>
  <c r="DN164" i="2" s="1"/>
  <c r="DN137" i="2" a="1"/>
  <c r="DN137" i="2" s="1"/>
  <c r="FY35" i="2" a="1"/>
  <c r="FY35" i="2" s="1"/>
  <c r="DN135" i="2" a="1"/>
  <c r="DN135" i="2" s="1"/>
  <c r="CS105" i="2" a="1"/>
  <c r="CS105" i="2" s="1"/>
  <c r="CS129" i="2" a="1"/>
  <c r="CS129" i="2" s="1"/>
  <c r="FY110" i="2" a="1"/>
  <c r="FY110" i="2" s="1"/>
  <c r="DN133" i="2" a="1"/>
  <c r="DN133" i="2" s="1"/>
  <c r="FY142" i="2" a="1"/>
  <c r="FY142" i="2" s="1"/>
  <c r="DN129" i="2" a="1"/>
  <c r="DN129" i="2" s="1"/>
  <c r="FY169" i="2" a="1"/>
  <c r="FY169" i="2" s="1"/>
  <c r="CS72" i="2" a="1"/>
  <c r="CS72" i="2" s="1"/>
  <c r="DN70" i="2" a="1"/>
  <c r="DN70" i="2" s="1"/>
  <c r="CS56" i="2" a="1"/>
  <c r="CS56" i="2" s="1"/>
  <c r="EI20" i="2" a="1"/>
  <c r="EI20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32" i="2" a="1"/>
  <c r="DN132" i="2" s="1"/>
  <c r="EI57" i="2" a="1"/>
  <c r="EI57" i="2" s="1"/>
  <c r="DN29" i="2" a="1"/>
  <c r="DN29" i="2" s="1"/>
  <c r="EI36" i="2" a="1"/>
  <c r="EI36" i="2" s="1"/>
  <c r="EI162" i="2" a="1"/>
  <c r="EI162" i="2" s="1"/>
  <c r="FY34" i="2" a="1"/>
  <c r="FY34" i="2" s="1"/>
  <c r="FY133" i="2" a="1"/>
  <c r="FY133" i="2" s="1"/>
  <c r="DN46" i="2" a="1"/>
  <c r="DN46" i="2" s="1"/>
  <c r="DN177" i="2" a="1"/>
  <c r="DN177" i="2" s="1"/>
  <c r="FY188" i="2" a="1"/>
  <c r="FY188" i="2" s="1"/>
  <c r="FY79" i="2" a="1"/>
  <c r="FY79" i="2" s="1"/>
  <c r="EI67" i="2" a="1"/>
  <c r="EI67" i="2" s="1"/>
  <c r="DN103" i="2" a="1"/>
  <c r="DN103" i="2" s="1"/>
  <c r="EI29" i="2" a="1"/>
  <c r="EI29" i="2" s="1"/>
  <c r="FY149" i="2" a="1"/>
  <c r="FY149" i="2" s="1"/>
  <c r="FY47" i="2" a="1"/>
  <c r="FY47" i="2" s="1"/>
  <c r="DN176" i="2" a="1"/>
  <c r="DN176" i="2" s="1"/>
  <c r="EI38" i="2" a="1"/>
  <c r="EI38" i="2" s="1"/>
  <c r="DN153" i="2" a="1"/>
  <c r="DN153" i="2" s="1"/>
  <c r="FY78" i="2" a="1"/>
  <c r="FY78" i="2" s="1"/>
  <c r="DN187" i="2" a="1"/>
  <c r="DN187" i="2" s="1"/>
  <c r="EI16" i="2" a="1"/>
  <c r="EI16" i="2" s="1"/>
  <c r="CS137" i="2" a="1"/>
  <c r="CS137" i="2" s="1"/>
  <c r="EI153" i="2" a="1"/>
  <c r="EI153" i="2" s="1"/>
  <c r="FY124" i="2" a="1"/>
  <c r="FY124" i="2" s="1"/>
  <c r="FY165" i="2" a="1"/>
  <c r="FY165" i="2" s="1"/>
  <c r="EI113" i="2" a="1"/>
  <c r="EI113" i="2" s="1"/>
  <c r="DN123" i="2" a="1"/>
  <c r="DN123" i="2" s="1"/>
  <c r="EI166" i="2" a="1"/>
  <c r="EI166" i="2" s="1"/>
  <c r="FY99" i="2" a="1"/>
  <c r="FY99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I99" i="2" l="1"/>
  <c r="BI43" i="2"/>
  <c r="BI135" i="2"/>
  <c r="BI82" i="2"/>
  <c r="BI26" i="2"/>
  <c r="BI58" i="2"/>
  <c r="BI176" i="2"/>
  <c r="BI160" i="2"/>
  <c r="BI141" i="2"/>
  <c r="BI105" i="2"/>
  <c r="BI77" i="2"/>
  <c r="BI47" i="2"/>
  <c r="BI188" i="2"/>
  <c r="BI18" i="2"/>
  <c r="BI50" i="2"/>
  <c r="BI25" i="2"/>
  <c r="BI161" i="2"/>
  <c r="BI52" i="2"/>
  <c r="BI129" i="2"/>
  <c r="BI191" i="2"/>
  <c r="BI39" i="2"/>
  <c r="BI32" i="2"/>
  <c r="BI91" i="2"/>
  <c r="BI88" i="2"/>
  <c r="BI106" i="2"/>
  <c r="BI177" i="2"/>
  <c r="BI196" i="2"/>
  <c r="BI64" i="2"/>
  <c r="BI154" i="2"/>
  <c r="BI101" i="2"/>
  <c r="BI41" i="2"/>
  <c r="BI95" i="2"/>
  <c r="BI8" i="2"/>
  <c r="BI73" i="2"/>
  <c r="BI122" i="2"/>
  <c r="BI126" i="2"/>
  <c r="BI166" i="2"/>
  <c r="BI100" i="2"/>
  <c r="BI150" i="2"/>
  <c r="BI83" i="2"/>
  <c r="BI171" i="2"/>
  <c r="BI156" i="2"/>
  <c r="BI22" i="2"/>
  <c r="BI53" i="2"/>
  <c r="BI33" i="2"/>
  <c r="BI111" i="2"/>
  <c r="BI163" i="2"/>
  <c r="BI17" i="2"/>
  <c r="BI104" i="2"/>
  <c r="BI192" i="2"/>
  <c r="BI170" i="2"/>
  <c r="BI103" i="2"/>
  <c r="BI119" i="2"/>
  <c r="BI125" i="2"/>
  <c r="BI121" i="2"/>
  <c r="BI74" i="2"/>
  <c r="BI158" i="2"/>
  <c r="BI172" i="2"/>
  <c r="BI3" i="2"/>
  <c r="C8" i="4" s="1"/>
  <c r="E8" i="4" s="1"/>
  <c r="F8" i="4" s="1"/>
  <c r="G8" i="4" s="1"/>
  <c r="L8" i="4" s="1"/>
  <c r="BI157" i="2"/>
  <c r="BI65" i="2"/>
  <c r="BI72" i="2"/>
  <c r="BI113" i="2"/>
  <c r="BI203" i="2"/>
  <c r="BI93" i="2"/>
  <c r="BI51" i="2"/>
  <c r="BI68" i="2"/>
  <c r="BI94" i="2"/>
  <c r="BI4" i="2"/>
  <c r="BI16" i="2"/>
  <c r="BI63" i="2"/>
  <c r="BI29" i="2"/>
  <c r="BI134" i="2"/>
  <c r="BI132" i="2"/>
  <c r="BI38" i="2"/>
  <c r="BI138" i="2"/>
  <c r="BI12" i="2"/>
  <c r="BI128" i="2"/>
  <c r="BI190" i="2"/>
  <c r="BI5" i="2"/>
  <c r="BI9" i="2"/>
  <c r="BI67" i="2"/>
  <c r="BI187" i="2"/>
  <c r="BI86" i="2"/>
  <c r="BI127" i="2"/>
  <c r="BI189" i="2"/>
  <c r="BI168" i="2"/>
  <c r="BI84" i="2"/>
  <c r="BI76" i="2"/>
  <c r="BI130" i="2"/>
  <c r="BI96" i="2"/>
  <c r="BI148" i="2"/>
  <c r="BI144" i="2"/>
  <c r="BI117" i="2"/>
  <c r="BI162" i="2"/>
  <c r="BI185" i="2"/>
  <c r="BI59" i="2"/>
  <c r="BI142" i="2"/>
  <c r="BI114" i="2"/>
  <c r="BI102" i="2"/>
  <c r="BI62" i="2"/>
  <c r="BI136" i="2"/>
  <c r="BI79" i="2"/>
  <c r="BI120" i="2"/>
  <c r="BI199" i="2"/>
  <c r="BI61" i="2"/>
  <c r="BI85" i="2"/>
  <c r="BI69" i="2"/>
  <c r="BI66" i="2"/>
  <c r="BI174" i="2"/>
  <c r="BI89" i="2"/>
  <c r="BI167" i="2"/>
  <c r="BI14" i="2"/>
  <c r="BI42" i="2"/>
  <c r="BI131" i="2"/>
  <c r="BI123" i="2"/>
  <c r="BI45" i="2"/>
  <c r="BI49" i="2"/>
  <c r="BI116" i="2"/>
  <c r="BI124" i="2"/>
  <c r="BI87" i="2"/>
  <c r="BI19" i="2"/>
  <c r="BI6" i="2"/>
  <c r="BI21" i="2"/>
  <c r="BI193" i="2"/>
  <c r="BI182" i="2"/>
  <c r="BI149" i="2"/>
  <c r="BI151" i="2"/>
  <c r="BI35" i="2"/>
  <c r="BI11" i="2"/>
  <c r="BI178" i="2"/>
  <c r="BI146" i="2"/>
  <c r="BI180" i="2"/>
  <c r="BI13" i="2"/>
  <c r="BI23" i="2"/>
  <c r="BI115" i="2"/>
  <c r="BI155" i="2"/>
  <c r="BI71" i="2"/>
  <c r="BI186" i="2"/>
  <c r="BI90" i="2"/>
  <c r="BI54" i="2"/>
  <c r="BI179" i="2"/>
  <c r="BI133" i="2"/>
  <c r="BI98" i="2"/>
  <c r="BI109" i="2"/>
  <c r="BI30" i="2"/>
  <c r="BI40" i="2"/>
  <c r="BI139" i="2"/>
  <c r="BI48" i="2"/>
  <c r="BI147" i="2"/>
  <c r="BI159" i="2"/>
  <c r="BI183" i="2"/>
  <c r="BI118" i="2"/>
  <c r="BI200" i="2"/>
  <c r="BI173" i="2"/>
  <c r="BI7" i="2"/>
  <c r="BI201" i="2"/>
  <c r="BI44" i="2"/>
  <c r="BI55" i="2"/>
  <c r="BI137" i="2"/>
  <c r="BI107" i="2"/>
  <c r="BI169" i="2"/>
  <c r="BI195" i="2"/>
  <c r="BI202" i="2"/>
  <c r="BI70" i="2"/>
  <c r="BI108" i="2"/>
  <c r="BI60" i="2"/>
  <c r="BI31" i="2"/>
  <c r="BI198" i="2"/>
  <c r="BI27" i="2"/>
  <c r="BI24" i="2"/>
  <c r="BI175" i="2"/>
  <c r="BI97" i="2"/>
  <c r="BI143" i="2"/>
  <c r="BI56" i="2"/>
  <c r="BI153" i="2"/>
  <c r="BI78" i="2"/>
  <c r="BI92" i="2"/>
  <c r="BI194" i="2"/>
  <c r="BI197" i="2"/>
  <c r="BI34" i="2"/>
  <c r="BI112" i="2"/>
  <c r="BI46" i="2"/>
  <c r="BI10" i="2"/>
  <c r="BI20" i="2"/>
  <c r="BI145" i="2"/>
  <c r="BI152" i="2"/>
  <c r="BI28" i="2"/>
  <c r="BI37" i="2"/>
  <c r="BI81" i="2"/>
  <c r="BI36" i="2"/>
  <c r="BI110" i="2"/>
  <c r="BI140" i="2"/>
  <c r="BI184" i="2"/>
  <c r="BI15" i="2"/>
  <c r="BI57" i="2"/>
  <c r="BI181" i="2"/>
  <c r="BI75" i="2"/>
  <c r="BI80" i="2"/>
  <c r="BI164" i="2"/>
  <c r="BI165" i="2"/>
  <c r="BF147" i="2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<sst xmlns="http://schemas.openxmlformats.org/spreadsheetml/2006/main" count="1174" uniqueCount="325">
  <si>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</si>
  <si>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</si>
  <si>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</si>
  <si>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</si>
  <si>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</si>
  <si>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</si>
  <si>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</si>
  <si>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</si>
  <si>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</si>
  <si>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</si>
  <si>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</si>
  <si>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</si>
  <si>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</si>
  <si>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</si>
  <si>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</si>
  <si>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</si>
  <si>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</si>
  <si>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</si>
  <si>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</si>
  <si>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</si>
  <si>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</si>
  <si>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Hêtre</t>
  </si>
  <si>
    <t>Essence 4</t>
  </si>
  <si>
    <t>Châtaignier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</si>
  <si>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</si>
  <si>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</si>
  <si>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</si>
  <si>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</si>
  <si>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</si>
  <si>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</si>
  <si>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</si>
  <si>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</si>
  <si>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</si>
  <si>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</si>
  <si>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</si>
  <si>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</si>
  <si>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</si>
  <si>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</si>
  <si>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</si>
  <si>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</si>
  <si>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</si>
  <si>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</si>
  <si>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</si>
  <si>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</si>
  <si>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</si>
  <si>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</si>
  <si>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</si>
  <si>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</si>
  <si>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</si>
  <si>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</si>
  <si>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</si>
  <si>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</si>
  <si>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</si>
  <si>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</si>
  <si>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</si>
  <si>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</si>
  <si>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</si>
  <si>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</si>
  <si>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</si>
  <si>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</si>
  <si>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</si>
  <si>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</si>
  <si>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</si>
  <si>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</si>
  <si>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</si>
  <si>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</si>
  <si>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</si>
  <si>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</si>
  <si>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</si>
  <si>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</si>
  <si>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</si>
  <si>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</si>
  <si>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Erable champêtre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</si>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</sst>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9" fillId="14" borderId="1" xfId="0" applyNumberFormat="1" applyFont="1" applyFill="1" applyBorder="1" applyAlignment="1" applyProtection="1">
      <alignment horizontal="center"/>
      <protection locked="0"/>
    </xf>
    <xf numFmtId="3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1.9203140204256501</c:v>
                </c:pt>
                <c:pt idx="2">
                  <c:v>2.5373503253163028</c:v>
                </c:pt>
                <c:pt idx="3">
                  <c:v>3.3534746967486257</c:v>
                </c:pt>
                <c:pt idx="4">
                  <c:v>4.4331733568756295</c:v>
                </c:pt>
                <c:pt idx="5">
                  <c:v>5.8618959087124844</c:v>
                </c:pt>
                <c:pt idx="6">
                  <c:v>7.7528930525398989</c:v>
                </c:pt>
                <c:pt idx="7">
                  <c:v>10.25629147060061</c:v>
                </c:pt>
                <c:pt idx="8">
                  <c:v>13.571139900979007</c:v>
                </c:pt>
                <c:pt idx="9">
                  <c:v>17.961401872259763</c:v>
                </c:pt>
                <c:pt idx="10">
                  <c:v>23.777191628409394</c:v>
                </c:pt>
                <c:pt idx="11">
                  <c:v>31.482976739683497</c:v>
                </c:pt>
                <c:pt idx="12">
                  <c:v>41.695038777497835</c:v>
                </c:pt>
                <c:pt idx="13">
                  <c:v>55.231238828767289</c:v>
                </c:pt>
                <c:pt idx="14">
                  <c:v>73.177139575199462</c:v>
                </c:pt>
                <c:pt idx="15">
                  <c:v>96.973872761809389</c:v>
                </c:pt>
                <c:pt idx="16">
                  <c:v>128.5349201061963</c:v>
                </c:pt>
                <c:pt idx="17">
                  <c:v>170.40134351085038</c:v>
                </c:pt>
                <c:pt idx="18">
                  <c:v>225.94815187984651</c:v>
                </c:pt>
                <c:pt idx="19">
                  <c:v>167.16296506232308</c:v>
                </c:pt>
                <c:pt idx="20">
                  <c:v>192.18884674319466</c:v>
                </c:pt>
                <c:pt idx="21">
                  <c:v>217.1388300933443</c:v>
                </c:pt>
                <c:pt idx="22">
                  <c:v>242.02286555553883</c:v>
                </c:pt>
                <c:pt idx="23">
                  <c:v>266.84868659023806</c:v>
                </c:pt>
                <c:pt idx="24">
                  <c:v>291.62246867343509</c:v>
                </c:pt>
                <c:pt idx="25">
                  <c:v>267.83973847752952</c:v>
                </c:pt>
                <c:pt idx="26">
                  <c:v>295.20984442190121</c:v>
                </c:pt>
                <c:pt idx="27">
                  <c:v>322.52334414346899</c:v>
                </c:pt>
                <c:pt idx="28">
                  <c:v>349.78570168538204</c:v>
                </c:pt>
                <c:pt idx="29">
                  <c:v>377.00145988014447</c:v>
                </c:pt>
                <c:pt idx="30">
                  <c:v>404.17445235272709</c:v>
                </c:pt>
                <c:pt idx="31">
                  <c:v>353.21192913215128</c:v>
                </c:pt>
                <c:pt idx="32">
                  <c:v>380.489293957889</c:v>
                </c:pt>
                <c:pt idx="33">
                  <c:v>407.72413218176933</c:v>
                </c:pt>
                <c:pt idx="34">
                  <c:v>434.91968080096325</c:v>
                </c:pt>
                <c:pt idx="35">
                  <c:v>462.0787392553421</c:v>
                </c:pt>
                <c:pt idx="36">
                  <c:v>489.2037513380601</c:v>
                </c:pt>
                <c:pt idx="37">
                  <c:v>433.59961837417922</c:v>
                </c:pt>
                <c:pt idx="38">
                  <c:v>460.20839309591241</c:v>
                </c:pt>
                <c:pt idx="39">
                  <c:v>486.78434106566425</c:v>
                </c:pt>
                <c:pt idx="40">
                  <c:v>513.3295043673719</c:v>
                </c:pt>
                <c:pt idx="41">
                  <c:v>539.84569687343048</c:v>
                </c:pt>
                <c:pt idx="42">
                  <c:v>566.33453992930242</c:v>
                </c:pt>
                <c:pt idx="43">
                  <c:v>505.12943759596516</c:v>
                </c:pt>
                <c:pt idx="44">
                  <c:v>530.71596264955372</c:v>
                </c:pt>
                <c:pt idx="45">
                  <c:v>556.27653997499021</c:v>
                </c:pt>
                <c:pt idx="46">
                  <c:v>581.81252811739625</c:v>
                </c:pt>
                <c:pt idx="47">
                  <c:v>607.3251567793933</c:v>
                </c:pt>
                <c:pt idx="48">
                  <c:v>632.81554404720976</c:v>
                </c:pt>
                <c:pt idx="49">
                  <c:v>561.06523631130233</c:v>
                </c:pt>
                <c:pt idx="50">
                  <c:v>585.27746753250301</c:v>
                </c:pt>
                <c:pt idx="51">
                  <c:v>609.46883491347808</c:v>
                </c:pt>
                <c:pt idx="52">
                  <c:v>633.64028212185701</c:v>
                </c:pt>
                <c:pt idx="53">
                  <c:v>657.79267504360621</c:v>
                </c:pt>
                <c:pt idx="54">
                  <c:v>681.92681087155893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2.5429178512299973</c:v>
                </c:pt>
                <c:pt idx="2">
                  <c:v>2.9456516874549741</c:v>
                </c:pt>
                <c:pt idx="3">
                  <c:v>3.4123992928290199</c:v>
                </c:pt>
                <c:pt idx="4">
                  <c:v>3.9533702250153646</c:v>
                </c:pt>
                <c:pt idx="5">
                  <c:v>4.5804075574040661</c:v>
                </c:pt>
                <c:pt idx="6">
                  <c:v>5.3072500141928769</c:v>
                </c:pt>
                <c:pt idx="7">
                  <c:v>6.1498362862650646</c:v>
                </c:pt>
                <c:pt idx="8">
                  <c:v>7.1266583323611288</c:v>
                </c:pt>
                <c:pt idx="9">
                  <c:v>8.2591715702511497</c:v>
                </c:pt>
                <c:pt idx="10">
                  <c:v>9.5722711410879242</c:v>
                </c:pt>
                <c:pt idx="11">
                  <c:v>11.094844915797003</c:v>
                </c:pt>
                <c:pt idx="12">
                  <c:v>12.860415638882102</c:v>
                </c:pt>
                <c:pt idx="13">
                  <c:v>14.907886611509575</c:v>
                </c:pt>
                <c:pt idx="14">
                  <c:v>17.282407647663636</c:v>
                </c:pt>
                <c:pt idx="15">
                  <c:v>20.036380747414992</c:v>
                </c:pt>
                <c:pt idx="16">
                  <c:v>23.230628081405936</c:v>
                </c:pt>
                <c:pt idx="17">
                  <c:v>26.935748542020491</c:v>
                </c:pt>
                <c:pt idx="18">
                  <c:v>31.23369337251437</c:v>
                </c:pt>
                <c:pt idx="19">
                  <c:v>36.219596332302103</c:v>
                </c:pt>
                <c:pt idx="20">
                  <c:v>42.00389960705747</c:v>
                </c:pt>
                <c:pt idx="21">
                  <c:v>48.714823357015241</c:v>
                </c:pt>
                <c:pt idx="22">
                  <c:v>56.501234567904305</c:v>
                </c:pt>
                <c:pt idx="23">
                  <c:v>65.535979903111794</c:v>
                </c:pt>
                <c:pt idx="24">
                  <c:v>76.019757758611675</c:v>
                </c:pt>
                <c:pt idx="25">
                  <c:v>88.185616933053481</c:v>
                </c:pt>
                <c:pt idx="26">
                  <c:v>102.30418352235762</c:v>
                </c:pt>
                <c:pt idx="27">
                  <c:v>118.6897341547331</c:v>
                </c:pt>
                <c:pt idx="28">
                  <c:v>137.70725287451742</c:v>
                </c:pt>
                <c:pt idx="29">
                  <c:v>159.78063129933361</c:v>
                </c:pt>
                <c:pt idx="30">
                  <c:v>185.40219762387332</c:v>
                </c:pt>
                <c:pt idx="31">
                  <c:v>200.21840894139982</c:v>
                </c:pt>
                <c:pt idx="32">
                  <c:v>215.00921165531906</c:v>
                </c:pt>
                <c:pt idx="33">
                  <c:v>229.77660032319537</c:v>
                </c:pt>
                <c:pt idx="34">
                  <c:v>244.52229199614086</c:v>
                </c:pt>
                <c:pt idx="35">
                  <c:v>259.24777959689567</c:v>
                </c:pt>
                <c:pt idx="36">
                  <c:v>273.95437251774672</c:v>
                </c:pt>
                <c:pt idx="37">
                  <c:v>288.64322803419367</c:v>
                </c:pt>
                <c:pt idx="38">
                  <c:v>303.31537598331357</c:v>
                </c:pt>
                <c:pt idx="39">
                  <c:v>317.97173841352787</c:v>
                </c:pt>
                <c:pt idx="40">
                  <c:v>332.61314541969597</c:v>
                </c:pt>
                <c:pt idx="41">
                  <c:v>347.24034804282337</c:v>
                </c:pt>
                <c:pt idx="42">
                  <c:v>361.85402888174957</c:v>
                </c:pt>
                <c:pt idx="43">
                  <c:v>254.05045177998628</c:v>
                </c:pt>
                <c:pt idx="44">
                  <c:v>273.30908788188759</c:v>
                </c:pt>
                <c:pt idx="45">
                  <c:v>292.53722691519516</c:v>
                </c:pt>
                <c:pt idx="46">
                  <c:v>311.73715484282963</c:v>
                </c:pt>
                <c:pt idx="47">
                  <c:v>330.91085304441197</c:v>
                </c:pt>
                <c:pt idx="48">
                  <c:v>350.06005456618703</c:v>
                </c:pt>
                <c:pt idx="49">
                  <c:v>286.89034966245754</c:v>
                </c:pt>
                <c:pt idx="50">
                  <c:v>305.85500858009215</c:v>
                </c:pt>
                <c:pt idx="51">
                  <c:v>324.79353511961989</c:v>
                </c:pt>
                <c:pt idx="52">
                  <c:v>343.7076668934921</c:v>
                </c:pt>
                <c:pt idx="53">
                  <c:v>362.59893469310401</c:v>
                </c:pt>
                <c:pt idx="54">
                  <c:v>381.46869682265316</c:v>
                </c:pt>
                <c:pt idx="55">
                  <c:v>313.16905698571117</c:v>
                </c:pt>
                <c:pt idx="56">
                  <c:v>331.03818873367459</c:v>
                </c:pt>
                <c:pt idx="57">
                  <c:v>348.88605288334207</c:v>
                </c:pt>
                <c:pt idx="58">
                  <c:v>366.71389018102133</c:v>
                </c:pt>
                <c:pt idx="59">
                  <c:v>384.52281091470104</c:v>
                </c:pt>
                <c:pt idx="60">
                  <c:v>402.31381416318754</c:v>
                </c:pt>
                <c:pt idx="61">
                  <c:v>420.08780346210182</c:v>
                </c:pt>
                <c:pt idx="62">
                  <c:v>437.8455996801153</c:v>
                </c:pt>
                <c:pt idx="63">
                  <c:v>455.5879516974644</c:v>
                </c:pt>
                <c:pt idx="64">
                  <c:v>353.95712226692348</c:v>
                </c:pt>
                <c:pt idx="65">
                  <c:v>370.35688522663548</c:v>
                </c:pt>
                <c:pt idx="66">
                  <c:v>386.74081362771966</c:v>
                </c:pt>
                <c:pt idx="67">
                  <c:v>403.10967255012497</c:v>
                </c:pt>
                <c:pt idx="68">
                  <c:v>419.46415988416135</c:v>
                </c:pt>
                <c:pt idx="69">
                  <c:v>435.80491467507318</c:v>
                </c:pt>
                <c:pt idx="70">
                  <c:v>452.13252415087572</c:v>
                </c:pt>
                <c:pt idx="71">
                  <c:v>468.44752968222582</c:v>
                </c:pt>
                <c:pt idx="72">
                  <c:v>484.75043186889616</c:v>
                </c:pt>
                <c:pt idx="73">
                  <c:v>385.34418111151308</c:v>
                </c:pt>
                <c:pt idx="74">
                  <c:v>399.99106513919605</c:v>
                </c:pt>
                <c:pt idx="75">
                  <c:v>414.62634326880578</c:v>
                </c:pt>
                <c:pt idx="76">
                  <c:v>429.25048279331673</c:v>
                </c:pt>
                <c:pt idx="77">
                  <c:v>443.86391657284116</c:v>
                </c:pt>
                <c:pt idx="78">
                  <c:v>458.46704664561889</c:v>
                </c:pt>
                <c:pt idx="79">
                  <c:v>473.06024735501097</c:v>
                </c:pt>
                <c:pt idx="80">
                  <c:v>487.64386807059628</c:v>
                </c:pt>
                <c:pt idx="81">
                  <c:v>502.21823556686968</c:v>
                </c:pt>
                <c:pt idx="82">
                  <c:v>410.78433077192614</c:v>
                </c:pt>
                <c:pt idx="83">
                  <c:v>423.86951590263931</c:v>
                </c:pt>
                <c:pt idx="84">
                  <c:v>436.94600995500986</c:v>
                </c:pt>
                <c:pt idx="85">
                  <c:v>450.01410966004374</c:v>
                </c:pt>
                <c:pt idx="86">
                  <c:v>463.07409311039578</c:v>
                </c:pt>
                <c:pt idx="87">
                  <c:v>476.12622143478103</c:v>
                </c:pt>
                <c:pt idx="88">
                  <c:v>489.17074027923871</c:v>
                </c:pt>
                <c:pt idx="89">
                  <c:v>502.20788112218662</c:v>
                </c:pt>
                <c:pt idx="90">
                  <c:v>515.23786244583641</c:v>
                </c:pt>
                <c:pt idx="91">
                  <c:v>430.84903664517725</c:v>
                </c:pt>
                <c:pt idx="92">
                  <c:v>442.51945485773354</c:v>
                </c:pt>
                <c:pt idx="93">
                  <c:v>454.1832792300529</c:v>
                </c:pt>
                <c:pt idx="94">
                  <c:v>465.84070297227248</c:v>
                </c:pt>
                <c:pt idx="95">
                  <c:v>477.49190883547925</c:v>
                </c:pt>
                <c:pt idx="96">
                  <c:v>489.13706992469861</c:v>
                </c:pt>
                <c:pt idx="97">
                  <c:v>500.77635043043279</c:v>
                </c:pt>
                <c:pt idx="98">
                  <c:v>512.4099062886537</c:v>
                </c:pt>
                <c:pt idx="99">
                  <c:v>524.03788577774696</c:v>
                </c:pt>
                <c:pt idx="100">
                  <c:v>436.52151442746043</c:v>
                </c:pt>
                <c:pt idx="101">
                  <c:v>446.79262062108199</c:v>
                </c:pt>
                <c:pt idx="102">
                  <c:v>457.05867291782783</c:v>
                </c:pt>
                <c:pt idx="103">
                  <c:v>467.31980085891377</c:v>
                </c:pt>
                <c:pt idx="104">
                  <c:v>477.57612783175529</c:v>
                </c:pt>
                <c:pt idx="105">
                  <c:v>487.82777149101111</c:v>
                </c:pt>
                <c:pt idx="106">
                  <c:v>498.07484414238871</c:v>
                </c:pt>
                <c:pt idx="107">
                  <c:v>508.31745309322224</c:v>
                </c:pt>
                <c:pt idx="108">
                  <c:v>518.55570097332179</c:v>
                </c:pt>
                <c:pt idx="109">
                  <c:v>528.78968602916552</c:v>
                </c:pt>
                <c:pt idx="110">
                  <c:v>539.01950239413429</c:v>
                </c:pt>
                <c:pt idx="111">
                  <c:v>549.24524033716591</c:v>
                </c:pt>
                <c:pt idx="112">
                  <c:v>360.65976316043208</c:v>
                </c:pt>
                <c:pt idx="113">
                  <c:v>369.08348977378813</c:v>
                </c:pt>
                <c:pt idx="114">
                  <c:v>377.50302204831195</c:v>
                </c:pt>
                <c:pt idx="115">
                  <c:v>385.91846678404823</c:v>
                </c:pt>
                <c:pt idx="116">
                  <c:v>394.32992574027008</c:v>
                </c:pt>
                <c:pt idx="117">
                  <c:v>267.72278632342648</c:v>
                </c:pt>
                <c:pt idx="118">
                  <c:v>274.46664122010094</c:v>
                </c:pt>
                <c:pt idx="119">
                  <c:v>281.20677323982733</c:v>
                </c:pt>
                <c:pt idx="120">
                  <c:v>287.94328431562616</c:v>
                </c:pt>
                <c:pt idx="121">
                  <c:v>294.67627121581432</c:v>
                </c:pt>
                <c:pt idx="122">
                  <c:v>177.15925468747449</c:v>
                </c:pt>
                <c:pt idx="123">
                  <c:v>181.97739130049476</c:v>
                </c:pt>
                <c:pt idx="124">
                  <c:v>186.79254320044149</c:v>
                </c:pt>
                <c:pt idx="125">
                  <c:v>191.60479835461936</c:v>
                </c:pt>
                <c:pt idx="126">
                  <c:v>7.2667013513884219E-12</c:v>
                </c:pt>
                <c:pt idx="127">
                  <c:v>7.2667013513884219E-12</c:v>
                </c:pt>
                <c:pt idx="128">
                  <c:v>7.2667013513884219E-12</c:v>
                </c:pt>
                <c:pt idx="129">
                  <c:v>7.2667013513884219E-12</c:v>
                </c:pt>
                <c:pt idx="130">
                  <c:v>7.2667013513884219E-12</c:v>
                </c:pt>
                <c:pt idx="131">
                  <c:v>7.2667013513884219E-12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9" t="s">
        <v>0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5">
      <c r="B18" s="259" t="s">
        <v>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4" zoomScale="85" zoomScaleNormal="85" workbookViewId="0">
      <selection activeCell="D130" sqref="D13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4" t="s">
        <v>2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0" t="s">
        <v>7</v>
      </c>
      <c r="B5" s="270"/>
      <c r="C5" s="24">
        <v>3.7759999999999998</v>
      </c>
      <c r="D5" s="271" t="s">
        <v>8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9" t="s">
        <v>9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0.3</v>
      </c>
      <c r="D9" s="33">
        <f t="shared" ref="D9:D18" si="0">C9*$C$5</f>
        <v>1.1327999999999998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0.3</v>
      </c>
      <c r="D10" s="33">
        <f t="shared" si="0"/>
        <v>1.1327999999999998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 t="s">
        <v>21</v>
      </c>
      <c r="C11" s="32">
        <v>0.1</v>
      </c>
      <c r="D11" s="33">
        <f t="shared" si="0"/>
        <v>0.37759999999999999</v>
      </c>
      <c r="E11" s="34">
        <v>125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22</v>
      </c>
      <c r="B12" s="31" t="s">
        <v>23</v>
      </c>
      <c r="C12" s="32">
        <v>0.3</v>
      </c>
      <c r="D12" s="33">
        <f t="shared" si="0"/>
        <v>1.1327999999999998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25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26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27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28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29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30</v>
      </c>
      <c r="C19" s="37">
        <f>SUM(C9:C18)</f>
        <v>1</v>
      </c>
      <c r="D19" s="38">
        <f>SUM(D9:D18)</f>
        <v>3.7759999999999998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8" t="s">
        <v>31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32</v>
      </c>
      <c r="B24" s="42" t="s">
        <v>33</v>
      </c>
      <c r="C24" s="43">
        <v>0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37</v>
      </c>
      <c r="B26" s="42" t="s">
        <v>38</v>
      </c>
      <c r="C26" s="43">
        <v>0.15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9" t="s">
        <v>43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Douglas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45</v>
      </c>
      <c r="C34" s="260" t="s">
        <v>46</v>
      </c>
      <c r="D34" s="260"/>
      <c r="E34" s="261" t="s">
        <v>47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18</v>
      </c>
      <c r="B36" s="60">
        <v>182.8923077</v>
      </c>
      <c r="C36" s="60">
        <v>1</v>
      </c>
      <c r="D36" s="60">
        <v>69.284615380000005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10.160683761111111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24</v>
      </c>
      <c r="B37" s="60">
        <v>237.56153850000001</v>
      </c>
      <c r="C37" s="60">
        <v>2</v>
      </c>
      <c r="D37" s="60">
        <v>42.661538460000003</v>
      </c>
      <c r="E37" s="51">
        <v>0.7</v>
      </c>
      <c r="F37" s="51">
        <v>0.17</v>
      </c>
      <c r="G37" s="51">
        <v>0.13</v>
      </c>
      <c r="H37" s="51">
        <v>0</v>
      </c>
      <c r="I37" s="53">
        <f t="shared" ref="I37:I55" si="1">IF(A37&lt;&gt;0,(B37-(B36-D36))/(A37-A36),"")</f>
        <v>20.658974363333336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331.86923080000003</v>
      </c>
      <c r="C38" s="60">
        <v>3</v>
      </c>
      <c r="D38" s="60">
        <v>65.669230769999999</v>
      </c>
      <c r="E38" s="51">
        <v>0.7</v>
      </c>
      <c r="F38" s="51">
        <v>0.17</v>
      </c>
      <c r="G38" s="51">
        <v>0.13</v>
      </c>
      <c r="H38" s="51">
        <v>0</v>
      </c>
      <c r="I38" s="53">
        <f t="shared" si="1"/>
        <v>22.828205126666671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36</v>
      </c>
      <c r="B39" s="60">
        <v>403.50769229999997</v>
      </c>
      <c r="C39" s="60">
        <v>4</v>
      </c>
      <c r="D39" s="60">
        <v>69.3</v>
      </c>
      <c r="E39" s="51">
        <v>0.7</v>
      </c>
      <c r="F39" s="51">
        <v>0.17</v>
      </c>
      <c r="G39" s="51">
        <v>0.13</v>
      </c>
      <c r="H39" s="51">
        <v>0</v>
      </c>
      <c r="I39" s="49">
        <f t="shared" si="1"/>
        <v>22.884615378333326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42</v>
      </c>
      <c r="B40" s="60">
        <v>468.72307690000002</v>
      </c>
      <c r="C40" s="60">
        <v>5</v>
      </c>
      <c r="D40" s="60">
        <v>73.392307689999996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22.419230766666676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48</v>
      </c>
      <c r="B41" s="60">
        <v>525.08461539999996</v>
      </c>
      <c r="C41" s="60">
        <v>6</v>
      </c>
      <c r="D41" s="60">
        <v>81.330769230000001</v>
      </c>
      <c r="E41" s="51">
        <v>0.7</v>
      </c>
      <c r="F41" s="51">
        <v>0.17</v>
      </c>
      <c r="G41" s="51">
        <v>0.13</v>
      </c>
      <c r="H41" s="51">
        <v>0</v>
      </c>
      <c r="I41" s="53">
        <f t="shared" si="1"/>
        <v>21.625641031666657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0.17</v>
      </c>
      <c r="G42" s="51">
        <v>0.13</v>
      </c>
      <c r="H42" s="51">
        <v>0</v>
      </c>
      <c r="I42" s="53">
        <f t="shared" si="1"/>
        <v>20.507692304999996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Pin laricio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45</v>
      </c>
      <c r="C60" s="260" t="s">
        <v>46</v>
      </c>
      <c r="D60" s="260"/>
      <c r="E60" s="261" t="s">
        <v>47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19</v>
      </c>
      <c r="B62" s="257">
        <v>127.98461538461538</v>
      </c>
      <c r="C62" s="60">
        <v>1</v>
      </c>
      <c r="D62" s="257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24</v>
      </c>
      <c r="B63" s="257">
        <v>159.94615384615383</v>
      </c>
      <c r="C63" s="60">
        <v>2</v>
      </c>
      <c r="D63" s="257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257">
        <v>215.65384615384616</v>
      </c>
      <c r="C64" s="60">
        <v>3</v>
      </c>
      <c r="D64" s="257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37</v>
      </c>
      <c r="B65" s="257">
        <v>268.16923076923075</v>
      </c>
      <c r="C65" s="60">
        <v>4</v>
      </c>
      <c r="D65" s="257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46</v>
      </c>
      <c r="B66" s="257">
        <v>362.82307692307688</v>
      </c>
      <c r="C66" s="60">
        <v>5</v>
      </c>
      <c r="D66" s="257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56</v>
      </c>
      <c r="B67" s="60">
        <v>428.20000000000005</v>
      </c>
      <c r="C67" s="60">
        <v>6</v>
      </c>
      <c r="D67" s="257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66</v>
      </c>
      <c r="B68" s="257">
        <v>488.65384615384613</v>
      </c>
      <c r="C68" s="60">
        <v>7</v>
      </c>
      <c r="D68" s="257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76</v>
      </c>
      <c r="B69" s="258">
        <v>520.22307692307686</v>
      </c>
      <c r="C69" s="50">
        <v>8</v>
      </c>
      <c r="D69" s="258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>Hêtre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45</v>
      </c>
      <c r="C86" s="260" t="s">
        <v>46</v>
      </c>
      <c r="D86" s="260"/>
      <c r="E86" s="261" t="s">
        <v>47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v>97.282051280000005</v>
      </c>
      <c r="C88" s="60" t="s">
        <v>57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3.2427350426666668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42</v>
      </c>
      <c r="B89" s="60">
        <v>193.06410260000001</v>
      </c>
      <c r="C89" s="60">
        <v>1</v>
      </c>
      <c r="D89" s="60">
        <v>69.141025639999995</v>
      </c>
      <c r="E89" s="51">
        <v>0</v>
      </c>
      <c r="F89" s="51">
        <v>0</v>
      </c>
      <c r="G89" s="51">
        <v>0</v>
      </c>
      <c r="H89" s="87">
        <v>0</v>
      </c>
      <c r="I89" s="53">
        <f t="shared" ref="I89:I107" si="3">IF(A89&lt;&gt;0,(B89-(B88-D88))/(A89-A88),"")</f>
        <v>7.9818376100000004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48</v>
      </c>
      <c r="B90" s="60">
        <v>186.6217949</v>
      </c>
      <c r="C90" s="60">
        <v>2</v>
      </c>
      <c r="D90" s="60">
        <v>44.737179490000003</v>
      </c>
      <c r="E90" s="87">
        <v>0</v>
      </c>
      <c r="F90" s="87">
        <v>0</v>
      </c>
      <c r="G90" s="87">
        <v>0</v>
      </c>
      <c r="H90" s="87">
        <v>0</v>
      </c>
      <c r="I90" s="53">
        <f t="shared" si="3"/>
        <v>10.449786323333329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54</v>
      </c>
      <c r="B91" s="60">
        <v>203.78846150000001</v>
      </c>
      <c r="C91" s="60">
        <v>3</v>
      </c>
      <c r="D91" s="60">
        <v>47.025641030000003</v>
      </c>
      <c r="E91" s="87">
        <v>0</v>
      </c>
      <c r="F91" s="87">
        <v>0</v>
      </c>
      <c r="G91" s="87">
        <v>0</v>
      </c>
      <c r="H91" s="87">
        <v>0</v>
      </c>
      <c r="I91" s="53">
        <f t="shared" si="3"/>
        <v>10.317307681666671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63</v>
      </c>
      <c r="B92" s="60">
        <v>244.41666670000001</v>
      </c>
      <c r="C92" s="60">
        <v>4</v>
      </c>
      <c r="D92" s="60">
        <v>64.628205129999998</v>
      </c>
      <c r="E92" s="87">
        <v>0</v>
      </c>
      <c r="F92" s="87">
        <v>0</v>
      </c>
      <c r="G92" s="87">
        <v>0</v>
      </c>
      <c r="H92" s="87">
        <v>0</v>
      </c>
      <c r="I92" s="53">
        <f t="shared" si="3"/>
        <v>9.7393162477777775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72</v>
      </c>
      <c r="B93" s="60">
        <v>260.44230770000001</v>
      </c>
      <c r="C93" s="60">
        <v>5</v>
      </c>
      <c r="D93" s="60">
        <v>62.551282049999998</v>
      </c>
      <c r="E93" s="87">
        <v>0</v>
      </c>
      <c r="F93" s="87">
        <v>0</v>
      </c>
      <c r="G93" s="87">
        <v>0</v>
      </c>
      <c r="H93" s="87">
        <v>0</v>
      </c>
      <c r="I93" s="53">
        <f t="shared" si="3"/>
        <v>8.9615384588888887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81</v>
      </c>
      <c r="B94" s="60">
        <v>270.05128209999998</v>
      </c>
      <c r="C94" s="60">
        <v>6</v>
      </c>
      <c r="D94" s="60">
        <v>57.38461538</v>
      </c>
      <c r="E94" s="87">
        <v>0</v>
      </c>
      <c r="F94" s="87">
        <v>0</v>
      </c>
      <c r="G94" s="87">
        <v>0</v>
      </c>
      <c r="H94" s="87">
        <v>0</v>
      </c>
      <c r="I94" s="53">
        <f t="shared" si="3"/>
        <v>8.0178062722222183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277.21794870000002</v>
      </c>
      <c r="C95" s="60">
        <v>7</v>
      </c>
      <c r="D95" s="60">
        <v>52.782051279999997</v>
      </c>
      <c r="E95" s="87">
        <v>0</v>
      </c>
      <c r="F95" s="87">
        <v>0</v>
      </c>
      <c r="G95" s="87">
        <v>0</v>
      </c>
      <c r="H95" s="87">
        <v>0</v>
      </c>
      <c r="I95" s="53">
        <f t="shared" si="3"/>
        <v>7.1723646644444505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99</v>
      </c>
      <c r="B96" s="60">
        <v>282.06410260000001</v>
      </c>
      <c r="C96" s="60">
        <v>8</v>
      </c>
      <c r="D96" s="60">
        <v>53.75</v>
      </c>
      <c r="E96" s="87">
        <v>0</v>
      </c>
      <c r="F96" s="87">
        <v>0</v>
      </c>
      <c r="G96" s="87">
        <v>0</v>
      </c>
      <c r="H96" s="87">
        <v>0</v>
      </c>
      <c r="I96" s="53">
        <f t="shared" si="3"/>
        <v>6.4031339088888863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111</v>
      </c>
      <c r="B97" s="60">
        <v>295.95512819999999</v>
      </c>
      <c r="C97" s="60">
        <v>9</v>
      </c>
      <c r="D97" s="60">
        <v>108.1474359</v>
      </c>
      <c r="E97" s="87">
        <v>0</v>
      </c>
      <c r="F97" s="87">
        <v>0</v>
      </c>
      <c r="G97" s="87">
        <v>0</v>
      </c>
      <c r="H97" s="87">
        <v>0</v>
      </c>
      <c r="I97" s="53">
        <f t="shared" si="3"/>
        <v>5.6367521333333315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116</v>
      </c>
      <c r="B98" s="60">
        <v>210.82692309999999</v>
      </c>
      <c r="C98" s="60">
        <v>10</v>
      </c>
      <c r="D98" s="60">
        <v>72.698717950000002</v>
      </c>
      <c r="E98" s="87">
        <v>0</v>
      </c>
      <c r="F98" s="87">
        <v>0</v>
      </c>
      <c r="G98" s="87">
        <v>0</v>
      </c>
      <c r="H98" s="87">
        <v>0</v>
      </c>
      <c r="I98" s="53">
        <f t="shared" si="3"/>
        <v>4.6038461600000007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121</v>
      </c>
      <c r="B99" s="60">
        <v>156.43589739999999</v>
      </c>
      <c r="C99" s="60">
        <v>11</v>
      </c>
      <c r="D99" s="60">
        <v>66.179487179999995</v>
      </c>
      <c r="E99" s="87">
        <v>0</v>
      </c>
      <c r="F99" s="87">
        <v>0</v>
      </c>
      <c r="G99" s="87">
        <v>0</v>
      </c>
      <c r="H99" s="87">
        <v>0</v>
      </c>
      <c r="I99" s="53">
        <f t="shared" si="3"/>
        <v>3.6615384500000006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125</v>
      </c>
      <c r="B100" s="60">
        <v>100.6217949</v>
      </c>
      <c r="C100" s="60">
        <v>12</v>
      </c>
      <c r="D100" s="60">
        <v>100.6217949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3"/>
        <v>2.5913461700000013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22</v>
      </c>
      <c r="B110" s="52" t="str">
        <f>IF(B12="","",B12)</f>
        <v>Châtaignier</v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45</v>
      </c>
      <c r="C112" s="260" t="s">
        <v>46</v>
      </c>
      <c r="D112" s="260"/>
      <c r="E112" s="261" t="s">
        <v>47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v>65</v>
      </c>
      <c r="C115" s="50">
        <v>1</v>
      </c>
      <c r="D115" s="60">
        <v>32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102</v>
      </c>
      <c r="C116" s="50">
        <v>2</v>
      </c>
      <c r="D116" s="60">
        <v>35</v>
      </c>
      <c r="E116" s="51">
        <v>0</v>
      </c>
      <c r="F116" s="51">
        <v>0.03</v>
      </c>
      <c r="G116" s="51">
        <v>0</v>
      </c>
      <c r="H116" s="51">
        <v>0.97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v>141</v>
      </c>
      <c r="C117" s="50">
        <v>3</v>
      </c>
      <c r="D117" s="60">
        <v>35</v>
      </c>
      <c r="E117" s="51">
        <v>0.03</v>
      </c>
      <c r="F117" s="51">
        <v>0.23</v>
      </c>
      <c r="G117" s="51">
        <v>0</v>
      </c>
      <c r="H117" s="51">
        <v>0.74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v>177</v>
      </c>
      <c r="C118" s="50">
        <v>4</v>
      </c>
      <c r="D118" s="60">
        <v>35</v>
      </c>
      <c r="E118" s="51">
        <v>0.2</v>
      </c>
      <c r="F118" s="51">
        <v>0.43</v>
      </c>
      <c r="G118" s="51">
        <v>0</v>
      </c>
      <c r="H118" s="51">
        <v>0.37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v>206</v>
      </c>
      <c r="C119" s="50">
        <v>5</v>
      </c>
      <c r="D119" s="60">
        <v>35</v>
      </c>
      <c r="E119" s="51">
        <v>0.49</v>
      </c>
      <c r="F119" s="51">
        <v>0.34</v>
      </c>
      <c r="G119" s="51">
        <v>0</v>
      </c>
      <c r="H119" s="51">
        <v>0.17</v>
      </c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228</v>
      </c>
      <c r="C120" s="60">
        <v>6</v>
      </c>
      <c r="D120" s="60">
        <v>35</v>
      </c>
      <c r="E120" s="87">
        <v>0.71</v>
      </c>
      <c r="F120" s="87">
        <v>0.2</v>
      </c>
      <c r="G120" s="87">
        <v>0</v>
      </c>
      <c r="H120" s="87">
        <v>0.09</v>
      </c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v>242</v>
      </c>
      <c r="C121" s="60">
        <v>7</v>
      </c>
      <c r="D121" s="60">
        <v>24</v>
      </c>
      <c r="E121" s="87">
        <v>0.83</v>
      </c>
      <c r="F121" s="87">
        <v>0.13</v>
      </c>
      <c r="G121" s="87">
        <v>0</v>
      </c>
      <c r="H121" s="87">
        <v>0.04</v>
      </c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v>261</v>
      </c>
      <c r="C122" s="60">
        <v>8</v>
      </c>
      <c r="D122" s="60">
        <v>19</v>
      </c>
      <c r="E122" s="87">
        <v>0.84</v>
      </c>
      <c r="F122" s="87">
        <v>0.11</v>
      </c>
      <c r="G122" s="87">
        <v>0</v>
      </c>
      <c r="H122" s="87">
        <v>0.05</v>
      </c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v>279</v>
      </c>
      <c r="C123" s="60">
        <v>9</v>
      </c>
      <c r="D123" s="60">
        <v>16</v>
      </c>
      <c r="E123" s="87">
        <v>0.88</v>
      </c>
      <c r="F123" s="87">
        <v>0.06</v>
      </c>
      <c r="G123" s="87">
        <v>0</v>
      </c>
      <c r="H123" s="87">
        <v>0.06</v>
      </c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v>294</v>
      </c>
      <c r="C124" s="60">
        <v>10</v>
      </c>
      <c r="D124" s="60">
        <v>14</v>
      </c>
      <c r="E124" s="87">
        <v>0.93</v>
      </c>
      <c r="F124" s="87">
        <v>7.0000000000000007E-2</v>
      </c>
      <c r="G124" s="87">
        <v>0</v>
      </c>
      <c r="H124" s="87">
        <v>0</v>
      </c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v>306</v>
      </c>
      <c r="C125" s="60">
        <v>11</v>
      </c>
      <c r="D125" s="60">
        <v>13</v>
      </c>
      <c r="E125" s="87">
        <v>0.92</v>
      </c>
      <c r="F125" s="87">
        <v>0.08</v>
      </c>
      <c r="G125" s="87">
        <v>0</v>
      </c>
      <c r="H125" s="87">
        <v>0</v>
      </c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316</v>
      </c>
      <c r="C126" s="60">
        <v>12</v>
      </c>
      <c r="D126" s="60">
        <v>13</v>
      </c>
      <c r="E126" s="65">
        <v>0.92</v>
      </c>
      <c r="F126" s="65">
        <v>0</v>
      </c>
      <c r="G126" s="65">
        <v>0</v>
      </c>
      <c r="H126" s="65">
        <v>0.08</v>
      </c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v>324</v>
      </c>
      <c r="C127" s="60">
        <v>13</v>
      </c>
      <c r="D127" s="60">
        <v>12</v>
      </c>
      <c r="E127" s="65">
        <v>0.92</v>
      </c>
      <c r="F127" s="65">
        <v>0</v>
      </c>
      <c r="G127" s="65">
        <v>0</v>
      </c>
      <c r="H127" s="65">
        <v>0.08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330</v>
      </c>
      <c r="C128" s="50">
        <v>14</v>
      </c>
      <c r="D128" s="50">
        <v>11</v>
      </c>
      <c r="E128" s="54">
        <v>0.91</v>
      </c>
      <c r="F128" s="54">
        <v>0.09</v>
      </c>
      <c r="G128" s="54">
        <v>0</v>
      </c>
      <c r="H128" s="54">
        <v>0</v>
      </c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24</v>
      </c>
      <c r="B136" s="52" t="str">
        <f>IF(B13="","",B13)</f>
        <v/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45</v>
      </c>
      <c r="C138" s="260" t="s">
        <v>46</v>
      </c>
      <c r="D138" s="260"/>
      <c r="E138" s="261" t="s">
        <v>47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25</v>
      </c>
      <c r="B162" s="52" t="str">
        <f>IF(B14="","",B14)</f>
        <v/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45</v>
      </c>
      <c r="C164" s="260" t="s">
        <v>46</v>
      </c>
      <c r="D164" s="260"/>
      <c r="E164" s="261" t="s">
        <v>47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26</v>
      </c>
      <c r="B188" s="52" t="str">
        <f>IF(B15="","",B15)</f>
        <v/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45</v>
      </c>
      <c r="C190" s="260" t="s">
        <v>46</v>
      </c>
      <c r="D190" s="260"/>
      <c r="E190" s="261" t="s">
        <v>47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27</v>
      </c>
      <c r="B214" s="52" t="str">
        <f>IF(B16="","",B16)</f>
        <v/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45</v>
      </c>
      <c r="C216" s="260" t="s">
        <v>46</v>
      </c>
      <c r="D216" s="260"/>
      <c r="E216" s="261" t="s">
        <v>47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28</v>
      </c>
      <c r="B240" s="52" t="str">
        <f>IF(B17="","",B17)</f>
        <v/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45</v>
      </c>
      <c r="C242" s="260" t="s">
        <v>46</v>
      </c>
      <c r="D242" s="260"/>
      <c r="E242" s="261" t="s">
        <v>47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29</v>
      </c>
      <c r="B266" s="52" t="str">
        <f>IF(B18="","",B18)</f>
        <v/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45</v>
      </c>
      <c r="C268" s="260" t="s">
        <v>46</v>
      </c>
      <c r="D268" s="260"/>
      <c r="E268" s="261" t="s">
        <v>47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4" t="s">
        <v>58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0" t="s">
        <v>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Pin laricio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Hêtre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Châtaignier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75.75" thickBot="1" x14ac:dyDescent="0.3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52</v>
      </c>
      <c r="X2" s="7" t="s">
        <v>53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52</v>
      </c>
      <c r="AS2" s="7" t="s">
        <v>53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52</v>
      </c>
      <c r="BN2" s="7" t="s">
        <v>53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52</v>
      </c>
      <c r="CI2" s="7" t="s">
        <v>53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52</v>
      </c>
      <c r="DD2" s="7" t="s">
        <v>53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52</v>
      </c>
      <c r="DY2" s="7" t="s">
        <v>53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52</v>
      </c>
      <c r="ET2" s="7" t="s">
        <v>53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52</v>
      </c>
      <c r="FO2" s="7" t="s">
        <v>53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52</v>
      </c>
      <c r="GJ2" s="7" t="s">
        <v>53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52</v>
      </c>
      <c r="HE2" s="7" t="s">
        <v>53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281.14678081581229</v>
      </c>
      <c r="T3" s="59">
        <f>IF('Données projet'!E9&gt;30,$R$33-$H$33,LOOKUP('Données projet'!$E$9,$A$3:$A$203,R3:R203)-LOOKUP('Données projet'!$E$9,$A$3:$A$203,$H$3:$H$203))</f>
        <v>380.81265808422603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279.9271639349646</v>
      </c>
      <c r="AO3" s="59">
        <f>IF('Données projet'!E10&gt;30,$AM$33-$H$33,LOOKUP('Données projet'!$E$10,$A$3:$A$203,AM3:AM203)-LOOKUP('Données projet'!$E$10,$A$3:$A$203,$H$3:$H$203))</f>
        <v>260.03726798406916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212.99246338839475</v>
      </c>
      <c r="BJ3" s="59">
        <f>IF('Données projet'!E11&gt;30,$BH$33-$H$33,LOOKUP('Données projet'!$E$11,$A$3:$A$203,BH3:BH203)-LOOKUP('Données projet'!$E$11,$A$3:$A$203,$H$3:$H$203))</f>
        <v>162.04040335537223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249.53949216238527</v>
      </c>
      <c r="CE3" s="59">
        <f>IF('Données projet'!E12&gt;30,$CC$33-$H$33,LOOKUP('Données projet'!$E$12,$A$3:$A$203,CC3:CC203)-LOOKUP('Données projet'!$E$12,$A$3:$A$203,$H$3:$H$203))</f>
        <v>261.78576517528217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7">
        <f t="shared" ref="H4:H67" si="1">(B4+E4+F4)*44/12+(C4+D4)*0.475*44/12</f>
        <v>258.9004833804367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10.160683761111111</v>
      </c>
      <c r="N4" s="13">
        <f>IF('Données projet'!$A$36&gt;35,N3+M4-V3,IF(A4&lt;'Données projet'!$A$36,$K$205^A4,IF(A4='Données projet'!$A$36,'Données projet'!$B$36,N3+M4-V3)))</f>
        <v>1.335603426080427</v>
      </c>
      <c r="O4" s="13">
        <f>N4*VLOOKUP('Données projet'!$B$9,Paramètres!$A$1:$I$89,3,0)*VLOOKUP('Données projet'!$B$9,Paramètres!$A$1:$I$89,5,0)</f>
        <v>0.7466023151789587</v>
      </c>
      <c r="P4" s="13">
        <f>EXP(-1.0587+0.8836*LN(O4)+0.284)</f>
        <v>0.35597032812763468</v>
      </c>
      <c r="Q4" s="20">
        <f t="shared" ref="Q4:Q34" si="2">(O4+P4)*0.475*44/12</f>
        <v>1.9203140204256501</v>
      </c>
      <c r="R4" s="59">
        <f t="shared" si="0"/>
        <v>259.80920290931454</v>
      </c>
      <c r="S4" s="59">
        <f ca="1">AVERAGE(OFFSET($R$3,0,0,'Données projet'!$E$9+1,1))-AVERAGE(OFFSET($H$3,0,0,'Données projet'!$E$9+1,1))</f>
        <v>281.14678081581229</v>
      </c>
      <c r="T4" s="59">
        <f>$T$3</f>
        <v>380.81265808422603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259.87197873029919</v>
      </c>
      <c r="AN4" s="59">
        <f ca="1">AVERAGE(OFFSET($AM$3,0,0,'Données projet'!$E$10+1,1))-AVERAGE(OFFSET($H$3,0,0,'Données projet'!$E$10+1,1))</f>
        <v>279.9271639349646</v>
      </c>
      <c r="AO4" s="59">
        <f>$AO$3</f>
        <v>260.03726798406916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3.2427350426666668</v>
      </c>
      <c r="BD4" s="12">
        <f>IF('Données projet'!$A$88&gt;35,BD3+BC4-BL3,IF(A4&lt;'Données projet'!$A$88,$BA$205^A4,IF(A4='Données projet'!$A$88,'Données projet'!$B$88,BD3+BC4-BL3)))</f>
        <v>1.1648439739921734</v>
      </c>
      <c r="BE4" s="13">
        <f>BD4*VLOOKUP('Données projet'!$B$11,Paramètres!$A$1:$I$89,3,0)*VLOOKUP('Données projet'!$B$11,Paramètres!$A$1:$I$89,5,0)</f>
        <v>0.99943612968528484</v>
      </c>
      <c r="BF4" s="13">
        <f>EXP(-1.0587+0.8836*LN(BE4)+0.284)</f>
        <v>0.46061239733672321</v>
      </c>
      <c r="BG4" s="20">
        <f t="shared" ref="BG4:BG67" si="7">(BE4+BF4)*0.475*44/12</f>
        <v>2.5429178512299973</v>
      </c>
      <c r="BH4" s="59">
        <f t="shared" ref="BH4:BH67" si="8">BG4+(AY4+AZ4)*44/12</f>
        <v>260.43180674011887</v>
      </c>
      <c r="BI4" s="59">
        <f ca="1">AVERAGE(OFFSET($BH$3,0,0,'Données projet'!$E$11+1,1))-AVERAGE(OFFSET($H$3,0,0,'Données projet'!$E$11+1,1))</f>
        <v>212.99246338839475</v>
      </c>
      <c r="BJ4" s="59">
        <f>$BJ$3</f>
        <v>162.04040335537223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0.93188372027207511</v>
      </c>
      <c r="CA4" s="13">
        <f>EXP(-1.0587+0.8836*LN(BZ4)+0.284)</f>
        <v>0.43299221190803017</v>
      </c>
      <c r="CB4" s="20">
        <f t="shared" ref="CB4:CB67" si="10">(BZ4+CA4)*0.475*44/12</f>
        <v>2.3771589152136832</v>
      </c>
      <c r="CC4" s="59">
        <f t="shared" ref="CC4:CC67" si="11">CB4+(BT4+BU4)*44/12</f>
        <v>260.26604780410253</v>
      </c>
      <c r="CD4" s="59">
        <f ca="1">AVERAGE(OFFSET($CC$3,0,0,'Données projet'!$E$12+1,1))-AVERAGE(OFFSET($H$3,0,0,'Données projet'!$E$12+1,1))</f>
        <v>249.53949216238527</v>
      </c>
      <c r="CE4" s="59">
        <f>$CE$3</f>
        <v>261.78576517528217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7">
        <f t="shared" si="1"/>
        <v>261.02387514162751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10.160683761111111</v>
      </c>
      <c r="N5" s="13">
        <f>IF('Données projet'!$A$36&gt;35,N4+M5-V4,IF(A5&lt;'Données projet'!$A$36,$K$205^A5,IF(A5='Données projet'!$A$36,'Données projet'!$B$36,N4+M5-V4)))</f>
        <v>1.7838365117577748</v>
      </c>
      <c r="O5" s="13">
        <f>N5*VLOOKUP('Données projet'!$B$9,Paramètres!$A$1:$I$89,3,0)*VLOOKUP('Données projet'!$B$9,Paramètres!$A$1:$I$89,5,0)</f>
        <v>0.99716461007259616</v>
      </c>
      <c r="P5" s="13">
        <f t="shared" ref="P5:P68" si="33">EXP(-1.0587+0.8836*LN(O5)+0.284)</f>
        <v>0.4596872513530324</v>
      </c>
      <c r="Q5" s="20">
        <f t="shared" si="2"/>
        <v>2.5373503253163028</v>
      </c>
      <c r="R5" s="59">
        <f t="shared" si="0"/>
        <v>261.64846143642745</v>
      </c>
      <c r="S5" s="59">
        <f ca="1">AVERAGE(OFFSET($R$3,0,0,'Données projet'!$E$9+1,1))-AVERAGE(OFFSET($H$3,0,0,'Données projet'!$E$9+1,1))</f>
        <v>281.14678081581229</v>
      </c>
      <c r="T5" s="59">
        <f t="shared" ref="T5:T68" si="34">$T$3</f>
        <v>380.81265808422603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261.64700090545813</v>
      </c>
      <c r="AN5" s="59">
        <f ca="1">AVERAGE(OFFSET($AM$3,0,0,'Données projet'!$E$10+1,1))-AVERAGE(OFFSET($H$3,0,0,'Données projet'!$E$10+1,1))</f>
        <v>279.9271639349646</v>
      </c>
      <c r="AO5" s="59">
        <f t="shared" ref="AO5:AO68" si="36">$AO$3</f>
        <v>260.03726798406916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3.2427350426666668</v>
      </c>
      <c r="BD5" s="12">
        <f>IF('Données projet'!$A$88&gt;35,BD4+BC5-BL4,IF(A5&lt;'Données projet'!$A$88,$BA$205^A5,IF(A5='Données projet'!$A$88,'Données projet'!$B$88,BD4+BC5-BL4)))</f>
        <v>1.3568614837458792</v>
      </c>
      <c r="BE5" s="13">
        <f>BD5*VLOOKUP('Données projet'!$B$11,Paramètres!$A$1:$I$89,3,0)*VLOOKUP('Données projet'!$B$11,Paramètres!$A$1:$I$89,5,0)</f>
        <v>1.1641871530539647</v>
      </c>
      <c r="BF5" s="13">
        <f t="shared" ref="BF5:BF68" si="37">EXP(-1.0587+0.8836*LN(BE5)+0.284)</f>
        <v>0.52709611247042254</v>
      </c>
      <c r="BG5" s="20">
        <f t="shared" si="7"/>
        <v>2.9456516874549741</v>
      </c>
      <c r="BH5" s="59">
        <f t="shared" si="8"/>
        <v>262.05676279856613</v>
      </c>
      <c r="BI5" s="59">
        <f ca="1">AVERAGE(OFFSET($BH$3,0,0,'Données projet'!$E$11+1,1))-AVERAGE(OFFSET($H$3,0,0,'Données projet'!$E$11+1,1))</f>
        <v>212.99246338839475</v>
      </c>
      <c r="BJ5" s="59">
        <f t="shared" ref="BJ5:BJ68" si="38">$BJ$3</f>
        <v>162.04040335537223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1.1844070759794372</v>
      </c>
      <c r="CA5" s="13">
        <f t="shared" ref="CA5:CA68" si="39">EXP(-1.0587+0.8836*LN(BZ5)+0.284)</f>
        <v>0.53517712549257934</v>
      </c>
      <c r="CB5" s="20">
        <f t="shared" si="10"/>
        <v>2.9949424842304286</v>
      </c>
      <c r="CC5" s="59">
        <f t="shared" si="11"/>
        <v>262.10605359534156</v>
      </c>
      <c r="CD5" s="59">
        <f ca="1">AVERAGE(OFFSET($CC$3,0,0,'Données projet'!$E$12+1,1))-AVERAGE(OFFSET($H$3,0,0,'Données projet'!$E$12+1,1))</f>
        <v>249.53949216238527</v>
      </c>
      <c r="CE5" s="59">
        <f t="shared" ref="CE5:CE68" si="40">$CE$3</f>
        <v>261.78576517528217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7">
        <f t="shared" si="1"/>
        <v>263.11160518612115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10.160683761111111</v>
      </c>
      <c r="N6" s="13">
        <f>IF('Données projet'!$A$36&gt;35,N5+M6-V5,IF(A6&lt;'Données projet'!$A$36,$K$205^A6,IF(A6='Données projet'!$A$36,'Données projet'!$B$36,N5+M6-V5)))</f>
        <v>2.3824981566710419</v>
      </c>
      <c r="O6" s="13">
        <f>N6*VLOOKUP('Données projet'!$B$9,Paramètres!$A$1:$I$89,3,0)*VLOOKUP('Données projet'!$B$9,Paramètres!$A$1:$I$89,5,0)</f>
        <v>1.3318164695791124</v>
      </c>
      <c r="P6" s="13">
        <f t="shared" si="33"/>
        <v>0.59362354769282633</v>
      </c>
      <c r="Q6" s="20">
        <f t="shared" si="2"/>
        <v>3.3534746967486257</v>
      </c>
      <c r="R6" s="59">
        <f t="shared" si="0"/>
        <v>263.68680803008192</v>
      </c>
      <c r="S6" s="59">
        <f ca="1">AVERAGE(OFFSET($R$3,0,0,'Données projet'!$E$9+1,1))-AVERAGE(OFFSET($H$3,0,0,'Données projet'!$E$9+1,1))</f>
        <v>281.14678081581229</v>
      </c>
      <c r="T6" s="59">
        <f t="shared" si="34"/>
        <v>380.81265808422603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263.57673872359732</v>
      </c>
      <c r="AN6" s="59">
        <f ca="1">AVERAGE(OFFSET($AM$3,0,0,'Données projet'!$E$10+1,1))-AVERAGE(OFFSET($H$3,0,0,'Données projet'!$E$10+1,1))</f>
        <v>279.9271639349646</v>
      </c>
      <c r="AO6" s="59">
        <f t="shared" si="36"/>
        <v>260.03726798406916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3.2427350426666668</v>
      </c>
      <c r="BD6" s="12">
        <f>IF('Données projet'!$A$88&gt;35,BD5+BC6-BL5,IF(A6&lt;'Données projet'!$A$88,$BA$205^A6,IF(A6='Données projet'!$A$88,'Données projet'!$B$88,BD5+BC6-BL5)))</f>
        <v>1.5805319228834669</v>
      </c>
      <c r="BE6" s="13">
        <f>BD6*VLOOKUP('Données projet'!$B$11,Paramètres!$A$1:$I$89,3,0)*VLOOKUP('Données projet'!$B$11,Paramètres!$A$1:$I$89,5,0)</f>
        <v>1.3560963898340148</v>
      </c>
      <c r="BF6" s="13">
        <f t="shared" si="37"/>
        <v>0.60317593140752768</v>
      </c>
      <c r="BG6" s="20">
        <f t="shared" si="7"/>
        <v>3.4123992928290199</v>
      </c>
      <c r="BH6" s="59">
        <f t="shared" si="8"/>
        <v>263.74573262616235</v>
      </c>
      <c r="BI6" s="59">
        <f ca="1">AVERAGE(OFFSET($BH$3,0,0,'Données projet'!$E$11+1,1))-AVERAGE(OFFSET($H$3,0,0,'Données projet'!$E$11+1,1))</f>
        <v>212.99246338839475</v>
      </c>
      <c r="BJ6" s="59">
        <f t="shared" si="38"/>
        <v>162.04040335537223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1.5053596184946649</v>
      </c>
      <c r="CA6" s="13">
        <f t="shared" si="39"/>
        <v>0.66147738405820555</v>
      </c>
      <c r="CB6" s="20">
        <f t="shared" si="10"/>
        <v>3.7739077794462492</v>
      </c>
      <c r="CC6" s="59">
        <f t="shared" si="11"/>
        <v>264.10724111277955</v>
      </c>
      <c r="CD6" s="59">
        <f ca="1">AVERAGE(OFFSET($CC$3,0,0,'Données projet'!$E$12+1,1))-AVERAGE(OFFSET($H$3,0,0,'Données projet'!$E$12+1,1))</f>
        <v>249.53949216238527</v>
      </c>
      <c r="CE6" s="59">
        <f t="shared" si="40"/>
        <v>261.78576517528217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7">
        <f t="shared" si="1"/>
        <v>265.17735251868606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10.160683761111111</v>
      </c>
      <c r="N7" s="13">
        <f>IF('Données projet'!$A$36&gt;35,N6+M7-V6,IF(A7&lt;'Données projet'!$A$36,$K$205^A7,IF(A7='Données projet'!$A$36,'Données projet'!$B$36,N6+M7-V6)))</f>
        <v>3.1820727006801457</v>
      </c>
      <c r="O7" s="13">
        <f>N7*VLOOKUP('Données projet'!$B$9,Paramètres!$A$1:$I$89,3,0)*VLOOKUP('Données projet'!$B$9,Paramètres!$A$1:$I$89,5,0)</f>
        <v>1.7787786396802017</v>
      </c>
      <c r="P7" s="13">
        <f t="shared" si="33"/>
        <v>0.76658405326274381</v>
      </c>
      <c r="Q7" s="20">
        <f t="shared" si="2"/>
        <v>4.4331733568756295</v>
      </c>
      <c r="R7" s="59">
        <f t="shared" si="0"/>
        <v>265.98872891243116</v>
      </c>
      <c r="S7" s="59">
        <f ca="1">AVERAGE(OFFSET($R$3,0,0,'Données projet'!$E$9+1,1))-AVERAGE(OFFSET($H$3,0,0,'Données projet'!$E$9+1,1))</f>
        <v>281.14678081581229</v>
      </c>
      <c r="T7" s="59">
        <f t="shared" si="34"/>
        <v>380.81265808422603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265.70465692324655</v>
      </c>
      <c r="AN7" s="59">
        <f ca="1">AVERAGE(OFFSET($AM$3,0,0,'Données projet'!$E$10+1,1))-AVERAGE(OFFSET($H$3,0,0,'Données projet'!$E$10+1,1))</f>
        <v>279.9271639349646</v>
      </c>
      <c r="AO7" s="59">
        <f t="shared" si="36"/>
        <v>260.03726798406916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3.2427350426666668</v>
      </c>
      <c r="BD7" s="12">
        <f>IF('Données projet'!$A$88&gt;35,BD6+BC7-BL6,IF(A7&lt;'Données projet'!$A$88,$BA$205^A7,IF(A7='Données projet'!$A$88,'Données projet'!$B$88,BD6+BC7-BL6)))</f>
        <v>1.8410730860730689</v>
      </c>
      <c r="BE7" s="13">
        <f>BD7*VLOOKUP('Données projet'!$B$11,Paramètres!$A$1:$I$89,3,0)*VLOOKUP('Données projet'!$B$11,Paramètres!$A$1:$I$89,5,0)</f>
        <v>1.5796407078506931</v>
      </c>
      <c r="BF7" s="13">
        <f t="shared" si="37"/>
        <v>0.69023693330645453</v>
      </c>
      <c r="BG7" s="20">
        <f t="shared" si="7"/>
        <v>3.9533702250153646</v>
      </c>
      <c r="BH7" s="59">
        <f t="shared" si="8"/>
        <v>265.50892578057091</v>
      </c>
      <c r="BI7" s="59">
        <f ca="1">AVERAGE(OFFSET($BH$3,0,0,'Données projet'!$E$11+1,1))-AVERAGE(OFFSET($H$3,0,0,'Données projet'!$E$11+1,1))</f>
        <v>212.99246338839475</v>
      </c>
      <c r="BJ7" s="59">
        <f t="shared" si="38"/>
        <v>162.04040335537223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1.9132843993864705</v>
      </c>
      <c r="CA7" s="13">
        <f t="shared" si="39"/>
        <v>0.81758413948982178</v>
      </c>
      <c r="CB7" s="20">
        <f t="shared" si="10"/>
        <v>4.7562627052095419</v>
      </c>
      <c r="CC7" s="59">
        <f t="shared" si="11"/>
        <v>266.31181826076511</v>
      </c>
      <c r="CD7" s="59">
        <f ca="1">AVERAGE(OFFSET($CC$3,0,0,'Données projet'!$E$12+1,1))-AVERAGE(OFFSET($H$3,0,0,'Données projet'!$E$12+1,1))</f>
        <v>249.53949216238527</v>
      </c>
      <c r="CE7" s="59">
        <f t="shared" si="40"/>
        <v>261.78576517528217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7">
        <f t="shared" si="1"/>
        <v>267.22731691271065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10.160683761111111</v>
      </c>
      <c r="N8" s="13">
        <f>IF('Données projet'!$A$36&gt;35,N7+M8-V7,IF(A8&lt;'Données projet'!$A$36,$K$205^A8,IF(A8='Données projet'!$A$36,'Données projet'!$B$36,N7+M8-V7)))</f>
        <v>4.2499872010653998</v>
      </c>
      <c r="O8" s="13">
        <f>N8*VLOOKUP('Données projet'!$B$9,Paramètres!$A$1:$I$89,3,0)*VLOOKUP('Données projet'!$B$9,Paramètres!$A$1:$I$89,5,0)</f>
        <v>2.3757428453955587</v>
      </c>
      <c r="P8" s="13">
        <f t="shared" si="33"/>
        <v>0.98993901606615564</v>
      </c>
      <c r="Q8" s="20">
        <f t="shared" si="2"/>
        <v>5.8618959087124844</v>
      </c>
      <c r="R8" s="59">
        <f t="shared" si="0"/>
        <v>268.63967368649026</v>
      </c>
      <c r="S8" s="59">
        <f ca="1">AVERAGE(OFFSET($R$3,0,0,'Données projet'!$E$9+1,1))-AVERAGE(OFFSET($H$3,0,0,'Données projet'!$E$9+1,1))</f>
        <v>281.14678081581229</v>
      </c>
      <c r="T8" s="59">
        <f t="shared" si="34"/>
        <v>380.81265808422603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268.08647394158317</v>
      </c>
      <c r="AN8" s="59">
        <f ca="1">AVERAGE(OFFSET($AM$3,0,0,'Données projet'!$E$10+1,1))-AVERAGE(OFFSET($H$3,0,0,'Données projet'!$E$10+1,1))</f>
        <v>279.9271639349646</v>
      </c>
      <c r="AO8" s="59">
        <f t="shared" si="36"/>
        <v>260.03726798406916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3.2427350426666668</v>
      </c>
      <c r="BD8" s="12">
        <f>IF('Données projet'!$A$88&gt;35,BD7+BC8-BL7,IF(A8&lt;'Données projet'!$A$88,$BA$205^A8,IF(A8='Données projet'!$A$88,'Données projet'!$B$88,BD7+BC8-BL7)))</f>
        <v>2.1445628899913882</v>
      </c>
      <c r="BE8" s="13">
        <f>BD8*VLOOKUP('Données projet'!$B$11,Paramètres!$A$1:$I$89,3,0)*VLOOKUP('Données projet'!$B$11,Paramètres!$A$1:$I$89,5,0)</f>
        <v>1.8400349596126113</v>
      </c>
      <c r="BF8" s="13">
        <f t="shared" si="37"/>
        <v>0.78986411640886178</v>
      </c>
      <c r="BG8" s="20">
        <f t="shared" si="7"/>
        <v>4.5804075574040661</v>
      </c>
      <c r="BH8" s="59">
        <f t="shared" si="8"/>
        <v>267.35818533518182</v>
      </c>
      <c r="BI8" s="59">
        <f ca="1">AVERAGE(OFFSET($BH$3,0,0,'Données projet'!$E$11+1,1))-AVERAGE(OFFSET($H$3,0,0,'Données projet'!$E$11+1,1))</f>
        <v>212.99246338839475</v>
      </c>
      <c r="BJ8" s="59">
        <f t="shared" si="38"/>
        <v>162.04040335537223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2.4317492962885807</v>
      </c>
      <c r="CA8" s="13">
        <f t="shared" si="39"/>
        <v>1.010531639108154</v>
      </c>
      <c r="CB8" s="20">
        <f t="shared" si="10"/>
        <v>5.9953059624826457</v>
      </c>
      <c r="CC8" s="59">
        <f t="shared" si="11"/>
        <v>268.7730837402604</v>
      </c>
      <c r="CD8" s="59">
        <f ca="1">AVERAGE(OFFSET($CC$3,0,0,'Données projet'!$E$12+1,1))-AVERAGE(OFFSET($H$3,0,0,'Données projet'!$E$12+1,1))</f>
        <v>249.53949216238527</v>
      </c>
      <c r="CE8" s="59">
        <f t="shared" si="40"/>
        <v>261.78576517528217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7">
        <f t="shared" si="1"/>
        <v>269.2650349777835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10.160683761111111</v>
      </c>
      <c r="N9" s="13">
        <f>IF('Données projet'!$A$36&gt;35,N8+M9-V8,IF(A9&lt;'Données projet'!$A$36,$K$205^A9,IF(A9='Données projet'!$A$36,'Données projet'!$B$36,N8+M9-V8)))</f>
        <v>5.6762974665409125</v>
      </c>
      <c r="O9" s="13">
        <f>N9*VLOOKUP('Données projet'!$B$9,Paramètres!$A$1:$I$89,3,0)*VLOOKUP('Données projet'!$B$9,Paramètres!$A$1:$I$89,5,0)</f>
        <v>3.1730502837963703</v>
      </c>
      <c r="P9" s="13">
        <f t="shared" si="33"/>
        <v>1.2783715645518967</v>
      </c>
      <c r="Q9" s="20">
        <f t="shared" si="2"/>
        <v>7.7528930525398989</v>
      </c>
      <c r="R9" s="59">
        <f t="shared" si="0"/>
        <v>271.75289305253989</v>
      </c>
      <c r="S9" s="59">
        <f ca="1">AVERAGE(OFFSET($R$3,0,0,'Données projet'!$E$9+1,1))-AVERAGE(OFFSET($H$3,0,0,'Données projet'!$E$9+1,1))</f>
        <v>281.14678081581229</v>
      </c>
      <c r="T9" s="59">
        <f t="shared" si="34"/>
        <v>380.81265808422603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270.79362778693587</v>
      </c>
      <c r="AN9" s="59">
        <f ca="1">AVERAGE(OFFSET($AM$3,0,0,'Données projet'!$E$10+1,1))-AVERAGE(OFFSET($H$3,0,0,'Données projet'!$E$10+1,1))</f>
        <v>279.9271639349646</v>
      </c>
      <c r="AO9" s="59">
        <f t="shared" si="36"/>
        <v>260.03726798406916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3.2427350426666668</v>
      </c>
      <c r="BD9" s="12">
        <f>IF('Données projet'!$A$88&gt;35,BD8+BC9-BL8,IF(A9&lt;'Données projet'!$A$88,$BA$205^A9,IF(A9='Données projet'!$A$88,'Données projet'!$B$88,BD8+BC9-BL8)))</f>
        <v>2.4980811592537089</v>
      </c>
      <c r="BE9" s="13">
        <f>BD9*VLOOKUP('Données projet'!$B$11,Paramètres!$A$1:$I$89,3,0)*VLOOKUP('Données projet'!$B$11,Paramètres!$A$1:$I$89,5,0)</f>
        <v>2.1433536346396824</v>
      </c>
      <c r="BF9" s="13">
        <f t="shared" si="37"/>
        <v>0.9038712538921132</v>
      </c>
      <c r="BG9" s="20">
        <f t="shared" si="7"/>
        <v>5.3072500141928769</v>
      </c>
      <c r="BH9" s="59">
        <f t="shared" si="8"/>
        <v>269.3072500141929</v>
      </c>
      <c r="BI9" s="59">
        <f ca="1">AVERAGE(OFFSET($BH$3,0,0,'Données projet'!$E$11+1,1))-AVERAGE(OFFSET($H$3,0,0,'Données projet'!$E$11+1,1))</f>
        <v>212.99246338839475</v>
      </c>
      <c r="BJ9" s="59">
        <f t="shared" si="38"/>
        <v>162.04040335537223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3.0907086483829831</v>
      </c>
      <c r="CA9" s="13">
        <f t="shared" si="39"/>
        <v>1.2490141923201104</v>
      </c>
      <c r="CB9" s="20">
        <f t="shared" si="10"/>
        <v>7.5583506142245538</v>
      </c>
      <c r="CC9" s="59">
        <f t="shared" si="11"/>
        <v>271.55835061422454</v>
      </c>
      <c r="CD9" s="59">
        <f ca="1">AVERAGE(OFFSET($CC$3,0,0,'Données projet'!$E$12+1,1))-AVERAGE(OFFSET($H$3,0,0,'Données projet'!$E$12+1,1))</f>
        <v>249.53949216238527</v>
      </c>
      <c r="CE9" s="59">
        <f t="shared" si="40"/>
        <v>261.78576517528217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7">
        <f t="shared" si="1"/>
        <v>271.29278662936133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10.160683761111111</v>
      </c>
      <c r="N10" s="13">
        <f>IF('Données projet'!$A$36&gt;35,N9+M10-V9,IF(A10&lt;'Données projet'!$A$36,$K$205^A10,IF(A10='Données projet'!$A$36,'Données projet'!$B$36,N9+M10-V9)))</f>
        <v>7.5812823437636911</v>
      </c>
      <c r="O10" s="13">
        <f>N10*VLOOKUP('Données projet'!$B$9,Paramètres!$A$1:$I$89,3,0)*VLOOKUP('Données projet'!$B$9,Paramètres!$A$1:$I$89,5,0)</f>
        <v>4.2379368301639033</v>
      </c>
      <c r="P10" s="13">
        <f t="shared" si="33"/>
        <v>1.6508429615685052</v>
      </c>
      <c r="Q10" s="20">
        <f t="shared" si="2"/>
        <v>10.25629147060061</v>
      </c>
      <c r="R10" s="59">
        <f t="shared" si="0"/>
        <v>275.47851369282284</v>
      </c>
      <c r="S10" s="59">
        <f ca="1">AVERAGE(OFFSET($R$3,0,0,'Données projet'!$E$9+1,1))-AVERAGE(OFFSET($H$3,0,0,'Données projet'!$E$9+1,1))</f>
        <v>281.14678081581229</v>
      </c>
      <c r="T10" s="59">
        <f t="shared" si="34"/>
        <v>380.81265808422603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273.91772515439823</v>
      </c>
      <c r="AN10" s="59">
        <f ca="1">AVERAGE(OFFSET($AM$3,0,0,'Données projet'!$E$10+1,1))-AVERAGE(OFFSET($H$3,0,0,'Données projet'!$E$10+1,1))</f>
        <v>279.9271639349646</v>
      </c>
      <c r="AO10" s="59">
        <f t="shared" si="36"/>
        <v>260.03726798406916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3.2427350426666668</v>
      </c>
      <c r="BD10" s="12">
        <f>IF('Données projet'!$A$88&gt;35,BD9+BC10-BL9,IF(A10&lt;'Données projet'!$A$88,$BA$205^A10,IF(A10='Données projet'!$A$88,'Données projet'!$B$88,BD9+BC10-BL9)))</f>
        <v>2.9098747849000661</v>
      </c>
      <c r="BE10" s="13">
        <f>BD10*VLOOKUP('Données projet'!$B$11,Paramètres!$A$1:$I$89,3,0)*VLOOKUP('Données projet'!$B$11,Paramètres!$A$1:$I$89,5,0)</f>
        <v>2.496672565444257</v>
      </c>
      <c r="BF10" s="13">
        <f t="shared" si="37"/>
        <v>1.0343339147079336</v>
      </c>
      <c r="BG10" s="20">
        <f t="shared" si="7"/>
        <v>6.1498362862650646</v>
      </c>
      <c r="BH10" s="59">
        <f t="shared" si="8"/>
        <v>271.37205850848727</v>
      </c>
      <c r="BI10" s="59">
        <f ca="1">AVERAGE(OFFSET($BH$3,0,0,'Données projet'!$E$11+1,1))-AVERAGE(OFFSET($H$3,0,0,'Données projet'!$E$11+1,1))</f>
        <v>212.99246338839475</v>
      </c>
      <c r="BJ10" s="59">
        <f t="shared" si="38"/>
        <v>162.04040335537223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3.9282338700657551</v>
      </c>
      <c r="CA10" s="13">
        <f t="shared" si="39"/>
        <v>1.5437779404847436</v>
      </c>
      <c r="CB10" s="20">
        <f t="shared" si="10"/>
        <v>9.5304205700421178</v>
      </c>
      <c r="CC10" s="59">
        <f t="shared" si="11"/>
        <v>274.75264279226434</v>
      </c>
      <c r="CD10" s="59">
        <f ca="1">AVERAGE(OFFSET($CC$3,0,0,'Données projet'!$E$12+1,1))-AVERAGE(OFFSET($H$3,0,0,'Données projet'!$E$12+1,1))</f>
        <v>249.53949216238527</v>
      </c>
      <c r="CE10" s="59">
        <f t="shared" si="40"/>
        <v>261.78576517528217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7">
        <f t="shared" si="1"/>
        <v>273.31215991857084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10.160683761111111</v>
      </c>
      <c r="N11" s="13">
        <f>IF('Données projet'!$A$36&gt;35,N10+M11-V10,IF(A11&lt;'Données projet'!$A$36,$K$205^A11,IF(A11='Données projet'!$A$36,'Données projet'!$B$36,N10+M11-V10)))</f>
        <v>10.125586672413837</v>
      </c>
      <c r="O11" s="13">
        <f>N11*VLOOKUP('Données projet'!$B$9,Paramètres!$A$1:$I$89,3,0)*VLOOKUP('Données projet'!$B$9,Paramètres!$A$1:$I$89,5,0)</f>
        <v>5.6602029498793351</v>
      </c>
      <c r="P11" s="13">
        <f t="shared" si="33"/>
        <v>2.1318390985296651</v>
      </c>
      <c r="Q11" s="20">
        <f t="shared" si="2"/>
        <v>13.571139900979007</v>
      </c>
      <c r="R11" s="59">
        <f t="shared" si="0"/>
        <v>280.01558434542346</v>
      </c>
      <c r="S11" s="59">
        <f ca="1">AVERAGE(OFFSET($R$3,0,0,'Données projet'!$E$9+1,1))-AVERAGE(OFFSET($H$3,0,0,'Données projet'!$E$9+1,1))</f>
        <v>281.14678081581229</v>
      </c>
      <c r="T11" s="59">
        <f t="shared" si="34"/>
        <v>380.81265808422603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277.57625349043491</v>
      </c>
      <c r="AN11" s="59">
        <f ca="1">AVERAGE(OFFSET($AM$3,0,0,'Données projet'!$E$10+1,1))-AVERAGE(OFFSET($H$3,0,0,'Données projet'!$E$10+1,1))</f>
        <v>279.9271639349646</v>
      </c>
      <c r="AO11" s="59">
        <f t="shared" si="36"/>
        <v>260.03726798406916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3.2427350426666668</v>
      </c>
      <c r="BD11" s="12">
        <f>IF('Données projet'!$A$88&gt;35,BD10+BC11-BL10,IF(A11&lt;'Données projet'!$A$88,$BA$205^A11,IF(A11='Données projet'!$A$88,'Données projet'!$B$88,BD10+BC11-BL10)))</f>
        <v>3.3895501082626134</v>
      </c>
      <c r="BE11" s="13">
        <f>BD11*VLOOKUP('Données projet'!$B$11,Paramètres!$A$1:$I$89,3,0)*VLOOKUP('Données projet'!$B$11,Paramètres!$A$1:$I$89,5,0)</f>
        <v>2.9082339928893224</v>
      </c>
      <c r="BF11" s="13">
        <f t="shared" si="37"/>
        <v>1.1836272505716132</v>
      </c>
      <c r="BG11" s="20">
        <f t="shared" si="7"/>
        <v>7.1266583323611288</v>
      </c>
      <c r="BH11" s="59">
        <f t="shared" si="8"/>
        <v>273.57110277680556</v>
      </c>
      <c r="BI11" s="59">
        <f ca="1">AVERAGE(OFFSET($BH$3,0,0,'Données projet'!$E$11+1,1))-AVERAGE(OFFSET($H$3,0,0,'Données projet'!$E$11+1,1))</f>
        <v>212.99246338839475</v>
      </c>
      <c r="BJ11" s="59">
        <f t="shared" si="38"/>
        <v>162.04040335537223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4.9927130290993551</v>
      </c>
      <c r="CA11" s="13">
        <f t="shared" si="39"/>
        <v>1.9081050833380053</v>
      </c>
      <c r="CB11" s="20">
        <f t="shared" si="10"/>
        <v>12.018924879161736</v>
      </c>
      <c r="CC11" s="59">
        <f t="shared" si="11"/>
        <v>278.46336932360617</v>
      </c>
      <c r="CD11" s="59">
        <f ca="1">AVERAGE(OFFSET($CC$3,0,0,'Données projet'!$E$12+1,1))-AVERAGE(OFFSET($H$3,0,0,'Données projet'!$E$12+1,1))</f>
        <v>249.53949216238527</v>
      </c>
      <c r="CE11" s="59">
        <f t="shared" si="40"/>
        <v>261.78576517528217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7">
        <f t="shared" si="1"/>
        <v>275.32432208319165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10.160683761111111</v>
      </c>
      <c r="N12" s="13">
        <f>IF('Données projet'!$A$36&gt;35,N11+M12-V11,IF(A12&lt;'Données projet'!$A$36,$K$205^A12,IF(A12='Données projet'!$A$36,'Données projet'!$B$36,N11+M12-V11)))</f>
        <v>13.523768250750232</v>
      </c>
      <c r="O12" s="13">
        <f>N12*VLOOKUP('Données projet'!$B$9,Paramètres!$A$1:$I$89,3,0)*VLOOKUP('Données projet'!$B$9,Paramètres!$A$1:$I$89,5,0)</f>
        <v>7.5597864521693792</v>
      </c>
      <c r="P12" s="13">
        <f t="shared" si="33"/>
        <v>2.7529801730515375</v>
      </c>
      <c r="Q12" s="20">
        <f t="shared" si="2"/>
        <v>17.961401872259763</v>
      </c>
      <c r="R12" s="59">
        <f t="shared" si="0"/>
        <v>285.62806853892647</v>
      </c>
      <c r="S12" s="59">
        <f ca="1">AVERAGE(OFFSET($R$3,0,0,'Données projet'!$E$9+1,1))-AVERAGE(OFFSET($H$3,0,0,'Données projet'!$E$9+1,1))</f>
        <v>281.14678081581229</v>
      </c>
      <c r="T12" s="59">
        <f t="shared" si="34"/>
        <v>380.81265808422603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281.91991548013488</v>
      </c>
      <c r="AN12" s="59">
        <f ca="1">AVERAGE(OFFSET($AM$3,0,0,'Données projet'!$E$10+1,1))-AVERAGE(OFFSET($H$3,0,0,'Données projet'!$E$10+1,1))</f>
        <v>279.9271639349646</v>
      </c>
      <c r="AO12" s="59">
        <f t="shared" si="36"/>
        <v>260.03726798406916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3.2427350426666668</v>
      </c>
      <c r="BD12" s="12">
        <f>IF('Données projet'!$A$88&gt;35,BD11+BC12-BL11,IF(A12&lt;'Données projet'!$A$88,$BA$205^A12,IF(A12='Données projet'!$A$88,'Données projet'!$B$88,BD11+BC12-BL11)))</f>
        <v>3.9482970181542241</v>
      </c>
      <c r="BE12" s="13">
        <f>BD12*VLOOKUP('Données projet'!$B$11,Paramètres!$A$1:$I$89,3,0)*VLOOKUP('Données projet'!$B$11,Paramètres!$A$1:$I$89,5,0)</f>
        <v>3.3876388415763241</v>
      </c>
      <c r="BF12" s="13">
        <f t="shared" si="37"/>
        <v>1.3544692370367761</v>
      </c>
      <c r="BG12" s="20">
        <f t="shared" si="7"/>
        <v>8.2591715702511497</v>
      </c>
      <c r="BH12" s="59">
        <f t="shared" si="8"/>
        <v>275.92583823691785</v>
      </c>
      <c r="BI12" s="59">
        <f ca="1">AVERAGE(OFFSET($BH$3,0,0,'Données projet'!$E$11+1,1))-AVERAGE(OFFSET($H$3,0,0,'Données projet'!$E$11+1,1))</f>
        <v>212.99246338839475</v>
      </c>
      <c r="BJ12" s="59">
        <f t="shared" si="38"/>
        <v>162.04040335537223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6.3456464700054127</v>
      </c>
      <c r="CA12" s="13">
        <f t="shared" si="39"/>
        <v>2.3584123814576028</v>
      </c>
      <c r="CB12" s="20">
        <f t="shared" si="10"/>
        <v>15.159569166298086</v>
      </c>
      <c r="CC12" s="59">
        <f t="shared" si="11"/>
        <v>282.82623583296476</v>
      </c>
      <c r="CD12" s="59">
        <f ca="1">AVERAGE(OFFSET($CC$3,0,0,'Données projet'!$E$12+1,1))-AVERAGE(OFFSET($H$3,0,0,'Données projet'!$E$12+1,1))</f>
        <v>249.53949216238527</v>
      </c>
      <c r="CE12" s="59">
        <f t="shared" si="40"/>
        <v>261.78576517528217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7">
        <f t="shared" si="1"/>
        <v>277.33016575790663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10.160683761111111</v>
      </c>
      <c r="N13" s="13">
        <f>IF('Données projet'!$A$36&gt;35,N12+M13-V12,IF(A13&lt;'Données projet'!$A$36,$K$205^A13,IF(A13='Données projet'!$A$36,'Données projet'!$B$36,N12+M13-V12)))</f>
        <v>18.062391209219712</v>
      </c>
      <c r="O13" s="13">
        <f>N13*VLOOKUP('Données projet'!$B$9,Paramètres!$A$1:$I$89,3,0)*VLOOKUP('Données projet'!$B$9,Paramètres!$A$1:$I$89,5,0)</f>
        <v>10.09687668595382</v>
      </c>
      <c r="P13" s="13">
        <f t="shared" si="33"/>
        <v>3.5550993686353061</v>
      </c>
      <c r="Q13" s="20">
        <f t="shared" si="2"/>
        <v>23.777191628409394</v>
      </c>
      <c r="R13" s="59">
        <f t="shared" si="0"/>
        <v>292.66608051729827</v>
      </c>
      <c r="S13" s="59">
        <f ca="1">AVERAGE(OFFSET($R$3,0,0,'Données projet'!$E$9+1,1))-AVERAGE(OFFSET($H$3,0,0,'Données projet'!$E$9+1,1))</f>
        <v>281.14678081581229</v>
      </c>
      <c r="T13" s="59">
        <f t="shared" si="34"/>
        <v>380.81265808422603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287.14204799860295</v>
      </c>
      <c r="AN13" s="59">
        <f ca="1">AVERAGE(OFFSET($AM$3,0,0,'Données projet'!$E$10+1,1))-AVERAGE(OFFSET($H$3,0,0,'Données projet'!$E$10+1,1))</f>
        <v>279.9271639349646</v>
      </c>
      <c r="AO13" s="59">
        <f t="shared" si="36"/>
        <v>260.03726798406916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3.2427350426666668</v>
      </c>
      <c r="BD13" s="12">
        <f>IF('Données projet'!$A$88&gt;35,BD12+BC13-BL12,IF(A13&lt;'Données projet'!$A$88,$BA$205^A13,IF(A13='Données projet'!$A$88,'Données projet'!$B$88,BD12+BC13-BL12)))</f>
        <v>4.5991499891282155</v>
      </c>
      <c r="BE13" s="13">
        <f>BD13*VLOOKUP('Données projet'!$B$11,Paramètres!$A$1:$I$89,3,0)*VLOOKUP('Données projet'!$B$11,Paramètres!$A$1:$I$89,5,0)</f>
        <v>3.9460706906720096</v>
      </c>
      <c r="BF13" s="13">
        <f t="shared" si="37"/>
        <v>1.5499701558856505</v>
      </c>
      <c r="BG13" s="20">
        <f t="shared" si="7"/>
        <v>9.5722711410879242</v>
      </c>
      <c r="BH13" s="59">
        <f t="shared" si="8"/>
        <v>278.46116002997678</v>
      </c>
      <c r="BI13" s="59">
        <f ca="1">AVERAGE(OFFSET($BH$3,0,0,'Données projet'!$E$11+1,1))-AVERAGE(OFFSET($H$3,0,0,'Données projet'!$E$11+1,1))</f>
        <v>212.99246338839475</v>
      </c>
      <c r="BJ13" s="59">
        <f t="shared" si="38"/>
        <v>162.04040335537223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8.0652000000000008</v>
      </c>
      <c r="CA13" s="13">
        <f t="shared" si="39"/>
        <v>2.9149909035839161</v>
      </c>
      <c r="CB13" s="20">
        <f t="shared" si="10"/>
        <v>19.123832490408656</v>
      </c>
      <c r="CC13" s="59">
        <f t="shared" si="11"/>
        <v>288.01272137929749</v>
      </c>
      <c r="CD13" s="59">
        <f ca="1">AVERAGE(OFFSET($CC$3,0,0,'Données projet'!$E$12+1,1))-AVERAGE(OFFSET($H$3,0,0,'Données projet'!$E$12+1,1))</f>
        <v>249.53949216238527</v>
      </c>
      <c r="CE13" s="59">
        <f t="shared" si="40"/>
        <v>261.78576517528217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7">
        <f t="shared" si="1"/>
        <v>279.33039471958523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10.160683761111111</v>
      </c>
      <c r="N14" s="13">
        <f>IF('Données projet'!$A$36&gt;35,N13+M14-V13,IF(A14&lt;'Données projet'!$A$36,$K$205^A14,IF(A14='Données projet'!$A$36,'Données projet'!$B$36,N13+M14-V13)))</f>
        <v>24.124191582238836</v>
      </c>
      <c r="O14" s="13">
        <f>N14*VLOOKUP('Données projet'!$B$9,Paramètres!$A$1:$I$89,3,0)*VLOOKUP('Données projet'!$B$9,Paramètres!$A$1:$I$89,5,0)</f>
        <v>13.485423094471511</v>
      </c>
      <c r="P14" s="13">
        <f t="shared" si="33"/>
        <v>4.5909271866864776</v>
      </c>
      <c r="Q14" s="20">
        <f t="shared" si="2"/>
        <v>31.482976739683497</v>
      </c>
      <c r="R14" s="59">
        <f t="shared" si="0"/>
        <v>301.59408785079466</v>
      </c>
      <c r="S14" s="59">
        <f ca="1">AVERAGE(OFFSET($R$3,0,0,'Données projet'!$E$9+1,1))-AVERAGE(OFFSET($H$3,0,0,'Données projet'!$E$9+1,1))</f>
        <v>281.14678081581229</v>
      </c>
      <c r="T14" s="59">
        <f t="shared" si="34"/>
        <v>380.81265808422603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293.49071946613788</v>
      </c>
      <c r="AN14" s="59">
        <f ca="1">AVERAGE(OFFSET($AM$3,0,0,'Données projet'!$E$10+1,1))-AVERAGE(OFFSET($H$3,0,0,'Données projet'!$E$10+1,1))</f>
        <v>279.9271639349646</v>
      </c>
      <c r="AO14" s="59">
        <f t="shared" si="36"/>
        <v>260.03726798406916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3.2427350426666668</v>
      </c>
      <c r="BD14" s="12">
        <f>IF('Données projet'!$A$88&gt;35,BD13+BC14-BL13,IF(A14&lt;'Données projet'!$A$88,$BA$205^A14,IF(A14='Données projet'!$A$88,'Données projet'!$B$88,BD13+BC14-BL13)))</f>
        <v>5.3572921503221718</v>
      </c>
      <c r="BE14" s="13">
        <f>BD14*VLOOKUP('Données projet'!$B$11,Paramètres!$A$1:$I$89,3,0)*VLOOKUP('Données projet'!$B$11,Paramètres!$A$1:$I$89,5,0)</f>
        <v>4.5965566649764238</v>
      </c>
      <c r="BF14" s="13">
        <f t="shared" si="37"/>
        <v>1.7736892196917111</v>
      </c>
      <c r="BG14" s="20">
        <f t="shared" si="7"/>
        <v>11.094844915797003</v>
      </c>
      <c r="BH14" s="59">
        <f t="shared" si="8"/>
        <v>281.20595602690815</v>
      </c>
      <c r="BI14" s="59">
        <f ca="1">AVERAGE(OFFSET($BH$3,0,0,'Données projet'!$E$11+1,1))-AVERAGE(OFFSET($H$3,0,0,'Données projet'!$E$11+1,1))</f>
        <v>212.99246338839475</v>
      </c>
      <c r="BJ14" s="59">
        <f t="shared" si="38"/>
        <v>162.04040335537223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15.983760000000002</v>
      </c>
      <c r="CA14" s="13">
        <f t="shared" si="39"/>
        <v>5.3348570279475842</v>
      </c>
      <c r="CB14" s="20">
        <f t="shared" si="10"/>
        <v>37.129924657008708</v>
      </c>
      <c r="CC14" s="59">
        <f t="shared" si="11"/>
        <v>307.24103576811984</v>
      </c>
      <c r="CD14" s="59">
        <f ca="1">AVERAGE(OFFSET($CC$3,0,0,'Données projet'!$E$12+1,1))-AVERAGE(OFFSET($H$3,0,0,'Données projet'!$E$12+1,1))</f>
        <v>249.53949216238527</v>
      </c>
      <c r="CE14" s="59">
        <f t="shared" si="40"/>
        <v>261.78576517528217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7">
        <f t="shared" si="1"/>
        <v>281.32557744633414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10.160683761111111</v>
      </c>
      <c r="N15" s="13">
        <f>IF('Données projet'!$A$36&gt;35,N14+M15-V14,IF(A15&lt;'Données projet'!$A$36,$K$205^A15,IF(A15='Données projet'!$A$36,'Données projet'!$B$36,N14+M15-V14)))</f>
        <v>32.220352928658791</v>
      </c>
      <c r="O15" s="13">
        <f>N15*VLOOKUP('Données projet'!$B$9,Paramètres!$A$1:$I$89,3,0)*VLOOKUP('Données projet'!$B$9,Paramètres!$A$1:$I$89,5,0)</f>
        <v>18.011177287120265</v>
      </c>
      <c r="P15" s="13">
        <f t="shared" si="33"/>
        <v>5.928557896132082</v>
      </c>
      <c r="Q15" s="20">
        <f t="shared" si="2"/>
        <v>41.695038777497835</v>
      </c>
      <c r="R15" s="59">
        <f t="shared" si="0"/>
        <v>313.02837211083113</v>
      </c>
      <c r="S15" s="59">
        <f ca="1">AVERAGE(OFFSET($R$3,0,0,'Données projet'!$E$9+1,1))-AVERAGE(OFFSET($H$3,0,0,'Données projet'!$E$9+1,1))</f>
        <v>281.14678081581229</v>
      </c>
      <c r="T15" s="59">
        <f t="shared" si="34"/>
        <v>380.81265808422603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301.28426917937514</v>
      </c>
      <c r="AN15" s="59">
        <f ca="1">AVERAGE(OFFSET($AM$3,0,0,'Données projet'!$E$10+1,1))-AVERAGE(OFFSET($H$3,0,0,'Données projet'!$E$10+1,1))</f>
        <v>279.9271639349646</v>
      </c>
      <c r="AO15" s="59">
        <f t="shared" si="36"/>
        <v>260.03726798406916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3.2427350426666668</v>
      </c>
      <c r="BD15" s="12">
        <f>IF('Données projet'!$A$88&gt;35,BD14+BC15-BL14,IF(A15&lt;'Données projet'!$A$88,$BA$205^A15,IF(A15='Données projet'!$A$88,'Données projet'!$B$88,BD14+BC15-BL14)))</f>
        <v>6.2404094782183543</v>
      </c>
      <c r="BE15" s="13">
        <f>BD15*VLOOKUP('Données projet'!$B$11,Paramètres!$A$1:$I$89,3,0)*VLOOKUP('Données projet'!$B$11,Paramètres!$A$1:$I$89,5,0)</f>
        <v>5.3542713323113489</v>
      </c>
      <c r="BF15" s="13">
        <f t="shared" si="37"/>
        <v>2.0296993694391405</v>
      </c>
      <c r="BG15" s="20">
        <f t="shared" si="7"/>
        <v>12.860415638882102</v>
      </c>
      <c r="BH15" s="59">
        <f t="shared" si="8"/>
        <v>284.19374897221542</v>
      </c>
      <c r="BI15" s="59">
        <f ca="1">AVERAGE(OFFSET($BH$3,0,0,'Données projet'!$E$11+1,1))-AVERAGE(OFFSET($H$3,0,0,'Données projet'!$E$11+1,1))</f>
        <v>212.99246338839475</v>
      </c>
      <c r="BJ15" s="59">
        <f t="shared" si="38"/>
        <v>162.04040335537223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23.90232</v>
      </c>
      <c r="CA15" s="13">
        <f t="shared" si="39"/>
        <v>7.6127522913266521</v>
      </c>
      <c r="CB15" s="20">
        <f t="shared" si="10"/>
        <v>54.88875090739392</v>
      </c>
      <c r="CC15" s="59">
        <f t="shared" si="11"/>
        <v>326.22208424072721</v>
      </c>
      <c r="CD15" s="59">
        <f ca="1">AVERAGE(OFFSET($CC$3,0,0,'Données projet'!$E$12+1,1))-AVERAGE(OFFSET($H$3,0,0,'Données projet'!$E$12+1,1))</f>
        <v>249.53949216238527</v>
      </c>
      <c r="CE15" s="59">
        <f t="shared" si="40"/>
        <v>261.78576517528217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7">
        <f t="shared" si="1"/>
        <v>283.31618226707235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10.160683761111111</v>
      </c>
      <c r="N16" s="13">
        <f>IF('Données projet'!$A$36&gt;35,N15+M16-V15,IF(A16&lt;'Données projet'!$A$36,$K$205^A16,IF(A16='Données projet'!$A$36,'Données projet'!$B$36,N15+M16-V15)))</f>
        <v>43.033613761037195</v>
      </c>
      <c r="O16" s="13">
        <f>N16*VLOOKUP('Données projet'!$B$9,Paramètres!$A$1:$I$89,3,0)*VLOOKUP('Données projet'!$B$9,Paramètres!$A$1:$I$89,5,0)</f>
        <v>24.055790092419791</v>
      </c>
      <c r="P16" s="13">
        <f t="shared" si="33"/>
        <v>7.6559259815135805</v>
      </c>
      <c r="Q16" s="20">
        <f t="shared" si="2"/>
        <v>55.231238828767289</v>
      </c>
      <c r="R16" s="59">
        <f t="shared" si="0"/>
        <v>327.78679438432283</v>
      </c>
      <c r="S16" s="59">
        <f ca="1">AVERAGE(OFFSET($R$3,0,0,'Données projet'!$E$9+1,1))-AVERAGE(OFFSET($H$3,0,0,'Données projet'!$E$9+1,1))</f>
        <v>281.14678081581229</v>
      </c>
      <c r="T16" s="59">
        <f t="shared" si="34"/>
        <v>380.81265808422603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310.93127037385523</v>
      </c>
      <c r="AN16" s="59">
        <f ca="1">AVERAGE(OFFSET($AM$3,0,0,'Données projet'!$E$10+1,1))-AVERAGE(OFFSET($H$3,0,0,'Données projet'!$E$10+1,1))</f>
        <v>279.9271639349646</v>
      </c>
      <c r="AO16" s="59">
        <f t="shared" si="36"/>
        <v>260.03726798406916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3.2427350426666668</v>
      </c>
      <c r="BD16" s="12">
        <f>IF('Données projet'!$A$88&gt;35,BD15+BC16-BL15,IF(A16&lt;'Données projet'!$A$88,$BA$205^A16,IF(A16='Données projet'!$A$88,'Données projet'!$B$88,BD15+BC16-BL15)))</f>
        <v>7.2691033759462931</v>
      </c>
      <c r="BE16" s="13">
        <f>BD16*VLOOKUP('Données projet'!$B$11,Paramètres!$A$1:$I$89,3,0)*VLOOKUP('Données projet'!$B$11,Paramètres!$A$1:$I$89,5,0)</f>
        <v>6.23689069656192</v>
      </c>
      <c r="BF16" s="13">
        <f t="shared" si="37"/>
        <v>2.3226614248789845</v>
      </c>
      <c r="BG16" s="20">
        <f t="shared" si="7"/>
        <v>14.907886611509575</v>
      </c>
      <c r="BH16" s="59">
        <f t="shared" si="8"/>
        <v>287.46344216706512</v>
      </c>
      <c r="BI16" s="59">
        <f ca="1">AVERAGE(OFFSET($BH$3,0,0,'Données projet'!$E$11+1,1))-AVERAGE(OFFSET($H$3,0,0,'Données projet'!$E$11+1,1))</f>
        <v>212.99246338839475</v>
      </c>
      <c r="BJ16" s="59">
        <f t="shared" si="38"/>
        <v>162.04040335537223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31.820880000000006</v>
      </c>
      <c r="CA16" s="13">
        <f t="shared" si="39"/>
        <v>9.8027641140385384</v>
      </c>
      <c r="CB16" s="20">
        <f t="shared" si="10"/>
        <v>72.494513498617124</v>
      </c>
      <c r="CC16" s="59">
        <f t="shared" si="11"/>
        <v>345.0500690541727</v>
      </c>
      <c r="CD16" s="59">
        <f ca="1">AVERAGE(OFFSET($CC$3,0,0,'Données projet'!$E$12+1,1))-AVERAGE(OFFSET($H$3,0,0,'Données projet'!$E$12+1,1))</f>
        <v>249.53949216238527</v>
      </c>
      <c r="CE16" s="59">
        <f t="shared" si="40"/>
        <v>261.78576517528217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7">
        <f t="shared" si="1"/>
        <v>285.30260136717783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10.160683761111111</v>
      </c>
      <c r="N17" s="13">
        <f>IF('Données projet'!$A$36&gt;35,N16+M17-V16,IF(A17&lt;'Données projet'!$A$36,$K$205^A17,IF(A17='Données projet'!$A$36,'Données projet'!$B$36,N16+M17-V16)))</f>
        <v>57.475841975863091</v>
      </c>
      <c r="O17" s="13">
        <f>N17*VLOOKUP('Données projet'!$B$9,Paramètres!$A$1:$I$89,3,0)*VLOOKUP('Données projet'!$B$9,Paramètres!$A$1:$I$89,5,0)</f>
        <v>32.128995664507464</v>
      </c>
      <c r="P17" s="13">
        <f t="shared" si="33"/>
        <v>9.8865868667075354</v>
      </c>
      <c r="Q17" s="20">
        <f t="shared" si="2"/>
        <v>73.177139575199462</v>
      </c>
      <c r="R17" s="59">
        <f t="shared" si="0"/>
        <v>346.95491735297725</v>
      </c>
      <c r="S17" s="59">
        <f ca="1">AVERAGE(OFFSET($R$3,0,0,'Données projet'!$E$9+1,1))-AVERAGE(OFFSET($H$3,0,0,'Données projet'!$E$9+1,1))</f>
        <v>281.14678081581229</v>
      </c>
      <c r="T17" s="59">
        <f t="shared" si="34"/>
        <v>380.81265808422603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322.95617942976799</v>
      </c>
      <c r="AN17" s="59">
        <f ca="1">AVERAGE(OFFSET($AM$3,0,0,'Données projet'!$E$10+1,1))-AVERAGE(OFFSET($H$3,0,0,'Données projet'!$E$10+1,1))</f>
        <v>279.9271639349646</v>
      </c>
      <c r="AO17" s="59">
        <f t="shared" si="36"/>
        <v>260.03726798406916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3.2427350426666668</v>
      </c>
      <c r="BD17" s="12">
        <f>IF('Données projet'!$A$88&gt;35,BD16+BC17-BL16,IF(A17&lt;'Données projet'!$A$88,$BA$205^A17,IF(A17='Données projet'!$A$88,'Données projet'!$B$88,BD16+BC17-BL16)))</f>
        <v>8.4673712637972045</v>
      </c>
      <c r="BE17" s="13">
        <f>BD17*VLOOKUP('Données projet'!$B$11,Paramètres!$A$1:$I$89,3,0)*VLOOKUP('Données projet'!$B$11,Paramètres!$A$1:$I$89,5,0)</f>
        <v>7.2650045443380025</v>
      </c>
      <c r="BF17" s="13">
        <f t="shared" si="37"/>
        <v>2.6579089375741347</v>
      </c>
      <c r="BG17" s="20">
        <f t="shared" si="7"/>
        <v>17.282407647663636</v>
      </c>
      <c r="BH17" s="59">
        <f t="shared" si="8"/>
        <v>291.06018542544143</v>
      </c>
      <c r="BI17" s="59">
        <f ca="1">AVERAGE(OFFSET($BH$3,0,0,'Données projet'!$E$11+1,1))-AVERAGE(OFFSET($H$3,0,0,'Données projet'!$E$11+1,1))</f>
        <v>212.99246338839475</v>
      </c>
      <c r="BJ17" s="59">
        <f t="shared" si="38"/>
        <v>162.04040335537223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39.739440000000002</v>
      </c>
      <c r="CA17" s="13">
        <f t="shared" si="39"/>
        <v>11.929559204083212</v>
      </c>
      <c r="CB17" s="20">
        <f t="shared" si="10"/>
        <v>89.990173613778268</v>
      </c>
      <c r="CC17" s="59">
        <f t="shared" si="11"/>
        <v>363.76795139155604</v>
      </c>
      <c r="CD17" s="59">
        <f ca="1">AVERAGE(OFFSET($CC$3,0,0,'Données projet'!$E$12+1,1))-AVERAGE(OFFSET($H$3,0,0,'Données projet'!$E$12+1,1))</f>
        <v>249.53949216238527</v>
      </c>
      <c r="CE17" s="59">
        <f t="shared" si="40"/>
        <v>261.78576517528217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7">
        <f t="shared" si="1"/>
        <v>287.28516773082151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10.160683761111111</v>
      </c>
      <c r="N18" s="13">
        <f>IF('Données projet'!$A$36&gt;35,N17+M18-V17,IF(A18&lt;'Données projet'!$A$36,$K$205^A18,IF(A18='Données projet'!$A$36,'Données projet'!$B$36,N17+M18-V17)))</f>
        <v>76.764931459819962</v>
      </c>
      <c r="O18" s="13">
        <f>N18*VLOOKUP('Données projet'!$B$9,Paramètres!$A$1:$I$89,3,0)*VLOOKUP('Données projet'!$B$9,Paramètres!$A$1:$I$89,5,0)</f>
        <v>42.911596686039353</v>
      </c>
      <c r="P18" s="13">
        <f t="shared" si="33"/>
        <v>12.767181933181348</v>
      </c>
      <c r="Q18" s="20">
        <f t="shared" si="2"/>
        <v>96.973872761809389</v>
      </c>
      <c r="R18" s="59">
        <f t="shared" si="0"/>
        <v>371.97387276180939</v>
      </c>
      <c r="S18" s="59">
        <f ca="1">AVERAGE(OFFSET($R$3,0,0,'Données projet'!$E$9+1,1))-AVERAGE(OFFSET($H$3,0,0,'Données projet'!$E$9+1,1))</f>
        <v>281.14678081581229</v>
      </c>
      <c r="T18" s="59">
        <f t="shared" si="34"/>
        <v>380.81265808422603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338.03229468332916</v>
      </c>
      <c r="AN18" s="59">
        <f ca="1">AVERAGE(OFFSET($AM$3,0,0,'Données projet'!$E$10+1,1))-AVERAGE(OFFSET($H$3,0,0,'Données projet'!$E$10+1,1))</f>
        <v>279.9271639349646</v>
      </c>
      <c r="AO18" s="59">
        <f t="shared" si="36"/>
        <v>260.03726798406916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3.2427350426666668</v>
      </c>
      <c r="BD18" s="12">
        <f>IF('Données projet'!$A$88&gt;35,BD17+BC18-BL17,IF(A18&lt;'Données projet'!$A$88,$BA$205^A18,IF(A18='Données projet'!$A$88,'Données projet'!$B$88,BD17+BC18-BL17)))</f>
        <v>9.8631663921886688</v>
      </c>
      <c r="BE18" s="13">
        <f>BD18*VLOOKUP('Données projet'!$B$11,Paramètres!$A$1:$I$89,3,0)*VLOOKUP('Données projet'!$B$11,Paramètres!$A$1:$I$89,5,0)</f>
        <v>8.4625967644978797</v>
      </c>
      <c r="BF18" s="13">
        <f t="shared" si="37"/>
        <v>3.0415452914341738</v>
      </c>
      <c r="BG18" s="20">
        <f t="shared" si="7"/>
        <v>20.036380747414992</v>
      </c>
      <c r="BH18" s="59">
        <f t="shared" si="8"/>
        <v>295.03638074741497</v>
      </c>
      <c r="BI18" s="59">
        <f ca="1">AVERAGE(OFFSET($BH$3,0,0,'Données projet'!$E$11+1,1))-AVERAGE(OFFSET($H$3,0,0,'Données projet'!$E$11+1,1))</f>
        <v>212.99246338839475</v>
      </c>
      <c r="BJ18" s="59">
        <f t="shared" si="38"/>
        <v>162.04040335537223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47.657999999999994</v>
      </c>
      <c r="CA18" s="13">
        <f t="shared" si="39"/>
        <v>14.007249652087213</v>
      </c>
      <c r="CB18" s="20">
        <f t="shared" si="10"/>
        <v>107.40030981071855</v>
      </c>
      <c r="CC18" s="59">
        <f t="shared" si="11"/>
        <v>382.40030981071857</v>
      </c>
      <c r="CD18" s="59">
        <f ca="1">AVERAGE(OFFSET($CC$3,0,0,'Données projet'!$E$12+1,1))-AVERAGE(OFFSET($H$3,0,0,'Données projet'!$E$12+1,1))</f>
        <v>249.53949216238527</v>
      </c>
      <c r="CE18" s="59">
        <f t="shared" si="40"/>
        <v>261.78576517528217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7">
        <f t="shared" si="1"/>
        <v>289.26416743249104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10.160683761111111</v>
      </c>
      <c r="N19" s="13">
        <f>IF('Données projet'!$A$36&gt;35,N18+M19-V18,IF(A19&lt;'Données projet'!$A$36,$K$205^A19,IF(A19='Données projet'!$A$36,'Données projet'!$B$36,N18+M19-V18)))</f>
        <v>102.52750546056471</v>
      </c>
      <c r="O19" s="13">
        <f>N19*VLOOKUP('Données projet'!$B$9,Paramètres!$A$1:$I$89,3,0)*VLOOKUP('Données projet'!$B$9,Paramètres!$A$1:$I$89,5,0)</f>
        <v>57.312875552455672</v>
      </c>
      <c r="P19" s="13">
        <f t="shared" si="33"/>
        <v>16.487078575503936</v>
      </c>
      <c r="Q19" s="20">
        <f t="shared" si="2"/>
        <v>128.5349201061963</v>
      </c>
      <c r="R19" s="59">
        <f t="shared" si="0"/>
        <v>404.75714232841852</v>
      </c>
      <c r="S19" s="59">
        <f ca="1">AVERAGE(OFFSET($R$3,0,0,'Données projet'!$E$9+1,1))-AVERAGE(OFFSET($H$3,0,0,'Données projet'!$E$9+1,1))</f>
        <v>281.14678081581229</v>
      </c>
      <c r="T19" s="59">
        <f t="shared" si="34"/>
        <v>380.81265808422603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357.02411282233345</v>
      </c>
      <c r="AN19" s="59">
        <f ca="1">AVERAGE(OFFSET($AM$3,0,0,'Données projet'!$E$10+1,1))-AVERAGE(OFFSET($H$3,0,0,'Données projet'!$E$10+1,1))</f>
        <v>279.9271639349646</v>
      </c>
      <c r="AO19" s="59">
        <f t="shared" si="36"/>
        <v>260.03726798406916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3.2427350426666668</v>
      </c>
      <c r="BD19" s="12">
        <f>IF('Données projet'!$A$88&gt;35,BD18+BC19-BL18,IF(A19&lt;'Données projet'!$A$88,$BA$205^A19,IF(A19='Données projet'!$A$88,'Données projet'!$B$88,BD18+BC19-BL18)))</f>
        <v>11.489049936423093</v>
      </c>
      <c r="BE19" s="13">
        <f>BD19*VLOOKUP('Données projet'!$B$11,Paramètres!$A$1:$I$89,3,0)*VLOOKUP('Données projet'!$B$11,Paramètres!$A$1:$I$89,5,0)</f>
        <v>9.8576048454510143</v>
      </c>
      <c r="BF19" s="13">
        <f t="shared" si="37"/>
        <v>3.4805548185141166</v>
      </c>
      <c r="BG19" s="20">
        <f t="shared" si="7"/>
        <v>23.230628081405936</v>
      </c>
      <c r="BH19" s="59">
        <f t="shared" si="8"/>
        <v>299.45285030362817</v>
      </c>
      <c r="BI19" s="59">
        <f ca="1">AVERAGE(OFFSET($BH$3,0,0,'Données projet'!$E$11+1,1))-AVERAGE(OFFSET($H$3,0,0,'Données projet'!$E$11+1,1))</f>
        <v>212.99246338839475</v>
      </c>
      <c r="BJ19" s="59">
        <f t="shared" si="38"/>
        <v>162.04040335537223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34.313760000000002</v>
      </c>
      <c r="CA19" s="13">
        <f t="shared" si="39"/>
        <v>10.478324962562111</v>
      </c>
      <c r="CB19" s="20">
        <f t="shared" si="10"/>
        <v>78.012881309795674</v>
      </c>
      <c r="CC19" s="59">
        <f t="shared" si="11"/>
        <v>354.23510353201789</v>
      </c>
      <c r="CD19" s="59">
        <f ca="1">AVERAGE(OFFSET($CC$3,0,0,'Données projet'!$E$12+1,1))-AVERAGE(OFFSET($H$3,0,0,'Données projet'!$E$12+1,1))</f>
        <v>249.53949216238527</v>
      </c>
      <c r="CE19" s="59">
        <f t="shared" si="40"/>
        <v>261.78576517528217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7">
        <f t="shared" si="1"/>
        <v>291.23984876624053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10.160683761111111</v>
      </c>
      <c r="N20" s="13">
        <f>IF('Données projet'!$A$36&gt;35,N19+M20-V19,IF(A20&lt;'Données projet'!$A$36,$K$205^A20,IF(A20='Données projet'!$A$36,'Données projet'!$B$36,N19+M20-V19)))</f>
        <v>136.93608756060991</v>
      </c>
      <c r="O20" s="13">
        <f>N20*VLOOKUP('Données projet'!$B$9,Paramètres!$A$1:$I$89,3,0)*VLOOKUP('Données projet'!$B$9,Paramètres!$A$1:$I$89,5,0)</f>
        <v>76.547272946380943</v>
      </c>
      <c r="P20" s="13">
        <f t="shared" si="33"/>
        <v>21.290819021571426</v>
      </c>
      <c r="Q20" s="20">
        <f t="shared" si="2"/>
        <v>170.40134351085038</v>
      </c>
      <c r="R20" s="59">
        <f t="shared" si="0"/>
        <v>447.84578795529484</v>
      </c>
      <c r="S20" s="59">
        <f ca="1">AVERAGE(OFFSET($R$3,0,0,'Données projet'!$E$9+1,1))-AVERAGE(OFFSET($H$3,0,0,'Données projet'!$E$9+1,1))</f>
        <v>281.14678081581229</v>
      </c>
      <c r="T20" s="59">
        <f t="shared" si="34"/>
        <v>380.81265808422603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381.04176852843364</v>
      </c>
      <c r="AN20" s="59">
        <f ca="1">AVERAGE(OFFSET($AM$3,0,0,'Données projet'!$E$10+1,1))-AVERAGE(OFFSET($H$3,0,0,'Données projet'!$E$10+1,1))</f>
        <v>279.9271639349646</v>
      </c>
      <c r="AO20" s="59">
        <f t="shared" si="36"/>
        <v>260.03726798406916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3.2427350426666668</v>
      </c>
      <c r="BD20" s="12">
        <f>IF('Données projet'!$A$88&gt;35,BD19+BC20-BL19,IF(A20&lt;'Données projet'!$A$88,$BA$205^A20,IF(A20='Données projet'!$A$88,'Données projet'!$B$88,BD19+BC20-BL19)))</f>
        <v>13.382950585337603</v>
      </c>
      <c r="BE20" s="13">
        <f>BD20*VLOOKUP('Données projet'!$B$11,Paramètres!$A$1:$I$89,3,0)*VLOOKUP('Données projet'!$B$11,Paramètres!$A$1:$I$89,5,0)</f>
        <v>11.482571602219664</v>
      </c>
      <c r="BF20" s="13">
        <f t="shared" si="37"/>
        <v>3.9829299530074138</v>
      </c>
      <c r="BG20" s="20">
        <f t="shared" si="7"/>
        <v>26.935748542020491</v>
      </c>
      <c r="BH20" s="59">
        <f t="shared" si="8"/>
        <v>304.38019298646498</v>
      </c>
      <c r="BI20" s="59">
        <f ca="1">AVERAGE(OFFSET($BH$3,0,0,'Données projet'!$E$11+1,1))-AVERAGE(OFFSET($H$3,0,0,'Données projet'!$E$11+1,1))</f>
        <v>212.99246338839475</v>
      </c>
      <c r="BJ20" s="59">
        <f t="shared" si="38"/>
        <v>162.04040335537223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44.431919999999998</v>
      </c>
      <c r="CA20" s="13">
        <f t="shared" si="39"/>
        <v>13.166048117528</v>
      </c>
      <c r="CB20" s="20">
        <f t="shared" si="10"/>
        <v>100.31646113802792</v>
      </c>
      <c r="CC20" s="59">
        <f t="shared" si="11"/>
        <v>377.76090558247239</v>
      </c>
      <c r="CD20" s="59">
        <f ca="1">AVERAGE(OFFSET($CC$3,0,0,'Données projet'!$E$12+1,1))-AVERAGE(OFFSET($H$3,0,0,'Données projet'!$E$12+1,1))</f>
        <v>249.53949216238527</v>
      </c>
      <c r="CE20" s="59">
        <f t="shared" si="40"/>
        <v>261.78576517528217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7">
        <f t="shared" si="1"/>
        <v>293.21242916490445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182.8923077</v>
      </c>
      <c r="L21" s="12">
        <f>VLOOKUP(A21,'Données projet'!$A$35:$I$55,9,0)</f>
        <v>10.160683761111111</v>
      </c>
      <c r="M21" s="12">
        <f t="array" ref="M21">INDEX(L:L,MIN(IF(ISNUMBER(L21:L217),ROW(L21:L217),"")))</f>
        <v>10.160683761111111</v>
      </c>
      <c r="N21" s="13">
        <f>IF('Données projet'!$A$36&gt;35,N20+M21-V20,IF(A21&lt;'Données projet'!$A$36,$K$205^A21,IF(A21='Données projet'!$A$36,'Données projet'!$B$36,N20+M21-V20)))</f>
        <v>182.8923077</v>
      </c>
      <c r="O21" s="13">
        <f>N21*VLOOKUP('Données projet'!$B$9,Paramètres!$A$1:$I$89,3,0)*VLOOKUP('Données projet'!$B$9,Paramètres!$A$1:$I$89,5,0)</f>
        <v>102.23680000429999</v>
      </c>
      <c r="P21" s="13">
        <f t="shared" si="33"/>
        <v>27.494196290348714</v>
      </c>
      <c r="Q21" s="20">
        <f t="shared" si="2"/>
        <v>225.94815187984651</v>
      </c>
      <c r="R21" s="59">
        <f t="shared" si="0"/>
        <v>504.61481854651322</v>
      </c>
      <c r="S21" s="59">
        <f ca="1">AVERAGE(OFFSET($R$3,0,0,'Données projet'!$E$9+1,1))-AVERAGE(OFFSET($H$3,0,0,'Données projet'!$E$9+1,1))</f>
        <v>281.14678081581229</v>
      </c>
      <c r="T21" s="59">
        <f t="shared" si="34"/>
        <v>380.81265808422603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69.284615380000005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15.762109240405996</v>
      </c>
      <c r="AB21" s="21">
        <f>EXP(-LN(2)/2)*AB20+(1-EXP(-LN(2)/2))/(LN(2)/2)*V21*Y21*VLOOKUP('Données projet'!$B$9,Paramètres!$A$1:$I$89,3,0)*0.475*44/12</f>
        <v>19.294646845543795</v>
      </c>
      <c r="AC21" s="22">
        <f t="shared" si="3"/>
        <v>35.056756085949793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411.51101212354814</v>
      </c>
      <c r="AN21" s="59">
        <f ca="1">AVERAGE(OFFSET($AM$3,0,0,'Données projet'!$E$10+1,1))-AVERAGE(OFFSET($H$3,0,0,'Données projet'!$E$10+1,1))</f>
        <v>279.9271639349646</v>
      </c>
      <c r="AO21" s="59">
        <f t="shared" si="36"/>
        <v>260.03726798406916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3.2427350426666668</v>
      </c>
      <c r="BD21" s="12">
        <f>IF('Données projet'!$A$88&gt;35,BD20+BC21-BL20,IF(A21&lt;'Données projet'!$A$88,$BA$205^A21,IF(A21='Données projet'!$A$88,'Données projet'!$B$88,BD20+BC21-BL20)))</f>
        <v>15.589049343565538</v>
      </c>
      <c r="BE21" s="13">
        <f>BD21*VLOOKUP('Données projet'!$B$11,Paramètres!$A$1:$I$89,3,0)*VLOOKUP('Données projet'!$B$11,Paramètres!$A$1:$I$89,5,0)</f>
        <v>13.375404336779233</v>
      </c>
      <c r="BF21" s="13">
        <f t="shared" si="37"/>
        <v>4.5578167383486354</v>
      </c>
      <c r="BG21" s="20">
        <f t="shared" si="7"/>
        <v>31.23369337251437</v>
      </c>
      <c r="BH21" s="59">
        <f t="shared" si="8"/>
        <v>309.90036003918107</v>
      </c>
      <c r="BI21" s="59">
        <f ca="1">AVERAGE(OFFSET($BH$3,0,0,'Données projet'!$E$11+1,1))-AVERAGE(OFFSET($H$3,0,0,'Données projet'!$E$11+1,1))</f>
        <v>212.99246338839475</v>
      </c>
      <c r="BJ21" s="59">
        <f t="shared" si="38"/>
        <v>162.04040335537223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54.550079999999994</v>
      </c>
      <c r="CA21" s="13">
        <f t="shared" si="39"/>
        <v>15.782815260920117</v>
      </c>
      <c r="CB21" s="20">
        <f t="shared" si="10"/>
        <v>122.49645924610253</v>
      </c>
      <c r="CC21" s="59">
        <f t="shared" si="11"/>
        <v>401.1631259127692</v>
      </c>
      <c r="CD21" s="59">
        <f ca="1">AVERAGE(OFFSET($CC$3,0,0,'Données projet'!$E$12+1,1))-AVERAGE(OFFSET($H$3,0,0,'Données projet'!$E$12+1,1))</f>
        <v>249.53949216238527</v>
      </c>
      <c r="CE21" s="59">
        <f t="shared" si="40"/>
        <v>261.78576517528217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7">
        <f t="shared" si="1"/>
        <v>295.18210053762704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20.658974363333336</v>
      </c>
      <c r="N22" s="13">
        <f>IF('Données projet'!$A$36&gt;35,N21+M22-V21,IF(A22&lt;'Données projet'!$A$36,$K$205^A22,IF(A22='Données projet'!$A$36,'Données projet'!$B$36,N21+M22-V21)))</f>
        <v>134.26666668333331</v>
      </c>
      <c r="O22" s="13">
        <f>N22*VLOOKUP('Données projet'!$B$9,Paramètres!$A$1:$I$89,3,0)*VLOOKUP('Données projet'!$B$9,Paramètres!$A$1:$I$89,5,0)</f>
        <v>75.055066675983326</v>
      </c>
      <c r="P22" s="13">
        <f t="shared" si="33"/>
        <v>20.923669244967723</v>
      </c>
      <c r="Q22" s="20">
        <f t="shared" si="2"/>
        <v>167.16296506232308</v>
      </c>
      <c r="R22" s="59">
        <f t="shared" si="0"/>
        <v>447.05185395121191</v>
      </c>
      <c r="S22" s="59">
        <f ca="1">AVERAGE(OFFSET($R$3,0,0,'Données projet'!$E$9+1,1))-AVERAGE(OFFSET($H$3,0,0,'Données projet'!$E$9+1,1))</f>
        <v>281.14678081581229</v>
      </c>
      <c r="T22" s="59">
        <f t="shared" si="34"/>
        <v>380.81265808422603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15.331093534333794</v>
      </c>
      <c r="AB22" s="21">
        <f>EXP(-LN(2)/2)*AB21+(1-EXP(-LN(2)/2))/(LN(2)/2)*V22*Y22*VLOOKUP('Données projet'!$B$9,Paramètres!$A$1:$I$89,3,0)*0.475*44/12</f>
        <v>13.643375625083646</v>
      </c>
      <c r="AC22" s="22">
        <f t="shared" si="3"/>
        <v>28.974469159417438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450.26316972602865</v>
      </c>
      <c r="AN22" s="59">
        <f ca="1">AVERAGE(OFFSET($AM$3,0,0,'Données projet'!$E$10+1,1))-AVERAGE(OFFSET($H$3,0,0,'Données projet'!$E$10+1,1))</f>
        <v>279.9271639349646</v>
      </c>
      <c r="AO22" s="59">
        <f t="shared" si="36"/>
        <v>260.03726798406916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3.2427350426666668</v>
      </c>
      <c r="BD22" s="12">
        <f>IF('Données projet'!$A$88&gt;35,BD21+BC22-BL21,IF(A22&lt;'Données projet'!$A$88,$BA$205^A22,IF(A22='Données projet'!$A$88,'Données projet'!$B$88,BD21+BC22-BL21)))</f>
        <v>18.158810188118967</v>
      </c>
      <c r="BE22" s="13">
        <f>BD22*VLOOKUP('Données projet'!$B$11,Paramètres!$A$1:$I$89,3,0)*VLOOKUP('Données projet'!$B$11,Paramètres!$A$1:$I$89,5,0)</f>
        <v>15.580259141406074</v>
      </c>
      <c r="BF22" s="13">
        <f t="shared" si="37"/>
        <v>5.2156813364707295</v>
      </c>
      <c r="BG22" s="20">
        <f t="shared" si="7"/>
        <v>36.219596332302103</v>
      </c>
      <c r="BH22" s="59">
        <f t="shared" si="8"/>
        <v>316.10848522119096</v>
      </c>
      <c r="BI22" s="59">
        <f ca="1">AVERAGE(OFFSET($BH$3,0,0,'Données projet'!$E$11+1,1))-AVERAGE(OFFSET($H$3,0,0,'Données projet'!$E$11+1,1))</f>
        <v>212.99246338839475</v>
      </c>
      <c r="BJ22" s="59">
        <f t="shared" si="38"/>
        <v>162.04040335537223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64.668239999999997</v>
      </c>
      <c r="CA22" s="13">
        <f t="shared" si="39"/>
        <v>18.34335069187722</v>
      </c>
      <c r="CB22" s="20">
        <f t="shared" si="10"/>
        <v>144.57852045501949</v>
      </c>
      <c r="CC22" s="59">
        <f t="shared" si="11"/>
        <v>424.46740934390834</v>
      </c>
      <c r="CD22" s="59">
        <f ca="1">AVERAGE(OFFSET($CC$3,0,0,'Données projet'!$E$12+1,1))-AVERAGE(OFFSET($H$3,0,0,'Données projet'!$E$12+1,1))</f>
        <v>249.53949216238527</v>
      </c>
      <c r="CE22" s="59">
        <f t="shared" si="40"/>
        <v>261.78576517528217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7">
        <f t="shared" si="1"/>
        <v>297.14903345164504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20.658974363333336</v>
      </c>
      <c r="N23" s="13">
        <f>IF('Données projet'!$A$36&gt;35,N22+M23-V22,IF(A23&lt;'Données projet'!$A$36,$K$205^A23,IF(A23='Données projet'!$A$36,'Données projet'!$B$36,N22+M23-V22)))</f>
        <v>154.92564104666664</v>
      </c>
      <c r="O23" s="13">
        <f>N23*VLOOKUP('Données projet'!$B$9,Paramètres!$A$1:$I$89,3,0)*VLOOKUP('Données projet'!$B$9,Paramètres!$A$1:$I$89,5,0)</f>
        <v>86.603433345086657</v>
      </c>
      <c r="P23" s="13">
        <f t="shared" si="33"/>
        <v>23.744229856747626</v>
      </c>
      <c r="Q23" s="20">
        <f t="shared" si="2"/>
        <v>192.18884674319466</v>
      </c>
      <c r="R23" s="59">
        <f t="shared" si="0"/>
        <v>473.29995785430583</v>
      </c>
      <c r="S23" s="59">
        <f ca="1">AVERAGE(OFFSET($R$3,0,0,'Données projet'!$E$9+1,1))-AVERAGE(OFFSET($H$3,0,0,'Données projet'!$E$9+1,1))</f>
        <v>281.14678081581229</v>
      </c>
      <c r="T23" s="59">
        <f t="shared" si="34"/>
        <v>380.81265808422603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14.911863975410267</v>
      </c>
      <c r="AB23" s="21">
        <f>EXP(-LN(2)/2)*AB22+(1-EXP(-LN(2)/2))/(LN(2)/2)*V23*Y23*VLOOKUP('Données projet'!$B$9,Paramètres!$A$1:$I$89,3,0)*0.475*44/12</f>
        <v>9.6473234227718976</v>
      </c>
      <c r="AC23" s="22">
        <f t="shared" si="3"/>
        <v>24.559187398182164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411.35071247923725</v>
      </c>
      <c r="AN23" s="59">
        <f ca="1">AVERAGE(OFFSET($AM$3,0,0,'Données projet'!$E$10+1,1))-AVERAGE(OFFSET($H$3,0,0,'Données projet'!$E$10+1,1))</f>
        <v>279.9271639349646</v>
      </c>
      <c r="AO23" s="59">
        <f t="shared" si="36"/>
        <v>260.03726798406916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3.2427350426666668</v>
      </c>
      <c r="BD23" s="12">
        <f>IF('Données projet'!$A$88&gt;35,BD22+BC23-BL22,IF(A23&lt;'Données projet'!$A$88,$BA$205^A23,IF(A23='Données projet'!$A$88,'Données projet'!$B$88,BD22+BC23-BL22)))</f>
        <v>21.152180622498062</v>
      </c>
      <c r="BE23" s="13">
        <f>BD23*VLOOKUP('Données projet'!$B$11,Paramètres!$A$1:$I$89,3,0)*VLOOKUP('Données projet'!$B$11,Paramètres!$A$1:$I$89,5,0)</f>
        <v>18.14857097410334</v>
      </c>
      <c r="BF23" s="13">
        <f t="shared" si="37"/>
        <v>5.9685005706186551</v>
      </c>
      <c r="BG23" s="20">
        <f t="shared" si="7"/>
        <v>42.00389960705747</v>
      </c>
      <c r="BH23" s="59">
        <f t="shared" si="8"/>
        <v>323.11501071816861</v>
      </c>
      <c r="BI23" s="59">
        <f ca="1">AVERAGE(OFFSET($BH$3,0,0,'Données projet'!$E$11+1,1))-AVERAGE(OFFSET($H$3,0,0,'Données projet'!$E$11+1,1))</f>
        <v>212.99246338839475</v>
      </c>
      <c r="BJ23" s="59">
        <f t="shared" si="38"/>
        <v>162.04040335537223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74.786399999999986</v>
      </c>
      <c r="CA23" s="13">
        <f t="shared" si="39"/>
        <v>20.857475351088951</v>
      </c>
      <c r="CB23" s="20">
        <f t="shared" si="10"/>
        <v>166.57974956981323</v>
      </c>
      <c r="CC23" s="59">
        <f t="shared" si="11"/>
        <v>447.6908606809244</v>
      </c>
      <c r="CD23" s="59">
        <f ca="1">AVERAGE(OFFSET($CC$3,0,0,'Données projet'!$E$12+1,1))-AVERAGE(OFFSET($H$3,0,0,'Données projet'!$E$12+1,1))</f>
        <v>249.53949216238527</v>
      </c>
      <c r="CE23" s="59">
        <f t="shared" si="40"/>
        <v>261.78576517528217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1.29E-2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0.36451379027913661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0.36451379027913661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7">
        <f t="shared" si="1"/>
        <v>299.11338045394575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20.658974363333336</v>
      </c>
      <c r="N24" s="13">
        <f>IF('Données projet'!$A$36&gt;35,N23+M24-V23,IF(A24&lt;'Données projet'!$A$36,$K$205^A24,IF(A24='Données projet'!$A$36,'Données projet'!$B$36,N23+M24-V23)))</f>
        <v>175.58461540999997</v>
      </c>
      <c r="O24" s="13">
        <f>N24*VLOOKUP('Données projet'!$B$9,Paramètres!$A$1:$I$89,3,0)*VLOOKUP('Données projet'!$B$9,Paramètres!$A$1:$I$89,5,0)</f>
        <v>98.151800014189973</v>
      </c>
      <c r="P24" s="13">
        <f t="shared" si="33"/>
        <v>26.521212479596233</v>
      </c>
      <c r="Q24" s="20">
        <f t="shared" si="2"/>
        <v>217.1388300933443</v>
      </c>
      <c r="R24" s="59">
        <f t="shared" si="0"/>
        <v>499.47216342667764</v>
      </c>
      <c r="S24" s="59">
        <f ca="1">AVERAGE(OFFSET($R$3,0,0,'Données projet'!$E$9+1,1))-AVERAGE(OFFSET($H$3,0,0,'Données projet'!$E$9+1,1))</f>
        <v>281.14678081581229</v>
      </c>
      <c r="T24" s="59">
        <f t="shared" si="34"/>
        <v>380.81265808422603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14.504098270821828</v>
      </c>
      <c r="AB24" s="21">
        <f>EXP(-LN(2)/2)*AB23+(1-EXP(-LN(2)/2))/(LN(2)/2)*V24*Y24*VLOOKUP('Données projet'!$B$9,Paramètres!$A$1:$I$89,3,0)*0.475*44/12</f>
        <v>6.821687812541823</v>
      </c>
      <c r="AC24" s="22">
        <f t="shared" si="3"/>
        <v>21.325786083363653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433.03769910908363</v>
      </c>
      <c r="AN24" s="59">
        <f ca="1">AVERAGE(OFFSET($AM$3,0,0,'Données projet'!$E$10+1,1))-AVERAGE(OFFSET($H$3,0,0,'Données projet'!$E$10+1,1))</f>
        <v>279.9271639349646</v>
      </c>
      <c r="AO24" s="59">
        <f t="shared" si="36"/>
        <v>260.03726798406916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3.2427350426666668</v>
      </c>
      <c r="BD24" s="12">
        <f>IF('Données projet'!$A$88&gt;35,BD23+BC24-BL23,IF(A24&lt;'Données projet'!$A$88,$BA$205^A24,IF(A24='Données projet'!$A$88,'Données projet'!$B$88,BD23+BC24-BL23)))</f>
        <v>24.638990134910884</v>
      </c>
      <c r="BE24" s="13">
        <f>BD24*VLOOKUP('Données projet'!$B$11,Paramètres!$A$1:$I$89,3,0)*VLOOKUP('Données projet'!$B$11,Paramètres!$A$1:$I$89,5,0)</f>
        <v>21.140253535753541</v>
      </c>
      <c r="BF24" s="13">
        <f t="shared" si="37"/>
        <v>6.8299799706666988</v>
      </c>
      <c r="BG24" s="20">
        <f t="shared" si="7"/>
        <v>48.714823357015241</v>
      </c>
      <c r="BH24" s="59">
        <f t="shared" si="8"/>
        <v>331.04815669034855</v>
      </c>
      <c r="BI24" s="59">
        <f ca="1">AVERAGE(OFFSET($BH$3,0,0,'Données projet'!$E$11+1,1))-AVERAGE(OFFSET($H$3,0,0,'Données projet'!$E$11+1,1))</f>
        <v>212.99246338839475</v>
      </c>
      <c r="BJ24" s="59">
        <f t="shared" si="38"/>
        <v>162.04040335537223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59.975759999999987</v>
      </c>
      <c r="CA24" s="13">
        <f t="shared" si="39"/>
        <v>17.162140235844557</v>
      </c>
      <c r="CB24" s="20">
        <f t="shared" si="10"/>
        <v>134.34850957742924</v>
      </c>
      <c r="CC24" s="59">
        <f t="shared" si="11"/>
        <v>416.68184291076255</v>
      </c>
      <c r="CD24" s="59">
        <f ca="1">AVERAGE(OFFSET($CC$3,0,0,'Données projet'!$E$12+1,1))-AVERAGE(OFFSET($H$3,0,0,'Données projet'!$E$12+1,1))</f>
        <v>249.53949216238527</v>
      </c>
      <c r="CE24" s="59">
        <f t="shared" si="40"/>
        <v>261.78576517528217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0.35454614151500652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0.35454614151500652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7">
        <f t="shared" si="1"/>
        <v>301.07527874230203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20.658974363333336</v>
      </c>
      <c r="N25" s="13">
        <f>IF('Données projet'!$A$36&gt;35,N24+M25-V24,IF(A25&lt;'Données projet'!$A$36,$K$205^A25,IF(A25='Données projet'!$A$36,'Données projet'!$B$36,N24+M25-V24)))</f>
        <v>196.2435897733333</v>
      </c>
      <c r="O25" s="13">
        <f>N25*VLOOKUP('Données projet'!$B$9,Paramètres!$A$1:$I$89,3,0)*VLOOKUP('Données projet'!$B$9,Paramètres!$A$1:$I$89,5,0)</f>
        <v>109.70016668329332</v>
      </c>
      <c r="P25" s="13">
        <f t="shared" si="33"/>
        <v>29.260330286394048</v>
      </c>
      <c r="Q25" s="20">
        <f t="shared" si="2"/>
        <v>242.02286555553883</v>
      </c>
      <c r="R25" s="59">
        <f t="shared" si="0"/>
        <v>525.57842111109437</v>
      </c>
      <c r="S25" s="59">
        <f ca="1">AVERAGE(OFFSET($R$3,0,0,'Données projet'!$E$9+1,1))-AVERAGE(OFFSET($H$3,0,0,'Données projet'!$E$9+1,1))</f>
        <v>281.14678081581229</v>
      </c>
      <c r="T25" s="59">
        <f t="shared" si="34"/>
        <v>380.81265808422603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14.107482940868827</v>
      </c>
      <c r="AB25" s="21">
        <f>EXP(-LN(2)/2)*AB24+(1-EXP(-LN(2)/2))/(LN(2)/2)*V25*Y25*VLOOKUP('Données projet'!$B$9,Paramètres!$A$1:$I$89,3,0)*0.475*44/12</f>
        <v>4.8236617113859488</v>
      </c>
      <c r="AC25" s="22">
        <f t="shared" si="3"/>
        <v>18.931144652254776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454.65838965455248</v>
      </c>
      <c r="AN25" s="59">
        <f ca="1">AVERAGE(OFFSET($AM$3,0,0,'Données projet'!$E$10+1,1))-AVERAGE(OFFSET($H$3,0,0,'Données projet'!$E$10+1,1))</f>
        <v>279.9271639349646</v>
      </c>
      <c r="AO25" s="59">
        <f t="shared" si="36"/>
        <v>260.03726798406916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3.2427350426666668</v>
      </c>
      <c r="BD25" s="12">
        <f>IF('Données projet'!$A$88&gt;35,BD24+BC25-BL24,IF(A25&lt;'Données projet'!$A$88,$BA$205^A25,IF(A25='Données projet'!$A$88,'Données projet'!$B$88,BD24+BC25-BL24)))</f>
        <v>28.700579183903553</v>
      </c>
      <c r="BE25" s="13">
        <f>BD25*VLOOKUP('Données projet'!$B$11,Paramètres!$A$1:$I$89,3,0)*VLOOKUP('Données projet'!$B$11,Paramètres!$A$1:$I$89,5,0)</f>
        <v>24.625096939789252</v>
      </c>
      <c r="BF25" s="13">
        <f t="shared" si="37"/>
        <v>7.8158032905864303</v>
      </c>
      <c r="BG25" s="20">
        <f t="shared" si="7"/>
        <v>56.501234567904305</v>
      </c>
      <c r="BH25" s="59">
        <f t="shared" si="8"/>
        <v>340.05679012345985</v>
      </c>
      <c r="BI25" s="59">
        <f ca="1">AVERAGE(OFFSET($BH$3,0,0,'Données projet'!$E$11+1,1))-AVERAGE(OFFSET($H$3,0,0,'Données projet'!$E$11+1,1))</f>
        <v>212.99246338839475</v>
      </c>
      <c r="BJ25" s="59">
        <f t="shared" si="38"/>
        <v>162.04040335537223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70.827119999999979</v>
      </c>
      <c r="CA25" s="13">
        <f t="shared" si="39"/>
        <v>19.878719982140016</v>
      </c>
      <c r="CB25" s="20">
        <f t="shared" si="10"/>
        <v>157.97933796889382</v>
      </c>
      <c r="CC25" s="59">
        <f t="shared" si="11"/>
        <v>441.53489352444933</v>
      </c>
      <c r="CD25" s="59">
        <f ca="1">AVERAGE(OFFSET($CC$3,0,0,'Données projet'!$E$12+1,1))-AVERAGE(OFFSET($H$3,0,0,'Données projet'!$E$12+1,1))</f>
        <v>249.53949216238527</v>
      </c>
      <c r="CE25" s="59">
        <f t="shared" si="40"/>
        <v>261.78576517528217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0.34485105863050741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0.34485105863050741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7">
        <f t="shared" si="1"/>
        <v>303.03485233693669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20.658974363333336</v>
      </c>
      <c r="N26" s="13">
        <f>IF('Données projet'!$A$36&gt;35,N25+M26-V25,IF(A26&lt;'Données projet'!$A$36,$K$205^A26,IF(A26='Données projet'!$A$36,'Données projet'!$B$36,N25+M26-V25)))</f>
        <v>216.90256413666663</v>
      </c>
      <c r="O26" s="13">
        <f>N26*VLOOKUP('Données projet'!$B$9,Paramètres!$A$1:$I$89,3,0)*VLOOKUP('Données projet'!$B$9,Paramètres!$A$1:$I$89,5,0)</f>
        <v>121.24853335239663</v>
      </c>
      <c r="P26" s="13">
        <f t="shared" si="33"/>
        <v>31.966023541519977</v>
      </c>
      <c r="Q26" s="20">
        <f t="shared" si="2"/>
        <v>266.84868659023806</v>
      </c>
      <c r="R26" s="59">
        <f t="shared" si="0"/>
        <v>551.62646436801583</v>
      </c>
      <c r="S26" s="59">
        <f ca="1">AVERAGE(OFFSET($R$3,0,0,'Données projet'!$E$9+1,1))-AVERAGE(OFFSET($H$3,0,0,'Données projet'!$E$9+1,1))</f>
        <v>281.14678081581229</v>
      </c>
      <c r="T26" s="59">
        <f t="shared" si="34"/>
        <v>380.81265808422603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13.721713077970485</v>
      </c>
      <c r="AB26" s="21">
        <f>EXP(-LN(2)/2)*AB25+(1-EXP(-LN(2)/2))/(LN(2)/2)*V26*Y26*VLOOKUP('Données projet'!$B$9,Paramètres!$A$1:$I$89,3,0)*0.475*44/12</f>
        <v>3.4108439062709115</v>
      </c>
      <c r="AC26" s="22">
        <f t="shared" si="3"/>
        <v>17.132556984241397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476.22180764308666</v>
      </c>
      <c r="AN26" s="59">
        <f ca="1">AVERAGE(OFFSET($AM$3,0,0,'Données projet'!$E$10+1,1))-AVERAGE(OFFSET($H$3,0,0,'Données projet'!$E$10+1,1))</f>
        <v>279.9271639349646</v>
      </c>
      <c r="AO26" s="59">
        <f t="shared" si="36"/>
        <v>260.03726798406916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3.2427350426666668</v>
      </c>
      <c r="BD26" s="12">
        <f>IF('Données projet'!$A$88&gt;35,BD25+BC26-BL25,IF(A26&lt;'Données projet'!$A$88,$BA$205^A26,IF(A26='Données projet'!$A$88,'Données projet'!$B$88,BD25+BC26-BL25)))</f>
        <v>33.43169671245527</v>
      </c>
      <c r="BE26" s="13">
        <f>BD26*VLOOKUP('Données projet'!$B$11,Paramètres!$A$1:$I$89,3,0)*VLOOKUP('Données projet'!$B$11,Paramètres!$A$1:$I$89,5,0)</f>
        <v>28.684395779286628</v>
      </c>
      <c r="BF26" s="13">
        <f t="shared" si="37"/>
        <v>8.9439180406818686</v>
      </c>
      <c r="BG26" s="20">
        <f t="shared" si="7"/>
        <v>65.535979903111794</v>
      </c>
      <c r="BH26" s="59">
        <f t="shared" si="8"/>
        <v>350.31375768088958</v>
      </c>
      <c r="BI26" s="59">
        <f ca="1">AVERAGE(OFFSET($BH$3,0,0,'Données projet'!$E$11+1,1))-AVERAGE(OFFSET($H$3,0,0,'Données projet'!$E$11+1,1))</f>
        <v>212.99246338839475</v>
      </c>
      <c r="BJ26" s="59">
        <f t="shared" si="38"/>
        <v>162.04040335537223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81.678479999999993</v>
      </c>
      <c r="CA26" s="13">
        <f t="shared" si="39"/>
        <v>22.547083950915322</v>
      </c>
      <c r="CB26" s="20">
        <f t="shared" si="10"/>
        <v>181.52619054784418</v>
      </c>
      <c r="CC26" s="59">
        <f t="shared" si="11"/>
        <v>466.30396832562195</v>
      </c>
      <c r="CD26" s="59">
        <f ca="1">AVERAGE(OFFSET($CC$3,0,0,'Données projet'!$E$12+1,1))-AVERAGE(OFFSET($H$3,0,0,'Données projet'!$E$12+1,1))</f>
        <v>249.53949216238527</v>
      </c>
      <c r="CE26" s="59">
        <f t="shared" si="40"/>
        <v>261.78576517528217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0.3354210882973272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0.3354210882973272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7">
        <f t="shared" si="1"/>
        <v>304.99221386384886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237.56153850000001</v>
      </c>
      <c r="L27" s="12">
        <f>VLOOKUP(A27,'Données projet'!$A$35:$I$55,9,0)</f>
        <v>20.658974363333336</v>
      </c>
      <c r="M27" s="12">
        <f t="array" ref="M27">INDEX(L:L,MIN(IF(ISNUMBER(L27:L223),ROW(L27:L223),"")))</f>
        <v>20.658974363333336</v>
      </c>
      <c r="N27" s="13">
        <f>IF('Données projet'!$A$36&gt;35,N26+M27-V26,IF(A27&lt;'Données projet'!$A$36,$K$205^A27,IF(A27='Données projet'!$A$36,'Données projet'!$B$36,N26+M27-V26)))</f>
        <v>237.56153849999995</v>
      </c>
      <c r="O27" s="13">
        <f>N27*VLOOKUP('Données projet'!$B$9,Paramètres!$A$1:$I$89,3,0)*VLOOKUP('Données projet'!$B$9,Paramètres!$A$1:$I$89,5,0)</f>
        <v>132.79690002149999</v>
      </c>
      <c r="P27" s="13">
        <f t="shared" si="33"/>
        <v>34.641837972816802</v>
      </c>
      <c r="Q27" s="20">
        <f t="shared" si="2"/>
        <v>291.62246867343509</v>
      </c>
      <c r="R27" s="59">
        <f t="shared" si="0"/>
        <v>577.62246867343515</v>
      </c>
      <c r="S27" s="59">
        <f ca="1">AVERAGE(OFFSET($R$3,0,0,'Données projet'!$E$9+1,1))-AVERAGE(OFFSET($H$3,0,0,'Données projet'!$E$9+1,1))</f>
        <v>281.14678081581229</v>
      </c>
      <c r="T27" s="59">
        <f t="shared" si="34"/>
        <v>380.81265808422603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42.661538460000003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9.3500000000000014E-2</v>
      </c>
      <c r="Y27" s="16">
        <f>IF(ISNA(VLOOKUP(A27,'Données projet'!$A$35:$I$55,7,0)),0%,VLOOKUP(A27,'Données projet'!$A$35:$I$55,7,0))</f>
        <v>0.13</v>
      </c>
      <c r="Z27" s="21">
        <f>EXP(-LN(2)/35)*Z26+(1-EXP(-LN(2)/35))/(LN(2)/35)*V27*W27*VLOOKUP('Données projet'!$B$9,Paramètres!$A$1:$I$89,3,0)*0.475*44/12</f>
        <v>12.179722870426735</v>
      </c>
      <c r="AA27" s="21">
        <f>EXP(-LN(2)/25)*AA26+(1-EXP(-LN(2)/25))/(LN(2)/25)*Calculateur!V27*Calculateur!X27*VLOOKUP('Données projet'!$B$9,Paramètres!$A$1:$I$89,3,0)*0.475*44/12</f>
        <v>16.292778301274275</v>
      </c>
      <c r="AB27" s="21">
        <f>EXP(-LN(2)/2)*AB26+(1-EXP(-LN(2)/2))/(LN(2)/2)*V27*Y27*VLOOKUP('Données projet'!$B$9,Paramètres!$A$1:$I$89,3,0)*0.475*44/12</f>
        <v>5.9219932756101059</v>
      </c>
      <c r="AC27" s="22">
        <f t="shared" si="3"/>
        <v>34.394494447311118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497.73489744686094</v>
      </c>
      <c r="AN27" s="59">
        <f ca="1">AVERAGE(OFFSET($AM$3,0,0,'Données projet'!$E$10+1,1))-AVERAGE(OFFSET($H$3,0,0,'Données projet'!$E$10+1,1))</f>
        <v>279.9271639349646</v>
      </c>
      <c r="AO27" s="59">
        <f t="shared" si="36"/>
        <v>260.03726798406916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3.2427350426666668</v>
      </c>
      <c r="BD27" s="12">
        <f>IF('Données projet'!$A$88&gt;35,BD26+BC27-BL26,IF(A27&lt;'Données projet'!$A$88,$BA$205^A27,IF(A27='Données projet'!$A$88,'Données projet'!$B$88,BD26+BC27-BL26)))</f>
        <v>38.942710455837471</v>
      </c>
      <c r="BE27" s="13">
        <f>BD27*VLOOKUP('Données projet'!$B$11,Paramètres!$A$1:$I$89,3,0)*VLOOKUP('Données projet'!$B$11,Paramètres!$A$1:$I$89,5,0)</f>
        <v>33.412845571108555</v>
      </c>
      <c r="BF27" s="13">
        <f t="shared" si="37"/>
        <v>10.234862232879012</v>
      </c>
      <c r="BG27" s="20">
        <f t="shared" si="7"/>
        <v>76.019757758611675</v>
      </c>
      <c r="BH27" s="59">
        <f t="shared" si="8"/>
        <v>362.01975775861166</v>
      </c>
      <c r="BI27" s="59">
        <f ca="1">AVERAGE(OFFSET($BH$3,0,0,'Données projet'!$E$11+1,1))-AVERAGE(OFFSET($H$3,0,0,'Données projet'!$E$11+1,1))</f>
        <v>212.99246338839475</v>
      </c>
      <c r="BJ27" s="59">
        <f t="shared" si="38"/>
        <v>162.04040335537223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92.529839999999979</v>
      </c>
      <c r="CA27" s="13">
        <f t="shared" si="39"/>
        <v>25.174373611210889</v>
      </c>
      <c r="CB27" s="20">
        <f t="shared" si="10"/>
        <v>205.0015053728589</v>
      </c>
      <c r="CC27" s="59">
        <f t="shared" si="11"/>
        <v>491.0015053728589</v>
      </c>
      <c r="CD27" s="59">
        <f ca="1">AVERAGE(OFFSET($CC$3,0,0,'Données projet'!$E$12+1,1))-AVERAGE(OFFSET($H$3,0,0,'Données projet'!$E$12+1,1))</f>
        <v>249.53949216238527</v>
      </c>
      <c r="CE27" s="59">
        <f t="shared" si="40"/>
        <v>261.78576517528217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0.32624898099880839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0.32624898099880839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7">
        <f t="shared" si="1"/>
        <v>306.94746603254436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22.828205126666671</v>
      </c>
      <c r="N28" s="13">
        <f>IF('Données projet'!$A$36&gt;35,N27+M28-V27,IF(A28&lt;'Données projet'!$A$36,$K$205^A28,IF(A28='Données projet'!$A$36,'Données projet'!$B$36,N27+M28-V27)))</f>
        <v>217.72820516666664</v>
      </c>
      <c r="O28" s="13">
        <f>N28*VLOOKUP('Données projet'!$B$9,Paramètres!$A$1:$I$89,3,0)*VLOOKUP('Données projet'!$B$9,Paramètres!$A$1:$I$89,5,0)</f>
        <v>121.71006668816665</v>
      </c>
      <c r="P28" s="13">
        <f t="shared" si="33"/>
        <v>32.073515212807251</v>
      </c>
      <c r="Q28" s="20">
        <f t="shared" si="2"/>
        <v>267.83973847752952</v>
      </c>
      <c r="R28" s="59">
        <f t="shared" si="0"/>
        <v>555.06196069975181</v>
      </c>
      <c r="S28" s="59">
        <f ca="1">AVERAGE(OFFSET($R$3,0,0,'Données projet'!$E$9+1,1))-AVERAGE(OFFSET($H$3,0,0,'Données projet'!$E$9+1,1))</f>
        <v>281.14678081581229</v>
      </c>
      <c r="T28" s="59">
        <f t="shared" si="34"/>
        <v>380.81265808422603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11.940885933835075</v>
      </c>
      <c r="AA28" s="21">
        <f>EXP(-LN(2)/25)*AA27+(1-EXP(-LN(2)/25))/(LN(2)/25)*Calculateur!V28*Calculateur!X28*VLOOKUP('Données projet'!$B$9,Paramètres!$A$1:$I$89,3,0)*0.475*44/12</f>
        <v>15.847251421825957</v>
      </c>
      <c r="AB28" s="21">
        <f>EXP(-LN(2)/2)*AB27+(1-EXP(-LN(2)/2))/(LN(2)/2)*V28*Y28*VLOOKUP('Données projet'!$B$9,Paramètres!$A$1:$I$89,3,0)*0.475*44/12</f>
        <v>4.1874816033250415</v>
      </c>
      <c r="AC28" s="22">
        <f t="shared" si="3"/>
        <v>31.975618958986075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467.4076465829018</v>
      </c>
      <c r="AN28" s="59">
        <f ca="1">AVERAGE(OFFSET($AM$3,0,0,'Données projet'!$E$10+1,1))-AVERAGE(OFFSET($H$3,0,0,'Données projet'!$E$10+1,1))</f>
        <v>279.9271639349646</v>
      </c>
      <c r="AO28" s="59">
        <f t="shared" si="36"/>
        <v>260.03726798406916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3.2427350426666668</v>
      </c>
      <c r="BD28" s="12">
        <f>IF('Données projet'!$A$88&gt;35,BD27+BC28-BL27,IF(A28&lt;'Données projet'!$A$88,$BA$205^A28,IF(A28='Données projet'!$A$88,'Données projet'!$B$88,BD27+BC28-BL27)))</f>
        <v>45.362181605404274</v>
      </c>
      <c r="BE28" s="13">
        <f>BD28*VLOOKUP('Données projet'!$B$11,Paramètres!$A$1:$I$89,3,0)*VLOOKUP('Données projet'!$B$11,Paramètres!$A$1:$I$89,5,0)</f>
        <v>38.920751817436873</v>
      </c>
      <c r="BF28" s="13">
        <f t="shared" si="37"/>
        <v>11.712138287665594</v>
      </c>
      <c r="BG28" s="20">
        <f t="shared" si="7"/>
        <v>88.185616933053481</v>
      </c>
      <c r="BH28" s="59">
        <f t="shared" si="8"/>
        <v>375.40783915527572</v>
      </c>
      <c r="BI28" s="59">
        <f ca="1">AVERAGE(OFFSET($BH$3,0,0,'Données projet'!$E$11+1,1))-AVERAGE(OFFSET($H$3,0,0,'Données projet'!$E$11+1,1))</f>
        <v>212.99246338839475</v>
      </c>
      <c r="BJ28" s="59">
        <f t="shared" si="38"/>
        <v>162.04040335537223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103.38119999999998</v>
      </c>
      <c r="CA28" s="13">
        <f t="shared" si="39"/>
        <v>27.765956260923325</v>
      </c>
      <c r="CB28" s="20">
        <f t="shared" si="10"/>
        <v>228.41463048777476</v>
      </c>
      <c r="CC28" s="59">
        <f t="shared" si="11"/>
        <v>515.63685270999702</v>
      </c>
      <c r="CD28" s="59">
        <f ca="1">AVERAGE(OFFSET($CC$3,0,0,'Données projet'!$E$12+1,1))-AVERAGE(OFFSET($H$3,0,0,'Données projet'!$E$12+1,1))</f>
        <v>249.53949216238527</v>
      </c>
      <c r="CE28" s="59">
        <f t="shared" si="40"/>
        <v>261.78576517528217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1.29E-2</v>
      </c>
      <c r="CI28" s="16">
        <f>IF(ISNA(VLOOKUP(A28,'Données projet'!$A$113:$I$133,6,0)),0%,VLOOKUP(A28,'Données projet'!$A$113:$I$133,6,0)*VLOOKUP('Données projet'!$B$12,Paramètres!$A$1:$I$89,7,0))</f>
        <v>9.8900000000000002E-2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0.36595469334651187</v>
      </c>
      <c r="CL28" s="21">
        <f>EXP(-LN(2)/25)*CL27+(1-EXP(-LN(2)/25))/(LN(2)/25)*Calculateur!CG28*Calculateur!CI28*VLOOKUP('Données projet'!$B$12,Paramètres!$A$1:$I$89,3,0)*0.475*44/12</f>
        <v>3.1119334109300878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3.4778881042765999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7">
        <f t="shared" si="1"/>
        <v>308.90070287067357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22.828205126666671</v>
      </c>
      <c r="N29" s="13">
        <f>IF('Données projet'!$A$36&gt;35,N28+M29-V28,IF(A29&lt;'Données projet'!$A$36,$K$205^A29,IF(A29='Données projet'!$A$36,'Données projet'!$B$36,N28+M29-V28)))</f>
        <v>240.5564102933333</v>
      </c>
      <c r="O29" s="13">
        <f>N29*VLOOKUP('Données projet'!$B$9,Paramètres!$A$1:$I$89,3,0)*VLOOKUP('Données projet'!$B$9,Paramètres!$A$1:$I$89,5,0)</f>
        <v>134.4710333539733</v>
      </c>
      <c r="P29" s="13">
        <f t="shared" si="33"/>
        <v>35.027441912190071</v>
      </c>
      <c r="Q29" s="20">
        <f t="shared" si="2"/>
        <v>295.20984442190121</v>
      </c>
      <c r="R29" s="59">
        <f t="shared" si="0"/>
        <v>583.65428886634572</v>
      </c>
      <c r="S29" s="59">
        <f ca="1">AVERAGE(OFFSET($R$3,0,0,'Données projet'!$E$9+1,1))-AVERAGE(OFFSET($H$3,0,0,'Données projet'!$E$9+1,1))</f>
        <v>281.14678081581229</v>
      </c>
      <c r="T29" s="59">
        <f t="shared" si="34"/>
        <v>380.81265808422603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11.706732443893831</v>
      </c>
      <c r="AA29" s="21">
        <f>EXP(-LN(2)/25)*AA28+(1-EXP(-LN(2)/25))/(LN(2)/25)*Calculateur!V29*Calculateur!X29*VLOOKUP('Données projet'!$B$9,Paramètres!$A$1:$I$89,3,0)*0.475*44/12</f>
        <v>15.413907498325393</v>
      </c>
      <c r="AB29" s="21">
        <f>EXP(-LN(2)/2)*AB28+(1-EXP(-LN(2)/2))/(LN(2)/2)*V29*Y29*VLOOKUP('Données projet'!$B$9,Paramètres!$A$1:$I$89,3,0)*0.475*44/12</f>
        <v>2.9609966378050534</v>
      </c>
      <c r="AC29" s="22">
        <f t="shared" si="3"/>
        <v>30.081636580024277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489.36212034305777</v>
      </c>
      <c r="AN29" s="59">
        <f ca="1">AVERAGE(OFFSET($AM$3,0,0,'Données projet'!$E$10+1,1))-AVERAGE(OFFSET($H$3,0,0,'Données projet'!$E$10+1,1))</f>
        <v>279.9271639349646</v>
      </c>
      <c r="AO29" s="59">
        <f t="shared" si="36"/>
        <v>260.03726798406916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3.2427350426666668</v>
      </c>
      <c r="BD29" s="12">
        <f>IF('Données projet'!$A$88&gt;35,BD28+BC29-BL28,IF(A29&lt;'Données projet'!$A$88,$BA$205^A29,IF(A29='Données projet'!$A$88,'Données projet'!$B$88,BD28+BC29-BL28)))</f>
        <v>52.839863890193797</v>
      </c>
      <c r="BE29" s="13">
        <f>BD29*VLOOKUP('Données projet'!$B$11,Paramètres!$A$1:$I$89,3,0)*VLOOKUP('Données projet'!$B$11,Paramètres!$A$1:$I$89,5,0)</f>
        <v>45.336603217786283</v>
      </c>
      <c r="BF29" s="13">
        <f t="shared" si="37"/>
        <v>13.402640909883166</v>
      </c>
      <c r="BG29" s="20">
        <f t="shared" si="7"/>
        <v>102.30418352235762</v>
      </c>
      <c r="BH29" s="59">
        <f t="shared" si="8"/>
        <v>390.74862796680208</v>
      </c>
      <c r="BI29" s="59">
        <f ca="1">AVERAGE(OFFSET($BH$3,0,0,'Données projet'!$E$11+1,1))-AVERAGE(OFFSET($H$3,0,0,'Données projet'!$E$11+1,1))</f>
        <v>212.99246338839475</v>
      </c>
      <c r="BJ29" s="59">
        <f t="shared" si="38"/>
        <v>162.04040335537223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88.130639999999971</v>
      </c>
      <c r="CA29" s="13">
        <f t="shared" si="39"/>
        <v>24.113831111728981</v>
      </c>
      <c r="CB29" s="20">
        <f t="shared" si="10"/>
        <v>195.49245385292792</v>
      </c>
      <c r="CC29" s="59">
        <f t="shared" si="11"/>
        <v>483.93689829737241</v>
      </c>
      <c r="CD29" s="59">
        <f ca="1">AVERAGE(OFFSET($CC$3,0,0,'Données projet'!$E$12+1,1))-AVERAGE(OFFSET($H$3,0,0,'Données projet'!$E$12+1,1))</f>
        <v>249.53949216238527</v>
      </c>
      <c r="CE29" s="59">
        <f t="shared" si="40"/>
        <v>261.78576517528217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0.35877854502030954</v>
      </c>
      <c r="CL29" s="21">
        <f>EXP(-LN(2)/25)*CL28+(1-EXP(-LN(2)/25))/(LN(2)/25)*Calculateur!CG29*Calculateur!CI29*VLOOKUP('Données projet'!$B$12,Paramètres!$A$1:$I$89,3,0)*0.475*44/12</f>
        <v>3.0268374281587387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3.3856159731790481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7">
        <f t="shared" si="1"/>
        <v>310.85201076338279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22.828205126666671</v>
      </c>
      <c r="N30" s="13">
        <f>IF('Données projet'!$A$36&gt;35,N29+M30-V29,IF(A30&lt;'Données projet'!$A$36,$K$205^A30,IF(A30='Données projet'!$A$36,'Données projet'!$B$36,N29+M30-V29)))</f>
        <v>263.38461541999999</v>
      </c>
      <c r="O30" s="13">
        <f>N30*VLOOKUP('Données projet'!$B$9,Paramètres!$A$1:$I$89,3,0)*VLOOKUP('Données projet'!$B$9,Paramètres!$A$1:$I$89,5,0)</f>
        <v>147.23200001978</v>
      </c>
      <c r="P30" s="13">
        <f t="shared" si="33"/>
        <v>37.948867431015593</v>
      </c>
      <c r="Q30" s="20">
        <f t="shared" si="2"/>
        <v>322.52334414346899</v>
      </c>
      <c r="R30" s="59">
        <f t="shared" si="0"/>
        <v>612.19001081013562</v>
      </c>
      <c r="S30" s="59">
        <f ca="1">AVERAGE(OFFSET($R$3,0,0,'Données projet'!$E$9+1,1))-AVERAGE(OFFSET($H$3,0,0,'Données projet'!$E$9+1,1))</f>
        <v>281.14678081581229</v>
      </c>
      <c r="T30" s="59">
        <f t="shared" si="34"/>
        <v>380.81265808422603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11.477170561070807</v>
      </c>
      <c r="AA30" s="21">
        <f>EXP(-LN(2)/25)*AA29+(1-EXP(-LN(2)/25))/(LN(2)/25)*Calculateur!V30*Calculateur!X30*VLOOKUP('Données projet'!$B$9,Paramètres!$A$1:$I$89,3,0)*0.475*44/12</f>
        <v>14.99241338720152</v>
      </c>
      <c r="AB30" s="21">
        <f>EXP(-LN(2)/2)*AB29+(1-EXP(-LN(2)/2))/(LN(2)/2)*V30*Y30*VLOOKUP('Données projet'!$B$9,Paramètres!$A$1:$I$89,3,0)*0.475*44/12</f>
        <v>2.0937408016625207</v>
      </c>
      <c r="AC30" s="22">
        <f t="shared" si="3"/>
        <v>28.563324749934846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511.26701619054973</v>
      </c>
      <c r="AN30" s="59">
        <f ca="1">AVERAGE(OFFSET($AM$3,0,0,'Données projet'!$E$10+1,1))-AVERAGE(OFFSET($H$3,0,0,'Données projet'!$E$10+1,1))</f>
        <v>279.9271639349646</v>
      </c>
      <c r="AO30" s="59">
        <f t="shared" si="36"/>
        <v>260.03726798406916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3.2427350426666668</v>
      </c>
      <c r="BD30" s="12">
        <f>IF('Données projet'!$A$88&gt;35,BD29+BC30-BL29,IF(A30&lt;'Données projet'!$A$88,$BA$205^A30,IF(A30='Données projet'!$A$88,'Données projet'!$B$88,BD29+BC30-BL29)))</f>
        <v>61.550197039058887</v>
      </c>
      <c r="BE30" s="13">
        <f>BD30*VLOOKUP('Données projet'!$B$11,Paramètres!$A$1:$I$89,3,0)*VLOOKUP('Données projet'!$B$11,Paramètres!$A$1:$I$89,5,0)</f>
        <v>52.810069059512529</v>
      </c>
      <c r="BF30" s="13">
        <f t="shared" si="37"/>
        <v>15.337146723109338</v>
      </c>
      <c r="BG30" s="20">
        <f t="shared" si="7"/>
        <v>118.6897341547331</v>
      </c>
      <c r="BH30" s="59">
        <f t="shared" si="8"/>
        <v>408.3564008213998</v>
      </c>
      <c r="BI30" s="59">
        <f ca="1">AVERAGE(OFFSET($BH$3,0,0,'Données projet'!$E$11+1,1))-AVERAGE(OFFSET($H$3,0,0,'Données projet'!$E$11+1,1))</f>
        <v>212.99246338839475</v>
      </c>
      <c r="BJ30" s="59">
        <f t="shared" si="38"/>
        <v>162.04040335537223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98.542079999999956</v>
      </c>
      <c r="CA30" s="13">
        <f t="shared" si="39"/>
        <v>26.614371888975242</v>
      </c>
      <c r="CB30" s="20">
        <f t="shared" si="10"/>
        <v>217.98082037329846</v>
      </c>
      <c r="CC30" s="59">
        <f t="shared" si="11"/>
        <v>507.64748703996514</v>
      </c>
      <c r="CD30" s="59">
        <f ca="1">AVERAGE(OFFSET($CC$3,0,0,'Données projet'!$E$12+1,1))-AVERAGE(OFFSET($H$3,0,0,'Données projet'!$E$12+1,1))</f>
        <v>249.53949216238527</v>
      </c>
      <c r="CE30" s="59">
        <f t="shared" si="40"/>
        <v>261.78576517528217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0.35174311658576574</v>
      </c>
      <c r="CL30" s="21">
        <f>EXP(-LN(2)/25)*CL29+(1-EXP(-LN(2)/25))/(LN(2)/25)*Calculateur!CG30*Calculateur!CI30*VLOOKUP('Données projet'!$B$12,Paramètres!$A$1:$I$89,3,0)*0.475*44/12</f>
        <v>2.9440683995112757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3.2958115160970416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7">
        <f t="shared" si="1"/>
        <v>312.8014693343585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22.828205126666671</v>
      </c>
      <c r="N31" s="13">
        <f>IF('Données projet'!$A$36&gt;35,N30+M31-V30,IF(A31&lt;'Données projet'!$A$36,$K$205^A31,IF(A31='Données projet'!$A$36,'Données projet'!$B$36,N30+M31-V30)))</f>
        <v>286.21282054666665</v>
      </c>
      <c r="O31" s="13">
        <f>N31*VLOOKUP('Données projet'!$B$9,Paramètres!$A$1:$I$89,3,0)*VLOOKUP('Données projet'!$B$9,Paramètres!$A$1:$I$89,5,0)</f>
        <v>159.99296668558665</v>
      </c>
      <c r="P31" s="13">
        <f t="shared" si="33"/>
        <v>40.840929018938944</v>
      </c>
      <c r="Q31" s="20">
        <f t="shared" si="2"/>
        <v>349.78570168538204</v>
      </c>
      <c r="R31" s="59">
        <f t="shared" si="0"/>
        <v>640.67459057427095</v>
      </c>
      <c r="S31" s="59">
        <f ca="1">AVERAGE(OFFSET($R$3,0,0,'Données projet'!$E$9+1,1))-AVERAGE(OFFSET($H$3,0,0,'Données projet'!$E$9+1,1))</f>
        <v>281.14678081581229</v>
      </c>
      <c r="T31" s="59">
        <f t="shared" si="34"/>
        <v>380.81265808422603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11.25211024675102</v>
      </c>
      <c r="AA31" s="21">
        <f>EXP(-LN(2)/25)*AA30+(1-EXP(-LN(2)/25))/(LN(2)/25)*Calculateur!V31*Calculateur!X31*VLOOKUP('Données projet'!$B$9,Paramètres!$A$1:$I$89,3,0)*0.475*44/12</f>
        <v>14.582445054711739</v>
      </c>
      <c r="AB31" s="21">
        <f>EXP(-LN(2)/2)*AB30+(1-EXP(-LN(2)/2))/(LN(2)/2)*V31*Y31*VLOOKUP('Données projet'!$B$9,Paramètres!$A$1:$I$89,3,0)*0.475*44/12</f>
        <v>1.4804983189025267</v>
      </c>
      <c r="AC31" s="22">
        <f t="shared" si="3"/>
        <v>27.315053620365283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533.12761259389424</v>
      </c>
      <c r="AN31" s="59">
        <f ca="1">AVERAGE(OFFSET($AM$3,0,0,'Données projet'!$E$10+1,1))-AVERAGE(OFFSET($H$3,0,0,'Données projet'!$E$10+1,1))</f>
        <v>279.9271639349646</v>
      </c>
      <c r="AO31" s="59">
        <f t="shared" si="36"/>
        <v>260.03726798406916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3.2427350426666668</v>
      </c>
      <c r="BD31" s="12">
        <f>IF('Données projet'!$A$88&gt;35,BD30+BC31-BL30,IF(A31&lt;'Données projet'!$A$88,$BA$205^A31,IF(A31='Données projet'!$A$88,'Données projet'!$B$88,BD30+BC31-BL30)))</f>
        <v>71.696376118978648</v>
      </c>
      <c r="BE31" s="13">
        <f>BD31*VLOOKUP('Données projet'!$B$11,Paramètres!$A$1:$I$89,3,0)*VLOOKUP('Données projet'!$B$11,Paramètres!$A$1:$I$89,5,0)</f>
        <v>61.515490710083682</v>
      </c>
      <c r="BF31" s="13">
        <f t="shared" si="37"/>
        <v>17.550874576720577</v>
      </c>
      <c r="BG31" s="20">
        <f t="shared" si="7"/>
        <v>137.70725287451742</v>
      </c>
      <c r="BH31" s="59">
        <f t="shared" si="8"/>
        <v>428.59614176340631</v>
      </c>
      <c r="BI31" s="59">
        <f ca="1">AVERAGE(OFFSET($BH$3,0,0,'Données projet'!$E$11+1,1))-AVERAGE(OFFSET($H$3,0,0,'Données projet'!$E$11+1,1))</f>
        <v>212.99246338839475</v>
      </c>
      <c r="BJ31" s="59">
        <f t="shared" si="38"/>
        <v>162.04040335537223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108.95351999999995</v>
      </c>
      <c r="CA31" s="13">
        <f t="shared" si="39"/>
        <v>29.084288721109843</v>
      </c>
      <c r="CB31" s="20">
        <f t="shared" si="10"/>
        <v>240.41585018926619</v>
      </c>
      <c r="CC31" s="59">
        <f t="shared" si="11"/>
        <v>531.30473907815508</v>
      </c>
      <c r="CD31" s="59">
        <f ca="1">AVERAGE(OFFSET($CC$3,0,0,'Données projet'!$E$12+1,1))-AVERAGE(OFFSET($H$3,0,0,'Données projet'!$E$12+1,1))</f>
        <v>249.53949216238527</v>
      </c>
      <c r="CE31" s="59">
        <f t="shared" si="40"/>
        <v>261.78576517528217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0.34484564861163569</v>
      </c>
      <c r="CL31" s="21">
        <f>EXP(-LN(2)/25)*CL30+(1-EXP(-LN(2)/25))/(LN(2)/25)*Calculateur!CG31*Calculateur!CI31*VLOOKUP('Données projet'!$B$12,Paramètres!$A$1:$I$89,3,0)*0.475*44/12</f>
        <v>2.8635626943048114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3.2084083429164472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7">
        <f t="shared" si="1"/>
        <v>314.74915219747174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22.828205126666671</v>
      </c>
      <c r="N32" s="13">
        <f>IF('Données projet'!$A$36&gt;35,N31+M32-V31,IF(A32&lt;'Données projet'!$A$36,$K$205^A32,IF(A32='Données projet'!$A$36,'Données projet'!$B$36,N31+M32-V31)))</f>
        <v>309.04102567333331</v>
      </c>
      <c r="O32" s="13">
        <f>N32*VLOOKUP('Données projet'!$B$9,Paramètres!$A$1:$I$89,3,0)*VLOOKUP('Données projet'!$B$9,Paramètres!$A$1:$I$89,5,0)</f>
        <v>172.75393335139333</v>
      </c>
      <c r="P32" s="13">
        <f t="shared" si="33"/>
        <v>43.70623500084271</v>
      </c>
      <c r="Q32" s="20">
        <f t="shared" si="2"/>
        <v>377.00145988014447</v>
      </c>
      <c r="R32" s="59">
        <f t="shared" si="0"/>
        <v>669.11257099125555</v>
      </c>
      <c r="S32" s="59">
        <f ca="1">AVERAGE(OFFSET($R$3,0,0,'Données projet'!$E$9+1,1))-AVERAGE(OFFSET($H$3,0,0,'Données projet'!$E$9+1,1))</f>
        <v>281.14678081581229</v>
      </c>
      <c r="T32" s="59">
        <f t="shared" si="34"/>
        <v>380.81265808422603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11.031463227921806</v>
      </c>
      <c r="AA32" s="21">
        <f>EXP(-LN(2)/25)*AA31+(1-EXP(-LN(2)/25))/(LN(2)/25)*Calculateur!V32*Calculateur!X32*VLOOKUP('Données projet'!$B$9,Paramètres!$A$1:$I$89,3,0)*0.475*44/12</f>
        <v>14.183687327833189</v>
      </c>
      <c r="AB32" s="21">
        <f>EXP(-LN(2)/2)*AB31+(1-EXP(-LN(2)/2))/(LN(2)/2)*V32*Y32*VLOOKUP('Données projet'!$B$9,Paramètres!$A$1:$I$89,3,0)*0.475*44/12</f>
        <v>1.0468704008312604</v>
      </c>
      <c r="AC32" s="22">
        <f t="shared" si="3"/>
        <v>26.262020956586255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554.94821423748954</v>
      </c>
      <c r="AN32" s="59">
        <f ca="1">AVERAGE(OFFSET($AM$3,0,0,'Données projet'!$E$10+1,1))-AVERAGE(OFFSET($H$3,0,0,'Données projet'!$E$10+1,1))</f>
        <v>279.9271639349646</v>
      </c>
      <c r="AO32" s="59">
        <f t="shared" si="36"/>
        <v>260.03726798406916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3.2427350426666668</v>
      </c>
      <c r="BD32" s="12">
        <f>IF('Données projet'!$A$88&gt;35,BD31+BC32-BL31,IF(A32&lt;'Données projet'!$A$88,$BA$205^A32,IF(A32='Données projet'!$A$88,'Données projet'!$B$88,BD31+BC32-BL31)))</f>
        <v>83.51509167926865</v>
      </c>
      <c r="BE32" s="13">
        <f>BD32*VLOOKUP('Données projet'!$B$11,Paramètres!$A$1:$I$89,3,0)*VLOOKUP('Données projet'!$B$11,Paramètres!$A$1:$I$89,5,0)</f>
        <v>71.655948660812513</v>
      </c>
      <c r="BF32" s="13">
        <f t="shared" si="37"/>
        <v>20.084126726364669</v>
      </c>
      <c r="BG32" s="20">
        <f t="shared" si="7"/>
        <v>159.78063129933361</v>
      </c>
      <c r="BH32" s="59">
        <f t="shared" si="8"/>
        <v>451.89174241044475</v>
      </c>
      <c r="BI32" s="59">
        <f ca="1">AVERAGE(OFFSET($BH$3,0,0,'Données projet'!$E$11+1,1))-AVERAGE(OFFSET($H$3,0,0,'Données projet'!$E$11+1,1))</f>
        <v>212.99246338839475</v>
      </c>
      <c r="BJ32" s="59">
        <f t="shared" si="38"/>
        <v>162.04040335537223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119.36495999999994</v>
      </c>
      <c r="CA32" s="13">
        <f t="shared" si="39"/>
        <v>31.526840934707504</v>
      </c>
      <c r="CB32" s="20">
        <f t="shared" si="10"/>
        <v>262.80321996128214</v>
      </c>
      <c r="CC32" s="59">
        <f t="shared" si="11"/>
        <v>554.91433107239322</v>
      </c>
      <c r="CD32" s="59">
        <f ca="1">AVERAGE(OFFSET($CC$3,0,0,'Données projet'!$E$12+1,1))-AVERAGE(OFFSET($H$3,0,0,'Données projet'!$E$12+1,1))</f>
        <v>249.53949216238527</v>
      </c>
      <c r="CE32" s="59">
        <f t="shared" si="40"/>
        <v>261.78576517528217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0.33808343577743832</v>
      </c>
      <c r="CL32" s="21">
        <f>EXP(-LN(2)/25)*CL31+(1-EXP(-LN(2)/25))/(LN(2)/25)*Calculateur!CG32*Calculateur!CI32*VLOOKUP('Données projet'!$B$12,Paramètres!$A$1:$I$89,3,0)*0.475*44/12</f>
        <v>2.7852584218408292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3.1233418576182674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7">
        <f t="shared" si="1"/>
        <v>316.69512760183437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331.86923080000003</v>
      </c>
      <c r="L33" s="12">
        <f>VLOOKUP(A33,'Données projet'!$A$35:$I$55,9,0)</f>
        <v>22.828205126666671</v>
      </c>
      <c r="M33" s="12">
        <f t="array" ref="M33">INDEX(L:L,MIN(IF(ISNUMBER(L33:L229),ROW(L33:L229),"")))</f>
        <v>22.828205126666671</v>
      </c>
      <c r="N33" s="13">
        <f>IF('Données projet'!$A$36&gt;35,N32+M33-V32,IF(A33&lt;'Données projet'!$A$36,$K$205^A33,IF(A33='Données projet'!$A$36,'Données projet'!$B$36,N32+M33-V32)))</f>
        <v>331.86923079999997</v>
      </c>
      <c r="O33" s="13">
        <f>N33*VLOOKUP('Données projet'!$B$9,Paramètres!$A$1:$I$89,3,0)*VLOOKUP('Données projet'!$B$9,Paramètres!$A$1:$I$89,5,0)</f>
        <v>185.51490001719998</v>
      </c>
      <c r="P33" s="13">
        <f t="shared" si="33"/>
        <v>46.546986501112265</v>
      </c>
      <c r="Q33" s="20">
        <f t="shared" si="2"/>
        <v>404.17445235272709</v>
      </c>
      <c r="R33" s="59">
        <f t="shared" si="0"/>
        <v>697.5077856860604</v>
      </c>
      <c r="S33" s="59">
        <f ca="1">AVERAGE(OFFSET($R$3,0,0,'Données projet'!$E$9+1,1))-AVERAGE(OFFSET($H$3,0,0,'Données projet'!$E$9+1,1))</f>
        <v>281.14678081581229</v>
      </c>
      <c r="T33" s="59">
        <f t="shared" si="34"/>
        <v>380.81265808422603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65.669230769999999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9.3500000000000014E-2</v>
      </c>
      <c r="Y33" s="16">
        <f>IF(ISNA(VLOOKUP(A33,'Données projet'!$A$35:$I$55,7,0)),0%,VLOOKUP(A33,'Données projet'!$A$35:$I$55,7,0))</f>
        <v>0.13</v>
      </c>
      <c r="Z33" s="21">
        <f>EXP(-LN(2)/35)*Z32+(1-EXP(-LN(2)/35))/(LN(2)/35)*V33*W33*VLOOKUP('Données projet'!$B$9,Paramètres!$A$1:$I$89,3,0)*0.475*44/12</f>
        <v>29.56348305447267</v>
      </c>
      <c r="AA33" s="21">
        <f>EXP(-LN(2)/25)*AA32+(1-EXP(-LN(2)/25))/(LN(2)/25)*Calculateur!V33*Calculateur!X33*VLOOKUP('Données projet'!$B$9,Paramètres!$A$1:$I$89,3,0)*0.475*44/12</f>
        <v>18.331074401482262</v>
      </c>
      <c r="AB33" s="21">
        <f>EXP(-LN(2)/2)*AB32+(1-EXP(-LN(2)/2))/(LN(2)/2)*V33*Y33*VLOOKUP('Données projet'!$B$9,Paramètres!$A$1:$I$89,3,0)*0.475*44/12</f>
        <v>6.1434688818212981</v>
      </c>
      <c r="AC33" s="22">
        <f t="shared" si="3"/>
        <v>54.03802633777623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279.9271639349646</v>
      </c>
      <c r="AO33" s="59">
        <f t="shared" si="36"/>
        <v>260.03726798406916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97.282051280000005</v>
      </c>
      <c r="BB33" s="12">
        <f>VLOOKUP(A33,'Données projet'!$A$87:$I$107,9,0)</f>
        <v>3.2427350426666668</v>
      </c>
      <c r="BC33" s="12">
        <f t="array" ref="BC33">INDEX(BB:BB,MIN(IF(ISNUMBER(BB33:BB229),ROW(BB33:BB229),"")))</f>
        <v>3.2427350426666668</v>
      </c>
      <c r="BD33" s="12">
        <f>IF('Données projet'!$A$88&gt;35,BD32+BC33-BL32,IF(A33&lt;'Données projet'!$A$88,$BA$205^A33,IF(A33='Données projet'!$A$88,'Données projet'!$B$88,BD32+BC33-BL32)))</f>
        <v>97.282051280000005</v>
      </c>
      <c r="BE33" s="13">
        <f>BD33*VLOOKUP('Données projet'!$B$11,Paramètres!$A$1:$I$89,3,0)*VLOOKUP('Données projet'!$B$11,Paramètres!$A$1:$I$89,5,0)</f>
        <v>83.467999998240018</v>
      </c>
      <c r="BF33" s="13">
        <f t="shared" si="37"/>
        <v>22.983022560921693</v>
      </c>
      <c r="BG33" s="20">
        <f t="shared" si="7"/>
        <v>185.40219762387332</v>
      </c>
      <c r="BH33" s="59">
        <f t="shared" si="8"/>
        <v>478.73553095720661</v>
      </c>
      <c r="BI33" s="59">
        <f ca="1">AVERAGE(OFFSET($BH$3,0,0,'Données projet'!$E$11+1,1))-AVERAGE(OFFSET($H$3,0,0,'Données projet'!$E$11+1,1))</f>
        <v>212.99246338839475</v>
      </c>
      <c r="BJ33" s="59">
        <f t="shared" si="38"/>
        <v>162.04040335537223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129.77639999999994</v>
      </c>
      <c r="CA33" s="13">
        <f t="shared" si="39"/>
        <v>33.94468676198089</v>
      </c>
      <c r="CB33" s="20">
        <f t="shared" si="10"/>
        <v>285.14755944378322</v>
      </c>
      <c r="CC33" s="59">
        <f t="shared" si="11"/>
        <v>578.48089277711654</v>
      </c>
      <c r="CD33" s="59">
        <f ca="1">AVERAGE(OFFSET($CC$3,0,0,'Données projet'!$E$12+1,1))-AVERAGE(OFFSET($H$3,0,0,'Données projet'!$E$12+1,1))</f>
        <v>249.53949216238527</v>
      </c>
      <c r="CE33" s="59">
        <f t="shared" si="40"/>
        <v>261.78576517528217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0.18489999999999998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2.77115178145579</v>
      </c>
      <c r="CL33" s="21">
        <f>EXP(-LN(2)/25)*CL32+(1-EXP(-LN(2)/25))/(LN(2)/25)*Calculateur!CG33*Calculateur!CI33*VLOOKUP('Données projet'!$B$12,Paramètres!$A$1:$I$89,3,0)*0.475*44/12</f>
        <v>7.9337930444928411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10.704944825948632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7">
        <f t="shared" si="1"/>
        <v>318.63945898843207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22.884615378333326</v>
      </c>
      <c r="N34" s="13">
        <f>IF('Données projet'!$A$36&gt;35,N33+M34-V33,IF(A34&lt;'Données projet'!$A$36,$K$205^A34,IF(A34='Données projet'!$A$36,'Données projet'!$B$36,N33+M34-V33)))</f>
        <v>289.08461540833326</v>
      </c>
      <c r="O34" s="13">
        <f>N34*VLOOKUP('Données projet'!$B$9,Paramètres!$A$1:$I$89,3,0)*VLOOKUP('Données projet'!$B$9,Paramètres!$A$1:$I$89,5,0)</f>
        <v>161.5983000132583</v>
      </c>
      <c r="P34" s="13">
        <f t="shared" si="33"/>
        <v>41.20280762242669</v>
      </c>
      <c r="Q34" s="20">
        <f t="shared" si="2"/>
        <v>353.21192913215128</v>
      </c>
      <c r="R34" s="59">
        <f t="shared" si="0"/>
        <v>646.5452624654846</v>
      </c>
      <c r="S34" s="59">
        <f ca="1">AVERAGE(OFFSET($R$3,0,0,'Données projet'!$E$9+1,1))-AVERAGE(OFFSET($H$3,0,0,'Données projet'!$E$9+1,1))</f>
        <v>281.14678081581229</v>
      </c>
      <c r="T34" s="59">
        <f t="shared" si="34"/>
        <v>380.81265808422603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28.983761183718617</v>
      </c>
      <c r="AA34" s="21">
        <f>EXP(-LN(2)/25)*AA33+(1-EXP(-LN(2)/25))/(LN(2)/25)*Calculateur!V34*Calculateur!X34*VLOOKUP('Données projet'!$B$9,Paramètres!$A$1:$I$89,3,0)*0.475*44/12</f>
        <v>17.829810207984423</v>
      </c>
      <c r="AB34" s="21">
        <f>EXP(-LN(2)/2)*AB33+(1-EXP(-LN(2)/2))/(LN(2)/2)*V34*Y34*VLOOKUP('Données projet'!$B$9,Paramètres!$A$1:$I$89,3,0)*0.475*44/12</f>
        <v>4.3440885063443764</v>
      </c>
      <c r="AC34" s="22">
        <f t="shared" si="3"/>
        <v>51.157659898047413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279.9271639349646</v>
      </c>
      <c r="AO34" s="59">
        <f t="shared" si="36"/>
        <v>260.03726798406916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7.9818376100000004</v>
      </c>
      <c r="BD34" s="12">
        <f>IF('Données projet'!$A$88&gt;35,BD33+BC34-BL33,IF(A34&lt;'Données projet'!$A$88,$BA$205^A34,IF(A34='Données projet'!$A$88,'Données projet'!$B$88,BD33+BC34-BL33)))</f>
        <v>105.26388889</v>
      </c>
      <c r="BE34" s="13">
        <f>BD34*VLOOKUP('Données projet'!$B$11,Paramètres!$A$1:$I$89,3,0)*VLOOKUP('Données projet'!$B$11,Paramètres!$A$1:$I$89,5,0)</f>
        <v>90.316416667620004</v>
      </c>
      <c r="BF34" s="13">
        <f t="shared" si="37"/>
        <v>24.641521480552143</v>
      </c>
      <c r="BG34" s="20">
        <f t="shared" si="7"/>
        <v>200.21840894139982</v>
      </c>
      <c r="BH34" s="59">
        <f t="shared" si="8"/>
        <v>493.5517422747331</v>
      </c>
      <c r="BI34" s="59">
        <f ca="1">AVERAGE(OFFSET($BH$3,0,0,'Données projet'!$E$11+1,1))-AVERAGE(OFFSET($H$3,0,0,'Données projet'!$E$11+1,1))</f>
        <v>212.99246338839475</v>
      </c>
      <c r="BJ34" s="59">
        <f t="shared" si="38"/>
        <v>162.04040335537223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113.49935999999994</v>
      </c>
      <c r="CA34" s="13">
        <f t="shared" si="39"/>
        <v>30.153952354272999</v>
      </c>
      <c r="CB34" s="20">
        <f t="shared" si="10"/>
        <v>250.19618568369199</v>
      </c>
      <c r="CC34" s="59">
        <f t="shared" si="11"/>
        <v>543.52951901702534</v>
      </c>
      <c r="CD34" s="59">
        <f ca="1">AVERAGE(OFFSET($CC$3,0,0,'Données projet'!$E$12+1,1))-AVERAGE(OFFSET($H$3,0,0,'Données projet'!$E$12+1,1))</f>
        <v>249.53949216238527</v>
      </c>
      <c r="CE34" s="59">
        <f t="shared" si="40"/>
        <v>261.78576517528217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2.7168111852571317</v>
      </c>
      <c r="CL34" s="21">
        <f>EXP(-LN(2)/25)*CL33+(1-EXP(-LN(2)/25))/(LN(2)/25)*Calculateur!CG34*Calculateur!CI34*VLOOKUP('Données projet'!$B$12,Paramètres!$A$1:$I$89,3,0)*0.475*44/12</f>
        <v>7.7168430564711414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10.433654241728274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7">
        <f t="shared" si="1"/>
        <v>320.58220547291563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22.884615378333326</v>
      </c>
      <c r="N35" s="13">
        <f>IF('Données projet'!$A$36&gt;35,N34+M35-V34,IF(A35&lt;'Données projet'!$A$36,$K$205^A35,IF(A35='Données projet'!$A$36,'Données projet'!$B$36,N34+M35-V34)))</f>
        <v>311.96923078666657</v>
      </c>
      <c r="O35" s="13">
        <f>N35*VLOOKUP('Données projet'!$B$9,Paramètres!$A$1:$I$89,3,0)*VLOOKUP('Données projet'!$B$9,Paramètres!$A$1:$I$89,5,0)</f>
        <v>174.39080000974661</v>
      </c>
      <c r="P35" s="13">
        <f t="shared" si="33"/>
        <v>44.071952501959998</v>
      </c>
      <c r="Q35" s="20">
        <f t="shared" ref="Q35:Q66" si="53">(O35+P35)*0.475*44/12</f>
        <v>380.489293957889</v>
      </c>
      <c r="R35" s="59">
        <f t="shared" si="0"/>
        <v>673.82262729122226</v>
      </c>
      <c r="S35" s="59">
        <f ca="1">AVERAGE(OFFSET($R$3,0,0,'Données projet'!$E$9+1,1))-AVERAGE(OFFSET($H$3,0,0,'Données projet'!$E$9+1,1))</f>
        <v>281.14678081581229</v>
      </c>
      <c r="T35" s="59">
        <f t="shared" si="34"/>
        <v>380.81265808422603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28.415407305254625</v>
      </c>
      <c r="AA35" s="21">
        <f>EXP(-LN(2)/25)*AA34+(1-EXP(-LN(2)/25))/(LN(2)/25)*Calculateur!V35*Calculateur!X35*VLOOKUP('Données projet'!$B$9,Paramètres!$A$1:$I$89,3,0)*0.475*44/12</f>
        <v>17.34225311021812</v>
      </c>
      <c r="AB35" s="21">
        <f>EXP(-LN(2)/2)*AB34+(1-EXP(-LN(2)/2))/(LN(2)/2)*V35*Y35*VLOOKUP('Données projet'!$B$9,Paramètres!$A$1:$I$89,3,0)*0.475*44/12</f>
        <v>3.0717344409106491</v>
      </c>
      <c r="AC35" s="22">
        <f t="shared" si="3"/>
        <v>48.829394856383388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279.9271639349646</v>
      </c>
      <c r="AO35" s="59">
        <f t="shared" si="36"/>
        <v>260.03726798406916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7.9818376100000004</v>
      </c>
      <c r="BD35" s="12">
        <f>IF('Données projet'!$A$88&gt;35,BD34+BC35-BL34,IF(A35&lt;'Données projet'!$A$88,$BA$205^A35,IF(A35='Données projet'!$A$88,'Données projet'!$B$88,BD34+BC35-BL34)))</f>
        <v>113.2457265</v>
      </c>
      <c r="BE35" s="13">
        <f>BD35*VLOOKUP('Données projet'!$B$11,Paramètres!$A$1:$I$89,3,0)*VLOOKUP('Données projet'!$B$11,Paramètres!$A$1:$I$89,5,0)</f>
        <v>97.164833337000019</v>
      </c>
      <c r="BF35" s="13">
        <f t="shared" si="37"/>
        <v>26.285431728254956</v>
      </c>
      <c r="BG35" s="20">
        <f t="shared" si="7"/>
        <v>215.00921165531906</v>
      </c>
      <c r="BH35" s="59">
        <f t="shared" si="8"/>
        <v>508.34254498865238</v>
      </c>
      <c r="BI35" s="59">
        <f ca="1">AVERAGE(OFFSET($BH$3,0,0,'Données projet'!$E$11+1,1))-AVERAGE(OFFSET($H$3,0,0,'Données projet'!$E$11+1,1))</f>
        <v>212.99246338839475</v>
      </c>
      <c r="BJ35" s="59">
        <f t="shared" si="38"/>
        <v>162.04040335537223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122.88431999999995</v>
      </c>
      <c r="CA35" s="13">
        <f t="shared" si="39"/>
        <v>32.346786815026803</v>
      </c>
      <c r="CB35" s="20">
        <f t="shared" si="10"/>
        <v>270.36084436950489</v>
      </c>
      <c r="CC35" s="59">
        <f t="shared" si="11"/>
        <v>563.69417770283826</v>
      </c>
      <c r="CD35" s="59">
        <f ca="1">AVERAGE(OFFSET($CC$3,0,0,'Données projet'!$E$12+1,1))-AVERAGE(OFFSET($H$3,0,0,'Données projet'!$E$12+1,1))</f>
        <v>249.53949216238527</v>
      </c>
      <c r="CE35" s="59">
        <f t="shared" si="40"/>
        <v>261.78576517528217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2.6635361750054383</v>
      </c>
      <c r="CL35" s="21">
        <f>EXP(-LN(2)/25)*CL34+(1-EXP(-LN(2)/25))/(LN(2)/25)*Calculateur!CG35*Calculateur!CI35*VLOOKUP('Données projet'!$B$12,Paramètres!$A$1:$I$89,3,0)*0.475*44/12</f>
        <v>7.5058255772807989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10.169361752286237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7">
        <f t="shared" si="1"/>
        <v>322.52342226634869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22.884615378333326</v>
      </c>
      <c r="N36" s="13">
        <f>IF('Données projet'!$A$36&gt;35,N35+M36-V35,IF(A36&lt;'Données projet'!$A$36,$K$205^A36,IF(A36='Données projet'!$A$36,'Données projet'!$B$36,N35+M36-V35)))</f>
        <v>334.85384616499988</v>
      </c>
      <c r="O36" s="13">
        <f>N36*VLOOKUP('Données projet'!$B$9,Paramètres!$A$1:$I$89,3,0)*VLOOKUP('Données projet'!$B$9,Paramètres!$A$1:$I$89,5,0)</f>
        <v>187.18330000623493</v>
      </c>
      <c r="P36" s="13">
        <f t="shared" si="33"/>
        <v>46.916680193823986</v>
      </c>
      <c r="Q36" s="20">
        <f t="shared" si="53"/>
        <v>407.72413218176933</v>
      </c>
      <c r="R36" s="59">
        <f t="shared" si="0"/>
        <v>701.05746551510265</v>
      </c>
      <c r="S36" s="59">
        <f ca="1">AVERAGE(OFFSET($R$3,0,0,'Données projet'!$E$9+1,1))-AVERAGE(OFFSET($H$3,0,0,'Données projet'!$E$9+1,1))</f>
        <v>281.14678081581229</v>
      </c>
      <c r="T36" s="59">
        <f t="shared" si="34"/>
        <v>380.81265808422603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27.858198499685678</v>
      </c>
      <c r="AA36" s="21">
        <f>EXP(-LN(2)/25)*AA35+(1-EXP(-LN(2)/25))/(LN(2)/25)*Calculateur!V36*Calculateur!X36*VLOOKUP('Données projet'!$B$9,Paramètres!$A$1:$I$89,3,0)*0.475*44/12</f>
        <v>16.86802828692975</v>
      </c>
      <c r="AB36" s="21">
        <f>EXP(-LN(2)/2)*AB35+(1-EXP(-LN(2)/2))/(LN(2)/2)*V36*Y36*VLOOKUP('Données projet'!$B$9,Paramètres!$A$1:$I$89,3,0)*0.475*44/12</f>
        <v>2.1720442531721882</v>
      </c>
      <c r="AC36" s="22">
        <f t="shared" si="3"/>
        <v>46.898271039787616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279.9271639349646</v>
      </c>
      <c r="AO36" s="59">
        <f t="shared" si="36"/>
        <v>260.03726798406916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7.9818376100000004</v>
      </c>
      <c r="BD36" s="12">
        <f>IF('Données projet'!$A$88&gt;35,BD35+BC36-BL35,IF(A36&lt;'Données projet'!$A$88,$BA$205^A36,IF(A36='Données projet'!$A$88,'Données projet'!$B$88,BD35+BC36-BL35)))</f>
        <v>121.22756411</v>
      </c>
      <c r="BE36" s="13">
        <f>BD36*VLOOKUP('Données projet'!$B$11,Paramètres!$A$1:$I$89,3,0)*VLOOKUP('Données projet'!$B$11,Paramètres!$A$1:$I$89,5,0)</f>
        <v>104.01325000638002</v>
      </c>
      <c r="BF36" s="13">
        <f t="shared" si="37"/>
        <v>27.915898504545574</v>
      </c>
      <c r="BG36" s="20">
        <f t="shared" si="7"/>
        <v>229.77660032319537</v>
      </c>
      <c r="BH36" s="59">
        <f t="shared" si="8"/>
        <v>523.10993365652871</v>
      </c>
      <c r="BI36" s="59">
        <f ca="1">AVERAGE(OFFSET($BH$3,0,0,'Données projet'!$E$11+1,1))-AVERAGE(OFFSET($H$3,0,0,'Données projet'!$E$11+1,1))</f>
        <v>212.99246338839475</v>
      </c>
      <c r="BJ36" s="59">
        <f t="shared" si="38"/>
        <v>162.04040335537223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132.26927999999995</v>
      </c>
      <c r="CA36" s="13">
        <f t="shared" si="39"/>
        <v>34.520194019648734</v>
      </c>
      <c r="CB36" s="20">
        <f t="shared" si="10"/>
        <v>290.4916672508881</v>
      </c>
      <c r="CC36" s="59">
        <f t="shared" si="11"/>
        <v>583.82500058422147</v>
      </c>
      <c r="CD36" s="59">
        <f ca="1">AVERAGE(OFFSET($CC$3,0,0,'Données projet'!$E$12+1,1))-AVERAGE(OFFSET($H$3,0,0,'Données projet'!$E$12+1,1))</f>
        <v>249.53949216238527</v>
      </c>
      <c r="CE36" s="59">
        <f t="shared" si="40"/>
        <v>261.78576517528217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2.6113058552102326</v>
      </c>
      <c r="CL36" s="21">
        <f>EXP(-LN(2)/25)*CL35+(1-EXP(-LN(2)/25))/(LN(2)/25)*Calculateur!CG36*Calculateur!CI36*VLOOKUP('Données projet'!$B$12,Paramètres!$A$1:$I$89,3,0)*0.475*44/12</f>
        <v>7.3005783821558428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9.9118842373660758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7">
        <f t="shared" si="1"/>
        <v>324.46316104352218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22.884615378333326</v>
      </c>
      <c r="N37" s="13">
        <f>IF('Données projet'!$A$36&gt;35,N36+M37-V36,IF(A37&lt;'Données projet'!$A$36,$K$205^A37,IF(A37='Données projet'!$A$36,'Données projet'!$B$36,N36+M37-V36)))</f>
        <v>357.73846154333319</v>
      </c>
      <c r="O37" s="13">
        <f>N37*VLOOKUP('Données projet'!$B$9,Paramètres!$A$1:$I$89,3,0)*VLOOKUP('Données projet'!$B$9,Paramètres!$A$1:$I$89,5,0)</f>
        <v>199.97580000272325</v>
      </c>
      <c r="P37" s="13">
        <f t="shared" si="33"/>
        <v>49.738849260987713</v>
      </c>
      <c r="Q37" s="20">
        <f t="shared" si="53"/>
        <v>434.91968080096325</v>
      </c>
      <c r="R37" s="59">
        <f t="shared" si="0"/>
        <v>728.25301413429656</v>
      </c>
      <c r="S37" s="59">
        <f ca="1">AVERAGE(OFFSET($R$3,0,0,'Données projet'!$E$9+1,1))-AVERAGE(OFFSET($H$3,0,0,'Données projet'!$E$9+1,1))</f>
        <v>281.14678081581229</v>
      </c>
      <c r="T37" s="59">
        <f t="shared" si="34"/>
        <v>380.81265808422603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27.311916218930122</v>
      </c>
      <c r="AA37" s="21">
        <f>EXP(-LN(2)/25)*AA36+(1-EXP(-LN(2)/25))/(LN(2)/25)*Calculateur!V37*Calculateur!X37*VLOOKUP('Données projet'!$B$9,Paramètres!$A$1:$I$89,3,0)*0.475*44/12</f>
        <v>16.4067711663726</v>
      </c>
      <c r="AB37" s="21">
        <f>EXP(-LN(2)/2)*AB36+(1-EXP(-LN(2)/2))/(LN(2)/2)*V37*Y37*VLOOKUP('Données projet'!$B$9,Paramètres!$A$1:$I$89,3,0)*0.475*44/12</f>
        <v>1.5358672204553245</v>
      </c>
      <c r="AC37" s="22">
        <f t="shared" si="3"/>
        <v>45.254554605758045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279.9271639349646</v>
      </c>
      <c r="AO37" s="59">
        <f t="shared" si="36"/>
        <v>260.03726798406916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7.9818376100000004</v>
      </c>
      <c r="BD37" s="12">
        <f>IF('Données projet'!$A$88&gt;35,BD36+BC37-BL36,IF(A37&lt;'Données projet'!$A$88,$BA$205^A37,IF(A37='Données projet'!$A$88,'Données projet'!$B$88,BD36+BC37-BL36)))</f>
        <v>129.20940172000002</v>
      </c>
      <c r="BE37" s="13">
        <f>BD37*VLOOKUP('Données projet'!$B$11,Paramètres!$A$1:$I$89,3,0)*VLOOKUP('Données projet'!$B$11,Paramètres!$A$1:$I$89,5,0)</f>
        <v>110.86166667576002</v>
      </c>
      <c r="BF37" s="13">
        <f t="shared" si="37"/>
        <v>29.533907676091189</v>
      </c>
      <c r="BG37" s="20">
        <f t="shared" si="7"/>
        <v>244.52229199614086</v>
      </c>
      <c r="BH37" s="59">
        <f t="shared" si="8"/>
        <v>537.85562532947415</v>
      </c>
      <c r="BI37" s="59">
        <f ca="1">AVERAGE(OFFSET($BH$3,0,0,'Données projet'!$E$11+1,1))-AVERAGE(OFFSET($H$3,0,0,'Données projet'!$E$11+1,1))</f>
        <v>212.99246338839475</v>
      </c>
      <c r="BJ37" s="59">
        <f t="shared" si="38"/>
        <v>162.04040335537223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141.65423999999996</v>
      </c>
      <c r="CA37" s="13">
        <f t="shared" si="39"/>
        <v>36.675709178601934</v>
      </c>
      <c r="CB37" s="20">
        <f t="shared" si="10"/>
        <v>310.59132815273165</v>
      </c>
      <c r="CC37" s="59">
        <f t="shared" si="11"/>
        <v>603.92466148606491</v>
      </c>
      <c r="CD37" s="59">
        <f ca="1">AVERAGE(OFFSET($CC$3,0,0,'Données projet'!$E$12+1,1))-AVERAGE(OFFSET($H$3,0,0,'Données projet'!$E$12+1,1))</f>
        <v>249.53949216238527</v>
      </c>
      <c r="CE37" s="59">
        <f t="shared" si="40"/>
        <v>261.78576517528217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2.5600997401288619</v>
      </c>
      <c r="CL37" s="21">
        <f>EXP(-LN(2)/25)*CL36+(1-EXP(-LN(2)/25))/(LN(2)/25)*Calculateur!CG37*Calculateur!CI37*VLOOKUP('Données projet'!$B$12,Paramètres!$A$1:$I$89,3,0)*0.475*44/12</f>
        <v>7.1009436823750596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9.661043422503921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7">
        <f t="shared" si="1"/>
        <v>326.40147026672042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22.884615378333326</v>
      </c>
      <c r="N38" s="13">
        <f>IF('Données projet'!$A$36&gt;35,N37+M38-V37,IF(A38&lt;'Données projet'!$A$36,$K$205^A38,IF(A38='Données projet'!$A$36,'Données projet'!$B$36,N37+M38-V37)))</f>
        <v>380.6230769216665</v>
      </c>
      <c r="O38" s="13">
        <f>N38*VLOOKUP('Données projet'!$B$9,Paramètres!$A$1:$I$89,3,0)*VLOOKUP('Données projet'!$B$9,Paramètres!$A$1:$I$89,5,0)</f>
        <v>212.76829999921156</v>
      </c>
      <c r="P38" s="13">
        <f t="shared" si="33"/>
        <v>52.5400670373485</v>
      </c>
      <c r="Q38" s="20">
        <f t="shared" si="53"/>
        <v>462.0787392553421</v>
      </c>
      <c r="R38" s="59">
        <f t="shared" si="0"/>
        <v>755.41207258867541</v>
      </c>
      <c r="S38" s="59">
        <f ca="1">AVERAGE(OFFSET($R$3,0,0,'Données projet'!$E$9+1,1))-AVERAGE(OFFSET($H$3,0,0,'Données projet'!$E$9+1,1))</f>
        <v>281.14678081581229</v>
      </c>
      <c r="T38" s="59">
        <f t="shared" si="34"/>
        <v>380.81265808422603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26.776346200500893</v>
      </c>
      <c r="AA38" s="21">
        <f>EXP(-LN(2)/25)*AA37+(1-EXP(-LN(2)/25))/(LN(2)/25)*Calculateur!V38*Calculateur!X38*VLOOKUP('Données projet'!$B$9,Paramètres!$A$1:$I$89,3,0)*0.475*44/12</f>
        <v>15.958127146033544</v>
      </c>
      <c r="AB38" s="21">
        <f>EXP(-LN(2)/2)*AB37+(1-EXP(-LN(2)/2))/(LN(2)/2)*V38*Y38*VLOOKUP('Données projet'!$B$9,Paramètres!$A$1:$I$89,3,0)*0.475*44/12</f>
        <v>1.0860221265860941</v>
      </c>
      <c r="AC38" s="22">
        <f t="shared" si="3"/>
        <v>43.820495473120531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279.9271639349646</v>
      </c>
      <c r="AO38" s="59">
        <f t="shared" si="36"/>
        <v>260.03726798406916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7.9818376100000004</v>
      </c>
      <c r="BD38" s="12">
        <f>IF('Données projet'!$A$88&gt;35,BD37+BC38-BL37,IF(A38&lt;'Données projet'!$A$88,$BA$205^A38,IF(A38='Données projet'!$A$88,'Données projet'!$B$88,BD37+BC38-BL37)))</f>
        <v>137.19123933000003</v>
      </c>
      <c r="BE38" s="13">
        <f>BD38*VLOOKUP('Données projet'!$B$11,Paramètres!$A$1:$I$89,3,0)*VLOOKUP('Données projet'!$B$11,Paramètres!$A$1:$I$89,5,0)</f>
        <v>117.71008334514005</v>
      </c>
      <c r="BF38" s="13">
        <f t="shared" si="37"/>
        <v>31.1403164234125</v>
      </c>
      <c r="BG38" s="20">
        <f t="shared" si="7"/>
        <v>259.24777959689567</v>
      </c>
      <c r="BH38" s="59">
        <f t="shared" si="8"/>
        <v>552.58111293022898</v>
      </c>
      <c r="BI38" s="59">
        <f ca="1">AVERAGE(OFFSET($BH$3,0,0,'Données projet'!$E$11+1,1))-AVERAGE(OFFSET($H$3,0,0,'Données projet'!$E$11+1,1))</f>
        <v>212.99246338839475</v>
      </c>
      <c r="BJ38" s="59">
        <f t="shared" si="38"/>
        <v>162.04040335537223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151.03919999999997</v>
      </c>
      <c r="CA38" s="13">
        <f t="shared" si="39"/>
        <v>38.814652571726079</v>
      </c>
      <c r="CB38" s="20">
        <f t="shared" si="10"/>
        <v>330.66212656242288</v>
      </c>
      <c r="CC38" s="59">
        <f t="shared" si="11"/>
        <v>623.9954598957562</v>
      </c>
      <c r="CD38" s="59">
        <f ca="1">AVERAGE(OFFSET($CC$3,0,0,'Données projet'!$E$12+1,1))-AVERAGE(OFFSET($H$3,0,0,'Données projet'!$E$12+1,1))</f>
        <v>249.53949216238527</v>
      </c>
      <c r="CE38" s="59">
        <f t="shared" si="40"/>
        <v>261.78576517528217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0.2107</v>
      </c>
      <c r="CI38" s="16">
        <f>IF(ISNA(VLOOKUP(A38,'Données projet'!$A$113:$I$133,6,0)),0%,VLOOKUP(A38,'Données projet'!$A$113:$I$133,6,0)*VLOOKUP('Données projet'!$B$12,Paramètres!$A$1:$I$89,7,0))</f>
        <v>0.1462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8.4871577370579505</v>
      </c>
      <c r="CL38" s="21">
        <f>EXP(-LN(2)/25)*CL37+(1-EXP(-LN(2)/25))/(LN(2)/25)*Calculateur!CG38*Calculateur!CI38*VLOOKUP('Données projet'!$B$12,Paramètres!$A$1:$I$89,3,0)*0.475*44/12</f>
        <v>11.037924293788329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19.525082030846278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7">
        <f t="shared" si="1"/>
        <v>328.33839547144532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403.50769229999997</v>
      </c>
      <c r="L39" s="12">
        <f>VLOOKUP(A39,'Données projet'!$A$35:$I$55,9,0)</f>
        <v>22.884615378333326</v>
      </c>
      <c r="M39" s="12">
        <f t="array" ref="M39">INDEX(L:L,MIN(IF(ISNUMBER(L39:L235),ROW(L39:L235),"")))</f>
        <v>22.884615378333326</v>
      </c>
      <c r="N39" s="13">
        <f>IF('Données projet'!$A$36&gt;35,N38+M39-V38,IF(A39&lt;'Données projet'!$A$36,$K$205^A39,IF(A39='Données projet'!$A$36,'Données projet'!$B$36,N38+M39-V38)))</f>
        <v>403.5076922999998</v>
      </c>
      <c r="O39" s="13">
        <f>N39*VLOOKUP('Données projet'!$B$9,Paramètres!$A$1:$I$89,3,0)*VLOOKUP('Données projet'!$B$9,Paramètres!$A$1:$I$89,5,0)</f>
        <v>225.56079999569988</v>
      </c>
      <c r="P39" s="13">
        <f t="shared" si="33"/>
        <v>55.321736657731762</v>
      </c>
      <c r="Q39" s="20">
        <f t="shared" si="53"/>
        <v>489.2037513380601</v>
      </c>
      <c r="R39" s="59">
        <f t="shared" si="0"/>
        <v>782.53708467139336</v>
      </c>
      <c r="S39" s="59">
        <f ca="1">AVERAGE(OFFSET($R$3,0,0,'Données projet'!$E$9+1,1))-AVERAGE(OFFSET($H$3,0,0,'Données projet'!$E$9+1,1))</f>
        <v>281.14678081581229</v>
      </c>
      <c r="T39" s="59">
        <f t="shared" si="34"/>
        <v>380.81265808422603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9.3500000000000014E-2</v>
      </c>
      <c r="Y39" s="16">
        <f>IF(ISNA(VLOOKUP(A39,'Données projet'!$A$35:$I$55,7,0)),0%,VLOOKUP(A39,'Données projet'!$A$35:$I$55,7,0))</f>
        <v>0.13</v>
      </c>
      <c r="Z39" s="21">
        <f>EXP(-LN(2)/35)*Z38+(1-EXP(-LN(2)/35))/(LN(2)/35)*V39*W39*VLOOKUP('Données projet'!$B$9,Paramètres!$A$1:$I$89,3,0)*0.475*44/12</f>
        <v>46.036190634392867</v>
      </c>
      <c r="AA39" s="21">
        <f>EXP(-LN(2)/25)*AA38+(1-EXP(-LN(2)/25))/(LN(2)/25)*Calculateur!V39*Calculateur!X39*VLOOKUP('Données projet'!$B$9,Paramètres!$A$1:$I$89,3,0)*0.475*44/12</f>
        <v>20.307739830263294</v>
      </c>
      <c r="AB39" s="21">
        <f>EXP(-LN(2)/2)*AB38+(1-EXP(-LN(2)/2))/(LN(2)/2)*V39*Y39*VLOOKUP('Données projet'!$B$9,Paramètres!$A$1:$I$89,3,0)*0.475*44/12</f>
        <v>6.4698905597721676</v>
      </c>
      <c r="AC39" s="22">
        <f t="shared" si="3"/>
        <v>72.813821024428321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279.9271639349646</v>
      </c>
      <c r="AO39" s="59">
        <f t="shared" si="36"/>
        <v>260.03726798406916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7.9818376100000004</v>
      </c>
      <c r="BD39" s="12">
        <f>IF('Données projet'!$A$88&gt;35,BD38+BC39-BL38,IF(A39&lt;'Données projet'!$A$88,$BA$205^A39,IF(A39='Données projet'!$A$88,'Données projet'!$B$88,BD38+BC39-BL38)))</f>
        <v>145.17307694000004</v>
      </c>
      <c r="BE39" s="13">
        <f>BD39*VLOOKUP('Données projet'!$B$11,Paramètres!$A$1:$I$89,3,0)*VLOOKUP('Données projet'!$B$11,Paramètres!$A$1:$I$89,5,0)</f>
        <v>124.55850001452005</v>
      </c>
      <c r="BF39" s="13">
        <f t="shared" si="37"/>
        <v>32.735876550693369</v>
      </c>
      <c r="BG39" s="20">
        <f t="shared" si="7"/>
        <v>273.95437251774672</v>
      </c>
      <c r="BH39" s="59">
        <f t="shared" si="8"/>
        <v>567.28770585108009</v>
      </c>
      <c r="BI39" s="59">
        <f ca="1">AVERAGE(OFFSET($BH$3,0,0,'Données projet'!$E$11+1,1))-AVERAGE(OFFSET($H$3,0,0,'Données projet'!$E$11+1,1))</f>
        <v>212.99246338839475</v>
      </c>
      <c r="BJ39" s="59">
        <f t="shared" si="38"/>
        <v>162.04040335537223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133.73567999999997</v>
      </c>
      <c r="CA39" s="13">
        <f t="shared" si="39"/>
        <v>34.858136849359212</v>
      </c>
      <c r="CB39" s="20">
        <f t="shared" si="10"/>
        <v>293.6342310126339</v>
      </c>
      <c r="CC39" s="59">
        <f t="shared" si="11"/>
        <v>586.96756434596728</v>
      </c>
      <c r="CD39" s="59">
        <f ca="1">AVERAGE(OFFSET($CC$3,0,0,'Données projet'!$E$12+1,1))-AVERAGE(OFFSET($H$3,0,0,'Données projet'!$E$12+1,1))</f>
        <v>249.53949216238527</v>
      </c>
      <c r="CE39" s="59">
        <f t="shared" si="40"/>
        <v>261.78576517528217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8.3207297504893116</v>
      </c>
      <c r="CL39" s="21">
        <f>EXP(-LN(2)/25)*CL38+(1-EXP(-LN(2)/25))/(LN(2)/25)*Calculateur!CG39*Calculateur!CI39*VLOOKUP('Données projet'!$B$12,Paramètres!$A$1:$I$89,3,0)*0.475*44/12</f>
        <v>10.736091673515476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19.056821424004788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7">
        <f t="shared" si="1"/>
        <v>330.27397951950087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22.419230766666676</v>
      </c>
      <c r="N40" s="13">
        <f>IF('Données projet'!$A$36&gt;35,N39+M40-V39,IF(A40&lt;'Données projet'!$A$36,$K$205^A40,IF(A40='Données projet'!$A$36,'Données projet'!$B$36,N39+M40-V39)))</f>
        <v>356.62692306666645</v>
      </c>
      <c r="O40" s="13">
        <f>N40*VLOOKUP('Données projet'!$B$9,Paramètres!$A$1:$I$89,3,0)*VLOOKUP('Données projet'!$B$9,Paramètres!$A$1:$I$89,5,0)</f>
        <v>199.35444999426656</v>
      </c>
      <c r="P40" s="13">
        <f t="shared" si="33"/>
        <v>49.602268689472716</v>
      </c>
      <c r="Q40" s="20">
        <f t="shared" si="53"/>
        <v>433.59961837417922</v>
      </c>
      <c r="R40" s="59">
        <f t="shared" si="0"/>
        <v>726.93295170751253</v>
      </c>
      <c r="S40" s="59">
        <f ca="1">AVERAGE(OFFSET($R$3,0,0,'Données projet'!$E$9+1,1))-AVERAGE(OFFSET($H$3,0,0,'Données projet'!$E$9+1,1))</f>
        <v>281.14678081581229</v>
      </c>
      <c r="T40" s="59">
        <f t="shared" si="34"/>
        <v>380.81265808422603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45.133449015356106</v>
      </c>
      <c r="AA40" s="21">
        <f>EXP(-LN(2)/25)*AA39+(1-EXP(-LN(2)/25))/(LN(2)/25)*Calculateur!V40*Calculateur!X40*VLOOKUP('Données projet'!$B$9,Paramètres!$A$1:$I$89,3,0)*0.475*44/12</f>
        <v>19.752423616667119</v>
      </c>
      <c r="AB40" s="21">
        <f>EXP(-LN(2)/2)*AB39+(1-EXP(-LN(2)/2))/(LN(2)/2)*V40*Y40*VLOOKUP('Données projet'!$B$9,Paramètres!$A$1:$I$89,3,0)*0.475*44/12</f>
        <v>4.5749034883497277</v>
      </c>
      <c r="AC40" s="22">
        <f t="shared" si="3"/>
        <v>69.460776120372955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279.9271639349646</v>
      </c>
      <c r="AO40" s="59">
        <f t="shared" si="36"/>
        <v>260.03726798406916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7.9818376100000004</v>
      </c>
      <c r="BD40" s="12">
        <f>IF('Données projet'!$A$88&gt;35,BD39+BC40-BL39,IF(A40&lt;'Données projet'!$A$88,$BA$205^A40,IF(A40='Données projet'!$A$88,'Données projet'!$B$88,BD39+BC40-BL39)))</f>
        <v>153.15491455000006</v>
      </c>
      <c r="BE40" s="13">
        <f>BD40*VLOOKUP('Données projet'!$B$11,Paramètres!$A$1:$I$89,3,0)*VLOOKUP('Données projet'!$B$11,Paramètres!$A$1:$I$89,5,0)</f>
        <v>131.40691668390008</v>
      </c>
      <c r="BF40" s="13">
        <f t="shared" si="37"/>
        <v>34.321252522335513</v>
      </c>
      <c r="BG40" s="20">
        <f t="shared" si="7"/>
        <v>288.64322803419367</v>
      </c>
      <c r="BH40" s="59">
        <f t="shared" si="8"/>
        <v>581.97656136752698</v>
      </c>
      <c r="BI40" s="59">
        <f ca="1">AVERAGE(OFFSET($BH$3,0,0,'Données projet'!$E$11+1,1))-AVERAGE(OFFSET($H$3,0,0,'Données projet'!$E$11+1,1))</f>
        <v>212.99246338839475</v>
      </c>
      <c r="BJ40" s="59">
        <f t="shared" si="38"/>
        <v>162.04040335537223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142.09415999999999</v>
      </c>
      <c r="CA40" s="13">
        <f t="shared" si="39"/>
        <v>36.77633279983236</v>
      </c>
      <c r="CB40" s="20">
        <f t="shared" si="10"/>
        <v>311.53277495970798</v>
      </c>
      <c r="CC40" s="59">
        <f t="shared" si="11"/>
        <v>604.86610829304129</v>
      </c>
      <c r="CD40" s="59">
        <f ca="1">AVERAGE(OFFSET($CC$3,0,0,'Données projet'!$E$12+1,1))-AVERAGE(OFFSET($H$3,0,0,'Données projet'!$E$12+1,1))</f>
        <v>249.53949216238527</v>
      </c>
      <c r="CE40" s="59">
        <f t="shared" si="40"/>
        <v>261.78576517528217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8.1575653152262344</v>
      </c>
      <c r="CL40" s="21">
        <f>EXP(-LN(2)/25)*CL39+(1-EXP(-LN(2)/25))/(LN(2)/25)*Calculateur!CG40*Calculateur!CI40*VLOOKUP('Données projet'!$B$12,Paramètres!$A$1:$I$89,3,0)*0.475*44/12</f>
        <v>10.442512682116671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18.600077997342908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7">
        <f t="shared" si="1"/>
        <v>332.20826282394756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22.419230766666676</v>
      </c>
      <c r="N41" s="13">
        <f>IF('Données projet'!$A$36&gt;35,N40+M41-V40,IF(A41&lt;'Données projet'!$A$36,$K$205^A41,IF(A41='Données projet'!$A$36,'Données projet'!$B$36,N40+M41-V40)))</f>
        <v>379.04615383333311</v>
      </c>
      <c r="O41" s="13">
        <f>N41*VLOOKUP('Données projet'!$B$9,Paramètres!$A$1:$I$89,3,0)*VLOOKUP('Données projet'!$B$9,Paramètres!$A$1:$I$89,5,0)</f>
        <v>211.88679999283323</v>
      </c>
      <c r="P41" s="13">
        <f t="shared" si="33"/>
        <v>52.347684081374837</v>
      </c>
      <c r="Q41" s="20">
        <f t="shared" si="53"/>
        <v>460.20839309591241</v>
      </c>
      <c r="R41" s="59">
        <f t="shared" si="0"/>
        <v>753.54172642924573</v>
      </c>
      <c r="S41" s="59">
        <f ca="1">AVERAGE(OFFSET($R$3,0,0,'Données projet'!$E$9+1,1))-AVERAGE(OFFSET($H$3,0,0,'Données projet'!$E$9+1,1))</f>
        <v>281.14678081581229</v>
      </c>
      <c r="T41" s="59">
        <f t="shared" si="34"/>
        <v>380.81265808422603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44.248409608850643</v>
      </c>
      <c r="AA41" s="21">
        <f>EXP(-LN(2)/25)*AA40+(1-EXP(-LN(2)/25))/(LN(2)/25)*Calculateur!V41*Calculateur!X41*VLOOKUP('Données projet'!$B$9,Paramètres!$A$1:$I$89,3,0)*0.475*44/12</f>
        <v>19.212292554134542</v>
      </c>
      <c r="AB41" s="21">
        <f>EXP(-LN(2)/2)*AB40+(1-EXP(-LN(2)/2))/(LN(2)/2)*V41*Y41*VLOOKUP('Données projet'!$B$9,Paramètres!$A$1:$I$89,3,0)*0.475*44/12</f>
        <v>3.2349452798860843</v>
      </c>
      <c r="AC41" s="22">
        <f t="shared" si="3"/>
        <v>66.695647442871277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279.9271639349646</v>
      </c>
      <c r="AO41" s="59">
        <f t="shared" si="36"/>
        <v>260.03726798406916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7.9818376100000004</v>
      </c>
      <c r="BD41" s="12">
        <f>IF('Données projet'!$A$88&gt;35,BD40+BC41-BL40,IF(A41&lt;'Données projet'!$A$88,$BA$205^A41,IF(A41='Données projet'!$A$88,'Données projet'!$B$88,BD40+BC41-BL40)))</f>
        <v>161.13675216000007</v>
      </c>
      <c r="BE41" s="13">
        <f>BD41*VLOOKUP('Données projet'!$B$11,Paramètres!$A$1:$I$89,3,0)*VLOOKUP('Données projet'!$B$11,Paramètres!$A$1:$I$89,5,0)</f>
        <v>138.25533335328007</v>
      </c>
      <c r="BF41" s="13">
        <f t="shared" si="37"/>
        <v>35.897035632354559</v>
      </c>
      <c r="BG41" s="20">
        <f t="shared" si="7"/>
        <v>303.31537598331357</v>
      </c>
      <c r="BH41" s="59">
        <f t="shared" si="8"/>
        <v>596.64870931664689</v>
      </c>
      <c r="BI41" s="59">
        <f ca="1">AVERAGE(OFFSET($BH$3,0,0,'Données projet'!$E$11+1,1))-AVERAGE(OFFSET($H$3,0,0,'Données projet'!$E$11+1,1))</f>
        <v>212.99246338839475</v>
      </c>
      <c r="BJ41" s="59">
        <f t="shared" si="38"/>
        <v>162.04040335537223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150.45263999999997</v>
      </c>
      <c r="CA41" s="13">
        <f t="shared" si="39"/>
        <v>38.681431639913605</v>
      </c>
      <c r="CB41" s="20">
        <f t="shared" si="10"/>
        <v>329.40850810618275</v>
      </c>
      <c r="CC41" s="59">
        <f t="shared" si="11"/>
        <v>622.74184143951607</v>
      </c>
      <c r="CD41" s="59">
        <f ca="1">AVERAGE(OFFSET($CC$3,0,0,'Données projet'!$E$12+1,1))-AVERAGE(OFFSET($H$3,0,0,'Données projet'!$E$12+1,1))</f>
        <v>249.53949216238527</v>
      </c>
      <c r="CE41" s="59">
        <f t="shared" si="40"/>
        <v>261.78576517528217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7.997600435018188</v>
      </c>
      <c r="CL41" s="21">
        <f>EXP(-LN(2)/25)*CL40+(1-EXP(-LN(2)/25))/(LN(2)/25)*Calculateur!CG41*Calculateur!CI41*VLOOKUP('Données projet'!$B$12,Paramètres!$A$1:$I$89,3,0)*0.475*44/12</f>
        <v>10.156961623676315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18.154562058694502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7">
        <f t="shared" si="1"/>
        <v>334.14128354971166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22.419230766666676</v>
      </c>
      <c r="N42" s="13">
        <f>IF('Données projet'!$A$36&gt;35,N41+M42-V41,IF(A42&lt;'Données projet'!$A$36,$K$205^A42,IF(A42='Données projet'!$A$36,'Données projet'!$B$36,N41+M42-V41)))</f>
        <v>401.46538459999977</v>
      </c>
      <c r="O42" s="13">
        <f>N42*VLOOKUP('Données projet'!$B$9,Paramètres!$A$1:$I$89,3,0)*VLOOKUP('Données projet'!$B$9,Paramètres!$A$1:$I$89,5,0)</f>
        <v>224.41914999139985</v>
      </c>
      <c r="P42" s="13">
        <f t="shared" si="33"/>
        <v>55.074251577402599</v>
      </c>
      <c r="Q42" s="20">
        <f t="shared" si="53"/>
        <v>486.78434106566425</v>
      </c>
      <c r="R42" s="59">
        <f t="shared" si="0"/>
        <v>780.11767439899756</v>
      </c>
      <c r="S42" s="59">
        <f ca="1">AVERAGE(OFFSET($R$3,0,0,'Données projet'!$E$9+1,1))-AVERAGE(OFFSET($H$3,0,0,'Données projet'!$E$9+1,1))</f>
        <v>281.14678081581229</v>
      </c>
      <c r="T42" s="59">
        <f t="shared" si="34"/>
        <v>380.81265808422603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43.380725285286012</v>
      </c>
      <c r="AA42" s="21">
        <f>EXP(-LN(2)/25)*AA41+(1-EXP(-LN(2)/25))/(LN(2)/25)*Calculateur!V42*Calculateur!X42*VLOOKUP('Données projet'!$B$9,Paramètres!$A$1:$I$89,3,0)*0.475*44/12</f>
        <v>18.686931403911178</v>
      </c>
      <c r="AB42" s="21">
        <f>EXP(-LN(2)/2)*AB41+(1-EXP(-LN(2)/2))/(LN(2)/2)*V42*Y42*VLOOKUP('Données projet'!$B$9,Paramètres!$A$1:$I$89,3,0)*0.475*44/12</f>
        <v>2.2874517441748643</v>
      </c>
      <c r="AC42" s="22">
        <f t="shared" si="3"/>
        <v>64.355108433372052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279.9271639349646</v>
      </c>
      <c r="AO42" s="59">
        <f t="shared" si="36"/>
        <v>260.03726798406916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7.9818376100000004</v>
      </c>
      <c r="BD42" s="12">
        <f>IF('Données projet'!$A$88&gt;35,BD41+BC42-BL41,IF(A42&lt;'Données projet'!$A$88,$BA$205^A42,IF(A42='Données projet'!$A$88,'Données projet'!$B$88,BD41+BC42-BL41)))</f>
        <v>169.11858977000009</v>
      </c>
      <c r="BE42" s="13">
        <f>BD42*VLOOKUP('Données projet'!$B$11,Paramètres!$A$1:$I$89,3,0)*VLOOKUP('Données projet'!$B$11,Paramètres!$A$1:$I$89,5,0)</f>
        <v>145.10375002266011</v>
      </c>
      <c r="BF42" s="13">
        <f t="shared" si="37"/>
        <v>37.463755286542479</v>
      </c>
      <c r="BG42" s="20">
        <f t="shared" si="7"/>
        <v>317.97173841352787</v>
      </c>
      <c r="BH42" s="59">
        <f t="shared" si="8"/>
        <v>611.30507174686113</v>
      </c>
      <c r="BI42" s="59">
        <f ca="1">AVERAGE(OFFSET($BH$3,0,0,'Données projet'!$E$11+1,1))-AVERAGE(OFFSET($H$3,0,0,'Données projet'!$E$11+1,1))</f>
        <v>212.99246338839475</v>
      </c>
      <c r="BJ42" s="59">
        <f t="shared" si="38"/>
        <v>162.04040335537223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158.81111999999999</v>
      </c>
      <c r="CA42" s="13">
        <f t="shared" si="39"/>
        <v>40.57424391712447</v>
      </c>
      <c r="CB42" s="20">
        <f t="shared" si="10"/>
        <v>347.26284215565846</v>
      </c>
      <c r="CC42" s="59">
        <f t="shared" si="11"/>
        <v>640.59617548899178</v>
      </c>
      <c r="CD42" s="59">
        <f ca="1">AVERAGE(OFFSET($CC$3,0,0,'Données projet'!$E$12+1,1))-AVERAGE(OFFSET($H$3,0,0,'Données projet'!$E$12+1,1))</f>
        <v>249.53949216238527</v>
      </c>
      <c r="CE42" s="59">
        <f t="shared" si="40"/>
        <v>261.78576517528217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7.8407723685420789</v>
      </c>
      <c r="CL42" s="21">
        <f>EXP(-LN(2)/25)*CL41+(1-EXP(-LN(2)/25))/(LN(2)/25)*Calculateur!CG42*Calculateur!CI42*VLOOKUP('Données projet'!$B$12,Paramètres!$A$1:$I$89,3,0)*0.475*44/12</f>
        <v>9.8792189739454876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17.719991342487567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7">
        <f t="shared" si="1"/>
        <v>336.07307779303989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22.419230766666676</v>
      </c>
      <c r="N43" s="13">
        <f>IF('Données projet'!$A$36&gt;35,N42+M43-V42,IF(A43&lt;'Données projet'!$A$36,$K$205^A43,IF(A43='Données projet'!$A$36,'Données projet'!$B$36,N42+M43-V42)))</f>
        <v>423.88461536666642</v>
      </c>
      <c r="O43" s="13">
        <f>N43*VLOOKUP('Données projet'!$B$9,Paramètres!$A$1:$I$89,3,0)*VLOOKUP('Données projet'!$B$9,Paramètres!$A$1:$I$89,5,0)</f>
        <v>236.95149998996652</v>
      </c>
      <c r="P43" s="13">
        <f t="shared" si="33"/>
        <v>57.783143665940827</v>
      </c>
      <c r="Q43" s="20">
        <f t="shared" si="53"/>
        <v>513.3295043673719</v>
      </c>
      <c r="R43" s="59">
        <f t="shared" si="0"/>
        <v>806.66283770070527</v>
      </c>
      <c r="S43" s="59">
        <f ca="1">AVERAGE(OFFSET($R$3,0,0,'Données projet'!$E$9+1,1))-AVERAGE(OFFSET($H$3,0,0,'Données projet'!$E$9+1,1))</f>
        <v>281.14678081581229</v>
      </c>
      <c r="T43" s="59">
        <f t="shared" si="34"/>
        <v>380.81265808422603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42.530055722071303</v>
      </c>
      <c r="AA43" s="21">
        <f>EXP(-LN(2)/25)*AA42+(1-EXP(-LN(2)/25))/(LN(2)/25)*Calculateur!V43*Calculateur!X43*VLOOKUP('Données projet'!$B$9,Paramètres!$A$1:$I$89,3,0)*0.475*44/12</f>
        <v>18.175936281968212</v>
      </c>
      <c r="AB43" s="21">
        <f>EXP(-LN(2)/2)*AB42+(1-EXP(-LN(2)/2))/(LN(2)/2)*V43*Y43*VLOOKUP('Données projet'!$B$9,Paramètres!$A$1:$I$89,3,0)*0.475*44/12</f>
        <v>1.6174726399430424</v>
      </c>
      <c r="AC43" s="22">
        <f t="shared" si="3"/>
        <v>62.323464643982561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279.9271639349646</v>
      </c>
      <c r="AO43" s="59">
        <f t="shared" si="36"/>
        <v>260.03726798406916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7.9818376100000004</v>
      </c>
      <c r="BD43" s="12">
        <f>IF('Données projet'!$A$88&gt;35,BD42+BC43-BL42,IF(A43&lt;'Données projet'!$A$88,$BA$205^A43,IF(A43='Données projet'!$A$88,'Données projet'!$B$88,BD42+BC43-BL42)))</f>
        <v>177.1004273800001</v>
      </c>
      <c r="BE43" s="13">
        <f>BD43*VLOOKUP('Données projet'!$B$11,Paramètres!$A$1:$I$89,3,0)*VLOOKUP('Données projet'!$B$11,Paramètres!$A$1:$I$89,5,0)</f>
        <v>151.95216669204009</v>
      </c>
      <c r="BF43" s="13">
        <f t="shared" si="37"/>
        <v>39.021888094388245</v>
      </c>
      <c r="BG43" s="20">
        <f t="shared" si="7"/>
        <v>332.61314541969597</v>
      </c>
      <c r="BH43" s="59">
        <f t="shared" si="8"/>
        <v>625.94647875302928</v>
      </c>
      <c r="BI43" s="59">
        <f ca="1">AVERAGE(OFFSET($BH$3,0,0,'Données projet'!$E$11+1,1))-AVERAGE(OFFSET($H$3,0,0,'Données projet'!$E$11+1,1))</f>
        <v>212.99246338839475</v>
      </c>
      <c r="BJ43" s="59">
        <f t="shared" si="38"/>
        <v>162.04040335537223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167.1696</v>
      </c>
      <c r="CA43" s="13">
        <f t="shared" si="39"/>
        <v>42.455490039298851</v>
      </c>
      <c r="CB43" s="20">
        <f t="shared" si="10"/>
        <v>365.09703181844549</v>
      </c>
      <c r="CC43" s="59">
        <f t="shared" si="11"/>
        <v>658.4303651517788</v>
      </c>
      <c r="CD43" s="59">
        <f ca="1">AVERAGE(OFFSET($CC$3,0,0,'Données projet'!$E$12+1,1))-AVERAGE(OFFSET($H$3,0,0,'Données projet'!$E$12+1,1))</f>
        <v>249.53949216238527</v>
      </c>
      <c r="CE43" s="59">
        <f t="shared" si="40"/>
        <v>261.78576517528217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0.30529999999999996</v>
      </c>
      <c r="CI43" s="16">
        <f>IF(ISNA(VLOOKUP(A43,'Données projet'!$A$113:$I$133,6,0)),0%,VLOOKUP(A43,'Données projet'!$A$113:$I$133,6,0)*VLOOKUP('Données projet'!$B$12,Paramètres!$A$1:$I$89,7,0))</f>
        <v>8.6000000000000007E-2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16.347947347328002</v>
      </c>
      <c r="CL43" s="21">
        <f>EXP(-LN(2)/25)*CL42+(1-EXP(-LN(2)/25))/(LN(2)/25)*Calculateur!CG43*Calculateur!CI43*VLOOKUP('Données projet'!$B$12,Paramètres!$A$1:$I$89,3,0)*0.475*44/12</f>
        <v>12.039163146771646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28.387110494099648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7">
        <f t="shared" si="1"/>
        <v>338.00367974250355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22.419230766666676</v>
      </c>
      <c r="N44" s="13">
        <f>IF('Données projet'!$A$36&gt;35,N43+M44-V43,IF(A44&lt;'Données projet'!$A$36,$K$205^A44,IF(A44='Données projet'!$A$36,'Données projet'!$B$36,N43+M44-V43)))</f>
        <v>446.30384613333308</v>
      </c>
      <c r="O44" s="13">
        <f>N44*VLOOKUP('Données projet'!$B$9,Paramètres!$A$1:$I$89,3,0)*VLOOKUP('Données projet'!$B$9,Paramètres!$A$1:$I$89,5,0)</f>
        <v>249.48384998853319</v>
      </c>
      <c r="P44" s="13">
        <f t="shared" si="33"/>
        <v>60.475401804823974</v>
      </c>
      <c r="Q44" s="20">
        <f t="shared" si="53"/>
        <v>539.84569687343048</v>
      </c>
      <c r="R44" s="59">
        <f t="shared" si="0"/>
        <v>833.17903020676385</v>
      </c>
      <c r="S44" s="59">
        <f ca="1">AVERAGE(OFFSET($R$3,0,0,'Données projet'!$E$9+1,1))-AVERAGE(OFFSET($H$3,0,0,'Données projet'!$E$9+1,1))</f>
        <v>281.14678081581229</v>
      </c>
      <c r="T44" s="59">
        <f t="shared" si="34"/>
        <v>380.81265808422603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41.696067270134037</v>
      </c>
      <c r="AA44" s="21">
        <f>EXP(-LN(2)/25)*AA43+(1-EXP(-LN(2)/25))/(LN(2)/25)*Calculateur!V44*Calculateur!X44*VLOOKUP('Données projet'!$B$9,Paramètres!$A$1:$I$89,3,0)*0.475*44/12</f>
        <v>17.678914348506844</v>
      </c>
      <c r="AB44" s="21">
        <f>EXP(-LN(2)/2)*AB43+(1-EXP(-LN(2)/2))/(LN(2)/2)*V44*Y44*VLOOKUP('Données projet'!$B$9,Paramètres!$A$1:$I$89,3,0)*0.475*44/12</f>
        <v>1.1437258720874324</v>
      </c>
      <c r="AC44" s="22">
        <f t="shared" si="3"/>
        <v>60.51870749072831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279.9271639349646</v>
      </c>
      <c r="AO44" s="59">
        <f t="shared" si="36"/>
        <v>260.03726798406916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7.9818376100000004</v>
      </c>
      <c r="BD44" s="12">
        <f>IF('Données projet'!$A$88&gt;35,BD43+BC44-BL43,IF(A44&lt;'Données projet'!$A$88,$BA$205^A44,IF(A44='Données projet'!$A$88,'Données projet'!$B$88,BD43+BC44-BL43)))</f>
        <v>185.08226499000011</v>
      </c>
      <c r="BE44" s="13">
        <f>BD44*VLOOKUP('Données projet'!$B$11,Paramètres!$A$1:$I$89,3,0)*VLOOKUP('Données projet'!$B$11,Paramètres!$A$1:$I$89,5,0)</f>
        <v>158.80058336142011</v>
      </c>
      <c r="BF44" s="13">
        <f t="shared" si="37"/>
        <v>40.571865275607692</v>
      </c>
      <c r="BG44" s="20">
        <f t="shared" si="7"/>
        <v>347.24034804282337</v>
      </c>
      <c r="BH44" s="59">
        <f t="shared" si="8"/>
        <v>640.57368137615663</v>
      </c>
      <c r="BI44" s="59">
        <f ca="1">AVERAGE(OFFSET($BH$3,0,0,'Données projet'!$E$11+1,1))-AVERAGE(OFFSET($H$3,0,0,'Données projet'!$E$11+1,1))</f>
        <v>212.99246338839475</v>
      </c>
      <c r="BJ44" s="59">
        <f t="shared" si="38"/>
        <v>162.04040335537223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148.69296</v>
      </c>
      <c r="CA44" s="13">
        <f t="shared" si="39"/>
        <v>38.281404966971365</v>
      </c>
      <c r="CB44" s="20">
        <f t="shared" si="10"/>
        <v>325.64701898414177</v>
      </c>
      <c r="CC44" s="59">
        <f t="shared" si="11"/>
        <v>618.98035231747508</v>
      </c>
      <c r="CD44" s="59">
        <f ca="1">AVERAGE(OFFSET($CC$3,0,0,'Données projet'!$E$12+1,1))-AVERAGE(OFFSET($H$3,0,0,'Données projet'!$E$12+1,1))</f>
        <v>249.53949216238527</v>
      </c>
      <c r="CE44" s="59">
        <f t="shared" si="40"/>
        <v>261.78576517528217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16.027374071110202</v>
      </c>
      <c r="CL44" s="21">
        <f>EXP(-LN(2)/25)*CL43+(1-EXP(-LN(2)/25))/(LN(2)/25)*Calculateur!CG44*Calculateur!CI44*VLOOKUP('Données projet'!$B$12,Paramètres!$A$1:$I$89,3,0)*0.475*44/12</f>
        <v>11.7099515974111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27.737325668521301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7">
        <f t="shared" si="1"/>
        <v>339.9331218238529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468.72307690000002</v>
      </c>
      <c r="L45" s="12">
        <f>VLOOKUP(A45,'Données projet'!$A$35:$I$55,9,0)</f>
        <v>22.419230766666676</v>
      </c>
      <c r="M45" s="12">
        <f t="array" ref="M45">INDEX(L:L,MIN(IF(ISNUMBER(L45:L241),ROW(L45:L241),"")))</f>
        <v>22.419230766666676</v>
      </c>
      <c r="N45" s="13">
        <f>IF('Données projet'!$A$36&gt;35,N44+M45-V44,IF(A45&lt;'Données projet'!$A$36,$K$205^A45,IF(A45='Données projet'!$A$36,'Données projet'!$B$36,N44+M45-V44)))</f>
        <v>468.72307689999974</v>
      </c>
      <c r="O45" s="13">
        <f>N45*VLOOKUP('Données projet'!$B$9,Paramètres!$A$1:$I$89,3,0)*VLOOKUP('Données projet'!$B$9,Paramètres!$A$1:$I$89,5,0)</f>
        <v>262.01619998709987</v>
      </c>
      <c r="P45" s="13">
        <f t="shared" si="33"/>
        <v>63.151956910107273</v>
      </c>
      <c r="Q45" s="20">
        <f t="shared" si="53"/>
        <v>566.33453992930242</v>
      </c>
      <c r="R45" s="59">
        <f t="shared" si="0"/>
        <v>859.66787326263579</v>
      </c>
      <c r="S45" s="59">
        <f ca="1">AVERAGE(OFFSET($R$3,0,0,'Données projet'!$E$9+1,1))-AVERAGE(OFFSET($H$3,0,0,'Données projet'!$E$9+1,1))</f>
        <v>281.14678081581229</v>
      </c>
      <c r="T45" s="59">
        <f t="shared" si="34"/>
        <v>380.81265808422603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73.392307689999996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9.3500000000000014E-2</v>
      </c>
      <c r="Y45" s="16">
        <f>IF(ISNA(VLOOKUP(A45,'Données projet'!$A$35:$I$55,7,0)),0%,VLOOKUP(A45,'Données projet'!$A$35:$I$55,7,0))</f>
        <v>0.13</v>
      </c>
      <c r="Z45" s="21">
        <f>EXP(-LN(2)/35)*Z44+(1-EXP(-LN(2)/35))/(LN(2)/35)*V45*W45*VLOOKUP('Données projet'!$B$9,Paramètres!$A$1:$I$89,3,0)*0.475*44/12</f>
        <v>61.831684879904387</v>
      </c>
      <c r="AA45" s="21">
        <f>EXP(-LN(2)/25)*AA44+(1-EXP(-LN(2)/25))/(LN(2)/25)*Calculateur!V45*Calculateur!X45*VLOOKUP('Données projet'!$B$9,Paramètres!$A$1:$I$89,3,0)*0.475*44/12</f>
        <v>22.26409449216246</v>
      </c>
      <c r="AB45" s="21">
        <f>EXP(-LN(2)/2)*AB44+(1-EXP(-LN(2)/2))/(LN(2)/2)*V45*Y45*VLOOKUP('Données projet'!$B$9,Paramètres!$A$1:$I$89,3,0)*0.475*44/12</f>
        <v>6.8474055678229515</v>
      </c>
      <c r="AC45" s="22">
        <f t="shared" si="3"/>
        <v>90.94318493988979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279.9271639349646</v>
      </c>
      <c r="AO45" s="59">
        <f t="shared" si="36"/>
        <v>260.03726798406916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193.06410260000001</v>
      </c>
      <c r="BB45" s="12">
        <f>VLOOKUP(A45,'Données projet'!$A$87:$I$107,9,0)</f>
        <v>7.9818376100000004</v>
      </c>
      <c r="BC45" s="12">
        <f t="array" ref="BC45">INDEX(BB:BB,MIN(IF(ISNUMBER(BB45:BB241),ROW(BB45:BB241),"")))</f>
        <v>7.9818376100000004</v>
      </c>
      <c r="BD45" s="12">
        <f>IF('Données projet'!$A$88&gt;35,BD44+BC45-BL44,IF(A45&lt;'Données projet'!$A$88,$BA$205^A45,IF(A45='Données projet'!$A$88,'Données projet'!$B$88,BD44+BC45-BL44)))</f>
        <v>193.06410260000013</v>
      </c>
      <c r="BE45" s="13">
        <f>BD45*VLOOKUP('Données projet'!$B$11,Paramètres!$A$1:$I$89,3,0)*VLOOKUP('Données projet'!$B$11,Paramètres!$A$1:$I$89,5,0)</f>
        <v>165.64900003080012</v>
      </c>
      <c r="BF45" s="13">
        <f t="shared" si="37"/>
        <v>42.114078752979523</v>
      </c>
      <c r="BG45" s="20">
        <f t="shared" si="7"/>
        <v>361.85402888174957</v>
      </c>
      <c r="BH45" s="59">
        <f t="shared" si="8"/>
        <v>655.18736221508289</v>
      </c>
      <c r="BI45" s="59">
        <f ca="1">AVERAGE(OFFSET($BH$3,0,0,'Données projet'!$E$11+1,1))-AVERAGE(OFFSET($H$3,0,0,'Données projet'!$E$11+1,1))</f>
        <v>212.99246338839475</v>
      </c>
      <c r="BJ45" s="59">
        <f t="shared" si="38"/>
        <v>162.04040335537223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69.141025639999995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155.87832000000003</v>
      </c>
      <c r="CA45" s="13">
        <f t="shared" si="39"/>
        <v>39.911451633481022</v>
      </c>
      <c r="CB45" s="20">
        <f t="shared" si="10"/>
        <v>341.00051892831283</v>
      </c>
      <c r="CC45" s="59">
        <f t="shared" si="11"/>
        <v>634.33385226164614</v>
      </c>
      <c r="CD45" s="59">
        <f ca="1">AVERAGE(OFFSET($CC$3,0,0,'Données projet'!$E$12+1,1))-AVERAGE(OFFSET($H$3,0,0,'Données projet'!$E$12+1,1))</f>
        <v>249.53949216238527</v>
      </c>
      <c r="CE45" s="59">
        <f t="shared" si="40"/>
        <v>261.78576517528217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15.713087041308642</v>
      </c>
      <c r="CL45" s="21">
        <f>EXP(-LN(2)/25)*CL44+(1-EXP(-LN(2)/25))/(LN(2)/25)*Calculateur!CG45*Calculateur!CI45*VLOOKUP('Données projet'!$B$12,Paramètres!$A$1:$I$89,3,0)*0.475*44/12</f>
        <v>11.389742355180303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27.102829396488943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7">
        <f t="shared" si="1"/>
        <v>341.8614348306869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21.625641031666657</v>
      </c>
      <c r="N46" s="13">
        <f>IF('Données projet'!$A$36&gt;35,N45+M46-V45,IF(A46&lt;'Données projet'!$A$36,$K$205^A46,IF(A46='Données projet'!$A$36,'Données projet'!$B$36,N45+M46-V45)))</f>
        <v>416.95641024166639</v>
      </c>
      <c r="O46" s="13">
        <f>N46*VLOOKUP('Données projet'!$B$9,Paramètres!$A$1:$I$89,3,0)*VLOOKUP('Données projet'!$B$9,Paramètres!$A$1:$I$89,5,0)</f>
        <v>233.07863332509152</v>
      </c>
      <c r="P46" s="13">
        <f t="shared" si="33"/>
        <v>56.94783802187419</v>
      </c>
      <c r="Q46" s="20">
        <f t="shared" si="53"/>
        <v>505.12943759596516</v>
      </c>
      <c r="R46" s="59">
        <f t="shared" si="0"/>
        <v>798.46277092929847</v>
      </c>
      <c r="S46" s="59">
        <f ca="1">AVERAGE(OFFSET($R$3,0,0,'Données projet'!$E$9+1,1))-AVERAGE(OFFSET($H$3,0,0,'Données projet'!$E$9+1,1))</f>
        <v>281.14678081581229</v>
      </c>
      <c r="T46" s="59">
        <f t="shared" si="34"/>
        <v>380.81265808422603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60.619203253013332</v>
      </c>
      <c r="AA46" s="21">
        <f>EXP(-LN(2)/25)*AA45+(1-EXP(-LN(2)/25))/(LN(2)/25)*Calculateur!V46*Calculateur!X46*VLOOKUP('Données projet'!$B$9,Paramètres!$A$1:$I$89,3,0)*0.475*44/12</f>
        <v>21.655281657456435</v>
      </c>
      <c r="AB46" s="21">
        <f>EXP(-LN(2)/2)*AB45+(1-EXP(-LN(2)/2))/(LN(2)/2)*V46*Y46*VLOOKUP('Données projet'!$B$9,Paramètres!$A$1:$I$89,3,0)*0.475*44/12</f>
        <v>4.8418469105421309</v>
      </c>
      <c r="AC46" s="22">
        <f t="shared" si="3"/>
        <v>87.116331821011897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279.9271639349646</v>
      </c>
      <c r="AO46" s="59">
        <f t="shared" si="36"/>
        <v>260.03726798406916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10.449786323333329</v>
      </c>
      <c r="BD46" s="12">
        <f>IF('Données projet'!$A$88&gt;35,BD45+BC46-BL45,IF(A46&lt;'Données projet'!$A$88,$BA$205^A46,IF(A46='Données projet'!$A$88,'Données projet'!$B$88,BD45+BC46-BL45)))</f>
        <v>134.37286328333346</v>
      </c>
      <c r="BE46" s="13">
        <f>BD46*VLOOKUP('Données projet'!$B$11,Paramètres!$A$1:$I$89,3,0)*VLOOKUP('Données projet'!$B$11,Paramètres!$A$1:$I$89,5,0)</f>
        <v>115.29191669710012</v>
      </c>
      <c r="BF46" s="13">
        <f t="shared" si="37"/>
        <v>30.574371406241287</v>
      </c>
      <c r="BG46" s="20">
        <f t="shared" si="7"/>
        <v>254.05045177998628</v>
      </c>
      <c r="BH46" s="59">
        <f t="shared" si="8"/>
        <v>547.38378511331962</v>
      </c>
      <c r="BI46" s="59">
        <f ca="1">AVERAGE(OFFSET($BH$3,0,0,'Données projet'!$E$11+1,1))-AVERAGE(OFFSET($H$3,0,0,'Données projet'!$E$11+1,1))</f>
        <v>212.99246338839475</v>
      </c>
      <c r="BJ46" s="59">
        <f t="shared" si="38"/>
        <v>162.04040335537223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163.06368000000001</v>
      </c>
      <c r="CA46" s="13">
        <f t="shared" si="39"/>
        <v>41.532772330984628</v>
      </c>
      <c r="CB46" s="20">
        <f t="shared" si="10"/>
        <v>356.33882114313155</v>
      </c>
      <c r="CC46" s="59">
        <f t="shared" si="11"/>
        <v>649.67215447646481</v>
      </c>
      <c r="CD46" s="59">
        <f ca="1">AVERAGE(OFFSET($CC$3,0,0,'Données projet'!$E$12+1,1))-AVERAGE(OFFSET($H$3,0,0,'Données projet'!$E$12+1,1))</f>
        <v>249.53949216238527</v>
      </c>
      <c r="CE46" s="59">
        <f t="shared" si="40"/>
        <v>261.78576517528217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15.404962988465329</v>
      </c>
      <c r="CL46" s="21">
        <f>EXP(-LN(2)/25)*CL45+(1-EXP(-LN(2)/25))/(LN(2)/25)*Calculateur!CG46*Calculateur!CI46*VLOOKUP('Données projet'!$B$12,Paramètres!$A$1:$I$89,3,0)*0.475*44/12</f>
        <v>11.078289251517379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26.483252239982708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7">
        <f t="shared" si="1"/>
        <v>343.78864804262543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21.625641031666657</v>
      </c>
      <c r="N47" s="13">
        <f>IF('Données projet'!$A$36&gt;35,N46+M47-V46,IF(A47&lt;'Données projet'!$A$36,$K$205^A47,IF(A47='Données projet'!$A$36,'Données projet'!$B$36,N46+M47-V46)))</f>
        <v>438.58205127333304</v>
      </c>
      <c r="O47" s="13">
        <f>N47*VLOOKUP('Données projet'!$B$9,Paramètres!$A$1:$I$89,3,0)*VLOOKUP('Données projet'!$B$9,Paramètres!$A$1:$I$89,5,0)</f>
        <v>245.16736666179318</v>
      </c>
      <c r="P47" s="13">
        <f t="shared" si="33"/>
        <v>59.549932467137261</v>
      </c>
      <c r="Q47" s="20">
        <f t="shared" si="53"/>
        <v>530.71596264955372</v>
      </c>
      <c r="R47" s="59">
        <f t="shared" si="0"/>
        <v>824.04929598288709</v>
      </c>
      <c r="S47" s="59">
        <f ca="1">AVERAGE(OFFSET($R$3,0,0,'Données projet'!$E$9+1,1))-AVERAGE(OFFSET($H$3,0,0,'Données projet'!$E$9+1,1))</f>
        <v>281.14678081581229</v>
      </c>
      <c r="T47" s="59">
        <f t="shared" si="34"/>
        <v>380.81265808422603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59.430497651284838</v>
      </c>
      <c r="AA47" s="21">
        <f>EXP(-LN(2)/25)*AA46+(1-EXP(-LN(2)/25))/(LN(2)/25)*Calculateur!V47*Calculateur!X47*VLOOKUP('Données projet'!$B$9,Paramètres!$A$1:$I$89,3,0)*0.475*44/12</f>
        <v>21.063116841731521</v>
      </c>
      <c r="AB47" s="21">
        <f>EXP(-LN(2)/2)*AB46+(1-EXP(-LN(2)/2))/(LN(2)/2)*V47*Y47*VLOOKUP('Données projet'!$B$9,Paramètres!$A$1:$I$89,3,0)*0.475*44/12</f>
        <v>3.4237027839114758</v>
      </c>
      <c r="AC47" s="22">
        <f t="shared" si="3"/>
        <v>83.917317276927847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279.9271639349646</v>
      </c>
      <c r="AO47" s="59">
        <f t="shared" si="36"/>
        <v>260.03726798406916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10.449786323333329</v>
      </c>
      <c r="BD47" s="12">
        <f>IF('Données projet'!$A$88&gt;35,BD46+BC47-BL46,IF(A47&lt;'Données projet'!$A$88,$BA$205^A47,IF(A47='Données projet'!$A$88,'Données projet'!$B$88,BD46+BC47-BL46)))</f>
        <v>144.8226496066668</v>
      </c>
      <c r="BE47" s="13">
        <f>BD47*VLOOKUP('Données projet'!$B$11,Paramètres!$A$1:$I$89,3,0)*VLOOKUP('Données projet'!$B$11,Paramètres!$A$1:$I$89,5,0)</f>
        <v>124.25783336252013</v>
      </c>
      <c r="BF47" s="13">
        <f t="shared" si="37"/>
        <v>32.666044847176124</v>
      </c>
      <c r="BG47" s="20">
        <f t="shared" si="7"/>
        <v>273.30908788188759</v>
      </c>
      <c r="BH47" s="59">
        <f t="shared" si="8"/>
        <v>566.64242121522091</v>
      </c>
      <c r="BI47" s="59">
        <f ca="1">AVERAGE(OFFSET($BH$3,0,0,'Données projet'!$E$11+1,1))-AVERAGE(OFFSET($H$3,0,0,'Données projet'!$E$11+1,1))</f>
        <v>212.99246338839475</v>
      </c>
      <c r="BJ47" s="59">
        <f t="shared" si="38"/>
        <v>162.04040335537223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170.24904000000004</v>
      </c>
      <c r="CA47" s="13">
        <f t="shared" si="39"/>
        <v>43.145795507930117</v>
      </c>
      <c r="CB47" s="20">
        <f t="shared" si="10"/>
        <v>371.6626718429784</v>
      </c>
      <c r="CC47" s="59">
        <f t="shared" si="11"/>
        <v>664.99600517631166</v>
      </c>
      <c r="CD47" s="59">
        <f ca="1">AVERAGE(OFFSET($CC$3,0,0,'Données projet'!$E$12+1,1))-AVERAGE(OFFSET($H$3,0,0,'Données projet'!$E$12+1,1))</f>
        <v>249.53949216238527</v>
      </c>
      <c r="CE47" s="59">
        <f t="shared" si="40"/>
        <v>261.78576517528217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15.102881060361158</v>
      </c>
      <c r="CL47" s="21">
        <f>EXP(-LN(2)/25)*CL46+(1-EXP(-LN(2)/25))/(LN(2)/25)*Calculateur!CG47*Calculateur!CI47*VLOOKUP('Données projet'!$B$12,Paramètres!$A$1:$I$89,3,0)*0.475*44/12</f>
        <v>10.775352849352725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25.878233909713884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7">
        <f t="shared" si="1"/>
        <v>345.71478933243543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21.625641031666657</v>
      </c>
      <c r="N48" s="13">
        <f>IF('Données projet'!$A$36&gt;35,N47+M48-V47,IF(A48&lt;'Données projet'!$A$36,$K$205^A48,IF(A48='Données projet'!$A$36,'Données projet'!$B$36,N47+M48-V47)))</f>
        <v>460.20769230499968</v>
      </c>
      <c r="O48" s="13">
        <f>N48*VLOOKUP('Données projet'!$B$9,Paramètres!$A$1:$I$89,3,0)*VLOOKUP('Données projet'!$B$9,Paramètres!$A$1:$I$89,5,0)</f>
        <v>257.25609999849485</v>
      </c>
      <c r="P48" s="13">
        <f t="shared" si="33"/>
        <v>62.137128695279458</v>
      </c>
      <c r="Q48" s="20">
        <f t="shared" si="53"/>
        <v>556.27653997499021</v>
      </c>
      <c r="R48" s="59">
        <f t="shared" si="0"/>
        <v>849.60987330832359</v>
      </c>
      <c r="S48" s="59">
        <f ca="1">AVERAGE(OFFSET($R$3,0,0,'Données projet'!$E$9+1,1))-AVERAGE(OFFSET($H$3,0,0,'Données projet'!$E$9+1,1))</f>
        <v>281.14678081581229</v>
      </c>
      <c r="T48" s="59">
        <f t="shared" si="34"/>
        <v>380.81265808422603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58.265101841367418</v>
      </c>
      <c r="AA48" s="21">
        <f>EXP(-LN(2)/25)*AA47+(1-EXP(-LN(2)/25))/(LN(2)/25)*Calculateur!V48*Calculateur!X48*VLOOKUP('Données projet'!$B$9,Paramètres!$A$1:$I$89,3,0)*0.475*44/12</f>
        <v>20.4871448040332</v>
      </c>
      <c r="AB48" s="21">
        <f>EXP(-LN(2)/2)*AB47+(1-EXP(-LN(2)/2))/(LN(2)/2)*V48*Y48*VLOOKUP('Données projet'!$B$9,Paramètres!$A$1:$I$89,3,0)*0.475*44/12</f>
        <v>2.4209234552710654</v>
      </c>
      <c r="AC48" s="22">
        <f t="shared" si="3"/>
        <v>81.173170100671683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279.9271639349646</v>
      </c>
      <c r="AO48" s="59">
        <f t="shared" si="36"/>
        <v>260.03726798406916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10.449786323333329</v>
      </c>
      <c r="BD48" s="12">
        <f>IF('Données projet'!$A$88&gt;35,BD47+BC48-BL47,IF(A48&lt;'Données projet'!$A$88,$BA$205^A48,IF(A48='Données projet'!$A$88,'Données projet'!$B$88,BD47+BC48-BL47)))</f>
        <v>155.27243593000014</v>
      </c>
      <c r="BE48" s="13">
        <f>BD48*VLOOKUP('Données projet'!$B$11,Paramètres!$A$1:$I$89,3,0)*VLOOKUP('Données projet'!$B$11,Paramètres!$A$1:$I$89,5,0)</f>
        <v>133.22375002794016</v>
      </c>
      <c r="BF48" s="13">
        <f t="shared" si="37"/>
        <v>34.740208009492491</v>
      </c>
      <c r="BG48" s="20">
        <f t="shared" si="7"/>
        <v>292.53722691519516</v>
      </c>
      <c r="BH48" s="59">
        <f t="shared" si="8"/>
        <v>585.87056024852848</v>
      </c>
      <c r="BI48" s="59">
        <f ca="1">AVERAGE(OFFSET($BH$3,0,0,'Données projet'!$E$11+1,1))-AVERAGE(OFFSET($H$3,0,0,'Données projet'!$E$11+1,1))</f>
        <v>212.99246338839475</v>
      </c>
      <c r="BJ48" s="59">
        <f t="shared" si="38"/>
        <v>162.04040335537223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177.43440000000004</v>
      </c>
      <c r="CA48" s="13">
        <f t="shared" si="39"/>
        <v>44.750911401641211</v>
      </c>
      <c r="CB48" s="20">
        <f t="shared" si="10"/>
        <v>386.97275069119183</v>
      </c>
      <c r="CC48" s="59">
        <f t="shared" si="11"/>
        <v>680.30608402452515</v>
      </c>
      <c r="CD48" s="59">
        <f ca="1">AVERAGE(OFFSET($CC$3,0,0,'Données projet'!$E$12+1,1))-AVERAGE(OFFSET($H$3,0,0,'Données projet'!$E$12+1,1))</f>
        <v>249.53949216238527</v>
      </c>
      <c r="CE48" s="59">
        <f t="shared" si="40"/>
        <v>261.78576517528217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0.3569</v>
      </c>
      <c r="CI48" s="16">
        <f>IF(ISNA(VLOOKUP(A48,'Données projet'!$A$113:$I$133,6,0)),0%,VLOOKUP(A48,'Données projet'!$A$113:$I$133,6,0)*VLOOKUP('Données projet'!$B$12,Paramètres!$A$1:$I$89,7,0))</f>
        <v>5.5899999999999998E-2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21.749406099817726</v>
      </c>
      <c r="CL48" s="21">
        <f>EXP(-LN(2)/25)*CL47+(1-EXP(-LN(2)/25))/(LN(2)/25)*Calculateur!CG48*Calculateur!CI48*VLOOKUP('Données projet'!$B$12,Paramètres!$A$1:$I$89,3,0)*0.475*44/12</f>
        <v>11.563826950151144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33.313233049968872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7">
        <f t="shared" si="1"/>
        <v>347.63988526336681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21.625641031666657</v>
      </c>
      <c r="N49" s="13">
        <f>IF('Données projet'!$A$36&gt;35,N48+M49-V48,IF(A49&lt;'Données projet'!$A$36,$K$205^A49,IF(A49='Données projet'!$A$36,'Données projet'!$B$36,N48+M49-V48)))</f>
        <v>481.83333333666633</v>
      </c>
      <c r="O49" s="13">
        <f>N49*VLOOKUP('Données projet'!$B$9,Paramètres!$A$1:$I$89,3,0)*VLOOKUP('Données projet'!$B$9,Paramètres!$A$1:$I$89,5,0)</f>
        <v>269.34483333519648</v>
      </c>
      <c r="P49" s="13">
        <f t="shared" si="33"/>
        <v>64.710206732208064</v>
      </c>
      <c r="Q49" s="20">
        <f t="shared" si="53"/>
        <v>581.81252811739625</v>
      </c>
      <c r="R49" s="59">
        <f t="shared" si="0"/>
        <v>875.14586145072963</v>
      </c>
      <c r="S49" s="59">
        <f ca="1">AVERAGE(OFFSET($R$3,0,0,'Données projet'!$E$9+1,1))-AVERAGE(OFFSET($H$3,0,0,'Données projet'!$E$9+1,1))</f>
        <v>281.14678081581229</v>
      </c>
      <c r="T49" s="59">
        <f t="shared" si="34"/>
        <v>380.81265808422603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57.122558732461222</v>
      </c>
      <c r="AA49" s="21">
        <f>EXP(-LN(2)/25)*AA48+(1-EXP(-LN(2)/25))/(LN(2)/25)*Calculateur!V49*Calculateur!X49*VLOOKUP('Données projet'!$B$9,Paramètres!$A$1:$I$89,3,0)*0.475*44/12</f>
        <v>19.926922751994791</v>
      </c>
      <c r="AB49" s="21">
        <f>EXP(-LN(2)/2)*AB48+(1-EXP(-LN(2)/2))/(LN(2)/2)*V49*Y49*VLOOKUP('Données projet'!$B$9,Paramètres!$A$1:$I$89,3,0)*0.475*44/12</f>
        <v>1.7118513919557379</v>
      </c>
      <c r="AC49" s="22">
        <f t="shared" si="3"/>
        <v>78.761332876411743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279.9271639349646</v>
      </c>
      <c r="AO49" s="59">
        <f t="shared" si="36"/>
        <v>260.03726798406916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10.449786323333329</v>
      </c>
      <c r="BD49" s="12">
        <f>IF('Données projet'!$A$88&gt;35,BD48+BC49-BL48,IF(A49&lt;'Données projet'!$A$88,$BA$205^A49,IF(A49='Données projet'!$A$88,'Données projet'!$B$88,BD48+BC49-BL48)))</f>
        <v>165.72222225333348</v>
      </c>
      <c r="BE49" s="13">
        <f>BD49*VLOOKUP('Données projet'!$B$11,Paramètres!$A$1:$I$89,3,0)*VLOOKUP('Données projet'!$B$11,Paramètres!$A$1:$I$89,5,0)</f>
        <v>142.18966669336015</v>
      </c>
      <c r="BF49" s="13">
        <f t="shared" si="37"/>
        <v>36.798173407786066</v>
      </c>
      <c r="BG49" s="20">
        <f t="shared" si="7"/>
        <v>311.73715484282963</v>
      </c>
      <c r="BH49" s="59">
        <f t="shared" si="8"/>
        <v>605.07048817616294</v>
      </c>
      <c r="BI49" s="59">
        <f ca="1">AVERAGE(OFFSET($BH$3,0,0,'Données projet'!$E$11+1,1))-AVERAGE(OFFSET($H$3,0,0,'Données projet'!$E$11+1,1))</f>
        <v>212.99246338839475</v>
      </c>
      <c r="BJ49" s="59">
        <f t="shared" si="38"/>
        <v>162.04040335537223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166.14312000000004</v>
      </c>
      <c r="CA49" s="13">
        <f t="shared" si="39"/>
        <v>42.225060429180481</v>
      </c>
      <c r="CB49" s="20">
        <f t="shared" si="10"/>
        <v>362.90791424748937</v>
      </c>
      <c r="CC49" s="59">
        <f t="shared" si="11"/>
        <v>656.24124758082269</v>
      </c>
      <c r="CD49" s="59">
        <f ca="1">AVERAGE(OFFSET($CC$3,0,0,'Données projet'!$E$12+1,1))-AVERAGE(OFFSET($H$3,0,0,'Données projet'!$E$12+1,1))</f>
        <v>249.53949216238527</v>
      </c>
      <c r="CE49" s="59">
        <f t="shared" si="40"/>
        <v>261.78576517528217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21.32291351202813</v>
      </c>
      <c r="CL49" s="21">
        <f>EXP(-LN(2)/25)*CL48+(1-EXP(-LN(2)/25))/(LN(2)/25)*Calculateur!CG49*Calculateur!CI49*VLOOKUP('Données projet'!$B$12,Paramètres!$A$1:$I$89,3,0)*0.475*44/12</f>
        <v>11.247613494084032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32.570527006112158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7">
        <f t="shared" si="1"/>
        <v>349.5639611777849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21.625641031666657</v>
      </c>
      <c r="N50" s="13">
        <f>IF('Données projet'!$A$36&gt;35,N49+M50-V49,IF(A50&lt;'Données projet'!$A$36,$K$205^A50,IF(A50='Données projet'!$A$36,'Données projet'!$B$36,N49+M50-V49)))</f>
        <v>503.45897436833297</v>
      </c>
      <c r="O50" s="13">
        <f>N50*VLOOKUP('Données projet'!$B$9,Paramètres!$A$1:$I$89,3,0)*VLOOKUP('Données projet'!$B$9,Paramètres!$A$1:$I$89,5,0)</f>
        <v>281.43356667189818</v>
      </c>
      <c r="P50" s="13">
        <f t="shared" si="33"/>
        <v>67.269872627275049</v>
      </c>
      <c r="Q50" s="20">
        <f t="shared" si="53"/>
        <v>607.3251567793933</v>
      </c>
      <c r="R50" s="59">
        <f t="shared" si="0"/>
        <v>900.65849011272667</v>
      </c>
      <c r="S50" s="59">
        <f ca="1">AVERAGE(OFFSET($R$3,0,0,'Données projet'!$E$9+1,1))-AVERAGE(OFFSET($H$3,0,0,'Données projet'!$E$9+1,1))</f>
        <v>281.14678081581229</v>
      </c>
      <c r="T50" s="59">
        <f t="shared" si="34"/>
        <v>380.81265808422603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56.002420197038191</v>
      </c>
      <c r="AA50" s="21">
        <f>EXP(-LN(2)/25)*AA49+(1-EXP(-LN(2)/25))/(LN(2)/25)*Calculateur!V50*Calculateur!X50*VLOOKUP('Données projet'!$B$9,Paramètres!$A$1:$I$89,3,0)*0.475*44/12</f>
        <v>19.38202000143017</v>
      </c>
      <c r="AB50" s="21">
        <f>EXP(-LN(2)/2)*AB49+(1-EXP(-LN(2)/2))/(LN(2)/2)*V50*Y50*VLOOKUP('Données projet'!$B$9,Paramètres!$A$1:$I$89,3,0)*0.475*44/12</f>
        <v>1.2104617276355327</v>
      </c>
      <c r="AC50" s="22">
        <f t="shared" si="3"/>
        <v>76.594901926103887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279.9271639349646</v>
      </c>
      <c r="AO50" s="59">
        <f t="shared" si="36"/>
        <v>260.03726798406916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10.449786323333329</v>
      </c>
      <c r="BD50" s="12">
        <f>IF('Données projet'!$A$88&gt;35,BD49+BC50-BL49,IF(A50&lt;'Données projet'!$A$88,$BA$205^A50,IF(A50='Données projet'!$A$88,'Données projet'!$B$88,BD49+BC50-BL49)))</f>
        <v>176.17200857666683</v>
      </c>
      <c r="BE50" s="13">
        <f>BD50*VLOOKUP('Données projet'!$B$11,Paramètres!$A$1:$I$89,3,0)*VLOOKUP('Données projet'!$B$11,Paramètres!$A$1:$I$89,5,0)</f>
        <v>151.15558335878015</v>
      </c>
      <c r="BF50" s="13">
        <f t="shared" si="37"/>
        <v>38.841078676288923</v>
      </c>
      <c r="BG50" s="20">
        <f t="shared" si="7"/>
        <v>330.91085304441197</v>
      </c>
      <c r="BH50" s="59">
        <f t="shared" si="8"/>
        <v>624.24418637774534</v>
      </c>
      <c r="BI50" s="59">
        <f ca="1">AVERAGE(OFFSET($BH$3,0,0,'Données projet'!$E$11+1,1))-AVERAGE(OFFSET($H$3,0,0,'Données projet'!$E$11+1,1))</f>
        <v>212.99246338839475</v>
      </c>
      <c r="BJ50" s="59">
        <f t="shared" si="38"/>
        <v>162.04040335537223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172.44864000000001</v>
      </c>
      <c r="CA50" s="13">
        <f t="shared" si="39"/>
        <v>43.637980200453676</v>
      </c>
      <c r="CB50" s="20">
        <f t="shared" si="10"/>
        <v>376.35086351579019</v>
      </c>
      <c r="CC50" s="59">
        <f t="shared" si="11"/>
        <v>669.68419684912351</v>
      </c>
      <c r="CD50" s="59">
        <f ca="1">AVERAGE(OFFSET($CC$3,0,0,'Données projet'!$E$12+1,1))-AVERAGE(OFFSET($H$3,0,0,'Données projet'!$E$12+1,1))</f>
        <v>249.53949216238527</v>
      </c>
      <c r="CE50" s="59">
        <f t="shared" si="40"/>
        <v>261.78576517528217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20.904784183750294</v>
      </c>
      <c r="CL50" s="21">
        <f>EXP(-LN(2)/25)*CL49+(1-EXP(-LN(2)/25))/(LN(2)/25)*Calculateur!CG50*Calculateur!CI50*VLOOKUP('Données projet'!$B$12,Paramètres!$A$1:$I$89,3,0)*0.475*44/12</f>
        <v>10.940046911602018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31.844831095352312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7">
        <f t="shared" si="1"/>
        <v>351.4870412780474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525.08461539999996</v>
      </c>
      <c r="L51" s="12">
        <f>VLOOKUP(A51,'Données projet'!$A$35:$I$55,9,0)</f>
        <v>21.625641031666657</v>
      </c>
      <c r="M51" s="12">
        <f t="array" ref="M51">INDEX(L:L,MIN(IF(ISNUMBER(L51:L247),ROW(L51:L247),"")))</f>
        <v>21.625641031666657</v>
      </c>
      <c r="N51" s="13">
        <f>IF('Données projet'!$A$36&gt;35,N50+M51-V50,IF(A51&lt;'Données projet'!$A$36,$K$205^A51,IF(A51='Données projet'!$A$36,'Données projet'!$B$36,N50+M51-V50)))</f>
        <v>525.08461539999962</v>
      </c>
      <c r="O51" s="13">
        <f>N51*VLOOKUP('Données projet'!$B$9,Paramètres!$A$1:$I$89,3,0)*VLOOKUP('Données projet'!$B$9,Paramètres!$A$1:$I$89,5,0)</f>
        <v>293.52230000859981</v>
      </c>
      <c r="P51" s="13">
        <f t="shared" si="33"/>
        <v>69.816768343865149</v>
      </c>
      <c r="Q51" s="20">
        <f t="shared" si="53"/>
        <v>632.81554404720976</v>
      </c>
      <c r="R51" s="59">
        <f t="shared" si="0"/>
        <v>926.14887738054313</v>
      </c>
      <c r="S51" s="59">
        <f ca="1">AVERAGE(OFFSET($R$3,0,0,'Données projet'!$E$9+1,1))-AVERAGE(OFFSET($H$3,0,0,'Données projet'!$E$9+1,1))</f>
        <v>281.14678081581229</v>
      </c>
      <c r="T51" s="59">
        <f t="shared" si="34"/>
        <v>380.81265808422603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81.330769230000001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9.3500000000000014E-2</v>
      </c>
      <c r="Y51" s="16">
        <f>IF(ISNA(VLOOKUP(A51,'Données projet'!$A$35:$I$55,7,0)),0%,VLOOKUP(A51,'Données projet'!$A$35:$I$55,7,0))</f>
        <v>0.13</v>
      </c>
      <c r="Z51" s="21">
        <f>EXP(-LN(2)/35)*Z50+(1-EXP(-LN(2)/35))/(LN(2)/35)*V51*W51*VLOOKUP('Données projet'!$B$9,Paramètres!$A$1:$I$89,3,0)*0.475*44/12</f>
        <v>78.123902486936373</v>
      </c>
      <c r="AA51" s="21">
        <f>EXP(-LN(2)/25)*AA50+(1-EXP(-LN(2)/25))/(LN(2)/25)*Calculateur!V51*Calculateur!X51*VLOOKUP('Données projet'!$B$9,Paramètres!$A$1:$I$89,3,0)*0.475*44/12</f>
        <v>24.468873735620473</v>
      </c>
      <c r="AB51" s="21">
        <f>EXP(-LN(2)/2)*AB50+(1-EXP(-LN(2)/2))/(LN(2)/2)*V51*Y51*VLOOKUP('Données projet'!$B$9,Paramètres!$A$1:$I$89,3,0)*0.475*44/12</f>
        <v>7.5477661696113314</v>
      </c>
      <c r="AC51" s="22">
        <f t="shared" si="3"/>
        <v>110.14054239216819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279.9271639349646</v>
      </c>
      <c r="AO51" s="59">
        <f t="shared" si="36"/>
        <v>260.03726798406916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186.6217949</v>
      </c>
      <c r="BB51" s="12">
        <f>VLOOKUP(A51,'Données projet'!$A$87:$I$107,9,0)</f>
        <v>10.449786323333329</v>
      </c>
      <c r="BC51" s="12">
        <f t="array" ref="BC51">INDEX(BB:BB,MIN(IF(ISNUMBER(BB51:BB247),ROW(BB51:BB247),"")))</f>
        <v>10.449786323333329</v>
      </c>
      <c r="BD51" s="12">
        <f>IF('Données projet'!$A$88&gt;35,BD50+BC51-BL50,IF(A51&lt;'Données projet'!$A$88,$BA$205^A51,IF(A51='Données projet'!$A$88,'Données projet'!$B$88,BD50+BC51-BL50)))</f>
        <v>186.62179490000017</v>
      </c>
      <c r="BE51" s="13">
        <f>BD51*VLOOKUP('Données projet'!$B$11,Paramètres!$A$1:$I$89,3,0)*VLOOKUP('Données projet'!$B$11,Paramètres!$A$1:$I$89,5,0)</f>
        <v>160.12150002420015</v>
      </c>
      <c r="BF51" s="13">
        <f t="shared" si="37"/>
        <v>40.869918865476649</v>
      </c>
      <c r="BG51" s="20">
        <f t="shared" si="7"/>
        <v>350.06005456618703</v>
      </c>
      <c r="BH51" s="59">
        <f t="shared" si="8"/>
        <v>643.39338789952035</v>
      </c>
      <c r="BI51" s="59">
        <f ca="1">AVERAGE(OFFSET($BH$3,0,0,'Données projet'!$E$11+1,1))-AVERAGE(OFFSET($H$3,0,0,'Données projet'!$E$11+1,1))</f>
        <v>212.99246338839475</v>
      </c>
      <c r="BJ51" s="59">
        <f t="shared" si="38"/>
        <v>162.04040335537223</v>
      </c>
      <c r="BK51" s="15">
        <f>IF(ISNA(VLOOKUP(A51,'Données projet'!$A$87:$I$107,3,0)),0,VLOOKUP(A51,'Données projet'!$A$87:$I$107,3,0))</f>
        <v>2</v>
      </c>
      <c r="BL51" s="15">
        <f>IF(ISNA(VLOOKUP(A51,'Données projet'!$A$87:$I$107,4,0)),0,VLOOKUP(A51,'Données projet'!$A$87:$I$107,4,0))</f>
        <v>44.737179490000003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178.75416000000001</v>
      </c>
      <c r="CA51" s="13">
        <f t="shared" si="39"/>
        <v>45.044897778507469</v>
      </c>
      <c r="CB51" s="20">
        <f t="shared" si="10"/>
        <v>389.78335896423386</v>
      </c>
      <c r="CC51" s="59">
        <f t="shared" si="11"/>
        <v>683.11669229756717</v>
      </c>
      <c r="CD51" s="59">
        <f ca="1">AVERAGE(OFFSET($CC$3,0,0,'Données projet'!$E$12+1,1))-AVERAGE(OFFSET($H$3,0,0,'Données projet'!$E$12+1,1))</f>
        <v>249.53949216238527</v>
      </c>
      <c r="CE51" s="59">
        <f t="shared" si="40"/>
        <v>261.78576517528217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20.49485411656628</v>
      </c>
      <c r="CL51" s="21">
        <f>EXP(-LN(2)/25)*CL50+(1-EXP(-LN(2)/25))/(LN(2)/25)*Calculateur!CG51*Calculateur!CI51*VLOOKUP('Données projet'!$B$12,Paramètres!$A$1:$I$89,3,0)*0.475*44/12</f>
        <v>10.640890753492197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31.135744870058478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7">
        <f t="shared" si="1"/>
        <v>353.40914870045088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20.507692304999996</v>
      </c>
      <c r="N52" s="13">
        <f>IF('Données projet'!$A$36&gt;35,N51+M52-V51,IF(A52&lt;'Données projet'!$A$36,$K$205^A52,IF(A52='Données projet'!$A$36,'Données projet'!$B$36,N51+M52-V51)))</f>
        <v>464.26153847499961</v>
      </c>
      <c r="O52" s="13">
        <f>N52*VLOOKUP('Données projet'!$B$9,Paramètres!$A$1:$I$89,3,0)*VLOOKUP('Données projet'!$B$9,Paramètres!$A$1:$I$89,5,0)</f>
        <v>259.52220000752476</v>
      </c>
      <c r="P52" s="13">
        <f t="shared" si="33"/>
        <v>62.620519405663231</v>
      </c>
      <c r="Q52" s="20">
        <f t="shared" si="53"/>
        <v>561.06523631130233</v>
      </c>
      <c r="R52" s="59">
        <f t="shared" si="0"/>
        <v>854.3985696446357</v>
      </c>
      <c r="S52" s="59">
        <f ca="1">AVERAGE(OFFSET($R$3,0,0,'Données projet'!$E$9+1,1))-AVERAGE(OFFSET($H$3,0,0,'Données projet'!$E$9+1,1))</f>
        <v>281.14678081581229</v>
      </c>
      <c r="T52" s="59">
        <f t="shared" si="34"/>
        <v>380.81265808422603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76.591940410042938</v>
      </c>
      <c r="AA52" s="21">
        <f>EXP(-LN(2)/25)*AA51+(1-EXP(-LN(2)/25))/(LN(2)/25)*Calculateur!V52*Calculateur!X52*VLOOKUP('Données projet'!$B$9,Paramètres!$A$1:$I$89,3,0)*0.475*44/12</f>
        <v>23.799771096557787</v>
      </c>
      <c r="AB52" s="21">
        <f>EXP(-LN(2)/2)*AB51+(1-EXP(-LN(2)/2))/(LN(2)/2)*V52*Y52*VLOOKUP('Données projet'!$B$9,Paramètres!$A$1:$I$89,3,0)*0.475*44/12</f>
        <v>5.3370766413425859</v>
      </c>
      <c r="AC52" s="22">
        <f t="shared" si="3"/>
        <v>105.72878814794332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279.9271639349646</v>
      </c>
      <c r="AO52" s="59">
        <f t="shared" si="36"/>
        <v>260.03726798406916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10.317307681666671</v>
      </c>
      <c r="BD52" s="12">
        <f>IF('Données projet'!$A$88&gt;35,BD51+BC52-BL51,IF(A52&lt;'Données projet'!$A$88,$BA$205^A52,IF(A52='Données projet'!$A$88,'Données projet'!$B$88,BD51+BC52-BL51)))</f>
        <v>152.20192309166686</v>
      </c>
      <c r="BE52" s="13">
        <f>BD52*VLOOKUP('Données projet'!$B$11,Paramètres!$A$1:$I$89,3,0)*VLOOKUP('Données projet'!$B$11,Paramètres!$A$1:$I$89,5,0)</f>
        <v>130.58925001265018</v>
      </c>
      <c r="BF52" s="13">
        <f t="shared" si="37"/>
        <v>34.132481850961788</v>
      </c>
      <c r="BG52" s="20">
        <f t="shared" si="7"/>
        <v>286.89034966245754</v>
      </c>
      <c r="BH52" s="59">
        <f t="shared" si="8"/>
        <v>580.2236829957908</v>
      </c>
      <c r="BI52" s="59">
        <f ca="1">AVERAGE(OFFSET($BH$3,0,0,'Données projet'!$E$11+1,1))-AVERAGE(OFFSET($H$3,0,0,'Données projet'!$E$11+1,1))</f>
        <v>212.99246338839475</v>
      </c>
      <c r="BJ52" s="59">
        <f t="shared" si="38"/>
        <v>162.04040335537223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185.05968000000004</v>
      </c>
      <c r="CA52" s="13">
        <f t="shared" si="39"/>
        <v>46.44604914943055</v>
      </c>
      <c r="CB52" s="20">
        <f t="shared" si="10"/>
        <v>403.20581160192484</v>
      </c>
      <c r="CC52" s="59">
        <f t="shared" si="11"/>
        <v>696.53914493525815</v>
      </c>
      <c r="CD52" s="59">
        <f ca="1">AVERAGE(OFFSET($CC$3,0,0,'Données projet'!$E$12+1,1))-AVERAGE(OFFSET($H$3,0,0,'Données projet'!$E$12+1,1))</f>
        <v>249.53949216238527</v>
      </c>
      <c r="CE52" s="59">
        <f t="shared" si="40"/>
        <v>261.78576517528217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20.092962527967092</v>
      </c>
      <c r="CL52" s="21">
        <f>EXP(-LN(2)/25)*CL51+(1-EXP(-LN(2)/25))/(LN(2)/25)*Calculateur!CG52*Calculateur!CI52*VLOOKUP('Données projet'!$B$12,Paramètres!$A$1:$I$89,3,0)*0.475*44/12</f>
        <v>10.349915036257828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30.442877564224922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7">
        <f t="shared" si="1"/>
        <v>355.33030558297105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20.507692304999996</v>
      </c>
      <c r="N53" s="13">
        <f>IF('Données projet'!$A$36&gt;35,N52+M53-V52,IF(A53&lt;'Données projet'!$A$36,$K$205^A53,IF(A53='Données projet'!$A$36,'Données projet'!$B$36,N52+M53-V52)))</f>
        <v>484.76923077999959</v>
      </c>
      <c r="O53" s="13">
        <f>N53*VLOOKUP('Données projet'!$B$9,Paramètres!$A$1:$I$89,3,0)*VLOOKUP('Données projet'!$B$9,Paramètres!$A$1:$I$89,5,0)</f>
        <v>270.98600000601976</v>
      </c>
      <c r="P53" s="13">
        <f t="shared" si="33"/>
        <v>65.058478960010731</v>
      </c>
      <c r="Q53" s="20">
        <f t="shared" si="53"/>
        <v>585.27746753250301</v>
      </c>
      <c r="R53" s="59">
        <f t="shared" si="0"/>
        <v>878.61080086583638</v>
      </c>
      <c r="S53" s="59">
        <f ca="1">AVERAGE(OFFSET($R$3,0,0,'Données projet'!$E$9+1,1))-AVERAGE(OFFSET($H$3,0,0,'Données projet'!$E$9+1,1))</f>
        <v>281.14678081581229</v>
      </c>
      <c r="T53" s="59">
        <f t="shared" si="34"/>
        <v>380.81265808422603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75.090019175072783</v>
      </c>
      <c r="AA53" s="21">
        <f>EXP(-LN(2)/25)*AA52+(1-EXP(-LN(2)/25))/(LN(2)/25)*Calculateur!V53*Calculateur!X53*VLOOKUP('Données projet'!$B$9,Paramètres!$A$1:$I$89,3,0)*0.475*44/12</f>
        <v>23.148965104346846</v>
      </c>
      <c r="AB53" s="21">
        <f>EXP(-LN(2)/2)*AB52+(1-EXP(-LN(2)/2))/(LN(2)/2)*V53*Y53*VLOOKUP('Données projet'!$B$9,Paramètres!$A$1:$I$89,3,0)*0.475*44/12</f>
        <v>3.7738830848056661</v>
      </c>
      <c r="AC53" s="22">
        <f t="shared" si="3"/>
        <v>102.01286736422529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279.9271639349646</v>
      </c>
      <c r="AO53" s="59">
        <f t="shared" si="36"/>
        <v>260.03726798406916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10.317307681666671</v>
      </c>
      <c r="BD53" s="12">
        <f>IF('Données projet'!$A$88&gt;35,BD52+BC53-BL52,IF(A53&lt;'Données projet'!$A$88,$BA$205^A53,IF(A53='Données projet'!$A$88,'Données projet'!$B$88,BD52+BC53-BL52)))</f>
        <v>162.51923077333353</v>
      </c>
      <c r="BE53" s="13">
        <f>BD53*VLOOKUP('Données projet'!$B$11,Paramètres!$A$1:$I$89,3,0)*VLOOKUP('Données projet'!$B$11,Paramètres!$A$1:$I$89,5,0)</f>
        <v>139.44150000352019</v>
      </c>
      <c r="BF53" s="13">
        <f t="shared" si="37"/>
        <v>36.169031238638013</v>
      </c>
      <c r="BG53" s="20">
        <f t="shared" si="7"/>
        <v>305.85500858009215</v>
      </c>
      <c r="BH53" s="59">
        <f t="shared" si="8"/>
        <v>599.18834191342546</v>
      </c>
      <c r="BI53" s="59">
        <f ca="1">AVERAGE(OFFSET($BH$3,0,0,'Données projet'!$E$11+1,1))-AVERAGE(OFFSET($H$3,0,0,'Données projet'!$E$11+1,1))</f>
        <v>212.99246338839475</v>
      </c>
      <c r="BJ53" s="59">
        <f t="shared" si="38"/>
        <v>162.04040335537223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191.36520000000004</v>
      </c>
      <c r="CA53" s="13">
        <f t="shared" si="39"/>
        <v>47.841653305605021</v>
      </c>
      <c r="CB53" s="20">
        <f t="shared" si="10"/>
        <v>416.61860284059549</v>
      </c>
      <c r="CC53" s="59">
        <f t="shared" si="11"/>
        <v>709.95193617392874</v>
      </c>
      <c r="CD53" s="59">
        <f ca="1">AVERAGE(OFFSET($CC$3,0,0,'Données projet'!$E$12+1,1))-AVERAGE(OFFSET($H$3,0,0,'Données projet'!$E$12+1,1))</f>
        <v>249.53949216238527</v>
      </c>
      <c r="CE53" s="59">
        <f t="shared" si="40"/>
        <v>261.78576517528217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0.36119999999999997</v>
      </c>
      <c r="CI53" s="16">
        <f>IF(ISNA(VLOOKUP(A53,'Données projet'!$A$113:$I$133,6,0)),0%,VLOOKUP(A53,'Données projet'!$A$113:$I$133,6,0)*VLOOKUP('Données projet'!$B$12,Paramètres!$A$1:$I$89,7,0))</f>
        <v>4.7300000000000002E-2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25.261463127157651</v>
      </c>
      <c r="CL53" s="21">
        <f>EXP(-LN(2)/25)*CL52+(1-EXP(-LN(2)/25))/(LN(2)/25)*Calculateur!CG53*Calculateur!CI53*VLOOKUP('Données projet'!$B$12,Paramètres!$A$1:$I$89,3,0)*0.475*44/12</f>
        <v>10.792452085963834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36.053915213121485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7">
        <f t="shared" si="1"/>
        <v>357.25053312742989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20.507692304999996</v>
      </c>
      <c r="N54" s="13">
        <f>IF('Données projet'!$A$36&gt;35,N53+M54-V53,IF(A54&lt;'Données projet'!$A$36,$K$205^A54,IF(A54='Données projet'!$A$36,'Données projet'!$B$36,N53+M54-V53)))</f>
        <v>505.27692308499957</v>
      </c>
      <c r="O54" s="13">
        <f>N54*VLOOKUP('Données projet'!$B$9,Paramètres!$A$1:$I$89,3,0)*VLOOKUP('Données projet'!$B$9,Paramètres!$A$1:$I$89,5,0)</f>
        <v>282.44980000451477</v>
      </c>
      <c r="P54" s="13">
        <f t="shared" si="33"/>
        <v>67.484459275951139</v>
      </c>
      <c r="Q54" s="20">
        <f t="shared" si="53"/>
        <v>609.46883491347808</v>
      </c>
      <c r="R54" s="59">
        <f t="shared" si="0"/>
        <v>902.80216824681133</v>
      </c>
      <c r="S54" s="59">
        <f ca="1">AVERAGE(OFFSET($R$3,0,0,'Données projet'!$E$9+1,1))-AVERAGE(OFFSET($H$3,0,0,'Données projet'!$E$9+1,1))</f>
        <v>281.14678081581229</v>
      </c>
      <c r="T54" s="59">
        <f t="shared" si="34"/>
        <v>380.81265808422603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73.617549699438896</v>
      </c>
      <c r="AA54" s="21">
        <f>EXP(-LN(2)/25)*AA53+(1-EXP(-LN(2)/25))/(LN(2)/25)*Calculateur!V54*Calculateur!X54*VLOOKUP('Données projet'!$B$9,Paramètres!$A$1:$I$89,3,0)*0.475*44/12</f>
        <v>22.515955436217315</v>
      </c>
      <c r="AB54" s="21">
        <f>EXP(-LN(2)/2)*AB53+(1-EXP(-LN(2)/2))/(LN(2)/2)*V54*Y54*VLOOKUP('Données projet'!$B$9,Paramètres!$A$1:$I$89,3,0)*0.475*44/12</f>
        <v>2.6685383206712934</v>
      </c>
      <c r="AC54" s="22">
        <f t="shared" si="3"/>
        <v>98.802043456327496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279.9271639349646</v>
      </c>
      <c r="AO54" s="59">
        <f t="shared" si="36"/>
        <v>260.03726798406916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10.317307681666671</v>
      </c>
      <c r="BD54" s="12">
        <f>IF('Données projet'!$A$88&gt;35,BD53+BC54-BL53,IF(A54&lt;'Données projet'!$A$88,$BA$205^A54,IF(A54='Données projet'!$A$88,'Données projet'!$B$88,BD53+BC54-BL53)))</f>
        <v>172.83653845500021</v>
      </c>
      <c r="BE54" s="13">
        <f>BD54*VLOOKUP('Données projet'!$B$11,Paramètres!$A$1:$I$89,3,0)*VLOOKUP('Données projet'!$B$11,Paramètres!$A$1:$I$89,5,0)</f>
        <v>148.2937499943902</v>
      </c>
      <c r="BF54" s="13">
        <f t="shared" si="37"/>
        <v>38.190576390080579</v>
      </c>
      <c r="BG54" s="20">
        <f t="shared" si="7"/>
        <v>324.79353511961989</v>
      </c>
      <c r="BH54" s="59">
        <f t="shared" si="8"/>
        <v>618.1268684529532</v>
      </c>
      <c r="BI54" s="59">
        <f ca="1">AVERAGE(OFFSET($BH$3,0,0,'Données projet'!$E$11+1,1))-AVERAGE(OFFSET($H$3,0,0,'Données projet'!$E$11+1,1))</f>
        <v>212.99246338839475</v>
      </c>
      <c r="BJ54" s="59">
        <f t="shared" si="38"/>
        <v>162.04040335537223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182.86008000000001</v>
      </c>
      <c r="CA54" s="13">
        <f t="shared" si="39"/>
        <v>45.957916284909473</v>
      </c>
      <c r="CB54" s="20">
        <f t="shared" si="10"/>
        <v>398.52467686288401</v>
      </c>
      <c r="CC54" s="59">
        <f t="shared" si="11"/>
        <v>691.85801019621726</v>
      </c>
      <c r="CD54" s="59">
        <f ca="1">AVERAGE(OFFSET($CC$3,0,0,'Données projet'!$E$12+1,1))-AVERAGE(OFFSET($H$3,0,0,'Données projet'!$E$12+1,1))</f>
        <v>249.53949216238527</v>
      </c>
      <c r="CE54" s="59">
        <f t="shared" si="40"/>
        <v>261.78576517528217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24.766101243205185</v>
      </c>
      <c r="CL54" s="21">
        <f>EXP(-LN(2)/25)*CL53+(1-EXP(-LN(2)/25))/(LN(2)/25)*Calculateur!CG54*Calculateur!CI54*VLOOKUP('Données projet'!$B$12,Paramètres!$A$1:$I$89,3,0)*0.475*44/12</f>
        <v>10.497331916122764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35.263433159327946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7">
        <f t="shared" si="1"/>
        <v>359.16985165664983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20.507692304999996</v>
      </c>
      <c r="N55" s="13">
        <f>IF('Données projet'!$A$36&gt;35,N54+M55-V54,IF(A55&lt;'Données projet'!$A$36,$K$205^A55,IF(A55='Données projet'!$A$36,'Données projet'!$B$36,N54+M55-V54)))</f>
        <v>525.78461538999954</v>
      </c>
      <c r="O55" s="13">
        <f>N55*VLOOKUP('Données projet'!$B$9,Paramètres!$A$1:$I$89,3,0)*VLOOKUP('Données projet'!$B$9,Paramètres!$A$1:$I$89,5,0)</f>
        <v>293.91360000300972</v>
      </c>
      <c r="P55" s="13">
        <f t="shared" si="33"/>
        <v>69.899002172219198</v>
      </c>
      <c r="Q55" s="20">
        <f t="shared" si="53"/>
        <v>633.64028212185701</v>
      </c>
      <c r="R55" s="59">
        <f t="shared" si="0"/>
        <v>926.97361545519038</v>
      </c>
      <c r="S55" s="59">
        <f ca="1">AVERAGE(OFFSET($R$3,0,0,'Données projet'!$E$9+1,1))-AVERAGE(OFFSET($H$3,0,0,'Données projet'!$E$9+1,1))</f>
        <v>281.14678081581229</v>
      </c>
      <c r="T55" s="59">
        <f t="shared" si="34"/>
        <v>380.81265808422603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72.173954452104482</v>
      </c>
      <c r="AA55" s="21">
        <f>EXP(-LN(2)/25)*AA54+(1-EXP(-LN(2)/25))/(LN(2)/25)*Calculateur!V55*Calculateur!X55*VLOOKUP('Données projet'!$B$9,Paramètres!$A$1:$I$89,3,0)*0.475*44/12</f>
        <v>21.900255450751317</v>
      </c>
      <c r="AB55" s="21">
        <f>EXP(-LN(2)/2)*AB54+(1-EXP(-LN(2)/2))/(LN(2)/2)*V55*Y55*VLOOKUP('Données projet'!$B$9,Paramètres!$A$1:$I$89,3,0)*0.475*44/12</f>
        <v>1.8869415424028333</v>
      </c>
      <c r="AC55" s="22">
        <f t="shared" si="3"/>
        <v>95.961151445258636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279.9271639349646</v>
      </c>
      <c r="AO55" s="59">
        <f t="shared" si="36"/>
        <v>260.03726798406916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10.317307681666671</v>
      </c>
      <c r="BD55" s="12">
        <f>IF('Données projet'!$A$88&gt;35,BD54+BC55-BL54,IF(A55&lt;'Données projet'!$A$88,$BA$205^A55,IF(A55='Données projet'!$A$88,'Données projet'!$B$88,BD54+BC55-BL54)))</f>
        <v>183.15384613666689</v>
      </c>
      <c r="BE55" s="13">
        <f>BD55*VLOOKUP('Données projet'!$B$11,Paramètres!$A$1:$I$89,3,0)*VLOOKUP('Données projet'!$B$11,Paramètres!$A$1:$I$89,5,0)</f>
        <v>157.1459999852602</v>
      </c>
      <c r="BF55" s="13">
        <f t="shared" si="37"/>
        <v>40.198114977510393</v>
      </c>
      <c r="BG55" s="20">
        <f t="shared" si="7"/>
        <v>343.7076668934921</v>
      </c>
      <c r="BH55" s="59">
        <f t="shared" si="8"/>
        <v>637.04100022682542</v>
      </c>
      <c r="BI55" s="59">
        <f ca="1">AVERAGE(OFFSET($BH$3,0,0,'Données projet'!$E$11+1,1))-AVERAGE(OFFSET($H$3,0,0,'Données projet'!$E$11+1,1))</f>
        <v>212.99246338839475</v>
      </c>
      <c r="BJ55" s="59">
        <f t="shared" si="38"/>
        <v>162.04040335537223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188.28576000000001</v>
      </c>
      <c r="CA55" s="13">
        <f t="shared" si="39"/>
        <v>47.160759045639651</v>
      </c>
      <c r="CB55" s="20">
        <f t="shared" si="10"/>
        <v>410.06935400448907</v>
      </c>
      <c r="CC55" s="59">
        <f t="shared" si="11"/>
        <v>703.40268733782239</v>
      </c>
      <c r="CD55" s="59">
        <f ca="1">AVERAGE(OFFSET($CC$3,0,0,'Données projet'!$E$12+1,1))-AVERAGE(OFFSET($H$3,0,0,'Données projet'!$E$12+1,1))</f>
        <v>249.53949216238527</v>
      </c>
      <c r="CE55" s="59">
        <f t="shared" si="40"/>
        <v>261.78576517528217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24.280453103656111</v>
      </c>
      <c r="CL55" s="21">
        <f>EXP(-LN(2)/25)*CL54+(1-EXP(-LN(2)/25))/(LN(2)/25)*Calculateur!CG55*Calculateur!CI55*VLOOKUP('Données projet'!$B$12,Paramètres!$A$1:$I$89,3,0)*0.475*44/12</f>
        <v>10.210281822845694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34.490734926501801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7">
        <f t="shared" si="1"/>
        <v>361.08828066708674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20.507692304999996</v>
      </c>
      <c r="N56" s="13">
        <f>IF('Données projet'!$A$36&gt;35,N55+M56-V55,IF(A56&lt;'Données projet'!$A$36,$K$205^A56,IF(A56='Données projet'!$A$36,'Données projet'!$B$36,N55+M56-V55)))</f>
        <v>546.29230769499952</v>
      </c>
      <c r="O56" s="13">
        <f>N56*VLOOKUP('Données projet'!$B$9,Paramètres!$A$1:$I$89,3,0)*VLOOKUP('Données projet'!$B$9,Paramètres!$A$1:$I$89,5,0)</f>
        <v>305.37740000150472</v>
      </c>
      <c r="P56" s="13">
        <f t="shared" si="33"/>
        <v>72.302604808221346</v>
      </c>
      <c r="Q56" s="20">
        <f t="shared" si="53"/>
        <v>657.79267504360621</v>
      </c>
      <c r="R56" s="59">
        <f t="shared" si="0"/>
        <v>951.12600837693958</v>
      </c>
      <c r="S56" s="59">
        <f ca="1">AVERAGE(OFFSET($R$3,0,0,'Données projet'!$E$9+1,1))-AVERAGE(OFFSET($H$3,0,0,'Données projet'!$E$9+1,1))</f>
        <v>281.14678081581229</v>
      </c>
      <c r="T56" s="59">
        <f t="shared" si="34"/>
        <v>380.81265808422603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70.758667227064137</v>
      </c>
      <c r="AA56" s="21">
        <f>EXP(-LN(2)/25)*AA55+(1-EXP(-LN(2)/25))/(LN(2)/25)*Calculateur!V56*Calculateur!X56*VLOOKUP('Données projet'!$B$9,Paramètres!$A$1:$I$89,3,0)*0.475*44/12</f>
        <v>21.301391813766141</v>
      </c>
      <c r="AB56" s="21">
        <f>EXP(-LN(2)/2)*AB55+(1-EXP(-LN(2)/2))/(LN(2)/2)*V56*Y56*VLOOKUP('Données projet'!$B$9,Paramètres!$A$1:$I$89,3,0)*0.475*44/12</f>
        <v>1.3342691603356469</v>
      </c>
      <c r="AC56" s="22">
        <f t="shared" si="3"/>
        <v>93.394328201165933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279.9271639349646</v>
      </c>
      <c r="AO56" s="59">
        <f t="shared" si="36"/>
        <v>260.03726798406916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10.317307681666671</v>
      </c>
      <c r="BD56" s="12">
        <f>IF('Données projet'!$A$88&gt;35,BD55+BC56-BL55,IF(A56&lt;'Données projet'!$A$88,$BA$205^A56,IF(A56='Données projet'!$A$88,'Données projet'!$B$88,BD55+BC56-BL55)))</f>
        <v>193.47115381833356</v>
      </c>
      <c r="BE56" s="13">
        <f>BD56*VLOOKUP('Données projet'!$B$11,Paramètres!$A$1:$I$89,3,0)*VLOOKUP('Données projet'!$B$11,Paramètres!$A$1:$I$89,5,0)</f>
        <v>165.99824997613021</v>
      </c>
      <c r="BF56" s="13">
        <f t="shared" si="37"/>
        <v>42.192525924216611</v>
      </c>
      <c r="BG56" s="20">
        <f t="shared" si="7"/>
        <v>362.59893469310401</v>
      </c>
      <c r="BH56" s="59">
        <f t="shared" si="8"/>
        <v>655.93226802643733</v>
      </c>
      <c r="BI56" s="59">
        <f ca="1">AVERAGE(OFFSET($BH$3,0,0,'Données projet'!$E$11+1,1))-AVERAGE(OFFSET($H$3,0,0,'Données projet'!$E$11+1,1))</f>
        <v>212.99246338839475</v>
      </c>
      <c r="BJ56" s="59">
        <f t="shared" si="38"/>
        <v>162.04040335537223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193.71143999999998</v>
      </c>
      <c r="CA56" s="13">
        <f t="shared" si="39"/>
        <v>48.359573394195209</v>
      </c>
      <c r="CB56" s="20">
        <f t="shared" si="10"/>
        <v>421.60701499488988</v>
      </c>
      <c r="CC56" s="59">
        <f t="shared" si="11"/>
        <v>714.94034832822319</v>
      </c>
      <c r="CD56" s="59">
        <f ca="1">AVERAGE(OFFSET($CC$3,0,0,'Données projet'!$E$12+1,1))-AVERAGE(OFFSET($H$3,0,0,'Données projet'!$E$12+1,1))</f>
        <v>249.53949216238527</v>
      </c>
      <c r="CE56" s="59">
        <f t="shared" si="40"/>
        <v>261.78576517528217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23.804328227907479</v>
      </c>
      <c r="CL56" s="21">
        <f>EXP(-LN(2)/25)*CL55+(1-EXP(-LN(2)/25))/(LN(2)/25)*Calculateur!CG56*Calculateur!CI56*VLOOKUP('Données projet'!$B$12,Paramètres!$A$1:$I$89,3,0)*0.475*44/12</f>
        <v>9.9310811294645926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33.73540935737207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7">
        <f t="shared" si="1"/>
        <v>363.00583887737878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20.507692304999996</v>
      </c>
      <c r="M57" s="12">
        <f t="array" ref="M57">INDEX(L:L,MIN(IF(ISNUMBER(L57:L253),ROW(L57:L253),"")))</f>
        <v>20.507692304999996</v>
      </c>
      <c r="N57" s="13">
        <f>IF('Données projet'!$A$36&gt;35,N56+M57-V56,IF(A57&lt;'Données projet'!$A$36,$K$205^A57,IF(A57='Données projet'!$A$36,'Données projet'!$B$36,N56+M57-V56)))</f>
        <v>566.7999999999995</v>
      </c>
      <c r="O57" s="13">
        <f>N57*VLOOKUP('Données projet'!$B$9,Paramètres!$A$1:$I$89,3,0)*VLOOKUP('Données projet'!$B$9,Paramètres!$A$1:$I$89,5,0)</f>
        <v>316.84119999999973</v>
      </c>
      <c r="P57" s="13">
        <f t="shared" si="33"/>
        <v>74.695724902330795</v>
      </c>
      <c r="Q57" s="20">
        <f t="shared" si="53"/>
        <v>681.92681087155893</v>
      </c>
      <c r="R57" s="59">
        <f t="shared" si="0"/>
        <v>975.26014420489219</v>
      </c>
      <c r="S57" s="59">
        <f ca="1">AVERAGE(OFFSET($R$3,0,0,'Données projet'!$E$9+1,1))-AVERAGE(OFFSET($H$3,0,0,'Données projet'!$E$9+1,1))</f>
        <v>281.14678081581229</v>
      </c>
      <c r="T57" s="59">
        <f t="shared" si="34"/>
        <v>380.81265808422603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9.3500000000000014E-2</v>
      </c>
      <c r="Y57" s="16">
        <f>IF(ISNA(VLOOKUP(A57,'Données projet'!$A$35:$I$55,7,0)),0%,VLOOKUP(A57,'Données projet'!$A$35:$I$55,7,0))</f>
        <v>0.13</v>
      </c>
      <c r="Z57" s="21">
        <f>EXP(-LN(2)/35)*Z56+(1-EXP(-LN(2)/35))/(LN(2)/35)*V57*W57*VLOOKUP('Données projet'!$B$9,Paramètres!$A$1:$I$89,3,0)*0.475*44/12</f>
        <v>231.19058838770889</v>
      </c>
      <c r="AA57" s="21">
        <f>EXP(-LN(2)/25)*AA56+(1-EXP(-LN(2)/25))/(LN(2)/25)*Calculateur!V57*Calculateur!X57*VLOOKUP('Données projet'!$B$9,Paramètres!$A$1:$I$89,3,0)*0.475*44/12</f>
        <v>59.863179568824506</v>
      </c>
      <c r="AB57" s="21">
        <f>EXP(-LN(2)/2)*AB56+(1-EXP(-LN(2)/2))/(LN(2)/2)*V57*Y57*VLOOKUP('Données projet'!$B$9,Paramètres!$A$1:$I$89,3,0)*0.475*44/12</f>
        <v>47.579389948716944</v>
      </c>
      <c r="AC57" s="22">
        <f t="shared" si="3"/>
        <v>338.63315790525036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279.9271639349646</v>
      </c>
      <c r="AO57" s="59">
        <f t="shared" si="36"/>
        <v>260.03726798406916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203.78846150000001</v>
      </c>
      <c r="BB57" s="12">
        <f>VLOOKUP(A57,'Données projet'!$A$87:$I$107,9,0)</f>
        <v>10.317307681666671</v>
      </c>
      <c r="BC57" s="12">
        <f t="array" ref="BC57">INDEX(BB:BB,MIN(IF(ISNUMBER(BB57:BB253),ROW(BB57:BB253),"")))</f>
        <v>10.317307681666671</v>
      </c>
      <c r="BD57" s="12">
        <f>IF('Données projet'!$A$88&gt;35,BD56+BC57-BL56,IF(A57&lt;'Données projet'!$A$88,$BA$205^A57,IF(A57='Données projet'!$A$88,'Données projet'!$B$88,BD56+BC57-BL56)))</f>
        <v>203.78846150000024</v>
      </c>
      <c r="BE57" s="13">
        <f>BD57*VLOOKUP('Données projet'!$B$11,Paramètres!$A$1:$I$89,3,0)*VLOOKUP('Données projet'!$B$11,Paramètres!$A$1:$I$89,5,0)</f>
        <v>174.85049996700022</v>
      </c>
      <c r="BF57" s="13">
        <f t="shared" si="37"/>
        <v>44.174589117776755</v>
      </c>
      <c r="BG57" s="20">
        <f t="shared" si="7"/>
        <v>381.46869682265316</v>
      </c>
      <c r="BH57" s="59">
        <f t="shared" si="8"/>
        <v>674.80203015598647</v>
      </c>
      <c r="BI57" s="59">
        <f ca="1">AVERAGE(OFFSET($BH$3,0,0,'Données projet'!$E$11+1,1))-AVERAGE(OFFSET($H$3,0,0,'Données projet'!$E$11+1,1))</f>
        <v>212.99246338839475</v>
      </c>
      <c r="BJ57" s="59">
        <f t="shared" si="38"/>
        <v>162.04040335537223</v>
      </c>
      <c r="BK57" s="15">
        <f>IF(ISNA(VLOOKUP(A57,'Données projet'!$A$87:$I$107,3,0)),0,VLOOKUP(A57,'Données projet'!$A$87:$I$107,3,0))</f>
        <v>3</v>
      </c>
      <c r="BL57" s="15">
        <f>IF(ISNA(VLOOKUP(A57,'Données projet'!$A$87:$I$107,4,0)),0,VLOOKUP(A57,'Données projet'!$A$87:$I$107,4,0))</f>
        <v>47.025641030000003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199.13711999999995</v>
      </c>
      <c r="CA57" s="13">
        <f t="shared" si="39"/>
        <v>49.554485124576232</v>
      </c>
      <c r="CB57" s="20">
        <f t="shared" si="10"/>
        <v>433.13787892530354</v>
      </c>
      <c r="CC57" s="59">
        <f t="shared" si="11"/>
        <v>726.4712122586368</v>
      </c>
      <c r="CD57" s="59">
        <f ca="1">AVERAGE(OFFSET($CC$3,0,0,'Données projet'!$E$12+1,1))-AVERAGE(OFFSET($H$3,0,0,'Données projet'!$E$12+1,1))</f>
        <v>249.53949216238527</v>
      </c>
      <c r="CE57" s="59">
        <f t="shared" si="40"/>
        <v>261.78576517528217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23.337539870564779</v>
      </c>
      <c r="CL57" s="21">
        <f>EXP(-LN(2)/25)*CL56+(1-EXP(-LN(2)/25))/(LN(2)/25)*Calculateur!CG57*Calculateur!CI57*VLOOKUP('Données projet'!$B$12,Paramètres!$A$1:$I$89,3,0)*0.475*44/12</f>
        <v>9.6595151937265253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32.997055064291303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7">
        <f t="shared" si="1"/>
        <v>364.92254427319654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-4.5474735088646412E-13</v>
      </c>
      <c r="O58" s="13">
        <f>N58*VLOOKUP('Données projet'!$B$9,Paramètres!$A$1:$I$89,3,0)*VLOOKUP('Données projet'!$B$9,Paramètres!$A$1:$I$89,5,0)</f>
        <v>-2.5420376914553347E-13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281.14678081581229</v>
      </c>
      <c r="T58" s="59">
        <f t="shared" si="34"/>
        <v>380.81265808422603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226.65708196176101</v>
      </c>
      <c r="AA58" s="21">
        <f>EXP(-LN(2)/25)*AA57+(1-EXP(-LN(2)/25))/(LN(2)/25)*Calculateur!V58*Calculateur!X58*VLOOKUP('Données projet'!$B$9,Paramètres!$A$1:$I$89,3,0)*0.475*44/12</f>
        <v>58.226217775447203</v>
      </c>
      <c r="AB58" s="21">
        <f>EXP(-LN(2)/2)*AB57+(1-EXP(-LN(2)/2))/(LN(2)/2)*V58*Y58*VLOOKUP('Données projet'!$B$9,Paramètres!$A$1:$I$89,3,0)*0.475*44/12</f>
        <v>33.643709277456814</v>
      </c>
      <c r="AC58" s="22">
        <f t="shared" si="3"/>
        <v>318.52700901466505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279.9271639349646</v>
      </c>
      <c r="AO58" s="59">
        <f t="shared" si="36"/>
        <v>260.03726798406916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9.7393162477777775</v>
      </c>
      <c r="BD58" s="12">
        <f>IF('Données projet'!$A$88&gt;35,BD57+BC58-BL57,IF(A58&lt;'Données projet'!$A$88,$BA$205^A58,IF(A58='Données projet'!$A$88,'Données projet'!$B$88,BD57+BC58-BL57)))</f>
        <v>166.502136717778</v>
      </c>
      <c r="BE58" s="13">
        <f>BD58*VLOOKUP('Données projet'!$B$11,Paramètres!$A$1:$I$89,3,0)*VLOOKUP('Données projet'!$B$11,Paramètres!$A$1:$I$89,5,0)</f>
        <v>142.85883330385354</v>
      </c>
      <c r="BF58" s="13">
        <f t="shared" si="37"/>
        <v>36.951151568325137</v>
      </c>
      <c r="BG58" s="20">
        <f t="shared" si="7"/>
        <v>313.16905698571117</v>
      </c>
      <c r="BH58" s="59">
        <f t="shared" si="8"/>
        <v>606.50239031904448</v>
      </c>
      <c r="BI58" s="59">
        <f ca="1">AVERAGE(OFFSET($BH$3,0,0,'Données projet'!$E$11+1,1))-AVERAGE(OFFSET($H$3,0,0,'Données projet'!$E$11+1,1))</f>
        <v>212.99246338839475</v>
      </c>
      <c r="BJ58" s="59">
        <f t="shared" si="38"/>
        <v>162.04040335537223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204.56279999999995</v>
      </c>
      <c r="CA58" s="13">
        <f t="shared" si="39"/>
        <v>50.74561278586372</v>
      </c>
      <c r="CB58" s="20">
        <f t="shared" si="10"/>
        <v>444.66215226871259</v>
      </c>
      <c r="CC58" s="59">
        <f t="shared" si="11"/>
        <v>737.99548560204585</v>
      </c>
      <c r="CD58" s="59">
        <f ca="1">AVERAGE(OFFSET($CC$3,0,0,'Données projet'!$E$12+1,1))-AVERAGE(OFFSET($H$3,0,0,'Données projet'!$E$12+1,1))</f>
        <v>249.53949216238527</v>
      </c>
      <c r="CE58" s="59">
        <f t="shared" si="40"/>
        <v>261.78576517528217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0.37840000000000001</v>
      </c>
      <c r="CI58" s="16">
        <f>IF(ISNA(VLOOKUP(A58,'Données projet'!$A$113:$I$133,6,0)),0%,VLOOKUP(A58,'Données projet'!$A$113:$I$133,6,0)*VLOOKUP('Données projet'!$B$12,Paramètres!$A$1:$I$89,7,0))</f>
        <v>2.58E-2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27.78718312183382</v>
      </c>
      <c r="CL58" s="21">
        <f>EXP(-LN(2)/25)*CL57+(1-EXP(-LN(2)/25))/(LN(2)/25)*Calculateur!CG58*Calculateur!CI58*VLOOKUP('Données projet'!$B$12,Paramètres!$A$1:$I$89,3,0)*0.475*44/12</f>
        <v>9.7286449938946014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37.515828115728425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7">
        <f t="shared" si="1"/>
        <v>366.83841414873996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-4.5474735088646412E-13</v>
      </c>
      <c r="O59" s="13">
        <f>N59*VLOOKUP('Données projet'!$B$9,Paramètres!$A$1:$I$89,3,0)*VLOOKUP('Données projet'!$B$9,Paramètres!$A$1:$I$89,5,0)</f>
        <v>-2.5420376914553347E-13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281.14678081581229</v>
      </c>
      <c r="T59" s="59">
        <f t="shared" si="34"/>
        <v>380.81265808422603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222.2124748316601</v>
      </c>
      <c r="AA59" s="21">
        <f>EXP(-LN(2)/25)*AA58+(1-EXP(-LN(2)/25))/(LN(2)/25)*Calculateur!V59*Calculateur!X59*VLOOKUP('Données projet'!$B$9,Paramètres!$A$1:$I$89,3,0)*0.475*44/12</f>
        <v>56.634018788393888</v>
      </c>
      <c r="AB59" s="21">
        <f>EXP(-LN(2)/2)*AB58+(1-EXP(-LN(2)/2))/(LN(2)/2)*V59*Y59*VLOOKUP('Données projet'!$B$9,Paramètres!$A$1:$I$89,3,0)*0.475*44/12</f>
        <v>23.789694974358476</v>
      </c>
      <c r="AC59" s="22">
        <f t="shared" si="3"/>
        <v>302.63618859441249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279.9271639349646</v>
      </c>
      <c r="AO59" s="59">
        <f t="shared" si="36"/>
        <v>260.03726798406916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9.7393162477777775</v>
      </c>
      <c r="BD59" s="12">
        <f>IF('Données projet'!$A$88&gt;35,BD58+BC59-BL58,IF(A59&lt;'Données projet'!$A$88,$BA$205^A59,IF(A59='Données projet'!$A$88,'Données projet'!$B$88,BD58+BC59-BL58)))</f>
        <v>176.24145296555577</v>
      </c>
      <c r="BE59" s="13">
        <f>BD59*VLOOKUP('Données projet'!$B$11,Paramètres!$A$1:$I$89,3,0)*VLOOKUP('Données projet'!$B$11,Paramètres!$A$1:$I$89,5,0)</f>
        <v>151.21516664444687</v>
      </c>
      <c r="BF59" s="13">
        <f t="shared" si="37"/>
        <v>38.854606791155753</v>
      </c>
      <c r="BG59" s="20">
        <f t="shared" si="7"/>
        <v>331.03818873367459</v>
      </c>
      <c r="BH59" s="59">
        <f t="shared" si="8"/>
        <v>624.37152206700785</v>
      </c>
      <c r="BI59" s="59">
        <f ca="1">AVERAGE(OFFSET($BH$3,0,0,'Données projet'!$E$11+1,1))-AVERAGE(OFFSET($H$3,0,0,'Données projet'!$E$11+1,1))</f>
        <v>212.99246338839475</v>
      </c>
      <c r="BJ59" s="59">
        <f t="shared" si="38"/>
        <v>162.04040335537223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197.37743999999995</v>
      </c>
      <c r="CA59" s="13">
        <f t="shared" si="39"/>
        <v>49.167366395757924</v>
      </c>
      <c r="CB59" s="20">
        <f t="shared" si="10"/>
        <v>429.39887113927824</v>
      </c>
      <c r="CC59" s="59">
        <f t="shared" si="11"/>
        <v>722.73220447261156</v>
      </c>
      <c r="CD59" s="59">
        <f ca="1">AVERAGE(OFFSET($CC$3,0,0,'Données projet'!$E$12+1,1))-AVERAGE(OFFSET($H$3,0,0,'Données projet'!$E$12+1,1))</f>
        <v>249.53949216238527</v>
      </c>
      <c r="CE59" s="59">
        <f t="shared" si="40"/>
        <v>261.78576517528217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27.242293409322837</v>
      </c>
      <c r="CL59" s="21">
        <f>EXP(-LN(2)/25)*CL58+(1-EXP(-LN(2)/25))/(LN(2)/25)*Calculateur!CG59*Calculateur!CI59*VLOOKUP('Données projet'!$B$12,Paramètres!$A$1:$I$89,3,0)*0.475*44/12</f>
        <v>9.4626146849293491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36.70490809425219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7">
        <f t="shared" si="1"/>
        <v>368.75346514518657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-4.5474735088646412E-13</v>
      </c>
      <c r="O60" s="13">
        <f>N60*VLOOKUP('Données projet'!$B$9,Paramètres!$A$1:$I$89,3,0)*VLOOKUP('Données projet'!$B$9,Paramètres!$A$1:$I$89,5,0)</f>
        <v>-2.5420376914553347E-13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281.14678081581229</v>
      </c>
      <c r="T60" s="59">
        <f t="shared" si="34"/>
        <v>380.81265808422603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217.8550237364378</v>
      </c>
      <c r="AA60" s="21">
        <f>EXP(-LN(2)/25)*AA59+(1-EXP(-LN(2)/25))/(LN(2)/25)*Calculateur!V60*Calculateur!X60*VLOOKUP('Données projet'!$B$9,Paramètres!$A$1:$I$89,3,0)*0.475*44/12</f>
        <v>55.085358566371646</v>
      </c>
      <c r="AB60" s="21">
        <f>EXP(-LN(2)/2)*AB59+(1-EXP(-LN(2)/2))/(LN(2)/2)*V60*Y60*VLOOKUP('Données projet'!$B$9,Paramètres!$A$1:$I$89,3,0)*0.475*44/12</f>
        <v>16.821854638728411</v>
      </c>
      <c r="AC60" s="22">
        <f t="shared" si="3"/>
        <v>289.76223694153782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279.9271639349646</v>
      </c>
      <c r="AO60" s="59">
        <f t="shared" si="36"/>
        <v>260.03726798406916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9.7393162477777775</v>
      </c>
      <c r="BD60" s="12">
        <f>IF('Données projet'!$A$88&gt;35,BD59+BC60-BL59,IF(A60&lt;'Données projet'!$A$88,$BA$205^A60,IF(A60='Données projet'!$A$88,'Données projet'!$B$88,BD59+BC60-BL59)))</f>
        <v>185.98076921333353</v>
      </c>
      <c r="BE60" s="13">
        <f>BD60*VLOOKUP('Données projet'!$B$11,Paramètres!$A$1:$I$89,3,0)*VLOOKUP('Données projet'!$B$11,Paramètres!$A$1:$I$89,5,0)</f>
        <v>159.57149998504019</v>
      </c>
      <c r="BF60" s="13">
        <f t="shared" si="37"/>
        <v>40.745850952763902</v>
      </c>
      <c r="BG60" s="20">
        <f t="shared" si="7"/>
        <v>348.88605288334207</v>
      </c>
      <c r="BH60" s="59">
        <f t="shared" si="8"/>
        <v>642.21938621667539</v>
      </c>
      <c r="BI60" s="59">
        <f ca="1">AVERAGE(OFFSET($BH$3,0,0,'Données projet'!$E$11+1,1))-AVERAGE(OFFSET($H$3,0,0,'Données projet'!$E$11+1,1))</f>
        <v>212.99246338839475</v>
      </c>
      <c r="BJ60" s="59">
        <f t="shared" si="38"/>
        <v>162.04040335537223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201.92327999999995</v>
      </c>
      <c r="CA60" s="13">
        <f t="shared" si="39"/>
        <v>50.166610737265309</v>
      </c>
      <c r="CB60" s="20">
        <f t="shared" si="10"/>
        <v>439.05655970073695</v>
      </c>
      <c r="CC60" s="59">
        <f t="shared" si="11"/>
        <v>732.38989303407027</v>
      </c>
      <c r="CD60" s="59">
        <f ca="1">AVERAGE(OFFSET($CC$3,0,0,'Données projet'!$E$12+1,1))-AVERAGE(OFFSET($H$3,0,0,'Données projet'!$E$12+1,1))</f>
        <v>249.53949216238527</v>
      </c>
      <c r="CE60" s="59">
        <f t="shared" si="40"/>
        <v>261.78576517528217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26.708088651724285</v>
      </c>
      <c r="CL60" s="21">
        <f>EXP(-LN(2)/25)*CL59+(1-EXP(-LN(2)/25))/(LN(2)/25)*Calculateur!CG60*Calculateur!CI60*VLOOKUP('Données projet'!$B$12,Paramètres!$A$1:$I$89,3,0)*0.475*44/12</f>
        <v>9.2038589887526765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35.91194764047696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7">
        <f t="shared" si="1"/>
        <v>370.66771328636571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-4.5474735088646412E-13</v>
      </c>
      <c r="O61" s="13">
        <f>N61*VLOOKUP('Données projet'!$B$9,Paramètres!$A$1:$I$89,3,0)*VLOOKUP('Données projet'!$B$9,Paramètres!$A$1:$I$89,5,0)</f>
        <v>-2.5420376914553347E-13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281.14678081581229</v>
      </c>
      <c r="T61" s="59">
        <f t="shared" si="34"/>
        <v>380.81265808422603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213.58301959941008</v>
      </c>
      <c r="AA61" s="21">
        <f>EXP(-LN(2)/25)*AA60+(1-EXP(-LN(2)/25))/(LN(2)/25)*Calculateur!V61*Calculateur!X61*VLOOKUP('Données projet'!$B$9,Paramètres!$A$1:$I$89,3,0)*0.475*44/12</f>
        <v>53.579046539561105</v>
      </c>
      <c r="AB61" s="21">
        <f>EXP(-LN(2)/2)*AB60+(1-EXP(-LN(2)/2))/(LN(2)/2)*V61*Y61*VLOOKUP('Données projet'!$B$9,Paramètres!$A$1:$I$89,3,0)*0.475*44/12</f>
        <v>11.894847487179241</v>
      </c>
      <c r="AC61" s="22">
        <f t="shared" si="3"/>
        <v>279.05691362615039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279.9271639349646</v>
      </c>
      <c r="AO61" s="59">
        <f t="shared" si="36"/>
        <v>260.03726798406916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9.7393162477777775</v>
      </c>
      <c r="BD61" s="12">
        <f>IF('Données projet'!$A$88&gt;35,BD60+BC61-BL60,IF(A61&lt;'Données projet'!$A$88,$BA$205^A61,IF(A61='Données projet'!$A$88,'Données projet'!$B$88,BD60+BC61-BL60)))</f>
        <v>195.7200854611113</v>
      </c>
      <c r="BE61" s="13">
        <f>BD61*VLOOKUP('Données projet'!$B$11,Paramètres!$A$1:$I$89,3,0)*VLOOKUP('Données projet'!$B$11,Paramètres!$A$1:$I$89,5,0)</f>
        <v>167.92783332563351</v>
      </c>
      <c r="BF61" s="13">
        <f t="shared" si="37"/>
        <v>42.625596443373951</v>
      </c>
      <c r="BG61" s="20">
        <f t="shared" si="7"/>
        <v>366.71389018102133</v>
      </c>
      <c r="BH61" s="59">
        <f t="shared" si="8"/>
        <v>660.04722351435464</v>
      </c>
      <c r="BI61" s="59">
        <f ca="1">AVERAGE(OFFSET($BH$3,0,0,'Données projet'!$E$11+1,1))-AVERAGE(OFFSET($H$3,0,0,'Données projet'!$E$11+1,1))</f>
        <v>212.99246338839475</v>
      </c>
      <c r="BJ61" s="59">
        <f t="shared" si="38"/>
        <v>162.04040335537223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206.46911999999992</v>
      </c>
      <c r="CA61" s="13">
        <f t="shared" si="39"/>
        <v>51.163239774028327</v>
      </c>
      <c r="CB61" s="20">
        <f t="shared" si="10"/>
        <v>448.70969327309916</v>
      </c>
      <c r="CC61" s="59">
        <f t="shared" si="11"/>
        <v>742.04302660643248</v>
      </c>
      <c r="CD61" s="59">
        <f ca="1">AVERAGE(OFFSET($CC$3,0,0,'Données projet'!$E$12+1,1))-AVERAGE(OFFSET($H$3,0,0,'Données projet'!$E$12+1,1))</f>
        <v>249.53949216238527</v>
      </c>
      <c r="CE61" s="59">
        <f t="shared" si="40"/>
        <v>261.78576517528217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26.184359323589515</v>
      </c>
      <c r="CL61" s="21">
        <f>EXP(-LN(2)/25)*CL60+(1-EXP(-LN(2)/25))/(LN(2)/25)*Calculateur!CG61*Calculateur!CI61*VLOOKUP('Données projet'!$B$12,Paramètres!$A$1:$I$89,3,0)*0.475*44/12</f>
        <v>8.9521789806953258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35.136538304284841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7">
        <f t="shared" si="1"/>
        <v>372.58117401190236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-4.5474735088646412E-13</v>
      </c>
      <c r="O62" s="13">
        <f>N62*VLOOKUP('Données projet'!$B$9,Paramètres!$A$1:$I$89,3,0)*VLOOKUP('Données projet'!$B$9,Paramètres!$A$1:$I$89,5,0)</f>
        <v>-2.5420376914553347E-13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281.14678081581229</v>
      </c>
      <c r="T62" s="59">
        <f t="shared" si="34"/>
        <v>380.81265808422603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209.39478685784422</v>
      </c>
      <c r="AA62" s="21">
        <f>EXP(-LN(2)/25)*AA61+(1-EXP(-LN(2)/25))/(LN(2)/25)*Calculateur!V62*Calculateur!X62*VLOOKUP('Données projet'!$B$9,Paramètres!$A$1:$I$89,3,0)*0.475*44/12</f>
        <v>52.113924694337207</v>
      </c>
      <c r="AB62" s="21">
        <f>EXP(-LN(2)/2)*AB61+(1-EXP(-LN(2)/2))/(LN(2)/2)*V62*Y62*VLOOKUP('Données projet'!$B$9,Paramètres!$A$1:$I$89,3,0)*0.475*44/12</f>
        <v>8.4109273193642071</v>
      </c>
      <c r="AC62" s="22">
        <f t="shared" si="3"/>
        <v>269.9196388715456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279.9271639349646</v>
      </c>
      <c r="AO62" s="59">
        <f t="shared" si="36"/>
        <v>260.03726798406916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9.7393162477777775</v>
      </c>
      <c r="BD62" s="12">
        <f>IF('Données projet'!$A$88&gt;35,BD61+BC62-BL61,IF(A62&lt;'Données projet'!$A$88,$BA$205^A62,IF(A62='Données projet'!$A$88,'Données projet'!$B$88,BD61+BC62-BL61)))</f>
        <v>205.45940170888906</v>
      </c>
      <c r="BE62" s="13">
        <f>BD62*VLOOKUP('Données projet'!$B$11,Paramètres!$A$1:$I$89,3,0)*VLOOKUP('Données projet'!$B$11,Paramètres!$A$1:$I$89,5,0)</f>
        <v>176.28416666622684</v>
      </c>
      <c r="BF62" s="13">
        <f t="shared" si="37"/>
        <v>44.494480748912508</v>
      </c>
      <c r="BG62" s="20">
        <f t="shared" si="7"/>
        <v>384.52281091470104</v>
      </c>
      <c r="BH62" s="59">
        <f t="shared" si="8"/>
        <v>677.8561442480343</v>
      </c>
      <c r="BI62" s="59">
        <f ca="1">AVERAGE(OFFSET($BH$3,0,0,'Données projet'!$E$11+1,1))-AVERAGE(OFFSET($H$3,0,0,'Données projet'!$E$11+1,1))</f>
        <v>212.99246338839475</v>
      </c>
      <c r="BJ62" s="59">
        <f t="shared" si="38"/>
        <v>162.04040335537223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211.01495999999992</v>
      </c>
      <c r="CA62" s="13">
        <f t="shared" si="39"/>
        <v>52.15731771796959</v>
      </c>
      <c r="CB62" s="20">
        <f t="shared" si="10"/>
        <v>458.35838369213019</v>
      </c>
      <c r="CC62" s="59">
        <f t="shared" si="11"/>
        <v>751.6917170254635</v>
      </c>
      <c r="CD62" s="59">
        <f ca="1">AVERAGE(OFFSET($CC$3,0,0,'Données projet'!$E$12+1,1))-AVERAGE(OFFSET($H$3,0,0,'Données projet'!$E$12+1,1))</f>
        <v>249.53949216238527</v>
      </c>
      <c r="CE62" s="59">
        <f t="shared" si="40"/>
        <v>261.78576517528217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25.670900008136119</v>
      </c>
      <c r="CL62" s="21">
        <f>EXP(-LN(2)/25)*CL61+(1-EXP(-LN(2)/25))/(LN(2)/25)*Calculateur!CG62*Calculateur!CI62*VLOOKUP('Données projet'!$B$12,Paramètres!$A$1:$I$89,3,0)*0.475*44/12</f>
        <v>8.7073811756935804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34.378281183829699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7">
        <f t="shared" si="1"/>
        <v>374.4938622080507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-4.5474735088646412E-13</v>
      </c>
      <c r="O63" s="13">
        <f>N63*VLOOKUP('Données projet'!$B$9,Paramètres!$A$1:$I$89,3,0)*VLOOKUP('Données projet'!$B$9,Paramètres!$A$1:$I$89,5,0)</f>
        <v>-2.5420376914553347E-13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281.14678081581229</v>
      </c>
      <c r="T63" s="59">
        <f t="shared" si="34"/>
        <v>380.81265808422603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205.28868280577075</v>
      </c>
      <c r="AA63" s="21">
        <f>EXP(-LN(2)/25)*AA62+(1-EXP(-LN(2)/25))/(LN(2)/25)*Calculateur!V63*Calculateur!X63*VLOOKUP('Données projet'!$B$9,Paramètres!$A$1:$I$89,3,0)*0.475*44/12</f>
        <v>50.688866683018368</v>
      </c>
      <c r="AB63" s="21">
        <f>EXP(-LN(2)/2)*AB62+(1-EXP(-LN(2)/2))/(LN(2)/2)*V63*Y63*VLOOKUP('Données projet'!$B$9,Paramètres!$A$1:$I$89,3,0)*0.475*44/12</f>
        <v>5.9474237435896216</v>
      </c>
      <c r="AC63" s="22">
        <f t="shared" si="3"/>
        <v>261.92497323237876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279.9271639349646</v>
      </c>
      <c r="AO63" s="59">
        <f t="shared" si="36"/>
        <v>260.03726798406916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9.7393162477777775</v>
      </c>
      <c r="BD63" s="12">
        <f>IF('Données projet'!$A$88&gt;35,BD62+BC63-BL62,IF(A63&lt;'Données projet'!$A$88,$BA$205^A63,IF(A63='Données projet'!$A$88,'Données projet'!$B$88,BD62+BC63-BL62)))</f>
        <v>215.19871795666683</v>
      </c>
      <c r="BE63" s="13">
        <f>BD63*VLOOKUP('Données projet'!$B$11,Paramètres!$A$1:$I$89,3,0)*VLOOKUP('Données projet'!$B$11,Paramètres!$A$1:$I$89,5,0)</f>
        <v>184.64050000682016</v>
      </c>
      <c r="BF63" s="13">
        <f t="shared" si="37"/>
        <v>46.353077503144</v>
      </c>
      <c r="BG63" s="20">
        <f t="shared" si="7"/>
        <v>402.31381416318754</v>
      </c>
      <c r="BH63" s="59">
        <f t="shared" si="8"/>
        <v>695.6471474965208</v>
      </c>
      <c r="BI63" s="59">
        <f ca="1">AVERAGE(OFFSET($BH$3,0,0,'Données projet'!$E$11+1,1))-AVERAGE(OFFSET($H$3,0,0,'Données projet'!$E$11+1,1))</f>
        <v>212.99246338839475</v>
      </c>
      <c r="BJ63" s="59">
        <f t="shared" si="38"/>
        <v>162.04040335537223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215.56079999999992</v>
      </c>
      <c r="CA63" s="13">
        <f t="shared" si="39"/>
        <v>53.14890585638225</v>
      </c>
      <c r="CB63" s="20">
        <f t="shared" si="10"/>
        <v>468.00273769986558</v>
      </c>
      <c r="CC63" s="59">
        <f t="shared" si="11"/>
        <v>761.33607103319889</v>
      </c>
      <c r="CD63" s="59">
        <f ca="1">AVERAGE(OFFSET($CC$3,0,0,'Données projet'!$E$12+1,1))-AVERAGE(OFFSET($H$3,0,0,'Données projet'!$E$12+1,1))</f>
        <v>249.53949216238527</v>
      </c>
      <c r="CE63" s="59">
        <f t="shared" si="40"/>
        <v>261.78576517528217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0.39990000000000003</v>
      </c>
      <c r="CI63" s="16">
        <f>IF(ISNA(VLOOKUP(A63,'Données projet'!$A$113:$I$133,6,0)),0%,VLOOKUP(A63,'Données projet'!$A$113:$I$133,6,0)*VLOOKUP('Données projet'!$B$12,Paramètres!$A$1:$I$89,7,0))</f>
        <v>3.0100000000000002E-2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29.705347514176253</v>
      </c>
      <c r="CL63" s="21">
        <f>EXP(-LN(2)/25)*CL62+(1-EXP(-LN(2)/25))/(LN(2)/25)*Calculateur!CG63*Calculateur!CI63*VLOOKUP('Données projet'!$B$12,Paramètres!$A$1:$I$89,3,0)*0.475*44/12</f>
        <v>8.8094902504701587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38.514837764646416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7">
        <f t="shared" si="1"/>
        <v>376.40579223641333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-4.5474735088646412E-13</v>
      </c>
      <c r="O64" s="13">
        <f>N64*VLOOKUP('Données projet'!$B$9,Paramètres!$A$1:$I$89,3,0)*VLOOKUP('Données projet'!$B$9,Paramètres!$A$1:$I$89,5,0)</f>
        <v>-2.5420376914553347E-13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281.14678081581229</v>
      </c>
      <c r="T64" s="59">
        <f t="shared" si="34"/>
        <v>380.81265808422603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201.26309694968228</v>
      </c>
      <c r="AA64" s="21">
        <f>EXP(-LN(2)/25)*AA63+(1-EXP(-LN(2)/25))/(LN(2)/25)*Calculateur!V64*Calculateur!X64*VLOOKUP('Données projet'!$B$9,Paramètres!$A$1:$I$89,3,0)*0.475*44/12</f>
        <v>49.30277695795958</v>
      </c>
      <c r="AB64" s="21">
        <f>EXP(-LN(2)/2)*AB63+(1-EXP(-LN(2)/2))/(LN(2)/2)*V64*Y64*VLOOKUP('Données projet'!$B$9,Paramètres!$A$1:$I$89,3,0)*0.475*44/12</f>
        <v>4.2054636596821044</v>
      </c>
      <c r="AC64" s="22">
        <f t="shared" si="3"/>
        <v>254.77133756732394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279.9271639349646</v>
      </c>
      <c r="AO64" s="59">
        <f t="shared" si="36"/>
        <v>260.03726798406916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9.7393162477777775</v>
      </c>
      <c r="BD64" s="12">
        <f>IF('Données projet'!$A$88&gt;35,BD63+BC64-BL63,IF(A64&lt;'Données projet'!$A$88,$BA$205^A64,IF(A64='Données projet'!$A$88,'Données projet'!$B$88,BD63+BC64-BL63)))</f>
        <v>224.93803420444459</v>
      </c>
      <c r="BE64" s="13">
        <f>BD64*VLOOKUP('Données projet'!$B$11,Paramètres!$A$1:$I$89,3,0)*VLOOKUP('Données projet'!$B$11,Paramètres!$A$1:$I$89,5,0)</f>
        <v>192.99683334741349</v>
      </c>
      <c r="BF64" s="13">
        <f t="shared" si="37"/>
        <v>48.201905482501452</v>
      </c>
      <c r="BG64" s="20">
        <f t="shared" si="7"/>
        <v>420.08780346210182</v>
      </c>
      <c r="BH64" s="59">
        <f t="shared" si="8"/>
        <v>713.42113679543513</v>
      </c>
      <c r="BI64" s="59">
        <f ca="1">AVERAGE(OFFSET($BH$3,0,0,'Données projet'!$E$11+1,1))-AVERAGE(OFFSET($H$3,0,0,'Données projet'!$E$11+1,1))</f>
        <v>212.99246338839475</v>
      </c>
      <c r="BJ64" s="59">
        <f t="shared" si="38"/>
        <v>162.04040335537223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209.10863999999989</v>
      </c>
      <c r="CA64" s="13">
        <f t="shared" si="39"/>
        <v>51.740752917407036</v>
      </c>
      <c r="CB64" s="20">
        <f t="shared" si="10"/>
        <v>454.31269266448368</v>
      </c>
      <c r="CC64" s="59">
        <f t="shared" si="11"/>
        <v>747.64602599781699</v>
      </c>
      <c r="CD64" s="59">
        <f ca="1">AVERAGE(OFFSET($CC$3,0,0,'Données projet'!$E$12+1,1))-AVERAGE(OFFSET($H$3,0,0,'Données projet'!$E$12+1,1))</f>
        <v>249.53949216238527</v>
      </c>
      <c r="CE64" s="59">
        <f t="shared" si="40"/>
        <v>261.78576517528217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29.122843767896189</v>
      </c>
      <c r="CL64" s="21">
        <f>EXP(-LN(2)/25)*CL63+(1-EXP(-LN(2)/25))/(LN(2)/25)*Calculateur!CG64*Calculateur!CI64*VLOOKUP('Données projet'!$B$12,Paramètres!$A$1:$I$89,3,0)*0.475*44/12</f>
        <v>8.5685942763000948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37.691438044196282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7">
        <f t="shared" si="1"/>
        <v>378.31697796072439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-4.5474735088646412E-13</v>
      </c>
      <c r="O65" s="13">
        <f>N65*VLOOKUP('Données projet'!$B$9,Paramètres!$A$1:$I$89,3,0)*VLOOKUP('Données projet'!$B$9,Paramètres!$A$1:$I$89,5,0)</f>
        <v>-2.5420376914553347E-13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281.14678081581229</v>
      </c>
      <c r="T65" s="59">
        <f t="shared" si="34"/>
        <v>380.81265808422603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197.31645037686675</v>
      </c>
      <c r="AA65" s="21">
        <f>EXP(-LN(2)/25)*AA64+(1-EXP(-LN(2)/25))/(LN(2)/25)*Calculateur!V65*Calculateur!X65*VLOOKUP('Données projet'!$B$9,Paramètres!$A$1:$I$89,3,0)*0.475*44/12</f>
        <v>47.954589929323816</v>
      </c>
      <c r="AB65" s="21">
        <f>EXP(-LN(2)/2)*AB64+(1-EXP(-LN(2)/2))/(LN(2)/2)*V65*Y65*VLOOKUP('Données projet'!$B$9,Paramètres!$A$1:$I$89,3,0)*0.475*44/12</f>
        <v>2.9737118717948112</v>
      </c>
      <c r="AC65" s="22">
        <f t="shared" si="3"/>
        <v>248.24475217798539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279.9271639349646</v>
      </c>
      <c r="AO65" s="59">
        <f t="shared" si="36"/>
        <v>260.03726798406916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9.7393162477777775</v>
      </c>
      <c r="BD65" s="12">
        <f>IF('Données projet'!$A$88&gt;35,BD64+BC65-BL64,IF(A65&lt;'Données projet'!$A$88,$BA$205^A65,IF(A65='Données projet'!$A$88,'Données projet'!$B$88,BD64+BC65-BL64)))</f>
        <v>234.67735045222236</v>
      </c>
      <c r="BE65" s="13">
        <f>BD65*VLOOKUP('Données projet'!$B$11,Paramètres!$A$1:$I$89,3,0)*VLOOKUP('Données projet'!$B$11,Paramètres!$A$1:$I$89,5,0)</f>
        <v>201.35316668800678</v>
      </c>
      <c r="BF65" s="13">
        <f t="shared" si="37"/>
        <v>50.041435999140788</v>
      </c>
      <c r="BG65" s="20">
        <f t="shared" si="7"/>
        <v>437.8455996801153</v>
      </c>
      <c r="BH65" s="59">
        <f t="shared" si="8"/>
        <v>731.17893301344861</v>
      </c>
      <c r="BI65" s="59">
        <f ca="1">AVERAGE(OFFSET($BH$3,0,0,'Données projet'!$E$11+1,1))-AVERAGE(OFFSET($H$3,0,0,'Données projet'!$E$11+1,1))</f>
        <v>212.99246338839475</v>
      </c>
      <c r="BJ65" s="59">
        <f t="shared" si="38"/>
        <v>162.04040335537223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212.92127999999988</v>
      </c>
      <c r="CA65" s="13">
        <f t="shared" si="39"/>
        <v>52.57344469809297</v>
      </c>
      <c r="CB65" s="20">
        <f t="shared" si="10"/>
        <v>462.40331218251168</v>
      </c>
      <c r="CC65" s="59">
        <f t="shared" si="11"/>
        <v>755.736645515845</v>
      </c>
      <c r="CD65" s="59">
        <f ca="1">AVERAGE(OFFSET($CC$3,0,0,'Données projet'!$E$12+1,1))-AVERAGE(OFFSET($H$3,0,0,'Données projet'!$E$12+1,1))</f>
        <v>249.53949216238527</v>
      </c>
      <c r="CE65" s="59">
        <f t="shared" si="40"/>
        <v>261.78576517528217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28.551762564788476</v>
      </c>
      <c r="CL65" s="21">
        <f>EXP(-LN(2)/25)*CL64+(1-EXP(-LN(2)/25))/(LN(2)/25)*Calculateur!CG65*Calculateur!CI65*VLOOKUP('Données projet'!$B$12,Paramètres!$A$1:$I$89,3,0)*0.475*44/12</f>
        <v>8.3342856152118792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36.886048180000358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7">
        <f t="shared" si="1"/>
        <v>380.2274327718556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-4.5474735088646412E-13</v>
      </c>
      <c r="O66" s="13">
        <f>N66*VLOOKUP('Données projet'!$B$9,Paramètres!$A$1:$I$89,3,0)*VLOOKUP('Données projet'!$B$9,Paramètres!$A$1:$I$89,5,0)</f>
        <v>-2.5420376914553347E-13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281.14678081581229</v>
      </c>
      <c r="T66" s="59">
        <f t="shared" si="34"/>
        <v>380.81265808422603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193.44719513612745</v>
      </c>
      <c r="AA66" s="21">
        <f>EXP(-LN(2)/25)*AA65+(1-EXP(-LN(2)/25))/(LN(2)/25)*Calculateur!V66*Calculateur!X66*VLOOKUP('Données projet'!$B$9,Paramètres!$A$1:$I$89,3,0)*0.475*44/12</f>
        <v>46.643269145884176</v>
      </c>
      <c r="AB66" s="21">
        <f>EXP(-LN(2)/2)*AB65+(1-EXP(-LN(2)/2))/(LN(2)/2)*V66*Y66*VLOOKUP('Données projet'!$B$9,Paramètres!$A$1:$I$89,3,0)*0.475*44/12</f>
        <v>2.1027318298410522</v>
      </c>
      <c r="AC66" s="22">
        <f t="shared" si="3"/>
        <v>242.19319611185267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279.9271639349646</v>
      </c>
      <c r="AO66" s="59">
        <f t="shared" si="36"/>
        <v>260.03726798406916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244.41666670000001</v>
      </c>
      <c r="BB66" s="12">
        <f>VLOOKUP(A66,'Données projet'!$A$87:$I$107,9,0)</f>
        <v>9.7393162477777775</v>
      </c>
      <c r="BC66" s="12">
        <f t="array" ref="BC66">INDEX(BB:BB,MIN(IF(ISNUMBER(BB66:BB262),ROW(BB66:BB262),"")))</f>
        <v>9.7393162477777775</v>
      </c>
      <c r="BD66" s="12">
        <f>IF('Données projet'!$A$88&gt;35,BD65+BC66-BL65,IF(A66&lt;'Données projet'!$A$88,$BA$205^A66,IF(A66='Données projet'!$A$88,'Données projet'!$B$88,BD65+BC66-BL65)))</f>
        <v>244.41666670000012</v>
      </c>
      <c r="BE66" s="13">
        <f>BD66*VLOOKUP('Données projet'!$B$11,Paramètres!$A$1:$I$89,3,0)*VLOOKUP('Données projet'!$B$11,Paramètres!$A$1:$I$89,5,0)</f>
        <v>209.7095000286001</v>
      </c>
      <c r="BF66" s="13">
        <f t="shared" si="37"/>
        <v>51.872099032145009</v>
      </c>
      <c r="BG66" s="20">
        <f t="shared" si="7"/>
        <v>455.5879516974644</v>
      </c>
      <c r="BH66" s="59">
        <f t="shared" si="8"/>
        <v>748.92128503079766</v>
      </c>
      <c r="BI66" s="59">
        <f ca="1">AVERAGE(OFFSET($BH$3,0,0,'Données projet'!$E$11+1,1))-AVERAGE(OFFSET($H$3,0,0,'Données projet'!$E$11+1,1))</f>
        <v>212.99246338839475</v>
      </c>
      <c r="BJ66" s="59">
        <f t="shared" si="38"/>
        <v>162.04040335537223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64.628205129999998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216.7339199999999</v>
      </c>
      <c r="CA66" s="13">
        <f t="shared" si="39"/>
        <v>53.404402610883679</v>
      </c>
      <c r="CB66" s="20">
        <f t="shared" si="10"/>
        <v>470.49091188062221</v>
      </c>
      <c r="CC66" s="59">
        <f t="shared" si="11"/>
        <v>763.82424521395546</v>
      </c>
      <c r="CD66" s="59">
        <f ca="1">AVERAGE(OFFSET($CC$3,0,0,'Données projet'!$E$12+1,1))-AVERAGE(OFFSET($H$3,0,0,'Données projet'!$E$12+1,1))</f>
        <v>249.53949216238527</v>
      </c>
      <c r="CE66" s="59">
        <f t="shared" si="40"/>
        <v>261.78576517528217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27.991879915748562</v>
      </c>
      <c r="CL66" s="21">
        <f>EXP(-LN(2)/25)*CL65+(1-EXP(-LN(2)/25))/(LN(2)/25)*Calculateur!CG66*Calculateur!CI66*VLOOKUP('Données projet'!$B$12,Paramètres!$A$1:$I$89,3,0)*0.475*44/12</f>
        <v>8.1063841367828786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36.098264052531441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7">
        <f t="shared" si="1"/>
        <v>382.13716961118911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-4.5474735088646412E-13</v>
      </c>
      <c r="O67" s="13">
        <f>N67*VLOOKUP('Données projet'!$B$9,Paramètres!$A$1:$I$89,3,0)*VLOOKUP('Données projet'!$B$9,Paramètres!$A$1:$I$89,5,0)</f>
        <v>-2.5420376914553347E-13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281.14678081581229</v>
      </c>
      <c r="T67" s="59">
        <f t="shared" si="34"/>
        <v>380.81265808422603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189.65381363064637</v>
      </c>
      <c r="AA67" s="21">
        <f>EXP(-LN(2)/25)*AA66+(1-EXP(-LN(2)/25))/(LN(2)/25)*Calculateur!V67*Calculateur!X67*VLOOKUP('Données projet'!$B$9,Paramètres!$A$1:$I$89,3,0)*0.475*44/12</f>
        <v>45.367806498227054</v>
      </c>
      <c r="AB67" s="21">
        <f>EXP(-LN(2)/2)*AB66+(1-EXP(-LN(2)/2))/(LN(2)/2)*V67*Y67*VLOOKUP('Données projet'!$B$9,Paramètres!$A$1:$I$89,3,0)*0.475*44/12</f>
        <v>1.4868559358974056</v>
      </c>
      <c r="AC67" s="22">
        <f t="shared" si="3"/>
        <v>236.50847606477083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279.9271639349646</v>
      </c>
      <c r="AO67" s="59">
        <f t="shared" si="36"/>
        <v>260.03726798406916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8.9615384588888887</v>
      </c>
      <c r="BD67" s="12">
        <f>IF('Données projet'!$A$88&gt;35,BD66+BC67-BL66,IF(A67&lt;'Données projet'!$A$88,$BA$205^A67,IF(A67='Données projet'!$A$88,'Données projet'!$B$88,BD66+BC67-BL66)))</f>
        <v>188.75000002888902</v>
      </c>
      <c r="BE67" s="13">
        <f>BD67*VLOOKUP('Données projet'!$B$11,Paramètres!$A$1:$I$89,3,0)*VLOOKUP('Données projet'!$B$11,Paramètres!$A$1:$I$89,5,0)</f>
        <v>161.94750002478679</v>
      </c>
      <c r="BF67" s="13">
        <f t="shared" si="37"/>
        <v>41.281469697848678</v>
      </c>
      <c r="BG67" s="20">
        <f t="shared" si="7"/>
        <v>353.95712226692348</v>
      </c>
      <c r="BH67" s="59">
        <f t="shared" si="8"/>
        <v>647.29045560025679</v>
      </c>
      <c r="BI67" s="59">
        <f ca="1">AVERAGE(OFFSET($BH$3,0,0,'Données projet'!$E$11+1,1))-AVERAGE(OFFSET($H$3,0,0,'Données projet'!$E$11+1,1))</f>
        <v>212.99246338839475</v>
      </c>
      <c r="BJ67" s="59">
        <f t="shared" si="38"/>
        <v>162.04040335537223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220.54655999999989</v>
      </c>
      <c r="CA67" s="13">
        <f t="shared" si="39"/>
        <v>54.233660675860236</v>
      </c>
      <c r="CB67" s="20">
        <f t="shared" si="10"/>
        <v>478.57555101045637</v>
      </c>
      <c r="CC67" s="59">
        <f t="shared" si="11"/>
        <v>771.90888434378962</v>
      </c>
      <c r="CD67" s="59">
        <f ca="1">AVERAGE(OFFSET($CC$3,0,0,'Données projet'!$E$12+1,1))-AVERAGE(OFFSET($H$3,0,0,'Données projet'!$E$12+1,1))</f>
        <v>249.53949216238527</v>
      </c>
      <c r="CE67" s="59">
        <f t="shared" si="40"/>
        <v>261.78576517528217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27.442976223961626</v>
      </c>
      <c r="CL67" s="21">
        <f>EXP(-LN(2)/25)*CL66+(1-EXP(-LN(2)/25))/(LN(2)/25)*Calculateur!CG67*Calculateur!CI67*VLOOKUP('Données projet'!$B$12,Paramètres!$A$1:$I$89,3,0)*0.475*44/12</f>
        <v>7.8847146362663363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35.32769086022796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7">
        <f t="shared" ref="H68:H131" si="56">(B68+E68+F68)*44/12+(C68+D68)*0.475*44/12</f>
        <v>384.04620099248882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-4.5474735088646412E-13</v>
      </c>
      <c r="O68" s="13">
        <f>N68*VLOOKUP('Données projet'!$B$9,Paramètres!$A$1:$I$89,3,0)*VLOOKUP('Données projet'!$B$9,Paramètres!$A$1:$I$89,5,0)</f>
        <v>-2.5420376914553347E-13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281.14678081581229</v>
      </c>
      <c r="T68" s="59">
        <f t="shared" si="34"/>
        <v>380.81265808422603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185.93481802275352</v>
      </c>
      <c r="AA68" s="21">
        <f>EXP(-LN(2)/25)*AA67+(1-EXP(-LN(2)/25))/(LN(2)/25)*Calculateur!V68*Calculateur!X68*VLOOKUP('Données projet'!$B$9,Paramètres!$A$1:$I$89,3,0)*0.475*44/12</f>
        <v>44.127221443743778</v>
      </c>
      <c r="AB68" s="21">
        <f>EXP(-LN(2)/2)*AB67+(1-EXP(-LN(2)/2))/(LN(2)/2)*V68*Y68*VLOOKUP('Données projet'!$B$9,Paramètres!$A$1:$I$89,3,0)*0.475*44/12</f>
        <v>1.0513659149205261</v>
      </c>
      <c r="AC68" s="22">
        <f t="shared" ref="AC68:AC131" si="57">SUM(Z68:AB68)</f>
        <v>231.11340538141783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279.9271639349646</v>
      </c>
      <c r="AO68" s="59">
        <f t="shared" si="36"/>
        <v>260.03726798406916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8.9615384588888887</v>
      </c>
      <c r="BD68" s="12">
        <f>IF('Données projet'!$A$88&gt;35,BD67+BC68-BL67,IF(A68&lt;'Données projet'!$A$88,$BA$205^A68,IF(A68='Données projet'!$A$88,'Données projet'!$B$88,BD67+BC68-BL67)))</f>
        <v>197.71153848777791</v>
      </c>
      <c r="BE68" s="13">
        <f>BD68*VLOOKUP('Données projet'!$B$11,Paramètres!$A$1:$I$89,3,0)*VLOOKUP('Données projet'!$B$11,Paramètres!$A$1:$I$89,5,0)</f>
        <v>169.63650002251347</v>
      </c>
      <c r="BF68" s="13">
        <f t="shared" si="37"/>
        <v>43.008601543018848</v>
      </c>
      <c r="BG68" s="20">
        <f t="shared" ref="BG68:BG131" si="61">(BE68+BF68)*0.475*44/12</f>
        <v>370.35688522663548</v>
      </c>
      <c r="BH68" s="59">
        <f t="shared" ref="BH68:BH131" si="62">BG68+(AY68+AZ68)*44/12</f>
        <v>663.6902185599688</v>
      </c>
      <c r="BI68" s="59">
        <f ca="1">AVERAGE(OFFSET($BH$3,0,0,'Données projet'!$E$11+1,1))-AVERAGE(OFFSET($H$3,0,0,'Données projet'!$E$11+1,1))</f>
        <v>212.99246338839475</v>
      </c>
      <c r="BJ68" s="59">
        <f t="shared" si="38"/>
        <v>162.04040335537223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224.35919999999987</v>
      </c>
      <c r="CA68" s="13">
        <f t="shared" si="39"/>
        <v>55.061251669487255</v>
      </c>
      <c r="CB68" s="20">
        <f t="shared" ref="CB68:CB131" si="64">(BZ68+CA68)*0.475*44/12</f>
        <v>486.65728665769001</v>
      </c>
      <c r="CC68" s="59">
        <f t="shared" ref="CC68:CC131" si="65">CB68+(BT68+BU68)*44/12</f>
        <v>779.99061999102332</v>
      </c>
      <c r="CD68" s="59">
        <f ca="1">AVERAGE(OFFSET($CC$3,0,0,'Données projet'!$E$12+1,1))-AVERAGE(OFFSET($H$3,0,0,'Données projet'!$E$12+1,1))</f>
        <v>249.53949216238527</v>
      </c>
      <c r="CE68" s="59">
        <f t="shared" si="40"/>
        <v>261.78576517528217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0.39560000000000001</v>
      </c>
      <c r="CI68" s="16">
        <f>IF(ISNA(VLOOKUP(A68,'Données projet'!$A$113:$I$133,6,0)),0%,VLOOKUP(A68,'Données projet'!$A$113:$I$133,6,0)*VLOOKUP('Données projet'!$B$12,Paramètres!$A$1:$I$89,7,0))</f>
        <v>3.44E-2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31.073234420128898</v>
      </c>
      <c r="CL68" s="21">
        <f>EXP(-LN(2)/25)*CL67+(1-EXP(-LN(2)/25))/(LN(2)/25)*Calculateur!CG68*Calculateur!CI68*VLOOKUP('Données projet'!$B$12,Paramètres!$A$1:$I$89,3,0)*0.475*44/12</f>
        <v>8.0301489302702276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39.103383350399127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7">
        <f t="shared" si="56"/>
        <v>385.95453902238717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281.14678081581229</v>
      </c>
      <c r="T69" s="59">
        <f t="shared" ref="T69:T132" si="88">$T$3</f>
        <v>380.81265808422603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182.28874965036809</v>
      </c>
      <c r="AA69" s="21">
        <f>EXP(-LN(2)/25)*AA68+(1-EXP(-LN(2)/25))/(LN(2)/25)*Calculateur!V69*Calculateur!X69*VLOOKUP('Données projet'!$B$9,Paramètres!$A$1:$I$89,3,0)*0.475*44/12</f>
        <v>42.92056025281488</v>
      </c>
      <c r="AB69" s="21">
        <f>EXP(-LN(2)/2)*AB68+(1-EXP(-LN(2)/2))/(LN(2)/2)*V69*Y69*VLOOKUP('Données projet'!$B$9,Paramètres!$A$1:$I$89,3,0)*0.475*44/12</f>
        <v>0.74342796794870281</v>
      </c>
      <c r="AC69" s="22">
        <f t="shared" si="57"/>
        <v>225.95273787113166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279.9271639349646</v>
      </c>
      <c r="AO69" s="59">
        <f t="shared" ref="AO69:AO132" si="90">$AO$3</f>
        <v>260.03726798406916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8.9615384588888887</v>
      </c>
      <c r="BD69" s="12">
        <f>IF('Données projet'!$A$88&gt;35,BD68+BC69-BL68,IF(A69&lt;'Données projet'!$A$88,$BA$205^A69,IF(A69='Données projet'!$A$88,'Données projet'!$B$88,BD68+BC69-BL68)))</f>
        <v>206.67307694666681</v>
      </c>
      <c r="BE69" s="13">
        <f>BD69*VLOOKUP('Données projet'!$B$11,Paramètres!$A$1:$I$89,3,0)*VLOOKUP('Données projet'!$B$11,Paramètres!$A$1:$I$89,5,0)</f>
        <v>177.32550002024016</v>
      </c>
      <c r="BF69" s="13">
        <f t="shared" ref="BF69:BF132" si="91">EXP(-1.0587+0.8836*LN(BE69)+0.284)</f>
        <v>44.726641775579758</v>
      </c>
      <c r="BG69" s="20">
        <f t="shared" si="61"/>
        <v>386.74081362771966</v>
      </c>
      <c r="BH69" s="59">
        <f t="shared" si="62"/>
        <v>680.07414696105297</v>
      </c>
      <c r="BI69" s="59">
        <f ca="1">AVERAGE(OFFSET($BH$3,0,0,'Données projet'!$E$11+1,1))-AVERAGE(OFFSET($H$3,0,0,'Données projet'!$E$11+1,1))</f>
        <v>212.99246338839475</v>
      </c>
      <c r="BJ69" s="59">
        <f t="shared" ref="BJ69:BJ132" si="92">$BJ$3</f>
        <v>162.04040335537223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218.20031999999989</v>
      </c>
      <c r="CA69" s="13">
        <f t="shared" ref="CA69:CA132" si="93">EXP(-1.0587+0.8836*LN(BZ69)+0.284)</f>
        <v>53.723547368945667</v>
      </c>
      <c r="CB69" s="20">
        <f t="shared" si="64"/>
        <v>473.60073566758007</v>
      </c>
      <c r="CC69" s="59">
        <f t="shared" si="65"/>
        <v>766.93406900091338</v>
      </c>
      <c r="CD69" s="59">
        <f ca="1">AVERAGE(OFFSET($CC$3,0,0,'Données projet'!$E$12+1,1))-AVERAGE(OFFSET($H$3,0,0,'Données projet'!$E$12+1,1))</f>
        <v>249.53949216238527</v>
      </c>
      <c r="CE69" s="59">
        <f t="shared" ref="CE69:CE132" si="94">$CE$3</f>
        <v>261.78576517528217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30.463907245951734</v>
      </c>
      <c r="CL69" s="21">
        <f>EXP(-LN(2)/25)*CL68+(1-EXP(-LN(2)/25))/(LN(2)/25)*Calculateur!CG69*Calculateur!CI69*VLOOKUP('Données projet'!$B$12,Paramètres!$A$1:$I$89,3,0)*0.475*44/12</f>
        <v>7.8105640854848088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38.274471331436544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7">
        <f t="shared" si="56"/>
        <v>387.86219541959508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281.14678081581229</v>
      </c>
      <c r="T70" s="59">
        <f t="shared" si="88"/>
        <v>380.81265808422603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178.71417845488304</v>
      </c>
      <c r="AA70" s="21">
        <f>EXP(-LN(2)/25)*AA69+(1-EXP(-LN(2)/25))/(LN(2)/25)*Calculateur!V70*Calculateur!X70*VLOOKUP('Données projet'!$B$9,Paramètres!$A$1:$I$89,3,0)*0.475*44/12</f>
        <v>41.746895275607493</v>
      </c>
      <c r="AB70" s="21">
        <f>EXP(-LN(2)/2)*AB69+(1-EXP(-LN(2)/2))/(LN(2)/2)*V70*Y70*VLOOKUP('Données projet'!$B$9,Paramètres!$A$1:$I$89,3,0)*0.475*44/12</f>
        <v>0.52568295746026306</v>
      </c>
      <c r="AC70" s="22">
        <f t="shared" si="57"/>
        <v>220.98675668795082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279.9271639349646</v>
      </c>
      <c r="AO70" s="59">
        <f t="shared" si="90"/>
        <v>260.03726798406916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8.9615384588888887</v>
      </c>
      <c r="BD70" s="12">
        <f>IF('Données projet'!$A$88&gt;35,BD69+BC70-BL69,IF(A70&lt;'Données projet'!$A$88,$BA$205^A70,IF(A70='Données projet'!$A$88,'Données projet'!$B$88,BD69+BC70-BL69)))</f>
        <v>215.63461540555571</v>
      </c>
      <c r="BE70" s="13">
        <f>BD70*VLOOKUP('Données projet'!$B$11,Paramètres!$A$1:$I$89,3,0)*VLOOKUP('Données projet'!$B$11,Paramètres!$A$1:$I$89,5,0)</f>
        <v>185.01450001796681</v>
      </c>
      <c r="BF70" s="13">
        <f t="shared" si="91"/>
        <v>46.436029675884875</v>
      </c>
      <c r="BG70" s="20">
        <f t="shared" si="61"/>
        <v>403.10967255012497</v>
      </c>
      <c r="BH70" s="59">
        <f t="shared" si="62"/>
        <v>696.44300588345823</v>
      </c>
      <c r="BI70" s="59">
        <f ca="1">AVERAGE(OFFSET($BH$3,0,0,'Données projet'!$E$11+1,1))-AVERAGE(OFFSET($H$3,0,0,'Données projet'!$E$11+1,1))</f>
        <v>212.99246338839475</v>
      </c>
      <c r="BJ70" s="59">
        <f t="shared" si="92"/>
        <v>162.04040335537223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221.57303999999991</v>
      </c>
      <c r="CA70" s="13">
        <f t="shared" si="93"/>
        <v>54.456636294321989</v>
      </c>
      <c r="CB70" s="20">
        <f t="shared" si="64"/>
        <v>480.75168621261065</v>
      </c>
      <c r="CC70" s="59">
        <f t="shared" si="65"/>
        <v>774.08501954594396</v>
      </c>
      <c r="CD70" s="59">
        <f ca="1">AVERAGE(OFFSET($CC$3,0,0,'Données projet'!$E$12+1,1))-AVERAGE(OFFSET($H$3,0,0,'Données projet'!$E$12+1,1))</f>
        <v>249.53949216238527</v>
      </c>
      <c r="CE70" s="59">
        <f t="shared" si="94"/>
        <v>261.78576517528217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29.866528606007304</v>
      </c>
      <c r="CL70" s="21">
        <f>EXP(-LN(2)/25)*CL69+(1-EXP(-LN(2)/25))/(LN(2)/25)*Calculateur!CG70*Calculateur!CI70*VLOOKUP('Données projet'!$B$12,Paramètres!$A$1:$I$89,3,0)*0.475*44/12</f>
        <v>7.5969837998275125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37.46351240583482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7">
        <f t="shared" si="56"/>
        <v>389.76918153293246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281.14678081581229</v>
      </c>
      <c r="T71" s="59">
        <f t="shared" si="88"/>
        <v>380.81265808422603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175.20970242026831</v>
      </c>
      <c r="AA71" s="21">
        <f>EXP(-LN(2)/25)*AA70+(1-EXP(-LN(2)/25))/(LN(2)/25)*Calculateur!V71*Calculateur!X71*VLOOKUP('Données projet'!$B$9,Paramètres!$A$1:$I$89,3,0)*0.475*44/12</f>
        <v>40.6053242289222</v>
      </c>
      <c r="AB71" s="21">
        <f>EXP(-LN(2)/2)*AB70+(1-EXP(-LN(2)/2))/(LN(2)/2)*V71*Y71*VLOOKUP('Données projet'!$B$9,Paramètres!$A$1:$I$89,3,0)*0.475*44/12</f>
        <v>0.3717139839743514</v>
      </c>
      <c r="AC71" s="22">
        <f t="shared" si="57"/>
        <v>216.18674063316487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279.9271639349646</v>
      </c>
      <c r="AO71" s="59">
        <f t="shared" si="90"/>
        <v>260.03726798406916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8.9615384588888887</v>
      </c>
      <c r="BD71" s="12">
        <f>IF('Données projet'!$A$88&gt;35,BD70+BC71-BL70,IF(A71&lt;'Données projet'!$A$88,$BA$205^A71,IF(A71='Données projet'!$A$88,'Données projet'!$B$88,BD70+BC71-BL70)))</f>
        <v>224.5961538644446</v>
      </c>
      <c r="BE71" s="13">
        <f>BD71*VLOOKUP('Données projet'!$B$11,Paramètres!$A$1:$I$89,3,0)*VLOOKUP('Données projet'!$B$11,Paramètres!$A$1:$I$89,5,0)</f>
        <v>192.70350001569349</v>
      </c>
      <c r="BF71" s="13">
        <f t="shared" si="91"/>
        <v>48.137165946504453</v>
      </c>
      <c r="BG71" s="20">
        <f t="shared" si="61"/>
        <v>419.46415988416135</v>
      </c>
      <c r="BH71" s="59">
        <f t="shared" si="62"/>
        <v>712.79749321749466</v>
      </c>
      <c r="BI71" s="59">
        <f ca="1">AVERAGE(OFFSET($BH$3,0,0,'Données projet'!$E$11+1,1))-AVERAGE(OFFSET($H$3,0,0,'Données projet'!$E$11+1,1))</f>
        <v>212.99246338839475</v>
      </c>
      <c r="BJ71" s="59">
        <f t="shared" si="92"/>
        <v>162.04040335537223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224.94575999999992</v>
      </c>
      <c r="CA71" s="13">
        <f t="shared" si="93"/>
        <v>55.188427424815572</v>
      </c>
      <c r="CB71" s="20">
        <f t="shared" si="64"/>
        <v>487.90037643155364</v>
      </c>
      <c r="CC71" s="59">
        <f t="shared" si="65"/>
        <v>781.23370976488695</v>
      </c>
      <c r="CD71" s="59">
        <f ca="1">AVERAGE(OFFSET($CC$3,0,0,'Données projet'!$E$12+1,1))-AVERAGE(OFFSET($H$3,0,0,'Données projet'!$E$12+1,1))</f>
        <v>249.53949216238527</v>
      </c>
      <c r="CE71" s="59">
        <f t="shared" si="94"/>
        <v>261.78576517528217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29.280864196827192</v>
      </c>
      <c r="CL71" s="21">
        <f>EXP(-LN(2)/25)*CL70+(1-EXP(-LN(2)/25))/(LN(2)/25)*Calculateur!CG71*Calculateur!CI71*VLOOKUP('Données projet'!$B$12,Paramètres!$A$1:$I$89,3,0)*0.475*44/12</f>
        <v>7.3892438783132146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36.670108075140405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7">
        <f t="shared" si="56"/>
        <v>391.67550835826802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281.14678081581229</v>
      </c>
      <c r="T72" s="59">
        <f t="shared" si="88"/>
        <v>380.81265808422603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171.77394702317306</v>
      </c>
      <c r="AA72" s="21">
        <f>EXP(-LN(2)/25)*AA71+(1-EXP(-LN(2)/25))/(LN(2)/25)*Calculateur!V72*Calculateur!X72*VLOOKUP('Données projet'!$B$9,Paramètres!$A$1:$I$89,3,0)*0.475*44/12</f>
        <v>39.494969502541124</v>
      </c>
      <c r="AB72" s="21">
        <f>EXP(-LN(2)/2)*AB71+(1-EXP(-LN(2)/2))/(LN(2)/2)*V72*Y72*VLOOKUP('Données projet'!$B$9,Paramètres!$A$1:$I$89,3,0)*0.475*44/12</f>
        <v>0.26284147873013153</v>
      </c>
      <c r="AC72" s="22">
        <f t="shared" si="57"/>
        <v>211.53175800444433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279.9271639349646</v>
      </c>
      <c r="AO72" s="59">
        <f t="shared" si="90"/>
        <v>260.03726798406916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8.9615384588888887</v>
      </c>
      <c r="BD72" s="12">
        <f>IF('Données projet'!$A$88&gt;35,BD71+BC72-BL71,IF(A72&lt;'Données projet'!$A$88,$BA$205^A72,IF(A72='Données projet'!$A$88,'Données projet'!$B$88,BD71+BC72-BL71)))</f>
        <v>233.5576923233335</v>
      </c>
      <c r="BE72" s="13">
        <f>BD72*VLOOKUP('Données projet'!$B$11,Paramètres!$A$1:$I$89,3,0)*VLOOKUP('Données projet'!$B$11,Paramètres!$A$1:$I$89,5,0)</f>
        <v>200.39250001342015</v>
      </c>
      <c r="BF72" s="13">
        <f t="shared" si="91"/>
        <v>49.830417503368253</v>
      </c>
      <c r="BG72" s="20">
        <f t="shared" si="61"/>
        <v>435.80491467507318</v>
      </c>
      <c r="BH72" s="59">
        <f t="shared" si="62"/>
        <v>729.13824800840644</v>
      </c>
      <c r="BI72" s="59">
        <f ca="1">AVERAGE(OFFSET($BH$3,0,0,'Données projet'!$E$11+1,1))-AVERAGE(OFFSET($H$3,0,0,'Données projet'!$E$11+1,1))</f>
        <v>212.99246338839475</v>
      </c>
      <c r="BJ72" s="59">
        <f t="shared" si="92"/>
        <v>162.04040335537223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228.31847999999994</v>
      </c>
      <c r="CA72" s="13">
        <f t="shared" si="93"/>
        <v>55.918942466546987</v>
      </c>
      <c r="CB72" s="20">
        <f t="shared" si="64"/>
        <v>495.04684412923598</v>
      </c>
      <c r="CC72" s="59">
        <f t="shared" si="65"/>
        <v>788.38017746256924</v>
      </c>
      <c r="CD72" s="59">
        <f ca="1">AVERAGE(OFFSET($CC$3,0,0,'Données projet'!$E$12+1,1))-AVERAGE(OFFSET($H$3,0,0,'Données projet'!$E$12+1,1))</f>
        <v>249.53949216238527</v>
      </c>
      <c r="CE72" s="59">
        <f t="shared" si="94"/>
        <v>261.78576517528217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28.706684309491084</v>
      </c>
      <c r="CL72" s="21">
        <f>EXP(-LN(2)/25)*CL71+(1-EXP(-LN(2)/25))/(LN(2)/25)*Calculateur!CG72*Calculateur!CI72*VLOOKUP('Données projet'!$B$12,Paramètres!$A$1:$I$89,3,0)*0.475*44/12</f>
        <v>7.1871846158772925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35.89386892536838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7">
        <f t="shared" si="56"/>
        <v>393.58118655444935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281.14678081581229</v>
      </c>
      <c r="T73" s="59">
        <f t="shared" si="88"/>
        <v>380.81265808422603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168.40556469381096</v>
      </c>
      <c r="AA73" s="21">
        <f>EXP(-LN(2)/25)*AA72+(1-EXP(-LN(2)/25))/(LN(2)/25)*Calculateur!V73*Calculateur!X73*VLOOKUP('Données projet'!$B$9,Paramètres!$A$1:$I$89,3,0)*0.475*44/12</f>
        <v>38.414977484543961</v>
      </c>
      <c r="AB73" s="21">
        <f>EXP(-LN(2)/2)*AB72+(1-EXP(-LN(2)/2))/(LN(2)/2)*V73*Y73*VLOOKUP('Données projet'!$B$9,Paramètres!$A$1:$I$89,3,0)*0.475*44/12</f>
        <v>0.1858569919871757</v>
      </c>
      <c r="AC73" s="22">
        <f t="shared" si="57"/>
        <v>207.00639917034209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279.9271639349646</v>
      </c>
      <c r="AO73" s="59">
        <f t="shared" si="90"/>
        <v>260.03726798406916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8.9615384588888887</v>
      </c>
      <c r="BD73" s="12">
        <f>IF('Données projet'!$A$88&gt;35,BD72+BC73-BL72,IF(A73&lt;'Données projet'!$A$88,$BA$205^A73,IF(A73='Données projet'!$A$88,'Données projet'!$B$88,BD72+BC73-BL72)))</f>
        <v>242.51923078222239</v>
      </c>
      <c r="BE73" s="13">
        <f>BD73*VLOOKUP('Données projet'!$B$11,Paramètres!$A$1:$I$89,3,0)*VLOOKUP('Données projet'!$B$11,Paramètres!$A$1:$I$89,5,0)</f>
        <v>208.08150001114683</v>
      </c>
      <c r="BF73" s="13">
        <f t="shared" si="91"/>
        <v>51.516121510887096</v>
      </c>
      <c r="BG73" s="20">
        <f t="shared" si="61"/>
        <v>452.13252415087572</v>
      </c>
      <c r="BH73" s="59">
        <f t="shared" si="62"/>
        <v>745.46585748420898</v>
      </c>
      <c r="BI73" s="59">
        <f ca="1">AVERAGE(OFFSET($BH$3,0,0,'Données projet'!$E$11+1,1))-AVERAGE(OFFSET($H$3,0,0,'Données projet'!$E$11+1,1))</f>
        <v>212.99246338839475</v>
      </c>
      <c r="BJ73" s="59">
        <f t="shared" si="92"/>
        <v>162.04040335537223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231.69119999999992</v>
      </c>
      <c r="CA73" s="13">
        <f t="shared" si="93"/>
        <v>56.648202447537749</v>
      </c>
      <c r="CB73" s="20">
        <f t="shared" si="64"/>
        <v>502.19112592946141</v>
      </c>
      <c r="CC73" s="59">
        <f t="shared" si="65"/>
        <v>795.52445926279472</v>
      </c>
      <c r="CD73" s="59">
        <f ca="1">AVERAGE(OFFSET($CC$3,0,0,'Données projet'!$E$12+1,1))-AVERAGE(OFFSET($H$3,0,0,'Données projet'!$E$12+1,1))</f>
        <v>249.53949216238527</v>
      </c>
      <c r="CE73" s="59">
        <f t="shared" si="94"/>
        <v>261.78576517528217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0.39560000000000001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32.312161960886947</v>
      </c>
      <c r="CL73" s="21">
        <f>EXP(-LN(2)/25)*CL72+(1-EXP(-LN(2)/25))/(LN(2)/25)*Calculateur!CG73*Calculateur!CI73*VLOOKUP('Données projet'!$B$12,Paramètres!$A$1:$I$89,3,0)*0.475*44/12</f>
        <v>6.9906506745985153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39.302812635485459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7">
        <f t="shared" si="56"/>
        <v>395.48622645829641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281.14678081581229</v>
      </c>
      <c r="T74" s="59">
        <f t="shared" si="88"/>
        <v>380.81265808422603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165.10323428741731</v>
      </c>
      <c r="AA74" s="21">
        <f>EXP(-LN(2)/25)*AA73+(1-EXP(-LN(2)/25))/(LN(2)/25)*Calculateur!V74*Calculateur!X74*VLOOKUP('Données projet'!$B$9,Paramètres!$A$1:$I$89,3,0)*0.475*44/12</f>
        <v>37.364517905073242</v>
      </c>
      <c r="AB74" s="21">
        <f>EXP(-LN(2)/2)*AB73+(1-EXP(-LN(2)/2))/(LN(2)/2)*V74*Y74*VLOOKUP('Données projet'!$B$9,Paramètres!$A$1:$I$89,3,0)*0.475*44/12</f>
        <v>0.13142073936506576</v>
      </c>
      <c r="AC74" s="22">
        <f t="shared" si="57"/>
        <v>202.59917293185561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279.9271639349646</v>
      </c>
      <c r="AO74" s="59">
        <f t="shared" si="90"/>
        <v>260.03726798406916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8.9615384588888887</v>
      </c>
      <c r="BD74" s="12">
        <f>IF('Données projet'!$A$88&gt;35,BD73+BC74-BL73,IF(A74&lt;'Données projet'!$A$88,$BA$205^A74,IF(A74='Données projet'!$A$88,'Données projet'!$B$88,BD73+BC74-BL73)))</f>
        <v>251.48076924111129</v>
      </c>
      <c r="BE74" s="13">
        <f>BD74*VLOOKUP('Données projet'!$B$11,Paramètres!$A$1:$I$89,3,0)*VLOOKUP('Données projet'!$B$11,Paramètres!$A$1:$I$89,5,0)</f>
        <v>215.77050000887351</v>
      </c>
      <c r="BF74" s="13">
        <f t="shared" si="91"/>
        <v>53.194588803887733</v>
      </c>
      <c r="BG74" s="20">
        <f t="shared" si="61"/>
        <v>468.44752968222582</v>
      </c>
      <c r="BH74" s="59">
        <f t="shared" si="62"/>
        <v>761.78086301555913</v>
      </c>
      <c r="BI74" s="59">
        <f ca="1">AVERAGE(OFFSET($BH$3,0,0,'Données projet'!$E$11+1,1))-AVERAGE(OFFSET($H$3,0,0,'Données projet'!$E$11+1,1))</f>
        <v>212.99246338839475</v>
      </c>
      <c r="BJ74" s="59">
        <f t="shared" si="92"/>
        <v>162.04040335537223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225.23903999999993</v>
      </c>
      <c r="CA74" s="13">
        <f t="shared" si="93"/>
        <v>55.252000822487368</v>
      </c>
      <c r="CB74" s="20">
        <f t="shared" si="64"/>
        <v>488.52189609916542</v>
      </c>
      <c r="CC74" s="59">
        <f t="shared" si="65"/>
        <v>781.85522943249873</v>
      </c>
      <c r="CD74" s="59">
        <f ca="1">AVERAGE(OFFSET($CC$3,0,0,'Données projet'!$E$12+1,1))-AVERAGE(OFFSET($H$3,0,0,'Données projet'!$E$12+1,1))</f>
        <v>249.53949216238527</v>
      </c>
      <c r="CE74" s="59">
        <f t="shared" si="94"/>
        <v>261.78576517528217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31.6785401733067</v>
      </c>
      <c r="CL74" s="21">
        <f>EXP(-LN(2)/25)*CL73+(1-EXP(-LN(2)/25))/(LN(2)/25)*Calculateur!CG74*Calculateur!CI74*VLOOKUP('Données projet'!$B$12,Paramètres!$A$1:$I$89,3,0)*0.475*44/12</f>
        <v>6.7994909642792773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38.47803113758598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7">
        <f t="shared" si="56"/>
        <v>397.39063809872664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281.14678081581229</v>
      </c>
      <c r="T75" s="59">
        <f t="shared" si="88"/>
        <v>380.81265808422603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161.86566056607037</v>
      </c>
      <c r="AA75" s="21">
        <f>EXP(-LN(2)/25)*AA74+(1-EXP(-LN(2)/25))/(LN(2)/25)*Calculateur!V75*Calculateur!X75*VLOOKUP('Données projet'!$B$9,Paramètres!$A$1:$I$89,3,0)*0.475*44/12</f>
        <v>36.342783198044415</v>
      </c>
      <c r="AB75" s="21">
        <f>EXP(-LN(2)/2)*AB74+(1-EXP(-LN(2)/2))/(LN(2)/2)*V75*Y75*VLOOKUP('Données projet'!$B$9,Paramètres!$A$1:$I$89,3,0)*0.475*44/12</f>
        <v>9.2928495993587851E-2</v>
      </c>
      <c r="AC75" s="22">
        <f t="shared" si="57"/>
        <v>198.30137226010839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279.9271639349646</v>
      </c>
      <c r="AO75" s="59">
        <f t="shared" si="90"/>
        <v>260.03726798406916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260.44230770000001</v>
      </c>
      <c r="BB75" s="12">
        <f>VLOOKUP(A75,'Données projet'!$A$87:$I$107,9,0)</f>
        <v>8.9615384588888887</v>
      </c>
      <c r="BC75" s="12">
        <f t="array" ref="BC75">INDEX(BB:BB,MIN(IF(ISNUMBER(BB75:BB271),ROW(BB75:BB271),"")))</f>
        <v>8.9615384588888887</v>
      </c>
      <c r="BD75" s="12">
        <f>IF('Données projet'!$A$88&gt;35,BD74+BC75-BL74,IF(A75&lt;'Données projet'!$A$88,$BA$205^A75,IF(A75='Données projet'!$A$88,'Données projet'!$B$88,BD74+BC75-BL74)))</f>
        <v>260.44230770000019</v>
      </c>
      <c r="BE75" s="13">
        <f>BD75*VLOOKUP('Données projet'!$B$11,Paramètres!$A$1:$I$89,3,0)*VLOOKUP('Données projet'!$B$11,Paramètres!$A$1:$I$89,5,0)</f>
        <v>223.45950000660019</v>
      </c>
      <c r="BF75" s="13">
        <f t="shared" si="91"/>
        <v>54.866106808076985</v>
      </c>
      <c r="BG75" s="20">
        <f t="shared" si="61"/>
        <v>484.75043186889616</v>
      </c>
      <c r="BH75" s="59">
        <f t="shared" si="62"/>
        <v>778.08376520222942</v>
      </c>
      <c r="BI75" s="59">
        <f ca="1">AVERAGE(OFFSET($BH$3,0,0,'Données projet'!$E$11+1,1))-AVERAGE(OFFSET($H$3,0,0,'Données projet'!$E$11+1,1))</f>
        <v>212.99246338839475</v>
      </c>
      <c r="BJ75" s="59">
        <f t="shared" si="92"/>
        <v>162.04040335537223</v>
      </c>
      <c r="BK75" s="15">
        <f>IF(ISNA(VLOOKUP(A75,'Données projet'!$A$87:$I$107,3,0)),0,VLOOKUP(A75,'Données projet'!$A$87:$I$107,3,0))</f>
        <v>5</v>
      </c>
      <c r="BL75" s="15">
        <f>IF(ISNA(VLOOKUP(A75,'Données projet'!$A$87:$I$107,4,0)),0,VLOOKUP(A75,'Données projet'!$A$87:$I$107,4,0))</f>
        <v>62.551282049999998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228.31847999999994</v>
      </c>
      <c r="CA75" s="13">
        <f t="shared" si="93"/>
        <v>55.918942466546987</v>
      </c>
      <c r="CB75" s="20">
        <f t="shared" si="64"/>
        <v>495.04684412923598</v>
      </c>
      <c r="CC75" s="59">
        <f t="shared" si="65"/>
        <v>788.38017746256924</v>
      </c>
      <c r="CD75" s="59">
        <f ca="1">AVERAGE(OFFSET($CC$3,0,0,'Données projet'!$E$12+1,1))-AVERAGE(OFFSET($H$3,0,0,'Données projet'!$E$12+1,1))</f>
        <v>249.53949216238527</v>
      </c>
      <c r="CE75" s="59">
        <f t="shared" si="94"/>
        <v>261.78576517528217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31.057343322509773</v>
      </c>
      <c r="CL75" s="21">
        <f>EXP(-LN(2)/25)*CL74+(1-EXP(-LN(2)/25))/(LN(2)/25)*Calculateur!CG75*Calculateur!CI75*VLOOKUP('Données projet'!$B$12,Paramètres!$A$1:$I$89,3,0)*0.475*44/12</f>
        <v>6.6135585262913708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37.670901848801144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7">
        <f t="shared" si="56"/>
        <v>399.29443121007313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281.14678081581229</v>
      </c>
      <c r="T76" s="59">
        <f t="shared" si="88"/>
        <v>380.81265808422603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158.69157369067406</v>
      </c>
      <c r="AA76" s="21">
        <f>EXP(-LN(2)/25)*AA75+(1-EXP(-LN(2)/25))/(LN(2)/25)*Calculateur!V76*Calculateur!X76*VLOOKUP('Données projet'!$B$9,Paramètres!$A$1:$I$89,3,0)*0.475*44/12</f>
        <v>35.348987880309984</v>
      </c>
      <c r="AB76" s="21">
        <f>EXP(-LN(2)/2)*AB75+(1-EXP(-LN(2)/2))/(LN(2)/2)*V76*Y76*VLOOKUP('Données projet'!$B$9,Paramètres!$A$1:$I$89,3,0)*0.475*44/12</f>
        <v>6.5710369682532882E-2</v>
      </c>
      <c r="AC76" s="22">
        <f t="shared" si="57"/>
        <v>194.10627194066657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279.9271639349646</v>
      </c>
      <c r="AO76" s="59">
        <f t="shared" si="90"/>
        <v>260.03726798406916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8.0178062722222183</v>
      </c>
      <c r="BD76" s="12">
        <f>IF('Données projet'!$A$88&gt;35,BD75+BC76-BL75,IF(A76&lt;'Données projet'!$A$88,$BA$205^A76,IF(A76='Données projet'!$A$88,'Données projet'!$B$88,BD75+BC76-BL75)))</f>
        <v>205.90883192222242</v>
      </c>
      <c r="BE76" s="13">
        <f>BD76*VLOOKUP('Données projet'!$B$11,Paramètres!$A$1:$I$89,3,0)*VLOOKUP('Données projet'!$B$11,Paramètres!$A$1:$I$89,5,0)</f>
        <v>176.66977778926685</v>
      </c>
      <c r="BF76" s="13">
        <f t="shared" si="91"/>
        <v>44.58046973887464</v>
      </c>
      <c r="BG76" s="20">
        <f t="shared" si="61"/>
        <v>385.34418111151308</v>
      </c>
      <c r="BH76" s="59">
        <f t="shared" si="62"/>
        <v>678.67751444484634</v>
      </c>
      <c r="BI76" s="59">
        <f ca="1">AVERAGE(OFFSET($BH$3,0,0,'Données projet'!$E$11+1,1))-AVERAGE(OFFSET($H$3,0,0,'Données projet'!$E$11+1,1))</f>
        <v>212.99246338839475</v>
      </c>
      <c r="BJ76" s="59">
        <f t="shared" si="92"/>
        <v>162.04040335537223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231.39791999999991</v>
      </c>
      <c r="CA76" s="13">
        <f t="shared" si="93"/>
        <v>56.584837838715806</v>
      </c>
      <c r="CB76" s="20">
        <f t="shared" si="64"/>
        <v>501.56996990242982</v>
      </c>
      <c r="CC76" s="59">
        <f t="shared" si="65"/>
        <v>794.90330323576313</v>
      </c>
      <c r="CD76" s="59">
        <f ca="1">AVERAGE(OFFSET($CC$3,0,0,'Données projet'!$E$12+1,1))-AVERAGE(OFFSET($H$3,0,0,'Données projet'!$E$12+1,1))</f>
        <v>249.53949216238527</v>
      </c>
      <c r="CE76" s="59">
        <f t="shared" si="94"/>
        <v>261.78576517528217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30.448327763064306</v>
      </c>
      <c r="CL76" s="21">
        <f>EXP(-LN(2)/25)*CL75+(1-EXP(-LN(2)/25))/(LN(2)/25)*Calculateur!CG76*Calculateur!CI76*VLOOKUP('Données projet'!$B$12,Paramètres!$A$1:$I$89,3,0)*0.475*44/12</f>
        <v>6.4327104205980055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36.881038183662312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7">
        <f t="shared" si="56"/>
        <v>401.19761524465173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281.14678081581229</v>
      </c>
      <c r="T77" s="59">
        <f t="shared" si="88"/>
        <v>380.81265808422603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155.57972872290244</v>
      </c>
      <c r="AA77" s="21">
        <f>EXP(-LN(2)/25)*AA76+(1-EXP(-LN(2)/25))/(LN(2)/25)*Calculateur!V77*Calculateur!X77*VLOOKUP('Données projet'!$B$9,Paramètres!$A$1:$I$89,3,0)*0.475*44/12</f>
        <v>34.382367947800425</v>
      </c>
      <c r="AB77" s="21">
        <f>EXP(-LN(2)/2)*AB76+(1-EXP(-LN(2)/2))/(LN(2)/2)*V77*Y77*VLOOKUP('Données projet'!$B$9,Paramètres!$A$1:$I$89,3,0)*0.475*44/12</f>
        <v>4.6464247996793925E-2</v>
      </c>
      <c r="AC77" s="22">
        <f t="shared" si="57"/>
        <v>190.00856091869966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279.9271639349646</v>
      </c>
      <c r="AO77" s="59">
        <f t="shared" si="90"/>
        <v>260.03726798406916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8.0178062722222183</v>
      </c>
      <c r="BD77" s="12">
        <f>IF('Données projet'!$A$88&gt;35,BD76+BC77-BL76,IF(A77&lt;'Données projet'!$A$88,$BA$205^A77,IF(A77='Données projet'!$A$88,'Données projet'!$B$88,BD76+BC77-BL76)))</f>
        <v>213.92663819444465</v>
      </c>
      <c r="BE77" s="13">
        <f>BD77*VLOOKUP('Données projet'!$B$11,Paramètres!$A$1:$I$89,3,0)*VLOOKUP('Données projet'!$B$11,Paramètres!$A$1:$I$89,5,0)</f>
        <v>183.54905557083353</v>
      </c>
      <c r="BF77" s="13">
        <f t="shared" si="91"/>
        <v>46.110886135881927</v>
      </c>
      <c r="BG77" s="20">
        <f t="shared" si="61"/>
        <v>399.99106513919605</v>
      </c>
      <c r="BH77" s="59">
        <f t="shared" si="62"/>
        <v>693.32439847252931</v>
      </c>
      <c r="BI77" s="59">
        <f ca="1">AVERAGE(OFFSET($BH$3,0,0,'Données projet'!$E$11+1,1))-AVERAGE(OFFSET($H$3,0,0,'Données projet'!$E$11+1,1))</f>
        <v>212.99246338839475</v>
      </c>
      <c r="BJ77" s="59">
        <f t="shared" si="92"/>
        <v>162.04040335537223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234.47735999999995</v>
      </c>
      <c r="CA77" s="13">
        <f t="shared" si="93"/>
        <v>57.249702472380292</v>
      </c>
      <c r="CB77" s="20">
        <f t="shared" si="64"/>
        <v>508.09130047272885</v>
      </c>
      <c r="CC77" s="59">
        <f t="shared" si="65"/>
        <v>801.42463380606216</v>
      </c>
      <c r="CD77" s="59">
        <f ca="1">AVERAGE(OFFSET($CC$3,0,0,'Données projet'!$E$12+1,1))-AVERAGE(OFFSET($H$3,0,0,'Données projet'!$E$12+1,1))</f>
        <v>249.53949216238527</v>
      </c>
      <c r="CE77" s="59">
        <f t="shared" si="94"/>
        <v>261.78576517528217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29.851254627276752</v>
      </c>
      <c r="CL77" s="21">
        <f>EXP(-LN(2)/25)*CL76+(1-EXP(-LN(2)/25))/(LN(2)/25)*Calculateur!CG77*Calculateur!CI77*VLOOKUP('Données projet'!$B$12,Paramètres!$A$1:$I$89,3,0)*0.475*44/12</f>
        <v>6.2568076158652142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36.108062243141966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7">
        <f t="shared" si="56"/>
        <v>403.10019938463006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281.14678081581229</v>
      </c>
      <c r="T78" s="59">
        <f t="shared" si="88"/>
        <v>380.81265808422603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152.52890513691082</v>
      </c>
      <c r="AA78" s="21">
        <f>EXP(-LN(2)/25)*AA77+(1-EXP(-LN(2)/25))/(LN(2)/25)*Calculateur!V78*Calculateur!X78*VLOOKUP('Données projet'!$B$9,Paramètres!$A$1:$I$89,3,0)*0.475*44/12</f>
        <v>33.442180288177674</v>
      </c>
      <c r="AB78" s="21">
        <f>EXP(-LN(2)/2)*AB77+(1-EXP(-LN(2)/2))/(LN(2)/2)*V78*Y78*VLOOKUP('Données projet'!$B$9,Paramètres!$A$1:$I$89,3,0)*0.475*44/12</f>
        <v>3.2855184841266441E-2</v>
      </c>
      <c r="AC78" s="22">
        <f t="shared" si="57"/>
        <v>186.00394060992974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279.9271639349646</v>
      </c>
      <c r="AO78" s="59">
        <f t="shared" si="90"/>
        <v>260.03726798406916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8.0178062722222183</v>
      </c>
      <c r="BD78" s="12">
        <f>IF('Données projet'!$A$88&gt;35,BD77+BC78-BL77,IF(A78&lt;'Données projet'!$A$88,$BA$205^A78,IF(A78='Données projet'!$A$88,'Données projet'!$B$88,BD77+BC78-BL77)))</f>
        <v>221.94444446666688</v>
      </c>
      <c r="BE78" s="13">
        <f>BD78*VLOOKUP('Données projet'!$B$11,Paramètres!$A$1:$I$89,3,0)*VLOOKUP('Données projet'!$B$11,Paramètres!$A$1:$I$89,5,0)</f>
        <v>190.42833335240019</v>
      </c>
      <c r="BF78" s="13">
        <f t="shared" si="91"/>
        <v>47.634638859354354</v>
      </c>
      <c r="BG78" s="20">
        <f t="shared" si="61"/>
        <v>414.62634326880578</v>
      </c>
      <c r="BH78" s="59">
        <f t="shared" si="62"/>
        <v>707.9596766021391</v>
      </c>
      <c r="BI78" s="59">
        <f ca="1">AVERAGE(OFFSET($BH$3,0,0,'Données projet'!$E$11+1,1))-AVERAGE(OFFSET($H$3,0,0,'Données projet'!$E$11+1,1))</f>
        <v>212.99246338839475</v>
      </c>
      <c r="BJ78" s="59">
        <f t="shared" si="92"/>
        <v>162.04040335537223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237.55679999999992</v>
      </c>
      <c r="CA78" s="13">
        <f t="shared" si="93"/>
        <v>57.913551469467308</v>
      </c>
      <c r="CB78" s="20">
        <f t="shared" si="64"/>
        <v>514.61086214265538</v>
      </c>
      <c r="CC78" s="59">
        <f t="shared" si="65"/>
        <v>807.94419547598864</v>
      </c>
      <c r="CD78" s="59">
        <f ca="1">AVERAGE(OFFSET($CC$3,0,0,'Données projet'!$E$12+1,1))-AVERAGE(OFFSET($H$3,0,0,'Données projet'!$E$12+1,1))</f>
        <v>249.53949216238527</v>
      </c>
      <c r="CE78" s="59">
        <f t="shared" si="94"/>
        <v>261.78576517528217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0.39560000000000001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33.113641935832376</v>
      </c>
      <c r="CL78" s="21">
        <f>EXP(-LN(2)/25)*CL77+(1-EXP(-LN(2)/25))/(LN(2)/25)*Calculateur!CG78*Calculateur!CI78*VLOOKUP('Données projet'!$B$12,Paramètres!$A$1:$I$89,3,0)*0.475*44/12</f>
        <v>6.0857148825781673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39.199356818410543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7">
        <f t="shared" si="56"/>
        <v>405.00219255324532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281.14678081581229</v>
      </c>
      <c r="T79" s="59">
        <f t="shared" si="88"/>
        <v>380.81265808422603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149.53790634062184</v>
      </c>
      <c r="AA79" s="21">
        <f>EXP(-LN(2)/25)*AA78+(1-EXP(-LN(2)/25))/(LN(2)/25)*Calculateur!V79*Calculateur!X79*VLOOKUP('Données projet'!$B$9,Paramètres!$A$1:$I$89,3,0)*0.475*44/12</f>
        <v>32.527702109549629</v>
      </c>
      <c r="AB79" s="21">
        <f>EXP(-LN(2)/2)*AB78+(1-EXP(-LN(2)/2))/(LN(2)/2)*V79*Y79*VLOOKUP('Données projet'!$B$9,Paramètres!$A$1:$I$89,3,0)*0.475*44/12</f>
        <v>2.3232123998396963E-2</v>
      </c>
      <c r="AC79" s="22">
        <f t="shared" si="57"/>
        <v>182.08884057416986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279.9271639349646</v>
      </c>
      <c r="AO79" s="59">
        <f t="shared" si="90"/>
        <v>260.03726798406916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8.0178062722222183</v>
      </c>
      <c r="BD79" s="12">
        <f>IF('Données projet'!$A$88&gt;35,BD78+BC79-BL78,IF(A79&lt;'Données projet'!$A$88,$BA$205^A79,IF(A79='Données projet'!$A$88,'Données projet'!$B$88,BD78+BC79-BL78)))</f>
        <v>229.96225073888911</v>
      </c>
      <c r="BE79" s="13">
        <f>BD79*VLOOKUP('Données projet'!$B$11,Paramètres!$A$1:$I$89,3,0)*VLOOKUP('Données projet'!$B$11,Paramètres!$A$1:$I$89,5,0)</f>
        <v>197.30761113396687</v>
      </c>
      <c r="BF79" s="13">
        <f t="shared" si="91"/>
        <v>49.151996211478135</v>
      </c>
      <c r="BG79" s="20">
        <f t="shared" si="61"/>
        <v>429.25048279331673</v>
      </c>
      <c r="BH79" s="59">
        <f t="shared" si="62"/>
        <v>722.58381612665005</v>
      </c>
      <c r="BI79" s="59">
        <f ca="1">AVERAGE(OFFSET($BH$3,0,0,'Données projet'!$E$11+1,1))-AVERAGE(OFFSET($H$3,0,0,'Données projet'!$E$11+1,1))</f>
        <v>212.99246338839475</v>
      </c>
      <c r="BJ79" s="59">
        <f t="shared" si="92"/>
        <v>162.04040335537223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231.39791999999991</v>
      </c>
      <c r="CA79" s="13">
        <f t="shared" si="93"/>
        <v>56.584837838715806</v>
      </c>
      <c r="CB79" s="20">
        <f t="shared" si="64"/>
        <v>501.56996990242982</v>
      </c>
      <c r="CC79" s="59">
        <f t="shared" si="65"/>
        <v>794.90330323576313</v>
      </c>
      <c r="CD79" s="59">
        <f ca="1">AVERAGE(OFFSET($CC$3,0,0,'Données projet'!$E$12+1,1))-AVERAGE(OFFSET($H$3,0,0,'Données projet'!$E$12+1,1))</f>
        <v>249.53949216238527</v>
      </c>
      <c r="CE79" s="59">
        <f t="shared" si="94"/>
        <v>261.78576517528217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32.464303614797963</v>
      </c>
      <c r="CL79" s="21">
        <f>EXP(-LN(2)/25)*CL78+(1-EXP(-LN(2)/25))/(LN(2)/25)*Calculateur!CG79*Calculateur!CI79*VLOOKUP('Données projet'!$B$12,Paramètres!$A$1:$I$89,3,0)*0.475*44/12</f>
        <v>5.9193006890802309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38.383604303878194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7">
        <f t="shared" si="56"/>
        <v>406.9036034254151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281.14678081581229</v>
      </c>
      <c r="T80" s="59">
        <f t="shared" si="88"/>
        <v>380.81265808422603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146.60555920639896</v>
      </c>
      <c r="AA80" s="21">
        <f>EXP(-LN(2)/25)*AA79+(1-EXP(-LN(2)/25))/(LN(2)/25)*Calculateur!V80*Calculateur!X80*VLOOKUP('Données projet'!$B$9,Paramètres!$A$1:$I$89,3,0)*0.475*44/12</f>
        <v>31.638230384806484</v>
      </c>
      <c r="AB80" s="21">
        <f>EXP(-LN(2)/2)*AB79+(1-EXP(-LN(2)/2))/(LN(2)/2)*V80*Y80*VLOOKUP('Données projet'!$B$9,Paramètres!$A$1:$I$89,3,0)*0.475*44/12</f>
        <v>1.6427592420633221E-2</v>
      </c>
      <c r="AC80" s="22">
        <f t="shared" si="57"/>
        <v>178.26021718362608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279.9271639349646</v>
      </c>
      <c r="AO80" s="59">
        <f t="shared" si="90"/>
        <v>260.03726798406916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8.0178062722222183</v>
      </c>
      <c r="BD80" s="12">
        <f>IF('Données projet'!$A$88&gt;35,BD79+BC80-BL79,IF(A80&lt;'Données projet'!$A$88,$BA$205^A80,IF(A80='Données projet'!$A$88,'Données projet'!$B$88,BD79+BC80-BL79)))</f>
        <v>237.98005701111134</v>
      </c>
      <c r="BE80" s="13">
        <f>BD80*VLOOKUP('Données projet'!$B$11,Paramètres!$A$1:$I$89,3,0)*VLOOKUP('Données projet'!$B$11,Paramètres!$A$1:$I$89,5,0)</f>
        <v>204.18688891553356</v>
      </c>
      <c r="BF80" s="13">
        <f t="shared" si="91"/>
        <v>50.66320672437525</v>
      </c>
      <c r="BG80" s="20">
        <f t="shared" si="61"/>
        <v>443.86391657284116</v>
      </c>
      <c r="BH80" s="59">
        <f t="shared" si="62"/>
        <v>737.19724990617442</v>
      </c>
      <c r="BI80" s="59">
        <f ca="1">AVERAGE(OFFSET($BH$3,0,0,'Données projet'!$E$11+1,1))-AVERAGE(OFFSET($H$3,0,0,'Données projet'!$E$11+1,1))</f>
        <v>212.99246338839475</v>
      </c>
      <c r="BJ80" s="59">
        <f t="shared" si="92"/>
        <v>162.04040335537223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234.03743999999998</v>
      </c>
      <c r="CA80" s="13">
        <f t="shared" si="93"/>
        <v>57.154784339928739</v>
      </c>
      <c r="CB80" s="20">
        <f t="shared" si="64"/>
        <v>507.15979072537579</v>
      </c>
      <c r="CC80" s="59">
        <f t="shared" si="65"/>
        <v>800.4931240587091</v>
      </c>
      <c r="CD80" s="59">
        <f ca="1">AVERAGE(OFFSET($CC$3,0,0,'Données projet'!$E$12+1,1))-AVERAGE(OFFSET($H$3,0,0,'Données projet'!$E$12+1,1))</f>
        <v>249.53949216238527</v>
      </c>
      <c r="CE80" s="59">
        <f t="shared" si="94"/>
        <v>261.78576517528217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31.827698422181768</v>
      </c>
      <c r="CL80" s="21">
        <f>EXP(-LN(2)/25)*CL79+(1-EXP(-LN(2)/25))/(LN(2)/25)*Calculateur!CG80*Calculateur!CI80*VLOOKUP('Données projet'!$B$12,Paramètres!$A$1:$I$89,3,0)*0.475*44/12</f>
        <v>5.7574371004548377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37.585135522636605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7">
        <f t="shared" si="56"/>
        <v>408.8044404377805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281.14678081581229</v>
      </c>
      <c r="T81" s="59">
        <f t="shared" si="88"/>
        <v>380.81265808422603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143.73071361092306</v>
      </c>
      <c r="AA81" s="21">
        <f>EXP(-LN(2)/25)*AA80+(1-EXP(-LN(2)/25))/(LN(2)/25)*Calculateur!V81*Calculateur!X81*VLOOKUP('Données projet'!$B$9,Paramètres!$A$1:$I$89,3,0)*0.475*44/12</f>
        <v>30.773081311151724</v>
      </c>
      <c r="AB81" s="21">
        <f>EXP(-LN(2)/2)*AB80+(1-EXP(-LN(2)/2))/(LN(2)/2)*V81*Y81*VLOOKUP('Données projet'!$B$9,Paramètres!$A$1:$I$89,3,0)*0.475*44/12</f>
        <v>1.1616061999198481E-2</v>
      </c>
      <c r="AC81" s="22">
        <f t="shared" si="57"/>
        <v>174.51541098407398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279.9271639349646</v>
      </c>
      <c r="AO81" s="59">
        <f t="shared" si="90"/>
        <v>260.03726798406916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8.0178062722222183</v>
      </c>
      <c r="BD81" s="12">
        <f>IF('Données projet'!$A$88&gt;35,BD80+BC81-BL80,IF(A81&lt;'Données projet'!$A$88,$BA$205^A81,IF(A81='Données projet'!$A$88,'Données projet'!$B$88,BD80+BC81-BL80)))</f>
        <v>245.99786328333357</v>
      </c>
      <c r="BE81" s="13">
        <f>BD81*VLOOKUP('Données projet'!$B$11,Paramètres!$A$1:$I$89,3,0)*VLOOKUP('Données projet'!$B$11,Paramètres!$A$1:$I$89,5,0)</f>
        <v>211.06616669710024</v>
      </c>
      <c r="BF81" s="13">
        <f t="shared" si="91"/>
        <v>52.168501233398693</v>
      </c>
      <c r="BG81" s="20">
        <f t="shared" si="61"/>
        <v>458.46704664561889</v>
      </c>
      <c r="BH81" s="59">
        <f t="shared" si="62"/>
        <v>751.80037997895215</v>
      </c>
      <c r="BI81" s="59">
        <f ca="1">AVERAGE(OFFSET($BH$3,0,0,'Données projet'!$E$11+1,1))-AVERAGE(OFFSET($H$3,0,0,'Données projet'!$E$11+1,1))</f>
        <v>212.99246338839475</v>
      </c>
      <c r="BJ81" s="59">
        <f t="shared" si="92"/>
        <v>162.04040335537223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236.67695999999998</v>
      </c>
      <c r="CA81" s="13">
        <f t="shared" si="93"/>
        <v>57.723983099802702</v>
      </c>
      <c r="CB81" s="20">
        <f t="shared" si="64"/>
        <v>512.74830923215643</v>
      </c>
      <c r="CC81" s="59">
        <f t="shared" si="65"/>
        <v>806.0816425654898</v>
      </c>
      <c r="CD81" s="59">
        <f ca="1">AVERAGE(OFFSET($CC$3,0,0,'Données projet'!$E$12+1,1))-AVERAGE(OFFSET($H$3,0,0,'Données projet'!$E$12+1,1))</f>
        <v>249.53949216238527</v>
      </c>
      <c r="CE81" s="59">
        <f t="shared" si="94"/>
        <v>261.78576517528217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31.203576669101949</v>
      </c>
      <c r="CL81" s="21">
        <f>EXP(-LN(2)/25)*CL80+(1-EXP(-LN(2)/25))/(LN(2)/25)*Calculateur!CG81*Calculateur!CI81*VLOOKUP('Données projet'!$B$12,Paramètres!$A$1:$I$89,3,0)*0.475*44/12</f>
        <v>5.5999996801724414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36.803576349274394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7">
        <f t="shared" si="56"/>
        <v>410.70471179822079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281.14678081581229</v>
      </c>
      <c r="T82" s="59">
        <f t="shared" si="88"/>
        <v>380.81265808422603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140.91224198409176</v>
      </c>
      <c r="AA82" s="21">
        <f>EXP(-LN(2)/25)*AA81+(1-EXP(-LN(2)/25))/(LN(2)/25)*Calculateur!V82*Calculateur!X82*VLOOKUP('Données projet'!$B$9,Paramètres!$A$1:$I$89,3,0)*0.475*44/12</f>
        <v>29.931589784412267</v>
      </c>
      <c r="AB82" s="21">
        <f>EXP(-LN(2)/2)*AB81+(1-EXP(-LN(2)/2))/(LN(2)/2)*V82*Y82*VLOOKUP('Données projet'!$B$9,Paramètres!$A$1:$I$89,3,0)*0.475*44/12</f>
        <v>8.2137962103166103E-3</v>
      </c>
      <c r="AC82" s="22">
        <f t="shared" si="57"/>
        <v>170.85204556471436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279.9271639349646</v>
      </c>
      <c r="AO82" s="59">
        <f t="shared" si="90"/>
        <v>260.03726798406916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8.0178062722222183</v>
      </c>
      <c r="BD82" s="12">
        <f>IF('Données projet'!$A$88&gt;35,BD81+BC82-BL81,IF(A82&lt;'Données projet'!$A$88,$BA$205^A82,IF(A82='Données projet'!$A$88,'Données projet'!$B$88,BD81+BC82-BL81)))</f>
        <v>254.0156695555558</v>
      </c>
      <c r="BE82" s="13">
        <f>BD82*VLOOKUP('Données projet'!$B$11,Paramètres!$A$1:$I$89,3,0)*VLOOKUP('Données projet'!$B$11,Paramètres!$A$1:$I$89,5,0)</f>
        <v>217.9454444786669</v>
      </c>
      <c r="BF82" s="13">
        <f t="shared" si="91"/>
        <v>53.668094672535553</v>
      </c>
      <c r="BG82" s="20">
        <f t="shared" si="61"/>
        <v>473.06024735501097</v>
      </c>
      <c r="BH82" s="59">
        <f t="shared" si="62"/>
        <v>766.39358068834429</v>
      </c>
      <c r="BI82" s="59">
        <f ca="1">AVERAGE(OFFSET($BH$3,0,0,'Données projet'!$E$11+1,1))-AVERAGE(OFFSET($H$3,0,0,'Données projet'!$E$11+1,1))</f>
        <v>212.99246338839475</v>
      </c>
      <c r="BJ82" s="59">
        <f t="shared" si="92"/>
        <v>162.04040335537223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239.31647999999998</v>
      </c>
      <c r="CA82" s="13">
        <f t="shared" si="93"/>
        <v>58.292443422481945</v>
      </c>
      <c r="CB82" s="20">
        <f t="shared" si="64"/>
        <v>518.33554162748942</v>
      </c>
      <c r="CC82" s="59">
        <f t="shared" si="65"/>
        <v>811.66887496082268</v>
      </c>
      <c r="CD82" s="59">
        <f ca="1">AVERAGE(OFFSET($CC$3,0,0,'Données projet'!$E$12+1,1))-AVERAGE(OFFSET($H$3,0,0,'Données projet'!$E$12+1,1))</f>
        <v>249.53949216238527</v>
      </c>
      <c r="CE82" s="59">
        <f t="shared" si="94"/>
        <v>261.78576517528217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30.591693562923343</v>
      </c>
      <c r="CL82" s="21">
        <f>EXP(-LN(2)/25)*CL81+(1-EXP(-LN(2)/25))/(LN(2)/25)*Calculateur!CG82*Calculateur!CI82*VLOOKUP('Données projet'!$B$12,Paramètres!$A$1:$I$89,3,0)*0.475*44/12</f>
        <v>5.4468673944269419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36.038560957350285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7">
        <f t="shared" si="56"/>
        <v>412.60442549487141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281.14678081581229</v>
      </c>
      <c r="T83" s="59">
        <f t="shared" si="88"/>
        <v>380.81265808422603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138.14903886676467</v>
      </c>
      <c r="AA83" s="21">
        <f>EXP(-LN(2)/25)*AA82+(1-EXP(-LN(2)/25))/(LN(2)/25)*Calculateur!V83*Calculateur!X83*VLOOKUP('Données projet'!$B$9,Paramètres!$A$1:$I$89,3,0)*0.475*44/12</f>
        <v>29.113108887723616</v>
      </c>
      <c r="AB83" s="21">
        <f>EXP(-LN(2)/2)*AB82+(1-EXP(-LN(2)/2))/(LN(2)/2)*V83*Y83*VLOOKUP('Données projet'!$B$9,Paramètres!$A$1:$I$89,3,0)*0.475*44/12</f>
        <v>5.8080309995992407E-3</v>
      </c>
      <c r="AC83" s="22">
        <f t="shared" si="57"/>
        <v>167.26795578548789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279.9271639349646</v>
      </c>
      <c r="AO83" s="59">
        <f t="shared" si="90"/>
        <v>260.03726798406916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8.0178062722222183</v>
      </c>
      <c r="BD83" s="12">
        <f>IF('Données projet'!$A$88&gt;35,BD82+BC83-BL82,IF(A83&lt;'Données projet'!$A$88,$BA$205^A83,IF(A83='Données projet'!$A$88,'Données projet'!$B$88,BD82+BC83-BL82)))</f>
        <v>262.03347582777803</v>
      </c>
      <c r="BE83" s="13">
        <f>BD83*VLOOKUP('Données projet'!$B$11,Paramètres!$A$1:$I$89,3,0)*VLOOKUP('Données projet'!$B$11,Paramètres!$A$1:$I$89,5,0)</f>
        <v>224.82472226023359</v>
      </c>
      <c r="BF83" s="13">
        <f t="shared" si="91"/>
        <v>55.162187636759541</v>
      </c>
      <c r="BG83" s="20">
        <f t="shared" si="61"/>
        <v>487.64386807059628</v>
      </c>
      <c r="BH83" s="59">
        <f t="shared" si="62"/>
        <v>780.9772014039296</v>
      </c>
      <c r="BI83" s="59">
        <f ca="1">AVERAGE(OFFSET($BH$3,0,0,'Données projet'!$E$11+1,1))-AVERAGE(OFFSET($H$3,0,0,'Données projet'!$E$11+1,1))</f>
        <v>212.99246338839475</v>
      </c>
      <c r="BJ83" s="59">
        <f t="shared" si="92"/>
        <v>162.04040335537223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241.95599999999999</v>
      </c>
      <c r="CA83" s="13">
        <f t="shared" si="93"/>
        <v>58.860174395053612</v>
      </c>
      <c r="CB83" s="20">
        <f t="shared" si="64"/>
        <v>523.92150373805168</v>
      </c>
      <c r="CC83" s="59">
        <f t="shared" si="65"/>
        <v>817.25483707138505</v>
      </c>
      <c r="CD83" s="59">
        <f ca="1">AVERAGE(OFFSET($CC$3,0,0,'Données projet'!$E$12+1,1))-AVERAGE(OFFSET($H$3,0,0,'Données projet'!$E$12+1,1))</f>
        <v>249.53949216238527</v>
      </c>
      <c r="CE83" s="59">
        <f t="shared" si="94"/>
        <v>261.78576517528217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0.39129999999999998</v>
      </c>
      <c r="CI83" s="16">
        <f>IF(ISNA(VLOOKUP(A83,'Données projet'!$A$113:$I$133,6,0)),0%,VLOOKUP(A83,'Données projet'!$A$113:$I$133,6,0)*VLOOKUP('Données projet'!$B$12,Paramètres!$A$1:$I$89,7,0))</f>
        <v>3.8699999999999998E-2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33.480577187815136</v>
      </c>
      <c r="CL83" s="21">
        <f>EXP(-LN(2)/25)*CL82+(1-EXP(-LN(2)/25))/(LN(2)/25)*Calculateur!CG83*Calculateur!CI83*VLOOKUP('Données projet'!$B$12,Paramètres!$A$1:$I$89,3,0)*0.475*44/12</f>
        <v>5.6416069499226449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39.122184137737783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7">
        <f t="shared" si="56"/>
        <v>414.50358930467917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281.14678081581229</v>
      </c>
      <c r="T84" s="59">
        <f t="shared" si="88"/>
        <v>380.81265808422603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135.44002047718089</v>
      </c>
      <c r="AA84" s="21">
        <f>EXP(-LN(2)/25)*AA83+(1-EXP(-LN(2)/25))/(LN(2)/25)*Calculateur!V84*Calculateur!X84*VLOOKUP('Données projet'!$B$9,Paramètres!$A$1:$I$89,3,0)*0.475*44/12</f>
        <v>28.317009394196955</v>
      </c>
      <c r="AB84" s="21">
        <f>EXP(-LN(2)/2)*AB83+(1-EXP(-LN(2)/2))/(LN(2)/2)*V84*Y84*VLOOKUP('Données projet'!$B$9,Paramètres!$A$1:$I$89,3,0)*0.475*44/12</f>
        <v>4.1068981051583051E-3</v>
      </c>
      <c r="AC84" s="22">
        <f t="shared" si="57"/>
        <v>163.76113676948302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279.9271639349646</v>
      </c>
      <c r="AO84" s="59">
        <f t="shared" si="90"/>
        <v>260.03726798406916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270.05128209999998</v>
      </c>
      <c r="BB84" s="12">
        <f>VLOOKUP(A84,'Données projet'!$A$87:$I$107,9,0)</f>
        <v>8.0178062722222183</v>
      </c>
      <c r="BC84" s="12">
        <f t="array" ref="BC84">INDEX(BB:BB,MIN(IF(ISNUMBER(BB84:BB280),ROW(BB84:BB280),"")))</f>
        <v>8.0178062722222183</v>
      </c>
      <c r="BD84" s="12">
        <f>IF('Données projet'!$A$88&gt;35,BD83+BC84-BL83,IF(A84&lt;'Données projet'!$A$88,$BA$205^A84,IF(A84='Données projet'!$A$88,'Données projet'!$B$88,BD83+BC84-BL83)))</f>
        <v>270.05128210000026</v>
      </c>
      <c r="BE84" s="13">
        <f>BD84*VLOOKUP('Données projet'!$B$11,Paramètres!$A$1:$I$89,3,0)*VLOOKUP('Données projet'!$B$11,Paramètres!$A$1:$I$89,5,0)</f>
        <v>231.70400004180027</v>
      </c>
      <c r="BF84" s="13">
        <f t="shared" si="91"/>
        <v>56.650967747789984</v>
      </c>
      <c r="BG84" s="20">
        <f t="shared" si="61"/>
        <v>502.21823556686968</v>
      </c>
      <c r="BH84" s="59">
        <f t="shared" si="62"/>
        <v>795.55156890020294</v>
      </c>
      <c r="BI84" s="59">
        <f ca="1">AVERAGE(OFFSET($BH$3,0,0,'Données projet'!$E$11+1,1))-AVERAGE(OFFSET($H$3,0,0,'Données projet'!$E$11+1,1))</f>
        <v>212.99246338839475</v>
      </c>
      <c r="BJ84" s="59">
        <f t="shared" si="92"/>
        <v>162.04040335537223</v>
      </c>
      <c r="BK84" s="15">
        <f>IF(ISNA(VLOOKUP(A84,'Données projet'!$A$87:$I$107,3,0)),0,VLOOKUP(A84,'Données projet'!$A$87:$I$107,3,0))</f>
        <v>6</v>
      </c>
      <c r="BL84" s="15">
        <f>IF(ISNA(VLOOKUP(A84,'Données projet'!$A$87:$I$107,4,0)),0,VLOOKUP(A84,'Données projet'!$A$87:$I$107,4,0))</f>
        <v>57.38461538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233.89079999999998</v>
      </c>
      <c r="CA84" s="13">
        <f t="shared" si="93"/>
        <v>57.123140349023068</v>
      </c>
      <c r="CB84" s="20">
        <f t="shared" si="64"/>
        <v>506.84927944121517</v>
      </c>
      <c r="CC84" s="59">
        <f t="shared" si="65"/>
        <v>800.18261277454849</v>
      </c>
      <c r="CD84" s="59">
        <f ca="1">AVERAGE(OFFSET($CC$3,0,0,'Données projet'!$E$12+1,1))-AVERAGE(OFFSET($H$3,0,0,'Données projet'!$E$12+1,1))</f>
        <v>249.53949216238527</v>
      </c>
      <c r="CE84" s="59">
        <f t="shared" si="94"/>
        <v>261.78576517528217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32.824043490297747</v>
      </c>
      <c r="CL84" s="21">
        <f>EXP(-LN(2)/25)*CL83+(1-EXP(-LN(2)/25))/(LN(2)/25)*Calculateur!CG84*Calculateur!CI84*VLOOKUP('Données projet'!$B$12,Paramètres!$A$1:$I$89,3,0)*0.475*44/12</f>
        <v>5.4873369111977945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38.311380401495541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7">
        <f t="shared" si="56"/>
        <v>416.40221080152219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281.14678081581229</v>
      </c>
      <c r="T85" s="59">
        <f t="shared" si="88"/>
        <v>380.81265808422603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132.78412428587879</v>
      </c>
      <c r="AA85" s="21">
        <f>EXP(-LN(2)/25)*AA84+(1-EXP(-LN(2)/25))/(LN(2)/25)*Calculateur!V85*Calculateur!X85*VLOOKUP('Données projet'!$B$9,Paramètres!$A$1:$I$89,3,0)*0.475*44/12</f>
        <v>27.542679283185834</v>
      </c>
      <c r="AB85" s="21">
        <f>EXP(-LN(2)/2)*AB84+(1-EXP(-LN(2)/2))/(LN(2)/2)*V85*Y85*VLOOKUP('Données projet'!$B$9,Paramètres!$A$1:$I$89,3,0)*0.475*44/12</f>
        <v>2.9040154997996203E-3</v>
      </c>
      <c r="AC85" s="22">
        <f t="shared" si="57"/>
        <v>160.32970758456443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279.9271639349646</v>
      </c>
      <c r="AO85" s="59">
        <f t="shared" si="90"/>
        <v>260.03726798406916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7.1723646644444505</v>
      </c>
      <c r="BD85" s="12">
        <f>IF('Données projet'!$A$88&gt;35,BD84+BC85-BL84,IF(A85&lt;'Données projet'!$A$88,$BA$205^A85,IF(A85='Données projet'!$A$88,'Données projet'!$B$88,BD84+BC85-BL84)))</f>
        <v>219.8390313844447</v>
      </c>
      <c r="BE85" s="13">
        <f>BD85*VLOOKUP('Données projet'!$B$11,Paramètres!$A$1:$I$89,3,0)*VLOOKUP('Données projet'!$B$11,Paramètres!$A$1:$I$89,5,0)</f>
        <v>188.62188892785355</v>
      </c>
      <c r="BF85" s="13">
        <f t="shared" si="91"/>
        <v>47.235143094305059</v>
      </c>
      <c r="BG85" s="20">
        <f t="shared" si="61"/>
        <v>410.78433077192614</v>
      </c>
      <c r="BH85" s="59">
        <f t="shared" si="62"/>
        <v>704.11766410525945</v>
      </c>
      <c r="BI85" s="59">
        <f ca="1">AVERAGE(OFFSET($BH$3,0,0,'Données projet'!$E$11+1,1))-AVERAGE(OFFSET($H$3,0,0,'Données projet'!$E$11+1,1))</f>
        <v>212.99246338839475</v>
      </c>
      <c r="BJ85" s="59">
        <f t="shared" si="92"/>
        <v>162.04040335537223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233.89079999999998</v>
      </c>
      <c r="CA85" s="13">
        <f t="shared" si="93"/>
        <v>57.123140349023068</v>
      </c>
      <c r="CB85" s="20">
        <f t="shared" si="64"/>
        <v>506.84927944121517</v>
      </c>
      <c r="CC85" s="59">
        <f t="shared" si="65"/>
        <v>800.18261277454849</v>
      </c>
      <c r="CD85" s="59">
        <f ca="1">AVERAGE(OFFSET($CC$3,0,0,'Données projet'!$E$12+1,1))-AVERAGE(OFFSET($H$3,0,0,'Données projet'!$E$12+1,1))</f>
        <v>249.53949216238527</v>
      </c>
      <c r="CE85" s="59">
        <f t="shared" si="94"/>
        <v>261.78576517528217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32.180384018142661</v>
      </c>
      <c r="CL85" s="21">
        <f>EXP(-LN(2)/25)*CL84+(1-EXP(-LN(2)/25))/(LN(2)/25)*Calculateur!CG85*Calculateur!CI85*VLOOKUP('Données projet'!$B$12,Paramètres!$A$1:$I$89,3,0)*0.475*44/12</f>
        <v>5.3372853947945842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37.517669412937245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7">
        <f t="shared" si="56"/>
        <v>418.30029736392294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281.14678081581229</v>
      </c>
      <c r="T86" s="59">
        <f t="shared" si="88"/>
        <v>380.81265808422603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130.1803085989514</v>
      </c>
      <c r="AA86" s="21">
        <f>EXP(-LN(2)/25)*AA85+(1-EXP(-LN(2)/25))/(LN(2)/25)*Calculateur!V86*Calculateur!X86*VLOOKUP('Données projet'!$B$9,Paramètres!$A$1:$I$89,3,0)*0.475*44/12</f>
        <v>26.789523269780563</v>
      </c>
      <c r="AB86" s="21">
        <f>EXP(-LN(2)/2)*AB85+(1-EXP(-LN(2)/2))/(LN(2)/2)*V86*Y86*VLOOKUP('Données projet'!$B$9,Paramètres!$A$1:$I$89,3,0)*0.475*44/12</f>
        <v>2.0534490525791526E-3</v>
      </c>
      <c r="AC86" s="22">
        <f t="shared" si="57"/>
        <v>156.97188531778454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279.9271639349646</v>
      </c>
      <c r="AO86" s="59">
        <f t="shared" si="90"/>
        <v>260.03726798406916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7.1723646644444505</v>
      </c>
      <c r="BD86" s="12">
        <f>IF('Données projet'!$A$88&gt;35,BD85+BC86-BL85,IF(A86&lt;'Données projet'!$A$88,$BA$205^A86,IF(A86='Données projet'!$A$88,'Données projet'!$B$88,BD85+BC86-BL85)))</f>
        <v>227.01139604888914</v>
      </c>
      <c r="BE86" s="13">
        <f>BD86*VLOOKUP('Données projet'!$B$11,Paramètres!$A$1:$I$89,3,0)*VLOOKUP('Données projet'!$B$11,Paramètres!$A$1:$I$89,5,0)</f>
        <v>194.7757778099469</v>
      </c>
      <c r="BF86" s="13">
        <f t="shared" si="91"/>
        <v>48.594279167645041</v>
      </c>
      <c r="BG86" s="20">
        <f t="shared" si="61"/>
        <v>423.86951590263931</v>
      </c>
      <c r="BH86" s="59">
        <f t="shared" si="62"/>
        <v>717.20284923597262</v>
      </c>
      <c r="BI86" s="59">
        <f ca="1">AVERAGE(OFFSET($BH$3,0,0,'Données projet'!$E$11+1,1))-AVERAGE(OFFSET($H$3,0,0,'Données projet'!$E$11+1,1))</f>
        <v>212.99246338839475</v>
      </c>
      <c r="BJ86" s="59">
        <f t="shared" si="92"/>
        <v>162.04040335537223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233.89079999999998</v>
      </c>
      <c r="CA86" s="13">
        <f t="shared" si="93"/>
        <v>57.123140349023068</v>
      </c>
      <c r="CB86" s="20">
        <f t="shared" si="64"/>
        <v>506.84927944121517</v>
      </c>
      <c r="CC86" s="59">
        <f t="shared" si="65"/>
        <v>800.18261277454849</v>
      </c>
      <c r="CD86" s="59">
        <f ca="1">AVERAGE(OFFSET($CC$3,0,0,'Données projet'!$E$12+1,1))-AVERAGE(OFFSET($H$3,0,0,'Données projet'!$E$12+1,1))</f>
        <v>249.53949216238527</v>
      </c>
      <c r="CE86" s="59">
        <f t="shared" si="94"/>
        <v>261.78576517528217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31.549346315643021</v>
      </c>
      <c r="CL86" s="21">
        <f>EXP(-LN(2)/25)*CL85+(1-EXP(-LN(2)/25))/(LN(2)/25)*Calculateur!CG86*Calculateur!CI86*VLOOKUP('Données projet'!$B$12,Paramètres!$A$1:$I$89,3,0)*0.475*44/12</f>
        <v>5.1913370449982859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36.740683360641306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7">
        <f t="shared" si="56"/>
        <v>420.1978561823787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281.14678081581229</v>
      </c>
      <c r="T87" s="59">
        <f t="shared" si="88"/>
        <v>380.81265808422603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127.6275521494739</v>
      </c>
      <c r="AA87" s="21">
        <f>EXP(-LN(2)/25)*AA86+(1-EXP(-LN(2)/25))/(LN(2)/25)*Calculateur!V87*Calculateur!X87*VLOOKUP('Données projet'!$B$9,Paramètres!$A$1:$I$89,3,0)*0.475*44/12</f>
        <v>26.056962347168614</v>
      </c>
      <c r="AB87" s="21">
        <f>EXP(-LN(2)/2)*AB86+(1-EXP(-LN(2)/2))/(LN(2)/2)*V87*Y87*VLOOKUP('Données projet'!$B$9,Paramètres!$A$1:$I$89,3,0)*0.475*44/12</f>
        <v>1.4520077498998102E-3</v>
      </c>
      <c r="AC87" s="22">
        <f t="shared" si="57"/>
        <v>153.68596650439241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279.9271639349646</v>
      </c>
      <c r="AO87" s="59">
        <f t="shared" si="90"/>
        <v>260.03726798406916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7.1723646644444505</v>
      </c>
      <c r="BD87" s="12">
        <f>IF('Données projet'!$A$88&gt;35,BD86+BC87-BL86,IF(A87&lt;'Données projet'!$A$88,$BA$205^A87,IF(A87='Données projet'!$A$88,'Données projet'!$B$88,BD86+BC87-BL86)))</f>
        <v>234.18376071333358</v>
      </c>
      <c r="BE87" s="13">
        <f>BD87*VLOOKUP('Données projet'!$B$11,Paramètres!$A$1:$I$89,3,0)*VLOOKUP('Données projet'!$B$11,Paramètres!$A$1:$I$89,5,0)</f>
        <v>200.92966669204026</v>
      </c>
      <c r="BF87" s="13">
        <f t="shared" si="91"/>
        <v>49.948425148156772</v>
      </c>
      <c r="BG87" s="20">
        <f t="shared" si="61"/>
        <v>436.94600995500986</v>
      </c>
      <c r="BH87" s="59">
        <f t="shared" si="62"/>
        <v>730.27934328834317</v>
      </c>
      <c r="BI87" s="59">
        <f ca="1">AVERAGE(OFFSET($BH$3,0,0,'Données projet'!$E$11+1,1))-AVERAGE(OFFSET($H$3,0,0,'Données projet'!$E$11+1,1))</f>
        <v>212.99246338839475</v>
      </c>
      <c r="BJ87" s="59">
        <f t="shared" si="92"/>
        <v>162.04040335537223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233.89079999999998</v>
      </c>
      <c r="CA87" s="13">
        <f t="shared" si="93"/>
        <v>57.123140349023068</v>
      </c>
      <c r="CB87" s="20">
        <f t="shared" si="64"/>
        <v>506.84927944121517</v>
      </c>
      <c r="CC87" s="59">
        <f t="shared" si="65"/>
        <v>800.18261277454849</v>
      </c>
      <c r="CD87" s="59">
        <f ca="1">AVERAGE(OFFSET($CC$3,0,0,'Données projet'!$E$12+1,1))-AVERAGE(OFFSET($H$3,0,0,'Données projet'!$E$12+1,1))</f>
        <v>249.53949216238527</v>
      </c>
      <c r="CE87" s="59">
        <f t="shared" si="94"/>
        <v>261.78576517528217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30.930682877594407</v>
      </c>
      <c r="CL87" s="21">
        <f>EXP(-LN(2)/25)*CL86+(1-EXP(-LN(2)/25))/(LN(2)/25)*Calculateur!CG87*Calculateur!CI87*VLOOKUP('Données projet'!$B$12,Paramètres!$A$1:$I$89,3,0)*0.475*44/12</f>
        <v>5.0493796605022574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35.980062538096661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7">
        <f t="shared" si="56"/>
        <v>422.09489426633343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281.14678081581229</v>
      </c>
      <c r="T88" s="59">
        <f t="shared" si="88"/>
        <v>380.81265808422603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125.12485369694296</v>
      </c>
      <c r="AA88" s="21">
        <f>EXP(-LN(2)/25)*AA87+(1-EXP(-LN(2)/25))/(LN(2)/25)*Calculateur!V88*Calculateur!X88*VLOOKUP('Données projet'!$B$9,Paramètres!$A$1:$I$89,3,0)*0.475*44/12</f>
        <v>25.344433341509191</v>
      </c>
      <c r="AB88" s="21">
        <f>EXP(-LN(2)/2)*AB87+(1-EXP(-LN(2)/2))/(LN(2)/2)*V88*Y88*VLOOKUP('Données projet'!$B$9,Paramètres!$A$1:$I$89,3,0)*0.475*44/12</f>
        <v>1.0267245262895763E-3</v>
      </c>
      <c r="AC88" s="22">
        <f t="shared" si="57"/>
        <v>150.47031376297846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279.9271639349646</v>
      </c>
      <c r="AO88" s="59">
        <f t="shared" si="90"/>
        <v>260.03726798406916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7.1723646644444505</v>
      </c>
      <c r="BD88" s="12">
        <f>IF('Données projet'!$A$88&gt;35,BD87+BC88-BL87,IF(A88&lt;'Données projet'!$A$88,$BA$205^A88,IF(A88='Données projet'!$A$88,'Données projet'!$B$88,BD87+BC88-BL87)))</f>
        <v>241.35612537777803</v>
      </c>
      <c r="BE88" s="13">
        <f>BD88*VLOOKUP('Données projet'!$B$11,Paramètres!$A$1:$I$89,3,0)*VLOOKUP('Données projet'!$B$11,Paramètres!$A$1:$I$89,5,0)</f>
        <v>207.08355557413358</v>
      </c>
      <c r="BF88" s="13">
        <f t="shared" si="91"/>
        <v>51.297751407709768</v>
      </c>
      <c r="BG88" s="20">
        <f t="shared" si="61"/>
        <v>450.01410966004374</v>
      </c>
      <c r="BH88" s="59">
        <f t="shared" si="62"/>
        <v>743.34744299337706</v>
      </c>
      <c r="BI88" s="59">
        <f ca="1">AVERAGE(OFFSET($BH$3,0,0,'Données projet'!$E$11+1,1))-AVERAGE(OFFSET($H$3,0,0,'Données projet'!$E$11+1,1))</f>
        <v>212.99246338839475</v>
      </c>
      <c r="BJ88" s="59">
        <f t="shared" si="92"/>
        <v>162.04040335537223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233.89079999999998</v>
      </c>
      <c r="CA88" s="13">
        <f t="shared" si="93"/>
        <v>57.123140349023068</v>
      </c>
      <c r="CB88" s="20">
        <f t="shared" si="64"/>
        <v>506.84927944121517</v>
      </c>
      <c r="CC88" s="59">
        <f t="shared" si="65"/>
        <v>800.18261277454849</v>
      </c>
      <c r="CD88" s="59">
        <f ca="1">AVERAGE(OFFSET($CC$3,0,0,'Données projet'!$E$12+1,1))-AVERAGE(OFFSET($H$3,0,0,'Données projet'!$E$12+1,1))</f>
        <v>249.53949216238527</v>
      </c>
      <c r="CE88" s="59">
        <f t="shared" si="94"/>
        <v>261.78576517528217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30.324151052218486</v>
      </c>
      <c r="CL88" s="21">
        <f>EXP(-LN(2)/25)*CL87+(1-EXP(-LN(2)/25))/(LN(2)/25)*Calculateur!CG88*Calculateur!CI88*VLOOKUP('Données projet'!$B$12,Paramètres!$A$1:$I$89,3,0)*0.475*44/12</f>
        <v>4.9113041081504871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35.235455160368971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7">
        <f t="shared" si="56"/>
        <v>423.99141845081135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281.14678081581229</v>
      </c>
      <c r="T89" s="59">
        <f t="shared" si="88"/>
        <v>380.81265808422603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122.67123163457083</v>
      </c>
      <c r="AA89" s="21">
        <f>EXP(-LN(2)/25)*AA88+(1-EXP(-LN(2)/25))/(LN(2)/25)*Calculateur!V89*Calculateur!X89*VLOOKUP('Données projet'!$B$9,Paramètres!$A$1:$I$89,3,0)*0.475*44/12</f>
        <v>24.651388478979797</v>
      </c>
      <c r="AB89" s="21">
        <f>EXP(-LN(2)/2)*AB88+(1-EXP(-LN(2)/2))/(LN(2)/2)*V89*Y89*VLOOKUP('Données projet'!$B$9,Paramètres!$A$1:$I$89,3,0)*0.475*44/12</f>
        <v>7.2600387494990508E-4</v>
      </c>
      <c r="AC89" s="22">
        <f t="shared" si="57"/>
        <v>147.32334611742556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279.9271639349646</v>
      </c>
      <c r="AO89" s="59">
        <f t="shared" si="90"/>
        <v>260.03726798406916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7.1723646644444505</v>
      </c>
      <c r="BD89" s="12">
        <f>IF('Données projet'!$A$88&gt;35,BD88+BC89-BL88,IF(A89&lt;'Données projet'!$A$88,$BA$205^A89,IF(A89='Données projet'!$A$88,'Données projet'!$B$88,BD88+BC89-BL88)))</f>
        <v>248.52849004222247</v>
      </c>
      <c r="BE89" s="13">
        <f>BD89*VLOOKUP('Données projet'!$B$11,Paramètres!$A$1:$I$89,3,0)*VLOOKUP('Données projet'!$B$11,Paramètres!$A$1:$I$89,5,0)</f>
        <v>213.23744445622691</v>
      </c>
      <c r="BF89" s="13">
        <f t="shared" si="91"/>
        <v>52.642417616727649</v>
      </c>
      <c r="BG89" s="20">
        <f t="shared" si="61"/>
        <v>463.07409311039578</v>
      </c>
      <c r="BH89" s="59">
        <f t="shared" si="62"/>
        <v>756.40742644372904</v>
      </c>
      <c r="BI89" s="59">
        <f ca="1">AVERAGE(OFFSET($BH$3,0,0,'Données projet'!$E$11+1,1))-AVERAGE(OFFSET($H$3,0,0,'Données projet'!$E$11+1,1))</f>
        <v>212.99246338839475</v>
      </c>
      <c r="BJ89" s="59">
        <f t="shared" si="92"/>
        <v>162.04040335537223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233.89079999999998</v>
      </c>
      <c r="CA89" s="13">
        <f t="shared" si="93"/>
        <v>57.123140349023068</v>
      </c>
      <c r="CB89" s="20">
        <f t="shared" si="64"/>
        <v>506.84927944121517</v>
      </c>
      <c r="CC89" s="59">
        <f t="shared" si="65"/>
        <v>800.18261277454849</v>
      </c>
      <c r="CD89" s="59">
        <f ca="1">AVERAGE(OFFSET($CC$3,0,0,'Données projet'!$E$12+1,1))-AVERAGE(OFFSET($H$3,0,0,'Données projet'!$E$12+1,1))</f>
        <v>249.53949216238527</v>
      </c>
      <c r="CE89" s="59">
        <f t="shared" si="94"/>
        <v>261.78576517528217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29.729512945990304</v>
      </c>
      <c r="CL89" s="21">
        <f>EXP(-LN(2)/25)*CL88+(1-EXP(-LN(2)/25))/(LN(2)/25)*Calculateur!CG89*Calculateur!CI89*VLOOKUP('Données projet'!$B$12,Paramètres!$A$1:$I$89,3,0)*0.475*44/12</f>
        <v>4.7770042390388543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34.506517185029161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7">
        <f t="shared" si="56"/>
        <v>425.88743540273424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281.14678081581229</v>
      </c>
      <c r="T90" s="59">
        <f t="shared" si="88"/>
        <v>380.81265808422603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120.26572360428013</v>
      </c>
      <c r="AA90" s="21">
        <f>EXP(-LN(2)/25)*AA89+(1-EXP(-LN(2)/25))/(LN(2)/25)*Calculateur!V90*Calculateur!X90*VLOOKUP('Données projet'!$B$9,Paramètres!$A$1:$I$89,3,0)*0.475*44/12</f>
        <v>23.977294964661915</v>
      </c>
      <c r="AB90" s="21">
        <f>EXP(-LN(2)/2)*AB89+(1-EXP(-LN(2)/2))/(LN(2)/2)*V90*Y90*VLOOKUP('Données projet'!$B$9,Paramètres!$A$1:$I$89,3,0)*0.475*44/12</f>
        <v>5.1336226314478814E-4</v>
      </c>
      <c r="AC90" s="22">
        <f t="shared" si="57"/>
        <v>144.24353193120518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279.9271639349646</v>
      </c>
      <c r="AO90" s="59">
        <f t="shared" si="90"/>
        <v>260.03726798406916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7.1723646644444505</v>
      </c>
      <c r="BD90" s="12">
        <f>IF('Données projet'!$A$88&gt;35,BD89+BC90-BL89,IF(A90&lt;'Données projet'!$A$88,$BA$205^A90,IF(A90='Données projet'!$A$88,'Données projet'!$B$88,BD89+BC90-BL89)))</f>
        <v>255.70085470666692</v>
      </c>
      <c r="BE90" s="13">
        <f>BD90*VLOOKUP('Données projet'!$B$11,Paramètres!$A$1:$I$89,3,0)*VLOOKUP('Données projet'!$B$11,Paramètres!$A$1:$I$89,5,0)</f>
        <v>219.39133333832024</v>
      </c>
      <c r="BF90" s="13">
        <f t="shared" si="91"/>
        <v>53.982573705573223</v>
      </c>
      <c r="BG90" s="20">
        <f t="shared" si="61"/>
        <v>476.12622143478103</v>
      </c>
      <c r="BH90" s="59">
        <f t="shared" si="62"/>
        <v>769.45955476811434</v>
      </c>
      <c r="BI90" s="59">
        <f ca="1">AVERAGE(OFFSET($BH$3,0,0,'Données projet'!$E$11+1,1))-AVERAGE(OFFSET($H$3,0,0,'Données projet'!$E$11+1,1))</f>
        <v>212.99246338839475</v>
      </c>
      <c r="BJ90" s="59">
        <f t="shared" si="92"/>
        <v>162.04040335537223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233.89079999999998</v>
      </c>
      <c r="CA90" s="13">
        <f t="shared" si="93"/>
        <v>57.123140349023068</v>
      </c>
      <c r="CB90" s="20">
        <f t="shared" si="64"/>
        <v>506.84927944121517</v>
      </c>
      <c r="CC90" s="59">
        <f t="shared" si="65"/>
        <v>800.18261277454849</v>
      </c>
      <c r="CD90" s="59">
        <f ca="1">AVERAGE(OFFSET($CC$3,0,0,'Données projet'!$E$12+1,1))-AVERAGE(OFFSET($H$3,0,0,'Données projet'!$E$12+1,1))</f>
        <v>249.53949216238527</v>
      </c>
      <c r="CE90" s="59">
        <f t="shared" si="94"/>
        <v>261.78576517528217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29.146535330331826</v>
      </c>
      <c r="CL90" s="21">
        <f>EXP(-LN(2)/25)*CL89+(1-EXP(-LN(2)/25))/(LN(2)/25)*Calculateur!CG90*Calculateur!CI90*VLOOKUP('Données projet'!$B$12,Paramètres!$A$1:$I$89,3,0)*0.475*44/12</f>
        <v>4.6463768069106015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33.792912137242425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7">
        <f t="shared" si="56"/>
        <v>427.78295162693922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281.14678081581229</v>
      </c>
      <c r="T91" s="59">
        <f t="shared" si="88"/>
        <v>380.81265808422603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117.9073861192484</v>
      </c>
      <c r="AA91" s="21">
        <f>EXP(-LN(2)/25)*AA90+(1-EXP(-LN(2)/25))/(LN(2)/25)*Calculateur!V91*Calculateur!X91*VLOOKUP('Données projet'!$B$9,Paramètres!$A$1:$I$89,3,0)*0.475*44/12</f>
        <v>23.321634572942095</v>
      </c>
      <c r="AB91" s="21">
        <f>EXP(-LN(2)/2)*AB90+(1-EXP(-LN(2)/2))/(LN(2)/2)*V91*Y91*VLOOKUP('Données projet'!$B$9,Paramètres!$A$1:$I$89,3,0)*0.475*44/12</f>
        <v>3.6300193747495254E-4</v>
      </c>
      <c r="AC91" s="22">
        <f t="shared" si="57"/>
        <v>141.22938369412796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279.9271639349646</v>
      </c>
      <c r="AO91" s="59">
        <f t="shared" si="90"/>
        <v>260.03726798406916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7.1723646644444505</v>
      </c>
      <c r="BD91" s="12">
        <f>IF('Données projet'!$A$88&gt;35,BD90+BC91-BL90,IF(A91&lt;'Données projet'!$A$88,$BA$205^A91,IF(A91='Données projet'!$A$88,'Données projet'!$B$88,BD90+BC91-BL90)))</f>
        <v>262.87321937111136</v>
      </c>
      <c r="BE91" s="13">
        <f>BD91*VLOOKUP('Données projet'!$B$11,Paramètres!$A$1:$I$89,3,0)*VLOOKUP('Données projet'!$B$11,Paramètres!$A$1:$I$89,5,0)</f>
        <v>225.54522222041359</v>
      </c>
      <c r="BF91" s="13">
        <f t="shared" si="91"/>
        <v>55.318360715034544</v>
      </c>
      <c r="BG91" s="20">
        <f t="shared" si="61"/>
        <v>489.17074027923871</v>
      </c>
      <c r="BH91" s="59">
        <f t="shared" si="62"/>
        <v>782.50407361257203</v>
      </c>
      <c r="BI91" s="59">
        <f ca="1">AVERAGE(OFFSET($BH$3,0,0,'Données projet'!$E$11+1,1))-AVERAGE(OFFSET($H$3,0,0,'Données projet'!$E$11+1,1))</f>
        <v>212.99246338839475</v>
      </c>
      <c r="BJ91" s="59">
        <f t="shared" si="92"/>
        <v>162.04040335537223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233.89079999999998</v>
      </c>
      <c r="CA91" s="13">
        <f t="shared" si="93"/>
        <v>57.123140349023068</v>
      </c>
      <c r="CB91" s="20">
        <f t="shared" si="64"/>
        <v>506.84927944121517</v>
      </c>
      <c r="CC91" s="59">
        <f t="shared" si="65"/>
        <v>800.18261277454849</v>
      </c>
      <c r="CD91" s="59">
        <f ca="1">AVERAGE(OFFSET($CC$3,0,0,'Données projet'!$E$12+1,1))-AVERAGE(OFFSET($H$3,0,0,'Données projet'!$E$12+1,1))</f>
        <v>249.53949216238527</v>
      </c>
      <c r="CE91" s="59">
        <f t="shared" si="94"/>
        <v>261.78576517528217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28.574989550135175</v>
      </c>
      <c r="CL91" s="21">
        <f>EXP(-LN(2)/25)*CL90+(1-EXP(-LN(2)/25))/(LN(2)/25)*Calculateur!CG91*Calculateur!CI91*VLOOKUP('Données projet'!$B$12,Paramètres!$A$1:$I$89,3,0)*0.475*44/12</f>
        <v>4.5193213887832941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33.094310938918468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7">
        <f t="shared" si="56"/>
        <v>429.67797347191538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281.14678081581229</v>
      </c>
      <c r="T92" s="59">
        <f t="shared" si="88"/>
        <v>380.81265808422603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115.59529419385431</v>
      </c>
      <c r="AA92" s="21">
        <f>EXP(-LN(2)/25)*AA91+(1-EXP(-LN(2)/25))/(LN(2)/25)*Calculateur!V92*Calculateur!X92*VLOOKUP('Données projet'!$B$9,Paramètres!$A$1:$I$89,3,0)*0.475*44/12</f>
        <v>22.683903249113534</v>
      </c>
      <c r="AB92" s="21">
        <f>EXP(-LN(2)/2)*AB91+(1-EXP(-LN(2)/2))/(LN(2)/2)*V92*Y92*VLOOKUP('Données projet'!$B$9,Paramètres!$A$1:$I$89,3,0)*0.475*44/12</f>
        <v>2.5668113157239407E-4</v>
      </c>
      <c r="AC92" s="22">
        <f t="shared" si="57"/>
        <v>138.2794541240994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279.9271639349646</v>
      </c>
      <c r="AO92" s="59">
        <f t="shared" si="90"/>
        <v>260.03726798406916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7.1723646644444505</v>
      </c>
      <c r="BD92" s="12">
        <f>IF('Données projet'!$A$88&gt;35,BD91+BC92-BL91,IF(A92&lt;'Données projet'!$A$88,$BA$205^A92,IF(A92='Données projet'!$A$88,'Données projet'!$B$88,BD91+BC92-BL91)))</f>
        <v>270.04558403555581</v>
      </c>
      <c r="BE92" s="13">
        <f>BD92*VLOOKUP('Données projet'!$B$11,Paramètres!$A$1:$I$89,3,0)*VLOOKUP('Données projet'!$B$11,Paramètres!$A$1:$I$89,5,0)</f>
        <v>231.69911110250692</v>
      </c>
      <c r="BF92" s="13">
        <f t="shared" si="91"/>
        <v>56.649911551380129</v>
      </c>
      <c r="BG92" s="20">
        <f t="shared" si="61"/>
        <v>502.20788112218662</v>
      </c>
      <c r="BH92" s="59">
        <f t="shared" si="62"/>
        <v>795.54121445551993</v>
      </c>
      <c r="BI92" s="59">
        <f ca="1">AVERAGE(OFFSET($BH$3,0,0,'Données projet'!$E$11+1,1))-AVERAGE(OFFSET($H$3,0,0,'Données projet'!$E$11+1,1))</f>
        <v>212.99246338839475</v>
      </c>
      <c r="BJ92" s="59">
        <f t="shared" si="92"/>
        <v>162.04040335537223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233.89079999999998</v>
      </c>
      <c r="CA92" s="13">
        <f t="shared" si="93"/>
        <v>57.123140349023068</v>
      </c>
      <c r="CB92" s="20">
        <f t="shared" si="64"/>
        <v>506.84927944121517</v>
      </c>
      <c r="CC92" s="59">
        <f t="shared" si="65"/>
        <v>800.18261277454849</v>
      </c>
      <c r="CD92" s="59">
        <f ca="1">AVERAGE(OFFSET($CC$3,0,0,'Données projet'!$E$12+1,1))-AVERAGE(OFFSET($H$3,0,0,'Données projet'!$E$12+1,1))</f>
        <v>249.53949216238527</v>
      </c>
      <c r="CE92" s="59">
        <f t="shared" si="94"/>
        <v>261.78576517528217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28.014651434079678</v>
      </c>
      <c r="CL92" s="21">
        <f>EXP(-LN(2)/25)*CL91+(1-EXP(-LN(2)/25))/(LN(2)/25)*Calculateur!CG92*Calculateur!CI92*VLOOKUP('Données projet'!$B$12,Paramètres!$A$1:$I$89,3,0)*0.475*44/12</f>
        <v>4.395740307746232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32.410391741825912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7">
        <f t="shared" si="56"/>
        <v>431.57250713527554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281.14678081581229</v>
      </c>
      <c r="T93" s="59">
        <f t="shared" si="88"/>
        <v>380.81265808422603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113.32854098088039</v>
      </c>
      <c r="AA93" s="21">
        <f>EXP(-LN(2)/25)*AA92+(1-EXP(-LN(2)/25))/(LN(2)/25)*Calculateur!V93*Calculateur!X93*VLOOKUP('Données projet'!$B$9,Paramètres!$A$1:$I$89,3,0)*0.475*44/12</f>
        <v>22.063610721871896</v>
      </c>
      <c r="AB93" s="21">
        <f>EXP(-LN(2)/2)*AB92+(1-EXP(-LN(2)/2))/(LN(2)/2)*V93*Y93*VLOOKUP('Données projet'!$B$9,Paramètres!$A$1:$I$89,3,0)*0.475*44/12</f>
        <v>1.8150096873747627E-4</v>
      </c>
      <c r="AC93" s="22">
        <f t="shared" si="57"/>
        <v>135.39233320372105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279.9271639349646</v>
      </c>
      <c r="AO93" s="59">
        <f t="shared" si="90"/>
        <v>260.03726798406916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277.21794870000002</v>
      </c>
      <c r="BB93" s="12">
        <f>VLOOKUP(A93,'Données projet'!$A$87:$I$107,9,0)</f>
        <v>7.1723646644444505</v>
      </c>
      <c r="BC93" s="12">
        <f t="array" ref="BC93">INDEX(BB:BB,MIN(IF(ISNUMBER(BB93:BB289),ROW(BB93:BB289),"")))</f>
        <v>7.1723646644444505</v>
      </c>
      <c r="BD93" s="12">
        <f>IF('Données projet'!$A$88&gt;35,BD92+BC93-BL92,IF(A93&lt;'Données projet'!$A$88,$BA$205^A93,IF(A93='Données projet'!$A$88,'Données projet'!$B$88,BD92+BC93-BL92)))</f>
        <v>277.21794870000025</v>
      </c>
      <c r="BE93" s="13">
        <f>BD93*VLOOKUP('Données projet'!$B$11,Paramètres!$A$1:$I$89,3,0)*VLOOKUP('Données projet'!$B$11,Paramètres!$A$1:$I$89,5,0)</f>
        <v>237.85299998460025</v>
      </c>
      <c r="BF93" s="13">
        <f t="shared" si="91"/>
        <v>57.977351658942162</v>
      </c>
      <c r="BG93" s="20">
        <f t="shared" si="61"/>
        <v>515.23786244583641</v>
      </c>
      <c r="BH93" s="59">
        <f t="shared" si="62"/>
        <v>808.57119577916978</v>
      </c>
      <c r="BI93" s="59">
        <f ca="1">AVERAGE(OFFSET($BH$3,0,0,'Données projet'!$E$11+1,1))-AVERAGE(OFFSET($H$3,0,0,'Données projet'!$E$11+1,1))</f>
        <v>212.99246338839475</v>
      </c>
      <c r="BJ93" s="59">
        <f t="shared" si="92"/>
        <v>162.04040335537223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52.782051279999997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233.89079999999998</v>
      </c>
      <c r="CA93" s="13">
        <f t="shared" si="93"/>
        <v>57.123140349023068</v>
      </c>
      <c r="CB93" s="20">
        <f t="shared" si="64"/>
        <v>506.84927944121517</v>
      </c>
      <c r="CC93" s="59">
        <f t="shared" si="65"/>
        <v>800.18261277454849</v>
      </c>
      <c r="CD93" s="59">
        <f ca="1">AVERAGE(OFFSET($CC$3,0,0,'Données projet'!$E$12+1,1))-AVERAGE(OFFSET($H$3,0,0,'Données projet'!$E$12+1,1))</f>
        <v>249.53949216238527</v>
      </c>
      <c r="CE93" s="59">
        <f t="shared" si="94"/>
        <v>261.78576517528217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27.465301206707526</v>
      </c>
      <c r="CL93" s="21">
        <f>EXP(-LN(2)/25)*CL92+(1-EXP(-LN(2)/25))/(LN(2)/25)*Calculateur!CG93*Calculateur!CI93*VLOOKUP('Données projet'!$B$12,Paramètres!$A$1:$I$89,3,0)*0.475*44/12</f>
        <v>4.2755385578689751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31.740839764576499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7">
        <f t="shared" si="56"/>
        <v>433.46655866897743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281.14678081581229</v>
      </c>
      <c r="T94" s="59">
        <f t="shared" si="88"/>
        <v>380.81265808422603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111.10623741582994</v>
      </c>
      <c r="AA94" s="21">
        <f>EXP(-LN(2)/25)*AA93+(1-EXP(-LN(2)/25))/(LN(2)/25)*Calculateur!V94*Calculateur!X94*VLOOKUP('Données projet'!$B$9,Paramètres!$A$1:$I$89,3,0)*0.475*44/12</f>
        <v>21.460280126407447</v>
      </c>
      <c r="AB94" s="21">
        <f>EXP(-LN(2)/2)*AB93+(1-EXP(-LN(2)/2))/(LN(2)/2)*V94*Y94*VLOOKUP('Données projet'!$B$9,Paramètres!$A$1:$I$89,3,0)*0.475*44/12</f>
        <v>1.2834056578619704E-4</v>
      </c>
      <c r="AC94" s="22">
        <f t="shared" si="57"/>
        <v>132.56664588280319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279.9271639349646</v>
      </c>
      <c r="AO94" s="59">
        <f t="shared" si="90"/>
        <v>260.03726798406916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6.4031339088888863</v>
      </c>
      <c r="BD94" s="12">
        <f>IF('Données projet'!$A$88&gt;35,BD93+BC94-BL93,IF(A94&lt;'Données projet'!$A$88,$BA$205^A94,IF(A94='Données projet'!$A$88,'Données projet'!$B$88,BD93+BC94-BL93)))</f>
        <v>230.83903132888915</v>
      </c>
      <c r="BE94" s="13">
        <f>BD94*VLOOKUP('Données projet'!$B$11,Paramètres!$A$1:$I$89,3,0)*VLOOKUP('Données projet'!$B$11,Paramètres!$A$1:$I$89,5,0)</f>
        <v>198.05988888018692</v>
      </c>
      <c r="BF94" s="13">
        <f t="shared" si="91"/>
        <v>49.317548428048823</v>
      </c>
      <c r="BG94" s="20">
        <f t="shared" si="61"/>
        <v>430.84903664517725</v>
      </c>
      <c r="BH94" s="59">
        <f t="shared" si="62"/>
        <v>724.18236997851056</v>
      </c>
      <c r="BI94" s="59">
        <f ca="1">AVERAGE(OFFSET($BH$3,0,0,'Données projet'!$E$11+1,1))-AVERAGE(OFFSET($H$3,0,0,'Données projet'!$E$11+1,1))</f>
        <v>212.99246338839475</v>
      </c>
      <c r="BJ94" s="59">
        <f t="shared" si="92"/>
        <v>162.04040335537223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233.89079999999998</v>
      </c>
      <c r="CA94" s="13">
        <f t="shared" si="93"/>
        <v>57.123140349023068</v>
      </c>
      <c r="CB94" s="20">
        <f t="shared" si="64"/>
        <v>506.84927944121517</v>
      </c>
      <c r="CC94" s="59">
        <f t="shared" si="65"/>
        <v>800.18261277454849</v>
      </c>
      <c r="CD94" s="59">
        <f ca="1">AVERAGE(OFFSET($CC$3,0,0,'Données projet'!$E$12+1,1))-AVERAGE(OFFSET($H$3,0,0,'Données projet'!$E$12+1,1))</f>
        <v>249.53949216238527</v>
      </c>
      <c r="CE94" s="59">
        <f t="shared" si="94"/>
        <v>261.78576517528217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26.926723402223587</v>
      </c>
      <c r="CL94" s="21">
        <f>EXP(-LN(2)/25)*CL93+(1-EXP(-LN(2)/25))/(LN(2)/25)*Calculateur!CG94*Calculateur!CI94*VLOOKUP('Données projet'!$B$12,Paramètres!$A$1:$I$89,3,0)*0.475*44/12</f>
        <v>4.1586237311632468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31.085347133386833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7">
        <f t="shared" si="56"/>
        <v>435.36013398430907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281.14678081581229</v>
      </c>
      <c r="T95" s="59">
        <f t="shared" si="88"/>
        <v>380.81265808422603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108.92751186821879</v>
      </c>
      <c r="AA95" s="21">
        <f>EXP(-LN(2)/25)*AA94+(1-EXP(-LN(2)/25))/(LN(2)/25)*Calculateur!V95*Calculateur!X95*VLOOKUP('Données projet'!$B$9,Paramètres!$A$1:$I$89,3,0)*0.475*44/12</f>
        <v>20.873447637803753</v>
      </c>
      <c r="AB95" s="21">
        <f>EXP(-LN(2)/2)*AB94+(1-EXP(-LN(2)/2))/(LN(2)/2)*V95*Y95*VLOOKUP('Données projet'!$B$9,Paramètres!$A$1:$I$89,3,0)*0.475*44/12</f>
        <v>9.0750484368738135E-5</v>
      </c>
      <c r="AC95" s="22">
        <f t="shared" si="57"/>
        <v>129.8010502565069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279.9271639349646</v>
      </c>
      <c r="AO95" s="59">
        <f t="shared" si="90"/>
        <v>260.03726798406916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6.4031339088888863</v>
      </c>
      <c r="BD95" s="12">
        <f>IF('Données projet'!$A$88&gt;35,BD94+BC95-BL94,IF(A95&lt;'Données projet'!$A$88,$BA$205^A95,IF(A95='Données projet'!$A$88,'Données projet'!$B$88,BD94+BC95-BL94)))</f>
        <v>237.24216523777804</v>
      </c>
      <c r="BE95" s="13">
        <f>BD95*VLOOKUP('Données projet'!$B$11,Paramètres!$A$1:$I$89,3,0)*VLOOKUP('Données projet'!$B$11,Paramètres!$A$1:$I$89,5,0)</f>
        <v>203.55377777401358</v>
      </c>
      <c r="BF95" s="13">
        <f t="shared" si="91"/>
        <v>50.524378125163594</v>
      </c>
      <c r="BG95" s="20">
        <f t="shared" si="61"/>
        <v>442.51945485773354</v>
      </c>
      <c r="BH95" s="59">
        <f t="shared" si="62"/>
        <v>735.85278819106679</v>
      </c>
      <c r="BI95" s="59">
        <f ca="1">AVERAGE(OFFSET($BH$3,0,0,'Données projet'!$E$11+1,1))-AVERAGE(OFFSET($H$3,0,0,'Données projet'!$E$11+1,1))</f>
        <v>212.99246338839475</v>
      </c>
      <c r="BJ95" s="59">
        <f t="shared" si="92"/>
        <v>162.04040335537223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233.89079999999998</v>
      </c>
      <c r="CA95" s="13">
        <f t="shared" si="93"/>
        <v>57.123140349023068</v>
      </c>
      <c r="CB95" s="20">
        <f t="shared" si="64"/>
        <v>506.84927944121517</v>
      </c>
      <c r="CC95" s="59">
        <f t="shared" si="65"/>
        <v>800.18261277454849</v>
      </c>
      <c r="CD95" s="59">
        <f ca="1">AVERAGE(OFFSET($CC$3,0,0,'Données projet'!$E$12+1,1))-AVERAGE(OFFSET($H$3,0,0,'Données projet'!$E$12+1,1))</f>
        <v>249.53949216238527</v>
      </c>
      <c r="CE95" s="59">
        <f t="shared" si="94"/>
        <v>261.78576517528217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26.398706779985552</v>
      </c>
      <c r="CL95" s="21">
        <f>EXP(-LN(2)/25)*CL94+(1-EXP(-LN(2)/25))/(LN(2)/25)*Calculateur!CG95*Calculateur!CI95*VLOOKUP('Données projet'!$B$12,Paramètres!$A$1:$I$89,3,0)*0.475*44/12</f>
        <v>4.0449059465420705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30.443612726527622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7">
        <f t="shared" si="56"/>
        <v>437.25323885665136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281.14678081581229</v>
      </c>
      <c r="T96" s="59">
        <f t="shared" si="88"/>
        <v>380.81265808422603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106.79150979970493</v>
      </c>
      <c r="AA96" s="21">
        <f>EXP(-LN(2)/25)*AA95+(1-EXP(-LN(2)/25))/(LN(2)/25)*Calculateur!V96*Calculateur!X96*VLOOKUP('Données projet'!$B$9,Paramètres!$A$1:$I$89,3,0)*0.475*44/12</f>
        <v>20.302662114461107</v>
      </c>
      <c r="AB96" s="21">
        <f>EXP(-LN(2)/2)*AB95+(1-EXP(-LN(2)/2))/(LN(2)/2)*V96*Y96*VLOOKUP('Données projet'!$B$9,Paramètres!$A$1:$I$89,3,0)*0.475*44/12</f>
        <v>6.4170282893098518E-5</v>
      </c>
      <c r="AC96" s="22">
        <f t="shared" si="57"/>
        <v>127.09423608444892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279.9271639349646</v>
      </c>
      <c r="AO96" s="59">
        <f t="shared" si="90"/>
        <v>260.03726798406916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6.4031339088888863</v>
      </c>
      <c r="BD96" s="12">
        <f>IF('Données projet'!$A$88&gt;35,BD95+BC96-BL95,IF(A96&lt;'Données projet'!$A$88,$BA$205^A96,IF(A96='Données projet'!$A$88,'Données projet'!$B$88,BD95+BC96-BL95)))</f>
        <v>243.64529914666693</v>
      </c>
      <c r="BE96" s="13">
        <f>BD96*VLOOKUP('Données projet'!$B$11,Paramètres!$A$1:$I$89,3,0)*VLOOKUP('Données projet'!$B$11,Paramètres!$A$1:$I$89,5,0)</f>
        <v>209.04766666784022</v>
      </c>
      <c r="BF96" s="13">
        <f t="shared" si="91"/>
        <v>51.727421885300238</v>
      </c>
      <c r="BG96" s="20">
        <f t="shared" si="61"/>
        <v>454.1832792300529</v>
      </c>
      <c r="BH96" s="59">
        <f t="shared" si="62"/>
        <v>747.51661256338616</v>
      </c>
      <c r="BI96" s="59">
        <f ca="1">AVERAGE(OFFSET($BH$3,0,0,'Données projet'!$E$11+1,1))-AVERAGE(OFFSET($H$3,0,0,'Données projet'!$E$11+1,1))</f>
        <v>212.99246338839475</v>
      </c>
      <c r="BJ96" s="59">
        <f t="shared" si="92"/>
        <v>162.04040335537223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233.89079999999998</v>
      </c>
      <c r="CA96" s="13">
        <f t="shared" si="93"/>
        <v>57.123140349023068</v>
      </c>
      <c r="CB96" s="20">
        <f t="shared" si="64"/>
        <v>506.84927944121517</v>
      </c>
      <c r="CC96" s="59">
        <f t="shared" si="65"/>
        <v>800.18261277454849</v>
      </c>
      <c r="CD96" s="59">
        <f ca="1">AVERAGE(OFFSET($CC$3,0,0,'Données projet'!$E$12+1,1))-AVERAGE(OFFSET($H$3,0,0,'Données projet'!$E$12+1,1))</f>
        <v>249.53949216238527</v>
      </c>
      <c r="CE96" s="59">
        <f t="shared" si="94"/>
        <v>261.78576517528217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25.881044241651267</v>
      </c>
      <c r="CL96" s="21">
        <f>EXP(-LN(2)/25)*CL95+(1-EXP(-LN(2)/25))/(LN(2)/25)*Calculateur!CG96*Calculateur!CI96*VLOOKUP('Données projet'!$B$12,Paramètres!$A$1:$I$89,3,0)*0.475*44/12</f>
        <v>3.9342977807215185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29.815342022372786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7">
        <f t="shared" si="56"/>
        <v>439.14587893002943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281.14678081581229</v>
      </c>
      <c r="T97" s="59">
        <f t="shared" si="88"/>
        <v>380.81265808422603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104.69739342892201</v>
      </c>
      <c r="AA97" s="21">
        <f>EXP(-LN(2)/25)*AA96+(1-EXP(-LN(2)/25))/(LN(2)/25)*Calculateur!V97*Calculateur!X97*VLOOKUP('Données projet'!$B$9,Paramètres!$A$1:$I$89,3,0)*0.475*44/12</f>
        <v>19.747484751270569</v>
      </c>
      <c r="AB97" s="21">
        <f>EXP(-LN(2)/2)*AB96+(1-EXP(-LN(2)/2))/(LN(2)/2)*V97*Y97*VLOOKUP('Données projet'!$B$9,Paramètres!$A$1:$I$89,3,0)*0.475*44/12</f>
        <v>4.5375242184369068E-5</v>
      </c>
      <c r="AC97" s="22">
        <f t="shared" si="57"/>
        <v>124.44492355543476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279.9271639349646</v>
      </c>
      <c r="AO97" s="59">
        <f t="shared" si="90"/>
        <v>260.03726798406916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6.4031339088888863</v>
      </c>
      <c r="BD97" s="12">
        <f>IF('Données projet'!$A$88&gt;35,BD96+BC97-BL96,IF(A97&lt;'Données projet'!$A$88,$BA$205^A97,IF(A97='Données projet'!$A$88,'Données projet'!$B$88,BD96+BC97-BL96)))</f>
        <v>250.04843305555582</v>
      </c>
      <c r="BE97" s="13">
        <f>BD97*VLOOKUP('Données projet'!$B$11,Paramètres!$A$1:$I$89,3,0)*VLOOKUP('Données projet'!$B$11,Paramètres!$A$1:$I$89,5,0)</f>
        <v>214.54155556166694</v>
      </c>
      <c r="BF97" s="13">
        <f t="shared" si="91"/>
        <v>52.926790642508642</v>
      </c>
      <c r="BG97" s="20">
        <f t="shared" si="61"/>
        <v>465.84070297227248</v>
      </c>
      <c r="BH97" s="59">
        <f t="shared" si="62"/>
        <v>759.1740363056058</v>
      </c>
      <c r="BI97" s="59">
        <f ca="1">AVERAGE(OFFSET($BH$3,0,0,'Données projet'!$E$11+1,1))-AVERAGE(OFFSET($H$3,0,0,'Données projet'!$E$11+1,1))</f>
        <v>212.99246338839475</v>
      </c>
      <c r="BJ97" s="59">
        <f t="shared" si="92"/>
        <v>162.04040335537223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233.89079999999998</v>
      </c>
      <c r="CA97" s="13">
        <f t="shared" si="93"/>
        <v>57.123140349023068</v>
      </c>
      <c r="CB97" s="20">
        <f t="shared" si="64"/>
        <v>506.84927944121517</v>
      </c>
      <c r="CC97" s="59">
        <f t="shared" si="65"/>
        <v>800.18261277454849</v>
      </c>
      <c r="CD97" s="59">
        <f ca="1">AVERAGE(OFFSET($CC$3,0,0,'Données projet'!$E$12+1,1))-AVERAGE(OFFSET($H$3,0,0,'Données projet'!$E$12+1,1))</f>
        <v>249.53949216238527</v>
      </c>
      <c r="CE97" s="59">
        <f t="shared" si="94"/>
        <v>261.78576517528217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25.373532749950748</v>
      </c>
      <c r="CL97" s="21">
        <f>EXP(-LN(2)/25)*CL96+(1-EXP(-LN(2)/25))/(LN(2)/25)*Calculateur!CG97*Calculateur!CI97*VLOOKUP('Données projet'!$B$12,Paramètres!$A$1:$I$89,3,0)*0.475*44/12</f>
        <v>3.8267142010119604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29.200246950962708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7">
        <f t="shared" si="56"/>
        <v>441.03805972146523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281.14678081581229</v>
      </c>
      <c r="T98" s="59">
        <f t="shared" si="88"/>
        <v>380.81265808422603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102.64434140288527</v>
      </c>
      <c r="AA98" s="21">
        <f>EXP(-LN(2)/25)*AA97+(1-EXP(-LN(2)/25))/(LN(2)/25)*Calculateur!V98*Calculateur!X98*VLOOKUP('Données projet'!$B$9,Paramètres!$A$1:$I$89,3,0)*0.475*44/12</f>
        <v>19.207488742271988</v>
      </c>
      <c r="AB98" s="21">
        <f>EXP(-LN(2)/2)*AB97+(1-EXP(-LN(2)/2))/(LN(2)/2)*V98*Y98*VLOOKUP('Données projet'!$B$9,Paramètres!$A$1:$I$89,3,0)*0.475*44/12</f>
        <v>3.2085141446549259E-5</v>
      </c>
      <c r="AC98" s="22">
        <f t="shared" si="57"/>
        <v>121.85186223029871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279.9271639349646</v>
      </c>
      <c r="AO98" s="59">
        <f t="shared" si="90"/>
        <v>260.03726798406916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6.4031339088888863</v>
      </c>
      <c r="BD98" s="12">
        <f>IF('Données projet'!$A$88&gt;35,BD97+BC98-BL97,IF(A98&lt;'Données projet'!$A$88,$BA$205^A98,IF(A98='Données projet'!$A$88,'Données projet'!$B$88,BD97+BC98-BL97)))</f>
        <v>256.45156696444468</v>
      </c>
      <c r="BE98" s="13">
        <f>BD98*VLOOKUP('Données projet'!$B$11,Paramètres!$A$1:$I$89,3,0)*VLOOKUP('Données projet'!$B$11,Paramètres!$A$1:$I$89,5,0)</f>
        <v>220.03544445549355</v>
      </c>
      <c r="BF98" s="13">
        <f t="shared" si="91"/>
        <v>54.122589325642871</v>
      </c>
      <c r="BG98" s="20">
        <f t="shared" si="61"/>
        <v>477.49190883547925</v>
      </c>
      <c r="BH98" s="59">
        <f t="shared" si="62"/>
        <v>770.82524216881257</v>
      </c>
      <c r="BI98" s="59">
        <f ca="1">AVERAGE(OFFSET($BH$3,0,0,'Données projet'!$E$11+1,1))-AVERAGE(OFFSET($H$3,0,0,'Données projet'!$E$11+1,1))</f>
        <v>212.99246338839475</v>
      </c>
      <c r="BJ98" s="59">
        <f t="shared" si="92"/>
        <v>162.04040335537223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233.89079999999998</v>
      </c>
      <c r="CA98" s="13">
        <f t="shared" si="93"/>
        <v>57.123140349023068</v>
      </c>
      <c r="CB98" s="20">
        <f t="shared" si="64"/>
        <v>506.84927944121517</v>
      </c>
      <c r="CC98" s="59">
        <f t="shared" si="65"/>
        <v>800.18261277454849</v>
      </c>
      <c r="CD98" s="59">
        <f ca="1">AVERAGE(OFFSET($CC$3,0,0,'Données projet'!$E$12+1,1))-AVERAGE(OFFSET($H$3,0,0,'Données projet'!$E$12+1,1))</f>
        <v>249.53949216238527</v>
      </c>
      <c r="CE98" s="59">
        <f t="shared" si="94"/>
        <v>261.78576517528217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24.875973249051032</v>
      </c>
      <c r="CL98" s="21">
        <f>EXP(-LN(2)/25)*CL97+(1-EXP(-LN(2)/25))/(LN(2)/25)*Calculateur!CG98*Calculateur!CI98*VLOOKUP('Données projet'!$B$12,Paramètres!$A$1:$I$89,3,0)*0.475*44/12</f>
        <v>3.7220724999471346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28.598045748998167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7">
        <f t="shared" si="56"/>
        <v>442.9297866251419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281.14678081581229</v>
      </c>
      <c r="T99" s="59">
        <f t="shared" si="88"/>
        <v>380.81265808422603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100.63154847484104</v>
      </c>
      <c r="AA99" s="21">
        <f>EXP(-LN(2)/25)*AA98+(1-EXP(-LN(2)/25))/(LN(2)/25)*Calculateur!V99*Calculateur!X99*VLOOKUP('Données projet'!$B$9,Paramètres!$A$1:$I$89,3,0)*0.475*44/12</f>
        <v>18.682258952536625</v>
      </c>
      <c r="AB99" s="21">
        <f>EXP(-LN(2)/2)*AB98+(1-EXP(-LN(2)/2))/(LN(2)/2)*V99*Y99*VLOOKUP('Données projet'!$B$9,Paramètres!$A$1:$I$89,3,0)*0.475*44/12</f>
        <v>2.2687621092184534E-5</v>
      </c>
      <c r="AC99" s="22">
        <f t="shared" si="57"/>
        <v>119.31383011499877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279.9271639349646</v>
      </c>
      <c r="AO99" s="59">
        <f t="shared" si="90"/>
        <v>260.03726798406916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6.4031339088888863</v>
      </c>
      <c r="BD99" s="12">
        <f>IF('Données projet'!$A$88&gt;35,BD98+BC99-BL98,IF(A99&lt;'Données projet'!$A$88,$BA$205^A99,IF(A99='Données projet'!$A$88,'Données projet'!$B$88,BD98+BC99-BL98)))</f>
        <v>262.85470087333357</v>
      </c>
      <c r="BE99" s="13">
        <f>BD99*VLOOKUP('Données projet'!$B$11,Paramètres!$A$1:$I$89,3,0)*VLOOKUP('Données projet'!$B$11,Paramètres!$A$1:$I$89,5,0)</f>
        <v>225.52933334932024</v>
      </c>
      <c r="BF99" s="13">
        <f t="shared" si="91"/>
        <v>55.314917325147889</v>
      </c>
      <c r="BG99" s="20">
        <f t="shared" si="61"/>
        <v>489.13706992469861</v>
      </c>
      <c r="BH99" s="59">
        <f t="shared" si="62"/>
        <v>782.47040325803187</v>
      </c>
      <c r="BI99" s="59">
        <f ca="1">AVERAGE(OFFSET($BH$3,0,0,'Données projet'!$E$11+1,1))-AVERAGE(OFFSET($H$3,0,0,'Données projet'!$E$11+1,1))</f>
        <v>212.99246338839475</v>
      </c>
      <c r="BJ99" s="59">
        <f t="shared" si="92"/>
        <v>162.04040335537223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233.89079999999998</v>
      </c>
      <c r="CA99" s="13">
        <f t="shared" si="93"/>
        <v>57.123140349023068</v>
      </c>
      <c r="CB99" s="20">
        <f t="shared" si="64"/>
        <v>506.84927944121517</v>
      </c>
      <c r="CC99" s="59">
        <f t="shared" si="65"/>
        <v>800.18261277454849</v>
      </c>
      <c r="CD99" s="59">
        <f ca="1">AVERAGE(OFFSET($CC$3,0,0,'Données projet'!$E$12+1,1))-AVERAGE(OFFSET($H$3,0,0,'Données projet'!$E$12+1,1))</f>
        <v>249.53949216238527</v>
      </c>
      <c r="CE99" s="59">
        <f t="shared" si="94"/>
        <v>261.78576517528217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24.38817058648263</v>
      </c>
      <c r="CL99" s="21">
        <f>EXP(-LN(2)/25)*CL98+(1-EXP(-LN(2)/25))/(LN(2)/25)*Calculateur!CG99*Calculateur!CI99*VLOOKUP('Données projet'!$B$12,Paramètres!$A$1:$I$89,3,0)*0.475*44/12</f>
        <v>3.6202922317007942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28.008462818183425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7">
        <f t="shared" si="56"/>
        <v>444.82106491638882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281.14678081581229</v>
      </c>
      <c r="T100" s="59">
        <f t="shared" si="88"/>
        <v>380.81265808422603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98.658225188433292</v>
      </c>
      <c r="AA100" s="21">
        <f>EXP(-LN(2)/25)*AA99+(1-EXP(-LN(2)/25))/(LN(2)/25)*Calculateur!V100*Calculateur!X100*VLOOKUP('Données projet'!$B$9,Paramètres!$A$1:$I$89,3,0)*0.475*44/12</f>
        <v>18.171391599022211</v>
      </c>
      <c r="AB100" s="21">
        <f>EXP(-LN(2)/2)*AB99+(1-EXP(-LN(2)/2))/(LN(2)/2)*V100*Y100*VLOOKUP('Données projet'!$B$9,Paramètres!$A$1:$I$89,3,0)*0.475*44/12</f>
        <v>1.6042570723274629E-5</v>
      </c>
      <c r="AC100" s="22">
        <f t="shared" si="57"/>
        <v>116.82963283002623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279.9271639349646</v>
      </c>
      <c r="AO100" s="59">
        <f t="shared" si="90"/>
        <v>260.03726798406916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6.4031339088888863</v>
      </c>
      <c r="BD100" s="12">
        <f>IF('Données projet'!$A$88&gt;35,BD99+BC100-BL99,IF(A100&lt;'Données projet'!$A$88,$BA$205^A100,IF(A100='Données projet'!$A$88,'Données projet'!$B$88,BD99+BC100-BL99)))</f>
        <v>269.25783478222246</v>
      </c>
      <c r="BE100" s="13">
        <f>BD100*VLOOKUP('Données projet'!$B$11,Paramètres!$A$1:$I$89,3,0)*VLOOKUP('Données projet'!$B$11,Paramètres!$A$1:$I$89,5,0)</f>
        <v>231.0232222431469</v>
      </c>
      <c r="BF100" s="13">
        <f t="shared" si="91"/>
        <v>56.503868913082442</v>
      </c>
      <c r="BG100" s="20">
        <f t="shared" si="61"/>
        <v>500.77635043043279</v>
      </c>
      <c r="BH100" s="59">
        <f t="shared" si="62"/>
        <v>794.10968376376604</v>
      </c>
      <c r="BI100" s="59">
        <f ca="1">AVERAGE(OFFSET($BH$3,0,0,'Données projet'!$E$11+1,1))-AVERAGE(OFFSET($H$3,0,0,'Données projet'!$E$11+1,1))</f>
        <v>212.99246338839475</v>
      </c>
      <c r="BJ100" s="59">
        <f t="shared" si="92"/>
        <v>162.04040335537223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233.89079999999998</v>
      </c>
      <c r="CA100" s="13">
        <f t="shared" si="93"/>
        <v>57.123140349023068</v>
      </c>
      <c r="CB100" s="20">
        <f t="shared" si="64"/>
        <v>506.84927944121517</v>
      </c>
      <c r="CC100" s="59">
        <f t="shared" si="65"/>
        <v>800.18261277454849</v>
      </c>
      <c r="CD100" s="59">
        <f ca="1">AVERAGE(OFFSET($CC$3,0,0,'Données projet'!$E$12+1,1))-AVERAGE(OFFSET($H$3,0,0,'Données projet'!$E$12+1,1))</f>
        <v>249.53949216238527</v>
      </c>
      <c r="CE100" s="59">
        <f t="shared" si="94"/>
        <v>261.78576517528217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23.909933436596948</v>
      </c>
      <c r="CL100" s="21">
        <f>EXP(-LN(2)/25)*CL99+(1-EXP(-LN(2)/25))/(LN(2)/25)*Calculateur!CG100*Calculateur!CI100*VLOOKUP('Données projet'!$B$12,Paramètres!$A$1:$I$89,3,0)*0.475*44/12</f>
        <v>3.5212951502420418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27.431228586838991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7">
        <f t="shared" si="56"/>
        <v>446.71189975549817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281.14678081581229</v>
      </c>
      <c r="T101" s="59">
        <f t="shared" si="88"/>
        <v>380.81265808422603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96.723597568063639</v>
      </c>
      <c r="AA101" s="21">
        <f>EXP(-LN(2)/25)*AA100+(1-EXP(-LN(2)/25))/(LN(2)/25)*Calculateur!V101*Calculateur!X101*VLOOKUP('Données projet'!$B$9,Paramètres!$A$1:$I$89,3,0)*0.475*44/12</f>
        <v>17.674493940154996</v>
      </c>
      <c r="AB101" s="21">
        <f>EXP(-LN(2)/2)*AB100+(1-EXP(-LN(2)/2))/(LN(2)/2)*V101*Y101*VLOOKUP('Données projet'!$B$9,Paramètres!$A$1:$I$89,3,0)*0.475*44/12</f>
        <v>1.1343810546092267E-5</v>
      </c>
      <c r="AC101" s="22">
        <f t="shared" si="57"/>
        <v>114.39810285202918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279.9271639349646</v>
      </c>
      <c r="AO101" s="59">
        <f t="shared" si="90"/>
        <v>260.03726798406916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6.4031339088888863</v>
      </c>
      <c r="BD101" s="12">
        <f>IF('Données projet'!$A$88&gt;35,BD100+BC101-BL100,IF(A101&lt;'Données projet'!$A$88,$BA$205^A101,IF(A101='Données projet'!$A$88,'Données projet'!$B$88,BD100+BC101-BL100)))</f>
        <v>275.66096869111135</v>
      </c>
      <c r="BE101" s="13">
        <f>BD101*VLOOKUP('Données projet'!$B$11,Paramètres!$A$1:$I$89,3,0)*VLOOKUP('Données projet'!$B$11,Paramètres!$A$1:$I$89,5,0)</f>
        <v>236.51711113697357</v>
      </c>
      <c r="BF101" s="13">
        <f t="shared" si="91"/>
        <v>57.689533622062029</v>
      </c>
      <c r="BG101" s="20">
        <f t="shared" si="61"/>
        <v>512.4099062886537</v>
      </c>
      <c r="BH101" s="59">
        <f t="shared" si="62"/>
        <v>805.74323962198696</v>
      </c>
      <c r="BI101" s="59">
        <f ca="1">AVERAGE(OFFSET($BH$3,0,0,'Données projet'!$E$11+1,1))-AVERAGE(OFFSET($H$3,0,0,'Données projet'!$E$11+1,1))</f>
        <v>212.99246338839475</v>
      </c>
      <c r="BJ101" s="59">
        <f t="shared" si="92"/>
        <v>162.04040335537223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233.89079999999998</v>
      </c>
      <c r="CA101" s="13">
        <f t="shared" si="93"/>
        <v>57.123140349023068</v>
      </c>
      <c r="CB101" s="20">
        <f t="shared" si="64"/>
        <v>506.84927944121517</v>
      </c>
      <c r="CC101" s="59">
        <f t="shared" si="65"/>
        <v>800.18261277454849</v>
      </c>
      <c r="CD101" s="59">
        <f ca="1">AVERAGE(OFFSET($CC$3,0,0,'Données projet'!$E$12+1,1))-AVERAGE(OFFSET($H$3,0,0,'Données projet'!$E$12+1,1))</f>
        <v>249.53949216238527</v>
      </c>
      <c r="CE101" s="59">
        <f t="shared" si="94"/>
        <v>261.78576517528217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23.441074225524666</v>
      </c>
      <c r="CL101" s="21">
        <f>EXP(-LN(2)/25)*CL100+(1-EXP(-LN(2)/25))/(LN(2)/25)*Calculateur!CG101*Calculateur!CI101*VLOOKUP('Données projet'!$B$12,Paramètres!$A$1:$I$89,3,0)*0.475*44/12</f>
        <v>3.4250051491818092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26.866079374706477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7">
        <f t="shared" si="56"/>
        <v>448.60229619138158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281.14678081581229</v>
      </c>
      <c r="T102" s="59">
        <f t="shared" si="88"/>
        <v>380.81265808422603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94.826906815323099</v>
      </c>
      <c r="AA102" s="21">
        <f>EXP(-LN(2)/25)*AA101+(1-EXP(-LN(2)/25))/(LN(2)/25)*Calculateur!V102*Calculateur!X102*VLOOKUP('Données projet'!$B$9,Paramètres!$A$1:$I$89,3,0)*0.475*44/12</f>
        <v>17.191183973900216</v>
      </c>
      <c r="AB102" s="21">
        <f>EXP(-LN(2)/2)*AB101+(1-EXP(-LN(2)/2))/(LN(2)/2)*V102*Y102*VLOOKUP('Données projet'!$B$9,Paramètres!$A$1:$I$89,3,0)*0.475*44/12</f>
        <v>8.0212853616373147E-6</v>
      </c>
      <c r="AC102" s="22">
        <f t="shared" si="57"/>
        <v>112.01809881050869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279.9271639349646</v>
      </c>
      <c r="AO102" s="59">
        <f t="shared" si="90"/>
        <v>260.03726798406916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282.06410260000001</v>
      </c>
      <c r="BB102" s="12">
        <f>VLOOKUP(A102,'Données projet'!$A$87:$I$107,9,0)</f>
        <v>6.4031339088888863</v>
      </c>
      <c r="BC102" s="12">
        <f t="array" ref="BC102">INDEX(BB:BB,MIN(IF(ISNUMBER(BB102:BB298),ROW(BB102:BB298),"")))</f>
        <v>6.4031339088888863</v>
      </c>
      <c r="BD102" s="12">
        <f>IF('Données projet'!$A$88&gt;35,BD101+BC102-BL101,IF(A102&lt;'Données projet'!$A$88,$BA$205^A102,IF(A102='Données projet'!$A$88,'Données projet'!$B$88,BD101+BC102-BL101)))</f>
        <v>282.06410260000024</v>
      </c>
      <c r="BE102" s="13">
        <f>BD102*VLOOKUP('Données projet'!$B$11,Paramètres!$A$1:$I$89,3,0)*VLOOKUP('Données projet'!$B$11,Paramètres!$A$1:$I$89,5,0)</f>
        <v>242.01100003080023</v>
      </c>
      <c r="BF102" s="13">
        <f t="shared" si="91"/>
        <v>58.871996588001871</v>
      </c>
      <c r="BG102" s="20">
        <f t="shared" si="61"/>
        <v>524.03788577774696</v>
      </c>
      <c r="BH102" s="59">
        <f t="shared" si="62"/>
        <v>817.37121911108034</v>
      </c>
      <c r="BI102" s="59">
        <f ca="1">AVERAGE(OFFSET($BH$3,0,0,'Données projet'!$E$11+1,1))-AVERAGE(OFFSET($H$3,0,0,'Données projet'!$E$11+1,1))</f>
        <v>212.99246338839475</v>
      </c>
      <c r="BJ102" s="59">
        <f t="shared" si="92"/>
        <v>162.04040335537223</v>
      </c>
      <c r="BK102" s="15">
        <f>IF(ISNA(VLOOKUP(A102,'Données projet'!$A$87:$I$107,3,0)),0,VLOOKUP(A102,'Données projet'!$A$87:$I$107,3,0))</f>
        <v>8</v>
      </c>
      <c r="BL102" s="15">
        <f>IF(ISNA(VLOOKUP(A102,'Données projet'!$A$87:$I$107,4,0)),0,VLOOKUP(A102,'Données projet'!$A$87:$I$107,4,0))</f>
        <v>53.75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233.89079999999998</v>
      </c>
      <c r="CA102" s="13">
        <f t="shared" si="93"/>
        <v>57.123140349023068</v>
      </c>
      <c r="CB102" s="20">
        <f t="shared" si="64"/>
        <v>506.84927944121517</v>
      </c>
      <c r="CC102" s="59">
        <f t="shared" si="65"/>
        <v>800.18261277454849</v>
      </c>
      <c r="CD102" s="59">
        <f ca="1">AVERAGE(OFFSET($CC$3,0,0,'Données projet'!$E$12+1,1))-AVERAGE(OFFSET($H$3,0,0,'Données projet'!$E$12+1,1))</f>
        <v>249.53949216238527</v>
      </c>
      <c r="CE102" s="59">
        <f t="shared" si="94"/>
        <v>261.78576517528217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22.981409057605632</v>
      </c>
      <c r="CL102" s="21">
        <f>EXP(-LN(2)/25)*CL101+(1-EXP(-LN(2)/25))/(LN(2)/25)*Calculateur!CG102*Calculateur!CI102*VLOOKUP('Données projet'!$B$12,Paramètres!$A$1:$I$89,3,0)*0.475*44/12</f>
        <v>3.3313482032642399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26.312757260869873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7">
        <f t="shared" si="56"/>
        <v>450.49225916507385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281.14678081581229</v>
      </c>
      <c r="T103" s="59">
        <f t="shared" si="88"/>
        <v>380.81265808422603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92.967409011376674</v>
      </c>
      <c r="AA103" s="21">
        <f>EXP(-LN(2)/25)*AA102+(1-EXP(-LN(2)/25))/(LN(2)/25)*Calculateur!V103*Calculateur!X103*VLOOKUP('Données projet'!$B$9,Paramètres!$A$1:$I$89,3,0)*0.475*44/12</f>
        <v>16.721090144088841</v>
      </c>
      <c r="AB103" s="21">
        <f>EXP(-LN(2)/2)*AB102+(1-EXP(-LN(2)/2))/(LN(2)/2)*V103*Y103*VLOOKUP('Données projet'!$B$9,Paramètres!$A$1:$I$89,3,0)*0.475*44/12</f>
        <v>5.6719052730461335E-6</v>
      </c>
      <c r="AC103" s="22">
        <f t="shared" si="57"/>
        <v>109.68850482737078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279.9271639349646</v>
      </c>
      <c r="AO103" s="59">
        <f t="shared" si="90"/>
        <v>260.03726798406916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5.6367521333333315</v>
      </c>
      <c r="BD103" s="12">
        <f>IF('Données projet'!$A$88&gt;35,BD102+BC103-BL102,IF(A103&lt;'Données projet'!$A$88,$BA$205^A103,IF(A103='Données projet'!$A$88,'Données projet'!$B$88,BD102+BC103-BL102)))</f>
        <v>233.95085473333359</v>
      </c>
      <c r="BE103" s="13">
        <f>BD103*VLOOKUP('Données projet'!$B$11,Paramètres!$A$1:$I$89,3,0)*VLOOKUP('Données projet'!$B$11,Paramètres!$A$1:$I$89,5,0)</f>
        <v>200.72983336120024</v>
      </c>
      <c r="BF103" s="13">
        <f t="shared" si="91"/>
        <v>49.904528989494729</v>
      </c>
      <c r="BG103" s="20">
        <f t="shared" si="61"/>
        <v>436.52151442746043</v>
      </c>
      <c r="BH103" s="59">
        <f t="shared" si="62"/>
        <v>729.85484776079375</v>
      </c>
      <c r="BI103" s="59">
        <f ca="1">AVERAGE(OFFSET($BH$3,0,0,'Données projet'!$E$11+1,1))-AVERAGE(OFFSET($H$3,0,0,'Données projet'!$E$11+1,1))</f>
        <v>212.99246338839475</v>
      </c>
      <c r="BJ103" s="59">
        <f t="shared" si="92"/>
        <v>162.04040335537223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233.89079999999998</v>
      </c>
      <c r="CA103" s="13">
        <f t="shared" si="93"/>
        <v>57.123140349023068</v>
      </c>
      <c r="CB103" s="20">
        <f t="shared" si="64"/>
        <v>506.84927944121517</v>
      </c>
      <c r="CC103" s="59">
        <f t="shared" si="65"/>
        <v>800.18261277454849</v>
      </c>
      <c r="CD103" s="59">
        <f ca="1">AVERAGE(OFFSET($CC$3,0,0,'Données projet'!$E$12+1,1))-AVERAGE(OFFSET($H$3,0,0,'Données projet'!$E$12+1,1))</f>
        <v>249.53949216238527</v>
      </c>
      <c r="CE103" s="59">
        <f t="shared" si="94"/>
        <v>261.78576517528217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22.53075764326142</v>
      </c>
      <c r="CL103" s="21">
        <f>EXP(-LN(2)/25)*CL102+(1-EXP(-LN(2)/25))/(LN(2)/25)*Calculateur!CG103*Calculateur!CI103*VLOOKUP('Données projet'!$B$12,Paramètres!$A$1:$I$89,3,0)*0.475*44/12</f>
        <v>3.2402523114579913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25.77100995471941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7">
        <f t="shared" si="56"/>
        <v>452.38179351309361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281.14678081581229</v>
      </c>
      <c r="T104" s="59">
        <f t="shared" si="88"/>
        <v>380.81265808422603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91.144374825183974</v>
      </c>
      <c r="AA104" s="21">
        <f>EXP(-LN(2)/25)*AA103+(1-EXP(-LN(2)/25))/(LN(2)/25)*Calculateur!V104*Calculateur!X104*VLOOKUP('Données projet'!$B$9,Paramètres!$A$1:$I$89,3,0)*0.475*44/12</f>
        <v>16.263851054774818</v>
      </c>
      <c r="AB104" s="21">
        <f>EXP(-LN(2)/2)*AB103+(1-EXP(-LN(2)/2))/(LN(2)/2)*V104*Y104*VLOOKUP('Données projet'!$B$9,Paramètres!$A$1:$I$89,3,0)*0.475*44/12</f>
        <v>4.0106426808186573E-6</v>
      </c>
      <c r="AC104" s="22">
        <f t="shared" si="57"/>
        <v>107.40822989060148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279.9271639349646</v>
      </c>
      <c r="AO104" s="59">
        <f t="shared" si="90"/>
        <v>260.03726798406916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5.6367521333333315</v>
      </c>
      <c r="BD104" s="12">
        <f>IF('Données projet'!$A$88&gt;35,BD103+BC104-BL103,IF(A104&lt;'Données projet'!$A$88,$BA$205^A104,IF(A104='Données projet'!$A$88,'Données projet'!$B$88,BD103+BC104-BL103)))</f>
        <v>239.58760686666693</v>
      </c>
      <c r="BE104" s="13">
        <f>BD104*VLOOKUP('Données projet'!$B$11,Paramètres!$A$1:$I$89,3,0)*VLOOKUP('Données projet'!$B$11,Paramètres!$A$1:$I$89,5,0)</f>
        <v>205.56616669160024</v>
      </c>
      <c r="BF104" s="13">
        <f t="shared" si="91"/>
        <v>50.965481511891845</v>
      </c>
      <c r="BG104" s="20">
        <f t="shared" si="61"/>
        <v>446.79262062108199</v>
      </c>
      <c r="BH104" s="59">
        <f t="shared" si="62"/>
        <v>740.12595395441531</v>
      </c>
      <c r="BI104" s="59">
        <f ca="1">AVERAGE(OFFSET($BH$3,0,0,'Données projet'!$E$11+1,1))-AVERAGE(OFFSET($H$3,0,0,'Données projet'!$E$11+1,1))</f>
        <v>212.99246338839475</v>
      </c>
      <c r="BJ104" s="59">
        <f t="shared" si="92"/>
        <v>162.04040335537223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233.89079999999998</v>
      </c>
      <c r="CA104" s="13">
        <f t="shared" si="93"/>
        <v>57.123140349023068</v>
      </c>
      <c r="CB104" s="20">
        <f t="shared" si="64"/>
        <v>506.84927944121517</v>
      </c>
      <c r="CC104" s="59">
        <f t="shared" si="65"/>
        <v>800.18261277454849</v>
      </c>
      <c r="CD104" s="59">
        <f ca="1">AVERAGE(OFFSET($CC$3,0,0,'Données projet'!$E$12+1,1))-AVERAGE(OFFSET($H$3,0,0,'Données projet'!$E$12+1,1))</f>
        <v>249.53949216238527</v>
      </c>
      <c r="CE104" s="59">
        <f t="shared" si="94"/>
        <v>261.78576517528217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22.088943228282275</v>
      </c>
      <c r="CL104" s="21">
        <f>EXP(-LN(2)/25)*CL103+(1-EXP(-LN(2)/25))/(LN(2)/25)*Calculateur!CG104*Calculateur!CI104*VLOOKUP('Données projet'!$B$12,Paramètres!$A$1:$I$89,3,0)*0.475*44/12</f>
        <v>3.1516474416037092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25.240590669885986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7">
        <f t="shared" si="56"/>
        <v>454.27090397066615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281.14678081581229</v>
      </c>
      <c r="T105" s="59">
        <f t="shared" si="88"/>
        <v>380.81265808422603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89.357089227441449</v>
      </c>
      <c r="AA105" s="21">
        <f>EXP(-LN(2)/25)*AA104+(1-EXP(-LN(2)/25))/(LN(2)/25)*Calculateur!V105*Calculateur!X105*VLOOKUP('Données projet'!$B$9,Paramètres!$A$1:$I$89,3,0)*0.475*44/12</f>
        <v>15.819115192403245</v>
      </c>
      <c r="AB105" s="21">
        <f>EXP(-LN(2)/2)*AB104+(1-EXP(-LN(2)/2))/(LN(2)/2)*V105*Y105*VLOOKUP('Données projet'!$B$9,Paramètres!$A$1:$I$89,3,0)*0.475*44/12</f>
        <v>2.8359526365230667E-6</v>
      </c>
      <c r="AC105" s="22">
        <f t="shared" si="57"/>
        <v>105.17620725579734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279.9271639349646</v>
      </c>
      <c r="AO105" s="59">
        <f t="shared" si="90"/>
        <v>260.03726798406916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5.6367521333333315</v>
      </c>
      <c r="BD105" s="12">
        <f>IF('Données projet'!$A$88&gt;35,BD104+BC105-BL104,IF(A105&lt;'Données projet'!$A$88,$BA$205^A105,IF(A105='Données projet'!$A$88,'Données projet'!$B$88,BD104+BC105-BL104)))</f>
        <v>245.22435900000028</v>
      </c>
      <c r="BE105" s="13">
        <f>BD105*VLOOKUP('Données projet'!$B$11,Paramètres!$A$1:$I$89,3,0)*VLOOKUP('Données projet'!$B$11,Paramètres!$A$1:$I$89,5,0)</f>
        <v>210.40250002200028</v>
      </c>
      <c r="BF105" s="13">
        <f t="shared" si="91"/>
        <v>52.023532275317145</v>
      </c>
      <c r="BG105" s="20">
        <f t="shared" si="61"/>
        <v>457.05867291782783</v>
      </c>
      <c r="BH105" s="59">
        <f t="shared" si="62"/>
        <v>750.39200625116109</v>
      </c>
      <c r="BI105" s="59">
        <f ca="1">AVERAGE(OFFSET($BH$3,0,0,'Données projet'!$E$11+1,1))-AVERAGE(OFFSET($H$3,0,0,'Données projet'!$E$11+1,1))</f>
        <v>212.99246338839475</v>
      </c>
      <c r="BJ105" s="59">
        <f t="shared" si="92"/>
        <v>162.04040335537223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233.89079999999998</v>
      </c>
      <c r="CA105" s="13">
        <f t="shared" si="93"/>
        <v>57.123140349023068</v>
      </c>
      <c r="CB105" s="20">
        <f t="shared" si="64"/>
        <v>506.84927944121517</v>
      </c>
      <c r="CC105" s="59">
        <f t="shared" si="65"/>
        <v>800.18261277454849</v>
      </c>
      <c r="CD105" s="59">
        <f ca="1">AVERAGE(OFFSET($CC$3,0,0,'Données projet'!$E$12+1,1))-AVERAGE(OFFSET($H$3,0,0,'Données projet'!$E$12+1,1))</f>
        <v>249.53949216238527</v>
      </c>
      <c r="CE105" s="59">
        <f t="shared" si="94"/>
        <v>261.78576517528217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21.65579252450069</v>
      </c>
      <c r="CL105" s="21">
        <f>EXP(-LN(2)/25)*CL104+(1-EXP(-LN(2)/25))/(LN(2)/25)*Calculateur!CG105*Calculateur!CI105*VLOOKUP('Données projet'!$B$12,Paramètres!$A$1:$I$89,3,0)*0.475*44/12</f>
        <v>3.0654654765751199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24.72125800107581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7">
        <f t="shared" si="56"/>
        <v>456.15959517481701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281.14678081581229</v>
      </c>
      <c r="T106" s="59">
        <f t="shared" si="88"/>
        <v>380.81265808422603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87.604851210134086</v>
      </c>
      <c r="AA106" s="21">
        <f>EXP(-LN(2)/25)*AA105+(1-EXP(-LN(2)/25))/(LN(2)/25)*Calculateur!V106*Calculateur!X106*VLOOKUP('Données projet'!$B$9,Paramètres!$A$1:$I$89,3,0)*0.475*44/12</f>
        <v>15.386540655575866</v>
      </c>
      <c r="AB106" s="21">
        <f>EXP(-LN(2)/2)*AB105+(1-EXP(-LN(2)/2))/(LN(2)/2)*V106*Y106*VLOOKUP('Données projet'!$B$9,Paramètres!$A$1:$I$89,3,0)*0.475*44/12</f>
        <v>2.0053213404093287E-6</v>
      </c>
      <c r="AC106" s="22">
        <f t="shared" si="57"/>
        <v>102.99139387103129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279.9271639349646</v>
      </c>
      <c r="AO106" s="59">
        <f t="shared" si="90"/>
        <v>260.03726798406916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5.6367521333333315</v>
      </c>
      <c r="BD106" s="12">
        <f>IF('Données projet'!$A$88&gt;35,BD105+BC106-BL105,IF(A106&lt;'Données projet'!$A$88,$BA$205^A106,IF(A106='Données projet'!$A$88,'Données projet'!$B$88,BD105+BC106-BL105)))</f>
        <v>250.86111113333362</v>
      </c>
      <c r="BE106" s="13">
        <f>BD106*VLOOKUP('Données projet'!$B$11,Paramètres!$A$1:$I$89,3,0)*VLOOKUP('Données projet'!$B$11,Paramètres!$A$1:$I$89,5,0)</f>
        <v>215.23883335240029</v>
      </c>
      <c r="BF106" s="13">
        <f t="shared" si="91"/>
        <v>53.07875565750232</v>
      </c>
      <c r="BG106" s="20">
        <f t="shared" si="61"/>
        <v>467.31980085891377</v>
      </c>
      <c r="BH106" s="59">
        <f t="shared" si="62"/>
        <v>760.65313419224708</v>
      </c>
      <c r="BI106" s="59">
        <f ca="1">AVERAGE(OFFSET($BH$3,0,0,'Données projet'!$E$11+1,1))-AVERAGE(OFFSET($H$3,0,0,'Données projet'!$E$11+1,1))</f>
        <v>212.99246338839475</v>
      </c>
      <c r="BJ106" s="59">
        <f t="shared" si="92"/>
        <v>162.04040335537223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233.89079999999998</v>
      </c>
      <c r="CA106" s="13">
        <f t="shared" si="93"/>
        <v>57.123140349023068</v>
      </c>
      <c r="CB106" s="20">
        <f t="shared" si="64"/>
        <v>506.84927944121517</v>
      </c>
      <c r="CC106" s="59">
        <f t="shared" si="65"/>
        <v>800.18261277454849</v>
      </c>
      <c r="CD106" s="59">
        <f ca="1">AVERAGE(OFFSET($CC$3,0,0,'Données projet'!$E$12+1,1))-AVERAGE(OFFSET($H$3,0,0,'Données projet'!$E$12+1,1))</f>
        <v>249.53949216238527</v>
      </c>
      <c r="CE106" s="59">
        <f t="shared" si="94"/>
        <v>261.78576517528217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21.231135641824416</v>
      </c>
      <c r="CL106" s="21">
        <f>EXP(-LN(2)/25)*CL105+(1-EXP(-LN(2)/25))/(LN(2)/25)*Calculateur!CG106*Calculateur!CI106*VLOOKUP('Données projet'!$B$12,Paramètres!$A$1:$I$89,3,0)*0.475*44/12</f>
        <v>2.9816401619123503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24.212775803736765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7">
        <f t="shared" si="56"/>
        <v>458.0478716673415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281.14678081581229</v>
      </c>
      <c r="T107" s="59">
        <f t="shared" si="88"/>
        <v>380.81265808422603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85.886973511586461</v>
      </c>
      <c r="AA107" s="21">
        <f>EXP(-LN(2)/25)*AA106+(1-EXP(-LN(2)/25))/(LN(2)/25)*Calculateur!V107*Calculateur!X107*VLOOKUP('Données projet'!$B$9,Paramètres!$A$1:$I$89,3,0)*0.475*44/12</f>
        <v>14.965794892206137</v>
      </c>
      <c r="AB107" s="21">
        <f>EXP(-LN(2)/2)*AB106+(1-EXP(-LN(2)/2))/(LN(2)/2)*V107*Y107*VLOOKUP('Données projet'!$B$9,Paramètres!$A$1:$I$89,3,0)*0.475*44/12</f>
        <v>1.4179763182615334E-6</v>
      </c>
      <c r="AC107" s="22">
        <f t="shared" si="57"/>
        <v>100.85276982176892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279.9271639349646</v>
      </c>
      <c r="AO107" s="59">
        <f t="shared" si="90"/>
        <v>260.03726798406916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5.6367521333333315</v>
      </c>
      <c r="BD107" s="12">
        <f>IF('Données projet'!$A$88&gt;35,BD106+BC107-BL106,IF(A107&lt;'Données projet'!$A$88,$BA$205^A107,IF(A107='Données projet'!$A$88,'Données projet'!$B$88,BD106+BC107-BL106)))</f>
        <v>256.49786326666697</v>
      </c>
      <c r="BE107" s="13">
        <f>BD107*VLOOKUP('Données projet'!$B$11,Paramètres!$A$1:$I$89,3,0)*VLOOKUP('Données projet'!$B$11,Paramètres!$A$1:$I$89,5,0)</f>
        <v>220.0751666828003</v>
      </c>
      <c r="BF107" s="13">
        <f t="shared" si="91"/>
        <v>54.131222502896506</v>
      </c>
      <c r="BG107" s="20">
        <f t="shared" si="61"/>
        <v>477.57612783175529</v>
      </c>
      <c r="BH107" s="59">
        <f t="shared" si="62"/>
        <v>770.9094611650886</v>
      </c>
      <c r="BI107" s="59">
        <f ca="1">AVERAGE(OFFSET($BH$3,0,0,'Données projet'!$E$11+1,1))-AVERAGE(OFFSET($H$3,0,0,'Données projet'!$E$11+1,1))</f>
        <v>212.99246338839475</v>
      </c>
      <c r="BJ107" s="59">
        <f t="shared" si="92"/>
        <v>162.04040335537223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233.89079999999998</v>
      </c>
      <c r="CA107" s="13">
        <f t="shared" si="93"/>
        <v>57.123140349023068</v>
      </c>
      <c r="CB107" s="20">
        <f t="shared" si="64"/>
        <v>506.84927944121517</v>
      </c>
      <c r="CC107" s="59">
        <f t="shared" si="65"/>
        <v>800.18261277454849</v>
      </c>
      <c r="CD107" s="59">
        <f ca="1">AVERAGE(OFFSET($CC$3,0,0,'Données projet'!$E$12+1,1))-AVERAGE(OFFSET($H$3,0,0,'Données projet'!$E$12+1,1))</f>
        <v>249.53949216238527</v>
      </c>
      <c r="CE107" s="59">
        <f t="shared" si="94"/>
        <v>261.78576517528217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20.814806021602301</v>
      </c>
      <c r="CL107" s="21">
        <f>EXP(-LN(2)/25)*CL106+(1-EXP(-LN(2)/25))/(LN(2)/25)*Calculateur!CG107*Calculateur!CI107*VLOOKUP('Données projet'!$B$12,Paramètres!$A$1:$I$89,3,0)*0.475*44/12</f>
        <v>2.9001070548872154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23.714913076489516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7">
        <f t="shared" si="56"/>
        <v>459.93573789765662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281.14678081581229</v>
      </c>
      <c r="T108" s="59">
        <f t="shared" si="88"/>
        <v>380.81265808422603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84.202782346905423</v>
      </c>
      <c r="AA108" s="21">
        <f>EXP(-LN(2)/25)*AA107+(1-EXP(-LN(2)/25))/(LN(2)/25)*Calculateur!V108*Calculateur!X108*VLOOKUP('Données projet'!$B$9,Paramètres!$A$1:$I$89,3,0)*0.475*44/12</f>
        <v>14.556554443861812</v>
      </c>
      <c r="AB108" s="21">
        <f>EXP(-LN(2)/2)*AB107+(1-EXP(-LN(2)/2))/(LN(2)/2)*V108*Y108*VLOOKUP('Données projet'!$B$9,Paramètres!$A$1:$I$89,3,0)*0.475*44/12</f>
        <v>1.0026606702046643E-6</v>
      </c>
      <c r="AC108" s="22">
        <f t="shared" si="57"/>
        <v>98.759337793427903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279.9271639349646</v>
      </c>
      <c r="AO108" s="59">
        <f t="shared" si="90"/>
        <v>260.03726798406916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5.6367521333333315</v>
      </c>
      <c r="BD108" s="12">
        <f>IF('Données projet'!$A$88&gt;35,BD107+BC108-BL107,IF(A108&lt;'Données projet'!$A$88,$BA$205^A108,IF(A108='Données projet'!$A$88,'Données projet'!$B$88,BD107+BC108-BL107)))</f>
        <v>262.13461540000031</v>
      </c>
      <c r="BE108" s="13">
        <f>BD108*VLOOKUP('Données projet'!$B$11,Paramètres!$A$1:$I$89,3,0)*VLOOKUP('Données projet'!$B$11,Paramètres!$A$1:$I$89,5,0)</f>
        <v>224.91150001320031</v>
      </c>
      <c r="BF108" s="13">
        <f t="shared" si="91"/>
        <v>55.181000364413691</v>
      </c>
      <c r="BG108" s="20">
        <f t="shared" si="61"/>
        <v>487.82777149101111</v>
      </c>
      <c r="BH108" s="59">
        <f t="shared" si="62"/>
        <v>781.16110482434442</v>
      </c>
      <c r="BI108" s="59">
        <f ca="1">AVERAGE(OFFSET($BH$3,0,0,'Données projet'!$E$11+1,1))-AVERAGE(OFFSET($H$3,0,0,'Données projet'!$E$11+1,1))</f>
        <v>212.99246338839475</v>
      </c>
      <c r="BJ108" s="59">
        <f t="shared" si="92"/>
        <v>162.04040335537223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233.89079999999998</v>
      </c>
      <c r="CA108" s="13">
        <f t="shared" si="93"/>
        <v>57.123140349023068</v>
      </c>
      <c r="CB108" s="20">
        <f t="shared" si="64"/>
        <v>506.84927944121517</v>
      </c>
      <c r="CC108" s="59">
        <f t="shared" si="65"/>
        <v>800.18261277454849</v>
      </c>
      <c r="CD108" s="59">
        <f ca="1">AVERAGE(OFFSET($CC$3,0,0,'Données projet'!$E$12+1,1))-AVERAGE(OFFSET($H$3,0,0,'Données projet'!$E$12+1,1))</f>
        <v>249.53949216238527</v>
      </c>
      <c r="CE108" s="59">
        <f t="shared" si="94"/>
        <v>261.78576517528217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20.406640371296749</v>
      </c>
      <c r="CL108" s="21">
        <f>EXP(-LN(2)/25)*CL107+(1-EXP(-LN(2)/25))/(LN(2)/25)*Calculateur!CG108*Calculateur!CI108*VLOOKUP('Données projet'!$B$12,Paramètres!$A$1:$I$89,3,0)*0.475*44/12</f>
        <v>2.8208034749613229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23.227443846258073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7">
        <f t="shared" si="56"/>
        <v>461.82319822554194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281.14678081581229</v>
      </c>
      <c r="T109" s="59">
        <f t="shared" si="88"/>
        <v>380.81265808422603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82.551617143708597</v>
      </c>
      <c r="AA109" s="21">
        <f>EXP(-LN(2)/25)*AA108+(1-EXP(-LN(2)/25))/(LN(2)/25)*Calculateur!V109*Calculateur!X109*VLOOKUP('Données projet'!$B$9,Paramètres!$A$1:$I$89,3,0)*0.475*44/12</f>
        <v>14.158504697098481</v>
      </c>
      <c r="AB109" s="21">
        <f>EXP(-LN(2)/2)*AB108+(1-EXP(-LN(2)/2))/(LN(2)/2)*V109*Y109*VLOOKUP('Données projet'!$B$9,Paramètres!$A$1:$I$89,3,0)*0.475*44/12</f>
        <v>7.0898815913076668E-7</v>
      </c>
      <c r="AC109" s="22">
        <f t="shared" si="57"/>
        <v>96.71012254979523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279.9271639349646</v>
      </c>
      <c r="AO109" s="59">
        <f t="shared" si="90"/>
        <v>260.03726798406916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5.6367521333333315</v>
      </c>
      <c r="BD109" s="12">
        <f>IF('Données projet'!$A$88&gt;35,BD108+BC109-BL108,IF(A109&lt;'Données projet'!$A$88,$BA$205^A109,IF(A109='Données projet'!$A$88,'Données projet'!$B$88,BD108+BC109-BL108)))</f>
        <v>267.77136753333366</v>
      </c>
      <c r="BE109" s="13">
        <f>BD109*VLOOKUP('Données projet'!$B$11,Paramètres!$A$1:$I$89,3,0)*VLOOKUP('Données projet'!$B$11,Paramètres!$A$1:$I$89,5,0)</f>
        <v>229.74783334360029</v>
      </c>
      <c r="BF109" s="13">
        <f t="shared" si="91"/>
        <v>56.228153723799934</v>
      </c>
      <c r="BG109" s="20">
        <f t="shared" si="61"/>
        <v>498.07484414238871</v>
      </c>
      <c r="BH109" s="59">
        <f t="shared" si="62"/>
        <v>791.40817747572203</v>
      </c>
      <c r="BI109" s="59">
        <f ca="1">AVERAGE(OFFSET($BH$3,0,0,'Données projet'!$E$11+1,1))-AVERAGE(OFFSET($H$3,0,0,'Données projet'!$E$11+1,1))</f>
        <v>212.99246338839475</v>
      </c>
      <c r="BJ109" s="59">
        <f t="shared" si="92"/>
        <v>162.04040335537223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233.89079999999998</v>
      </c>
      <c r="CA109" s="13">
        <f t="shared" si="93"/>
        <v>57.123140349023068</v>
      </c>
      <c r="CB109" s="20">
        <f t="shared" si="64"/>
        <v>506.84927944121517</v>
      </c>
      <c r="CC109" s="59">
        <f t="shared" si="65"/>
        <v>800.18261277454849</v>
      </c>
      <c r="CD109" s="59">
        <f ca="1">AVERAGE(OFFSET($CC$3,0,0,'Données projet'!$E$12+1,1))-AVERAGE(OFFSET($H$3,0,0,'Données projet'!$E$12+1,1))</f>
        <v>249.53949216238527</v>
      </c>
      <c r="CE109" s="59">
        <f t="shared" si="94"/>
        <v>261.78576517528217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20.006478600437227</v>
      </c>
      <c r="CL109" s="21">
        <f>EXP(-LN(2)/25)*CL108+(1-EXP(-LN(2)/25))/(LN(2)/25)*Calculateur!CG109*Calculateur!CI109*VLOOKUP('Données projet'!$B$12,Paramètres!$A$1:$I$89,3,0)*0.475*44/12</f>
        <v>2.7436684555988977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22.750147056036123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7">
        <f t="shared" si="56"/>
        <v>463.7102569237735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281.14678081581229</v>
      </c>
      <c r="T110" s="59">
        <f t="shared" si="88"/>
        <v>380.81265808422603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80.93283028303513</v>
      </c>
      <c r="AA110" s="21">
        <f>EXP(-LN(2)/25)*AA109+(1-EXP(-LN(2)/25))/(LN(2)/25)*Calculateur!V110*Calculateur!X110*VLOOKUP('Données projet'!$B$9,Paramètres!$A$1:$I$89,3,0)*0.475*44/12</f>
        <v>13.77133964159292</v>
      </c>
      <c r="AB110" s="21">
        <f>EXP(-LN(2)/2)*AB109+(1-EXP(-LN(2)/2))/(LN(2)/2)*V110*Y110*VLOOKUP('Données projet'!$B$9,Paramètres!$A$1:$I$89,3,0)*0.475*44/12</f>
        <v>5.0133033510233217E-7</v>
      </c>
      <c r="AC110" s="22">
        <f t="shared" si="57"/>
        <v>94.704170425958381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279.9271639349646</v>
      </c>
      <c r="AO110" s="59">
        <f t="shared" si="90"/>
        <v>260.03726798406916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5.6367521333333315</v>
      </c>
      <c r="BD110" s="12">
        <f>IF('Données projet'!$A$88&gt;35,BD109+BC110-BL109,IF(A110&lt;'Données projet'!$A$88,$BA$205^A110,IF(A110='Données projet'!$A$88,'Données projet'!$B$88,BD109+BC110-BL109)))</f>
        <v>273.40811966666701</v>
      </c>
      <c r="BE110" s="13">
        <f>BD110*VLOOKUP('Données projet'!$B$11,Paramètres!$A$1:$I$89,3,0)*VLOOKUP('Données projet'!$B$11,Paramètres!$A$1:$I$89,5,0)</f>
        <v>234.5841666740003</v>
      </c>
      <c r="BF110" s="13">
        <f t="shared" si="91"/>
        <v>57.272744192921593</v>
      </c>
      <c r="BG110" s="20">
        <f t="shared" si="61"/>
        <v>508.31745309322224</v>
      </c>
      <c r="BH110" s="59">
        <f t="shared" si="62"/>
        <v>801.65078642655556</v>
      </c>
      <c r="BI110" s="59">
        <f ca="1">AVERAGE(OFFSET($BH$3,0,0,'Données projet'!$E$11+1,1))-AVERAGE(OFFSET($H$3,0,0,'Données projet'!$E$11+1,1))</f>
        <v>212.99246338839475</v>
      </c>
      <c r="BJ110" s="59">
        <f t="shared" si="92"/>
        <v>162.04040335537223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233.89079999999998</v>
      </c>
      <c r="CA110" s="13">
        <f t="shared" si="93"/>
        <v>57.123140349023068</v>
      </c>
      <c r="CB110" s="20">
        <f t="shared" si="64"/>
        <v>506.84927944121517</v>
      </c>
      <c r="CC110" s="59">
        <f t="shared" si="65"/>
        <v>800.18261277454849</v>
      </c>
      <c r="CD110" s="59">
        <f ca="1">AVERAGE(OFFSET($CC$3,0,0,'Données projet'!$E$12+1,1))-AVERAGE(OFFSET($H$3,0,0,'Données projet'!$E$12+1,1))</f>
        <v>249.53949216238527</v>
      </c>
      <c r="CE110" s="59">
        <f t="shared" si="94"/>
        <v>261.78576517528217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19.614163757829676</v>
      </c>
      <c r="CL110" s="21">
        <f>EXP(-LN(2)/25)*CL109+(1-EXP(-LN(2)/25))/(LN(2)/25)*Calculateur!CG110*Calculateur!CI110*VLOOKUP('Données projet'!$B$12,Paramètres!$A$1:$I$89,3,0)*0.475*44/12</f>
        <v>2.6686426973972925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22.282806455226968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7">
        <f t="shared" si="56"/>
        <v>465.59691818065642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281.14678081581229</v>
      </c>
      <c r="T111" s="59">
        <f t="shared" si="88"/>
        <v>380.81265808422603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79.345786845336974</v>
      </c>
      <c r="AA111" s="21">
        <f>EXP(-LN(2)/25)*AA110+(1-EXP(-LN(2)/25))/(LN(2)/25)*Calculateur!V111*Calculateur!X111*VLOOKUP('Données projet'!$B$9,Paramètres!$A$1:$I$89,3,0)*0.475*44/12</f>
        <v>13.394761634890285</v>
      </c>
      <c r="AB111" s="21">
        <f>EXP(-LN(2)/2)*AB110+(1-EXP(-LN(2)/2))/(LN(2)/2)*V111*Y111*VLOOKUP('Données projet'!$B$9,Paramètres!$A$1:$I$89,3,0)*0.475*44/12</f>
        <v>3.5449407956538334E-7</v>
      </c>
      <c r="AC111" s="22">
        <f t="shared" si="57"/>
        <v>92.740548834721338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279.9271639349646</v>
      </c>
      <c r="AO111" s="59">
        <f t="shared" si="90"/>
        <v>260.03726798406916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5.6367521333333315</v>
      </c>
      <c r="BD111" s="12">
        <f>IF('Données projet'!$A$88&gt;35,BD110+BC111-BL110,IF(A111&lt;'Données projet'!$A$88,$BA$205^A111,IF(A111='Données projet'!$A$88,'Données projet'!$B$88,BD110+BC111-BL110)))</f>
        <v>279.04487180000035</v>
      </c>
      <c r="BE111" s="13">
        <f>BD111*VLOOKUP('Données projet'!$B$11,Paramètres!$A$1:$I$89,3,0)*VLOOKUP('Données projet'!$B$11,Paramètres!$A$1:$I$89,5,0)</f>
        <v>239.42050000440031</v>
      </c>
      <c r="BF111" s="13">
        <f t="shared" si="91"/>
        <v>58.314830697985414</v>
      </c>
      <c r="BG111" s="20">
        <f t="shared" si="61"/>
        <v>518.55570097332179</v>
      </c>
      <c r="BH111" s="59">
        <f t="shared" si="62"/>
        <v>811.88903430665505</v>
      </c>
      <c r="BI111" s="59">
        <f ca="1">AVERAGE(OFFSET($BH$3,0,0,'Données projet'!$E$11+1,1))-AVERAGE(OFFSET($H$3,0,0,'Données projet'!$E$11+1,1))</f>
        <v>212.99246338839475</v>
      </c>
      <c r="BJ111" s="59">
        <f t="shared" si="92"/>
        <v>162.04040335537223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233.89079999999998</v>
      </c>
      <c r="CA111" s="13">
        <f t="shared" si="93"/>
        <v>57.123140349023068</v>
      </c>
      <c r="CB111" s="20">
        <f t="shared" si="64"/>
        <v>506.84927944121517</v>
      </c>
      <c r="CC111" s="59">
        <f t="shared" si="65"/>
        <v>800.18261277454849</v>
      </c>
      <c r="CD111" s="59">
        <f ca="1">AVERAGE(OFFSET($CC$3,0,0,'Données projet'!$E$12+1,1))-AVERAGE(OFFSET($H$3,0,0,'Données projet'!$E$12+1,1))</f>
        <v>249.53949216238527</v>
      </c>
      <c r="CE111" s="59">
        <f t="shared" si="94"/>
        <v>261.78576517528217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19.229541969997236</v>
      </c>
      <c r="CL111" s="21">
        <f>EXP(-LN(2)/25)*CL110+(1-EXP(-LN(2)/25))/(LN(2)/25)*Calculateur!CG111*Calculateur!CI111*VLOOKUP('Données projet'!$B$12,Paramètres!$A$1:$I$89,3,0)*0.475*44/12</f>
        <v>2.5956685224991434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21.825210492496378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7">
        <f t="shared" si="56"/>
        <v>467.48318610246127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281.14678081581229</v>
      </c>
      <c r="T112" s="59">
        <f t="shared" si="88"/>
        <v>380.81265808422603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77.789864361451166</v>
      </c>
      <c r="AA112" s="21">
        <f>EXP(-LN(2)/25)*AA111+(1-EXP(-LN(2)/25))/(LN(2)/25)*Calculateur!V112*Calculateur!X112*VLOOKUP('Données projet'!$B$9,Paramètres!$A$1:$I$89,3,0)*0.475*44/12</f>
        <v>13.028481173584311</v>
      </c>
      <c r="AB112" s="21">
        <f>EXP(-LN(2)/2)*AB111+(1-EXP(-LN(2)/2))/(LN(2)/2)*V112*Y112*VLOOKUP('Données projet'!$B$9,Paramètres!$A$1:$I$89,3,0)*0.475*44/12</f>
        <v>2.5066516755116608E-7</v>
      </c>
      <c r="AC112" s="22">
        <f t="shared" si="57"/>
        <v>90.818345785700643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279.9271639349646</v>
      </c>
      <c r="AO112" s="59">
        <f t="shared" si="90"/>
        <v>260.03726798406916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5.6367521333333315</v>
      </c>
      <c r="BD112" s="12">
        <f>IF('Données projet'!$A$88&gt;35,BD111+BC112-BL111,IF(A112&lt;'Données projet'!$A$88,$BA$205^A112,IF(A112='Données projet'!$A$88,'Données projet'!$B$88,BD111+BC112-BL111)))</f>
        <v>284.6816239333337</v>
      </c>
      <c r="BE112" s="13">
        <f>BD112*VLOOKUP('Données projet'!$B$11,Paramètres!$A$1:$I$89,3,0)*VLOOKUP('Données projet'!$B$11,Paramètres!$A$1:$I$89,5,0)</f>
        <v>244.25683333480032</v>
      </c>
      <c r="BF112" s="13">
        <f t="shared" si="91"/>
        <v>59.354469648452607</v>
      </c>
      <c r="BG112" s="20">
        <f t="shared" si="61"/>
        <v>528.78968602916552</v>
      </c>
      <c r="BH112" s="59">
        <f t="shared" si="62"/>
        <v>822.12301936249878</v>
      </c>
      <c r="BI112" s="59">
        <f ca="1">AVERAGE(OFFSET($BH$3,0,0,'Données projet'!$E$11+1,1))-AVERAGE(OFFSET($H$3,0,0,'Données projet'!$E$11+1,1))</f>
        <v>212.99246338839475</v>
      </c>
      <c r="BJ112" s="59">
        <f t="shared" si="92"/>
        <v>162.04040335537223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233.89079999999998</v>
      </c>
      <c r="CA112" s="13">
        <f t="shared" si="93"/>
        <v>57.123140349023068</v>
      </c>
      <c r="CB112" s="20">
        <f t="shared" si="64"/>
        <v>506.84927944121517</v>
      </c>
      <c r="CC112" s="59">
        <f t="shared" si="65"/>
        <v>800.18261277454849</v>
      </c>
      <c r="CD112" s="59">
        <f ca="1">AVERAGE(OFFSET($CC$3,0,0,'Données projet'!$E$12+1,1))-AVERAGE(OFFSET($H$3,0,0,'Données projet'!$E$12+1,1))</f>
        <v>249.53949216238527</v>
      </c>
      <c r="CE112" s="59">
        <f t="shared" si="94"/>
        <v>261.78576517528217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18.852462380828062</v>
      </c>
      <c r="CL112" s="21">
        <f>EXP(-LN(2)/25)*CL111+(1-EXP(-LN(2)/25))/(LN(2)/25)*Calculateur!CG112*Calculateur!CI112*VLOOKUP('Données projet'!$B$12,Paramètres!$A$1:$I$89,3,0)*0.475*44/12</f>
        <v>2.5246898302511291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21.377152211079192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7">
        <f t="shared" si="56"/>
        <v>469.36906471576856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281.14678081581229</v>
      </c>
      <c r="T113" s="59">
        <f t="shared" si="88"/>
        <v>380.81265808422603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76.264452568455354</v>
      </c>
      <c r="AA113" s="21">
        <f>EXP(-LN(2)/25)*AA112+(1-EXP(-LN(2)/25))/(LN(2)/25)*Calculateur!V113*Calculateur!X113*VLOOKUP('Données projet'!$B$9,Paramètres!$A$1:$I$89,3,0)*0.475*44/12</f>
        <v>12.672216670754599</v>
      </c>
      <c r="AB113" s="21">
        <f>EXP(-LN(2)/2)*AB112+(1-EXP(-LN(2)/2))/(LN(2)/2)*V113*Y113*VLOOKUP('Données projet'!$B$9,Paramètres!$A$1:$I$89,3,0)*0.475*44/12</f>
        <v>1.7724703978269167E-7</v>
      </c>
      <c r="AC113" s="22">
        <f t="shared" si="57"/>
        <v>88.936669416456994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279.9271639349646</v>
      </c>
      <c r="AO113" s="59">
        <f t="shared" si="90"/>
        <v>260.03726798406916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5.6367521333333315</v>
      </c>
      <c r="BD113" s="12">
        <f>IF('Données projet'!$A$88&gt;35,BD112+BC113-BL112,IF(A113&lt;'Données projet'!$A$88,$BA$205^A113,IF(A113='Données projet'!$A$88,'Données projet'!$B$88,BD112+BC113-BL112)))</f>
        <v>290.31837606666704</v>
      </c>
      <c r="BE113" s="13">
        <f>BD113*VLOOKUP('Données projet'!$B$11,Paramètres!$A$1:$I$89,3,0)*VLOOKUP('Données projet'!$B$11,Paramètres!$A$1:$I$89,5,0)</f>
        <v>249.09316666520036</v>
      </c>
      <c r="BF113" s="13">
        <f t="shared" si="91"/>
        <v>60.391715092197387</v>
      </c>
      <c r="BG113" s="20">
        <f t="shared" si="61"/>
        <v>539.01950239413429</v>
      </c>
      <c r="BH113" s="59">
        <f t="shared" si="62"/>
        <v>832.35283572746766</v>
      </c>
      <c r="BI113" s="59">
        <f ca="1">AVERAGE(OFFSET($BH$3,0,0,'Données projet'!$E$11+1,1))-AVERAGE(OFFSET($H$3,0,0,'Données projet'!$E$11+1,1))</f>
        <v>212.99246338839475</v>
      </c>
      <c r="BJ113" s="59">
        <f t="shared" si="92"/>
        <v>162.04040335537223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233.89079999999998</v>
      </c>
      <c r="CA113" s="13">
        <f t="shared" si="93"/>
        <v>57.123140349023068</v>
      </c>
      <c r="CB113" s="20">
        <f t="shared" si="64"/>
        <v>506.84927944121517</v>
      </c>
      <c r="CC113" s="59">
        <f t="shared" si="65"/>
        <v>800.18261277454849</v>
      </c>
      <c r="CD113" s="59">
        <f ca="1">AVERAGE(OFFSET($CC$3,0,0,'Données projet'!$E$12+1,1))-AVERAGE(OFFSET($H$3,0,0,'Données projet'!$E$12+1,1))</f>
        <v>249.53949216238527</v>
      </c>
      <c r="CE113" s="59">
        <f t="shared" si="94"/>
        <v>261.78576517528217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18.482777092406657</v>
      </c>
      <c r="CL113" s="21">
        <f>EXP(-LN(2)/25)*CL112+(1-EXP(-LN(2)/25))/(LN(2)/25)*Calculateur!CG113*Calculateur!CI113*VLOOKUP('Données projet'!$B$12,Paramètres!$A$1:$I$89,3,0)*0.475*44/12</f>
        <v>2.455652054075244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20.938429146481901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7">
        <f t="shared" si="56"/>
        <v>471.25455796972494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281.14678081581229</v>
      </c>
      <c r="T114" s="59">
        <f t="shared" si="88"/>
        <v>380.81265808422603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74.768953170310866</v>
      </c>
      <c r="AA114" s="21">
        <f>EXP(-LN(2)/25)*AA113+(1-EXP(-LN(2)/25))/(LN(2)/25)*Calculateur!V114*Calculateur!X114*VLOOKUP('Données projet'!$B$9,Paramètres!$A$1:$I$89,3,0)*0.475*44/12</f>
        <v>12.325694239489902</v>
      </c>
      <c r="AB114" s="21">
        <f>EXP(-LN(2)/2)*AB113+(1-EXP(-LN(2)/2))/(LN(2)/2)*V114*Y114*VLOOKUP('Données projet'!$B$9,Paramètres!$A$1:$I$89,3,0)*0.475*44/12</f>
        <v>1.2533258377558304E-7</v>
      </c>
      <c r="AC114" s="22">
        <f t="shared" si="57"/>
        <v>87.094647535133362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279.9271639349646</v>
      </c>
      <c r="AO114" s="59">
        <f t="shared" si="90"/>
        <v>260.03726798406916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>
        <f>VLOOKUP(A114,'Données projet'!$A$87:$I$107,2,0)</f>
        <v>295.95512819999999</v>
      </c>
      <c r="BB114" s="12">
        <f>VLOOKUP(A114,'Données projet'!$A$87:$I$107,9,0)</f>
        <v>5.6367521333333315</v>
      </c>
      <c r="BC114" s="12">
        <f t="array" ref="BC114">INDEX(BB:BB,MIN(IF(ISNUMBER(BB114:BB310),ROW(BB114:BB310),"")))</f>
        <v>5.6367521333333315</v>
      </c>
      <c r="BD114" s="12">
        <f>IF('Données projet'!$A$88&gt;35,BD113+BC114-BL113,IF(A114&lt;'Données projet'!$A$88,$BA$205^A114,IF(A114='Données projet'!$A$88,'Données projet'!$B$88,BD113+BC114-BL113)))</f>
        <v>295.95512820000039</v>
      </c>
      <c r="BE114" s="13">
        <f>BD114*VLOOKUP('Données projet'!$B$11,Paramètres!$A$1:$I$89,3,0)*VLOOKUP('Données projet'!$B$11,Paramètres!$A$1:$I$89,5,0)</f>
        <v>253.92949999560037</v>
      </c>
      <c r="BF114" s="13">
        <f t="shared" si="91"/>
        <v>61.426618858274871</v>
      </c>
      <c r="BG114" s="20">
        <f t="shared" si="61"/>
        <v>549.24524033716591</v>
      </c>
      <c r="BH114" s="59">
        <f t="shared" si="62"/>
        <v>842.57857367049928</v>
      </c>
      <c r="BI114" s="59">
        <f ca="1">AVERAGE(OFFSET($BH$3,0,0,'Données projet'!$E$11+1,1))-AVERAGE(OFFSET($H$3,0,0,'Données projet'!$E$11+1,1))</f>
        <v>212.99246338839475</v>
      </c>
      <c r="BJ114" s="59">
        <f t="shared" si="92"/>
        <v>162.04040335537223</v>
      </c>
      <c r="BK114" s="15">
        <f>IF(ISNA(VLOOKUP(A114,'Données projet'!$A$87:$I$107,3,0)),0,VLOOKUP(A114,'Données projet'!$A$87:$I$107,3,0))</f>
        <v>9</v>
      </c>
      <c r="BL114" s="15">
        <f>IF(ISNA(VLOOKUP(A114,'Données projet'!$A$87:$I$107,4,0)),0,VLOOKUP(A114,'Données projet'!$A$87:$I$107,4,0))</f>
        <v>108.1474359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233.89079999999998</v>
      </c>
      <c r="CA114" s="13">
        <f t="shared" si="93"/>
        <v>57.123140349023068</v>
      </c>
      <c r="CB114" s="20">
        <f t="shared" si="64"/>
        <v>506.84927944121517</v>
      </c>
      <c r="CC114" s="59">
        <f t="shared" si="65"/>
        <v>800.18261277454849</v>
      </c>
      <c r="CD114" s="59">
        <f ca="1">AVERAGE(OFFSET($CC$3,0,0,'Données projet'!$E$12+1,1))-AVERAGE(OFFSET($H$3,0,0,'Données projet'!$E$12+1,1))</f>
        <v>249.53949216238527</v>
      </c>
      <c r="CE114" s="59">
        <f t="shared" si="94"/>
        <v>261.78576517528217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18.120341107005434</v>
      </c>
      <c r="CL114" s="21">
        <f>EXP(-LN(2)/25)*CL113+(1-EXP(-LN(2)/25))/(LN(2)/25)*Calculateur!CG114*Calculateur!CI114*VLOOKUP('Données projet'!$B$12,Paramètres!$A$1:$I$89,3,0)*0.475*44/12</f>
        <v>2.3885021195194276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20.50884322652486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7">
        <f t="shared" si="56"/>
        <v>473.13966973821675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281.14678081581229</v>
      </c>
      <c r="T115" s="59">
        <f t="shared" si="88"/>
        <v>380.81265808422603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73.302779603199426</v>
      </c>
      <c r="AA115" s="21">
        <f>EXP(-LN(2)/25)*AA114+(1-EXP(-LN(2)/25))/(LN(2)/25)*Calculateur!V115*Calculateur!X115*VLOOKUP('Données projet'!$B$9,Paramètres!$A$1:$I$89,3,0)*0.475*44/12</f>
        <v>11.988647482330961</v>
      </c>
      <c r="AB115" s="21">
        <f>EXP(-LN(2)/2)*AB114+(1-EXP(-LN(2)/2))/(LN(2)/2)*V115*Y115*VLOOKUP('Données projet'!$B$9,Paramètres!$A$1:$I$89,3,0)*0.475*44/12</f>
        <v>8.8623519891345835E-8</v>
      </c>
      <c r="AC115" s="22">
        <f t="shared" si="57"/>
        <v>85.29142717415391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279.9271639349646</v>
      </c>
      <c r="AO115" s="59">
        <f t="shared" si="90"/>
        <v>260.03726798406916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4.6038461600000007</v>
      </c>
      <c r="BD115" s="12">
        <f>IF('Données projet'!$A$88&gt;35,BD114+BC115-BL114,IF(A115&lt;'Données projet'!$A$88,$BA$205^A115,IF(A115='Données projet'!$A$88,'Données projet'!$B$88,BD114+BC115-BL114)))</f>
        <v>192.41153846000037</v>
      </c>
      <c r="BE115" s="13">
        <f>BD115*VLOOKUP('Données projet'!$B$11,Paramètres!$A$1:$I$89,3,0)*VLOOKUP('Données projet'!$B$11,Paramètres!$A$1:$I$89,5,0)</f>
        <v>165.08909999868035</v>
      </c>
      <c r="BF115" s="13">
        <f t="shared" si="91"/>
        <v>41.988275978601244</v>
      </c>
      <c r="BG115" s="20">
        <f t="shared" si="61"/>
        <v>360.65976316043208</v>
      </c>
      <c r="BH115" s="59">
        <f t="shared" si="62"/>
        <v>653.99309649376539</v>
      </c>
      <c r="BI115" s="59">
        <f ca="1">AVERAGE(OFFSET($BH$3,0,0,'Données projet'!$E$11+1,1))-AVERAGE(OFFSET($H$3,0,0,'Données projet'!$E$11+1,1))</f>
        <v>212.99246338839475</v>
      </c>
      <c r="BJ115" s="59">
        <f t="shared" si="92"/>
        <v>162.04040335537223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233.89079999999998</v>
      </c>
      <c r="CA115" s="13">
        <f t="shared" si="93"/>
        <v>57.123140349023068</v>
      </c>
      <c r="CB115" s="20">
        <f t="shared" si="64"/>
        <v>506.84927944121517</v>
      </c>
      <c r="CC115" s="59">
        <f t="shared" si="65"/>
        <v>800.18261277454849</v>
      </c>
      <c r="CD115" s="59">
        <f ca="1">AVERAGE(OFFSET($CC$3,0,0,'Données projet'!$E$12+1,1))-AVERAGE(OFFSET($H$3,0,0,'Données projet'!$E$12+1,1))</f>
        <v>249.53949216238527</v>
      </c>
      <c r="CE115" s="59">
        <f t="shared" si="94"/>
        <v>261.78576517528217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17.765012270213806</v>
      </c>
      <c r="CL115" s="21">
        <f>EXP(-LN(2)/25)*CL114+(1-EXP(-LN(2)/25))/(LN(2)/25)*Calculateur!CG115*Calculateur!CI115*VLOOKUP('Données projet'!$B$12,Paramètres!$A$1:$I$89,3,0)*0.475*44/12</f>
        <v>2.3231884034553012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20.088200673669107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7">
        <f t="shared" si="56"/>
        <v>475.02440382196266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281.14678081581229</v>
      </c>
      <c r="T116" s="59">
        <f t="shared" si="88"/>
        <v>380.81265808422603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71.865356805461474</v>
      </c>
      <c r="AA116" s="21">
        <f>EXP(-LN(2)/25)*AA115+(1-EXP(-LN(2)/25))/(LN(2)/25)*Calculateur!V116*Calculateur!X116*VLOOKUP('Données projet'!$B$9,Paramètres!$A$1:$I$89,3,0)*0.475*44/12</f>
        <v>11.660817286471051</v>
      </c>
      <c r="AB116" s="21">
        <f>EXP(-LN(2)/2)*AB115+(1-EXP(-LN(2)/2))/(LN(2)/2)*V116*Y116*VLOOKUP('Données projet'!$B$9,Paramètres!$A$1:$I$89,3,0)*0.475*44/12</f>
        <v>6.2666291887791521E-8</v>
      </c>
      <c r="AC116" s="22">
        <f t="shared" si="57"/>
        <v>83.526174154598806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279.9271639349646</v>
      </c>
      <c r="AO116" s="59">
        <f t="shared" si="90"/>
        <v>260.03726798406916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4.6038461600000007</v>
      </c>
      <c r="BD116" s="12">
        <f>IF('Données projet'!$A$88&gt;35,BD115+BC116-BL115,IF(A116&lt;'Données projet'!$A$88,$BA$205^A116,IF(A116='Données projet'!$A$88,'Données projet'!$B$88,BD115+BC116-BL115)))</f>
        <v>197.01538462000036</v>
      </c>
      <c r="BE116" s="13">
        <f>BD116*VLOOKUP('Données projet'!$B$11,Paramètres!$A$1:$I$89,3,0)*VLOOKUP('Données projet'!$B$11,Paramètres!$A$1:$I$89,5,0)</f>
        <v>169.03920000396033</v>
      </c>
      <c r="BF116" s="13">
        <f t="shared" si="91"/>
        <v>42.8747654163965</v>
      </c>
      <c r="BG116" s="20">
        <f t="shared" si="61"/>
        <v>369.08348977378813</v>
      </c>
      <c r="BH116" s="59">
        <f t="shared" si="62"/>
        <v>662.41682310712144</v>
      </c>
      <c r="BI116" s="59">
        <f ca="1">AVERAGE(OFFSET($BH$3,0,0,'Données projet'!$E$11+1,1))-AVERAGE(OFFSET($H$3,0,0,'Données projet'!$E$11+1,1))</f>
        <v>212.99246338839475</v>
      </c>
      <c r="BJ116" s="59">
        <f t="shared" si="92"/>
        <v>162.04040335537223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233.89079999999998</v>
      </c>
      <c r="CA116" s="13">
        <f t="shared" si="93"/>
        <v>57.123140349023068</v>
      </c>
      <c r="CB116" s="20">
        <f t="shared" si="64"/>
        <v>506.84927944121517</v>
      </c>
      <c r="CC116" s="59">
        <f t="shared" si="65"/>
        <v>800.18261277454849</v>
      </c>
      <c r="CD116" s="59">
        <f ca="1">AVERAGE(OFFSET($CC$3,0,0,'Données projet'!$E$12+1,1))-AVERAGE(OFFSET($H$3,0,0,'Données projet'!$E$12+1,1))</f>
        <v>249.53949216238527</v>
      </c>
      <c r="CE116" s="59">
        <f t="shared" si="94"/>
        <v>261.78576517528217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17.416651215182473</v>
      </c>
      <c r="CL116" s="21">
        <f>EXP(-LN(2)/25)*CL115+(1-EXP(-LN(2)/25))/(LN(2)/25)*Calculateur!CG116*Calculateur!CI116*VLOOKUP('Données projet'!$B$12,Paramètres!$A$1:$I$89,3,0)*0.475*44/12</f>
        <v>2.2596606943916475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19.676311909574121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7">
        <f t="shared" si="56"/>
        <v>476.90876395053067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281.14678081581229</v>
      </c>
      <c r="T117" s="59">
        <f t="shared" si="88"/>
        <v>380.81265808422603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70.456120992045825</v>
      </c>
      <c r="AA117" s="21">
        <f>EXP(-LN(2)/25)*AA116+(1-EXP(-LN(2)/25))/(LN(2)/25)*Calculateur!V117*Calculateur!X117*VLOOKUP('Données projet'!$B$9,Paramètres!$A$1:$I$89,3,0)*0.475*44/12</f>
        <v>11.341951624556771</v>
      </c>
      <c r="AB117" s="21">
        <f>EXP(-LN(2)/2)*AB116+(1-EXP(-LN(2)/2))/(LN(2)/2)*V117*Y117*VLOOKUP('Données projet'!$B$9,Paramètres!$A$1:$I$89,3,0)*0.475*44/12</f>
        <v>4.4311759945672918E-8</v>
      </c>
      <c r="AC117" s="22">
        <f t="shared" si="57"/>
        <v>81.798072660914357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279.9271639349646</v>
      </c>
      <c r="AO117" s="59">
        <f t="shared" si="90"/>
        <v>260.03726798406916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4.6038461600000007</v>
      </c>
      <c r="BD117" s="12">
        <f>IF('Données projet'!$A$88&gt;35,BD116+BC117-BL116,IF(A117&lt;'Données projet'!$A$88,$BA$205^A117,IF(A117='Données projet'!$A$88,'Données projet'!$B$88,BD116+BC117-BL116)))</f>
        <v>201.61923078000035</v>
      </c>
      <c r="BE117" s="13">
        <f>BD117*VLOOKUP('Données projet'!$B$11,Paramètres!$A$1:$I$89,3,0)*VLOOKUP('Données projet'!$B$11,Paramètres!$A$1:$I$89,5,0)</f>
        <v>172.98930000924034</v>
      </c>
      <c r="BF117" s="13">
        <f t="shared" si="91"/>
        <v>43.758846621369393</v>
      </c>
      <c r="BG117" s="20">
        <f t="shared" si="61"/>
        <v>377.50302204831195</v>
      </c>
      <c r="BH117" s="59">
        <f t="shared" si="62"/>
        <v>670.83635538164526</v>
      </c>
      <c r="BI117" s="59">
        <f ca="1">AVERAGE(OFFSET($BH$3,0,0,'Données projet'!$E$11+1,1))-AVERAGE(OFFSET($H$3,0,0,'Données projet'!$E$11+1,1))</f>
        <v>212.99246338839475</v>
      </c>
      <c r="BJ117" s="59">
        <f t="shared" si="92"/>
        <v>162.04040335537223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233.89079999999998</v>
      </c>
      <c r="CA117" s="13">
        <f t="shared" si="93"/>
        <v>57.123140349023068</v>
      </c>
      <c r="CB117" s="20">
        <f t="shared" si="64"/>
        <v>506.84927944121517</v>
      </c>
      <c r="CC117" s="59">
        <f t="shared" si="65"/>
        <v>800.18261277454849</v>
      </c>
      <c r="CD117" s="59">
        <f ca="1">AVERAGE(OFFSET($CC$3,0,0,'Données projet'!$E$12+1,1))-AVERAGE(OFFSET($H$3,0,0,'Données projet'!$E$12+1,1))</f>
        <v>249.53949216238527</v>
      </c>
      <c r="CE117" s="59">
        <f t="shared" si="94"/>
        <v>261.78576517528217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17.075121307961041</v>
      </c>
      <c r="CL117" s="21">
        <f>EXP(-LN(2)/25)*CL116+(1-EXP(-LN(2)/25))/(LN(2)/25)*Calculateur!CG117*Calculateur!CI117*VLOOKUP('Données projet'!$B$12,Paramètres!$A$1:$I$89,3,0)*0.475*44/12</f>
        <v>2.1978701538731165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19.272991461834156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7">
        <f t="shared" si="56"/>
        <v>478.79275378428275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281.14678081581229</v>
      </c>
      <c r="T118" s="59">
        <f t="shared" si="88"/>
        <v>380.81265808422603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69.074519433382278</v>
      </c>
      <c r="AA118" s="21">
        <f>EXP(-LN(2)/25)*AA117+(1-EXP(-LN(2)/25))/(LN(2)/25)*Calculateur!V118*Calculateur!X118*VLOOKUP('Données projet'!$B$9,Paramètres!$A$1:$I$89,3,0)*0.475*44/12</f>
        <v>11.031805360935952</v>
      </c>
      <c r="AB118" s="21">
        <f>EXP(-LN(2)/2)*AB117+(1-EXP(-LN(2)/2))/(LN(2)/2)*V118*Y118*VLOOKUP('Données projet'!$B$9,Paramètres!$A$1:$I$89,3,0)*0.475*44/12</f>
        <v>3.1333145943895761E-8</v>
      </c>
      <c r="AC118" s="22">
        <f t="shared" si="57"/>
        <v>80.10632482565137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279.9271639349646</v>
      </c>
      <c r="AO118" s="59">
        <f t="shared" si="90"/>
        <v>260.03726798406916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4.6038461600000007</v>
      </c>
      <c r="BD118" s="12">
        <f>IF('Données projet'!$A$88&gt;35,BD117+BC118-BL117,IF(A118&lt;'Données projet'!$A$88,$BA$205^A118,IF(A118='Données projet'!$A$88,'Données projet'!$B$88,BD117+BC118-BL117)))</f>
        <v>206.22307694000034</v>
      </c>
      <c r="BE118" s="13">
        <f>BD118*VLOOKUP('Données projet'!$B$11,Paramètres!$A$1:$I$89,3,0)*VLOOKUP('Données projet'!$B$11,Paramètres!$A$1:$I$89,5,0)</f>
        <v>176.93940001452032</v>
      </c>
      <c r="BF118" s="13">
        <f t="shared" si="91"/>
        <v>44.640580914119845</v>
      </c>
      <c r="BG118" s="20">
        <f t="shared" si="61"/>
        <v>385.91846678404823</v>
      </c>
      <c r="BH118" s="59">
        <f t="shared" si="62"/>
        <v>679.25180011738155</v>
      </c>
      <c r="BI118" s="59">
        <f ca="1">AVERAGE(OFFSET($BH$3,0,0,'Données projet'!$E$11+1,1))-AVERAGE(OFFSET($H$3,0,0,'Données projet'!$E$11+1,1))</f>
        <v>212.99246338839475</v>
      </c>
      <c r="BJ118" s="59">
        <f t="shared" si="92"/>
        <v>162.04040335537223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233.89079999999998</v>
      </c>
      <c r="CA118" s="13">
        <f t="shared" si="93"/>
        <v>57.123140349023068</v>
      </c>
      <c r="CB118" s="20">
        <f t="shared" si="64"/>
        <v>506.84927944121517</v>
      </c>
      <c r="CC118" s="59">
        <f t="shared" si="65"/>
        <v>800.18261277454849</v>
      </c>
      <c r="CD118" s="59">
        <f ca="1">AVERAGE(OFFSET($CC$3,0,0,'Données projet'!$E$12+1,1))-AVERAGE(OFFSET($H$3,0,0,'Données projet'!$E$12+1,1))</f>
        <v>249.53949216238527</v>
      </c>
      <c r="CE118" s="59">
        <f t="shared" si="94"/>
        <v>261.78576517528217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16.740288593907547</v>
      </c>
      <c r="CL118" s="21">
        <f>EXP(-LN(2)/25)*CL117+(1-EXP(-LN(2)/25))/(LN(2)/25)*Calculateur!CG118*Calculateur!CI118*VLOOKUP('Données projet'!$B$12,Paramètres!$A$1:$I$89,3,0)*0.475*44/12</f>
        <v>2.137769278934488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18.878057872842035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7">
        <f t="shared" si="56"/>
        <v>480.67637691624873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281.14678081581229</v>
      </c>
      <c r="T119" s="59">
        <f t="shared" si="88"/>
        <v>380.81265808422603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67.72001023859039</v>
      </c>
      <c r="AA119" s="21">
        <f>EXP(-LN(2)/25)*AA118+(1-EXP(-LN(2)/25))/(LN(2)/25)*Calculateur!V119*Calculateur!X119*VLOOKUP('Données projet'!$B$9,Paramètres!$A$1:$I$89,3,0)*0.475*44/12</f>
        <v>10.730140063203727</v>
      </c>
      <c r="AB119" s="21">
        <f>EXP(-LN(2)/2)*AB118+(1-EXP(-LN(2)/2))/(LN(2)/2)*V119*Y119*VLOOKUP('Données projet'!$B$9,Paramètres!$A$1:$I$89,3,0)*0.475*44/12</f>
        <v>2.2155879972836459E-8</v>
      </c>
      <c r="AC119" s="22">
        <f t="shared" si="57"/>
        <v>78.450150323949984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279.9271639349646</v>
      </c>
      <c r="AO119" s="59">
        <f t="shared" si="90"/>
        <v>260.03726798406916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>
        <f>VLOOKUP(A119,'Données projet'!$A$87:$I$107,2,0)</f>
        <v>210.82692309999999</v>
      </c>
      <c r="BB119" s="12">
        <f>VLOOKUP(A119,'Données projet'!$A$87:$I$107,9,0)</f>
        <v>4.6038461600000007</v>
      </c>
      <c r="BC119" s="12">
        <f t="array" ref="BC119">INDEX(BB:BB,MIN(IF(ISNUMBER(BB119:BB315),ROW(BB119:BB315),"")))</f>
        <v>4.6038461600000007</v>
      </c>
      <c r="BD119" s="12">
        <f>IF('Données projet'!$A$88&gt;35,BD118+BC119-BL118,IF(A119&lt;'Données projet'!$A$88,$BA$205^A119,IF(A119='Données projet'!$A$88,'Données projet'!$B$88,BD118+BC119-BL118)))</f>
        <v>210.82692310000033</v>
      </c>
      <c r="BE119" s="13">
        <f>BD119*VLOOKUP('Données projet'!$B$11,Paramètres!$A$1:$I$89,3,0)*VLOOKUP('Données projet'!$B$11,Paramètres!$A$1:$I$89,5,0)</f>
        <v>180.88950001980029</v>
      </c>
      <c r="BF119" s="13">
        <f t="shared" si="91"/>
        <v>45.520026721024678</v>
      </c>
      <c r="BG119" s="20">
        <f t="shared" si="61"/>
        <v>394.32992574027008</v>
      </c>
      <c r="BH119" s="59">
        <f t="shared" si="62"/>
        <v>687.6632590736034</v>
      </c>
      <c r="BI119" s="59">
        <f ca="1">AVERAGE(OFFSET($BH$3,0,0,'Données projet'!$E$11+1,1))-AVERAGE(OFFSET($H$3,0,0,'Données projet'!$E$11+1,1))</f>
        <v>212.99246338839475</v>
      </c>
      <c r="BJ119" s="59">
        <f t="shared" si="92"/>
        <v>162.04040335537223</v>
      </c>
      <c r="BK119" s="15">
        <f>IF(ISNA(VLOOKUP(A119,'Données projet'!$A$87:$I$107,3,0)),0,VLOOKUP(A119,'Données projet'!$A$87:$I$107,3,0))</f>
        <v>10</v>
      </c>
      <c r="BL119" s="15">
        <f>IF(ISNA(VLOOKUP(A119,'Données projet'!$A$87:$I$107,4,0)),0,VLOOKUP(A119,'Données projet'!$A$87:$I$107,4,0))</f>
        <v>72.698717950000002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233.89079999999998</v>
      </c>
      <c r="CA119" s="13">
        <f t="shared" si="93"/>
        <v>57.123140349023068</v>
      </c>
      <c r="CB119" s="20">
        <f t="shared" si="64"/>
        <v>506.84927944121517</v>
      </c>
      <c r="CC119" s="59">
        <f t="shared" si="65"/>
        <v>800.18261277454849</v>
      </c>
      <c r="CD119" s="59">
        <f ca="1">AVERAGE(OFFSET($CC$3,0,0,'Données projet'!$E$12+1,1))-AVERAGE(OFFSET($H$3,0,0,'Données projet'!$E$12+1,1))</f>
        <v>249.53949216238527</v>
      </c>
      <c r="CE119" s="59">
        <f t="shared" si="94"/>
        <v>261.78576517528217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16.412021745148852</v>
      </c>
      <c r="CL119" s="21">
        <f>EXP(-LN(2)/25)*CL118+(1-EXP(-LN(2)/25))/(LN(2)/25)*Calculateur!CG119*Calculateur!CI119*VLOOKUP('Données projet'!$B$12,Paramètres!$A$1:$I$89,3,0)*0.475*44/12</f>
        <v>2.0793118655816238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18.491333610730475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7">
        <f t="shared" si="56"/>
        <v>482.55963687393489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281.14678081581229</v>
      </c>
      <c r="T120" s="59">
        <f t="shared" si="88"/>
        <v>380.81265808422603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66.392062142939338</v>
      </c>
      <c r="AA120" s="21">
        <f>EXP(-LN(2)/25)*AA119+(1-EXP(-LN(2)/25))/(LN(2)/25)*Calculateur!V120*Calculateur!X120*VLOOKUP('Données projet'!$B$9,Paramètres!$A$1:$I$89,3,0)*0.475*44/12</f>
        <v>10.436723818901879</v>
      </c>
      <c r="AB120" s="21">
        <f>EXP(-LN(2)/2)*AB119+(1-EXP(-LN(2)/2))/(LN(2)/2)*V120*Y120*VLOOKUP('Données projet'!$B$9,Paramètres!$A$1:$I$89,3,0)*0.475*44/12</f>
        <v>1.566657297194788E-8</v>
      </c>
      <c r="AC120" s="22">
        <f t="shared" si="57"/>
        <v>76.828785977507792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279.9271639349646</v>
      </c>
      <c r="AO120" s="59">
        <f t="shared" si="90"/>
        <v>260.03726798406916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3.6615384500000006</v>
      </c>
      <c r="BD120" s="12">
        <f>IF('Données projet'!$A$88&gt;35,BD119+BC120-BL119,IF(A120&lt;'Données projet'!$A$88,$BA$205^A120,IF(A120='Données projet'!$A$88,'Données projet'!$B$88,BD119+BC120-BL119)))</f>
        <v>141.78974360000032</v>
      </c>
      <c r="BE120" s="13">
        <f>BD120*VLOOKUP('Données projet'!$B$11,Paramètres!$A$1:$I$89,3,0)*VLOOKUP('Données projet'!$B$11,Paramètres!$A$1:$I$89,5,0)</f>
        <v>121.65560000880029</v>
      </c>
      <c r="BF120" s="13">
        <f t="shared" si="91"/>
        <v>32.06083233000917</v>
      </c>
      <c r="BG120" s="20">
        <f t="shared" si="61"/>
        <v>267.72278632342648</v>
      </c>
      <c r="BH120" s="59">
        <f t="shared" si="62"/>
        <v>561.05611965675985</v>
      </c>
      <c r="BI120" s="59">
        <f ca="1">AVERAGE(OFFSET($BH$3,0,0,'Données projet'!$E$11+1,1))-AVERAGE(OFFSET($H$3,0,0,'Données projet'!$E$11+1,1))</f>
        <v>212.99246338839475</v>
      </c>
      <c r="BJ120" s="59">
        <f t="shared" si="92"/>
        <v>162.04040335537223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233.89079999999998</v>
      </c>
      <c r="CA120" s="13">
        <f t="shared" si="93"/>
        <v>57.123140349023068</v>
      </c>
      <c r="CB120" s="20">
        <f t="shared" si="64"/>
        <v>506.84927944121517</v>
      </c>
      <c r="CC120" s="59">
        <f t="shared" si="65"/>
        <v>800.18261277454849</v>
      </c>
      <c r="CD120" s="59">
        <f ca="1">AVERAGE(OFFSET($CC$3,0,0,'Données projet'!$E$12+1,1))-AVERAGE(OFFSET($H$3,0,0,'Données projet'!$E$12+1,1))</f>
        <v>249.53949216238527</v>
      </c>
      <c r="CE120" s="59">
        <f t="shared" si="94"/>
        <v>261.78576517528217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16.090192009071309</v>
      </c>
      <c r="CL120" s="21">
        <f>EXP(-LN(2)/25)*CL119+(1-EXP(-LN(2)/25))/(LN(2)/25)*Calculateur!CG120*Calculateur!CI120*VLOOKUP('Données projet'!$B$12,Paramètres!$A$1:$I$89,3,0)*0.475*44/12</f>
        <v>2.0224529732710357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18.112644982342346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7">
        <f t="shared" si="56"/>
        <v>484.44253712106809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281.14678081581229</v>
      </c>
      <c r="T121" s="59">
        <f t="shared" si="88"/>
        <v>380.81265808422603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65.090154299475643</v>
      </c>
      <c r="AA121" s="21">
        <f>EXP(-LN(2)/25)*AA120+(1-EXP(-LN(2)/25))/(LN(2)/25)*Calculateur!V121*Calculateur!X121*VLOOKUP('Données projet'!$B$9,Paramètres!$A$1:$I$89,3,0)*0.475*44/12</f>
        <v>10.151331057230555</v>
      </c>
      <c r="AB121" s="21">
        <f>EXP(-LN(2)/2)*AB120+(1-EXP(-LN(2)/2))/(LN(2)/2)*V121*Y121*VLOOKUP('Données projet'!$B$9,Paramètres!$A$1:$I$89,3,0)*0.475*44/12</f>
        <v>1.1077939986418229E-8</v>
      </c>
      <c r="AC121" s="22">
        <f t="shared" si="57"/>
        <v>75.241485367784136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279.9271639349646</v>
      </c>
      <c r="AO121" s="59">
        <f t="shared" si="90"/>
        <v>260.03726798406916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3.6615384500000006</v>
      </c>
      <c r="BD121" s="12">
        <f>IF('Données projet'!$A$88&gt;35,BD120+BC121-BL120,IF(A121&lt;'Données projet'!$A$88,$BA$205^A121,IF(A121='Données projet'!$A$88,'Données projet'!$B$88,BD120+BC121-BL120)))</f>
        <v>145.45128205000032</v>
      </c>
      <c r="BE121" s="13">
        <f>BD121*VLOOKUP('Données projet'!$B$11,Paramètres!$A$1:$I$89,3,0)*VLOOKUP('Données projet'!$B$11,Paramètres!$A$1:$I$89,5,0)</f>
        <v>124.7971999989003</v>
      </c>
      <c r="BF121" s="13">
        <f t="shared" si="91"/>
        <v>32.791302137042827</v>
      </c>
      <c r="BG121" s="20">
        <f t="shared" si="61"/>
        <v>274.46664122010094</v>
      </c>
      <c r="BH121" s="59">
        <f t="shared" si="62"/>
        <v>567.79997455343425</v>
      </c>
      <c r="BI121" s="59">
        <f ca="1">AVERAGE(OFFSET($BH$3,0,0,'Données projet'!$E$11+1,1))-AVERAGE(OFFSET($H$3,0,0,'Données projet'!$E$11+1,1))</f>
        <v>212.99246338839475</v>
      </c>
      <c r="BJ121" s="59">
        <f t="shared" si="92"/>
        <v>162.04040335537223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233.89079999999998</v>
      </c>
      <c r="CA121" s="13">
        <f t="shared" si="93"/>
        <v>57.123140349023068</v>
      </c>
      <c r="CB121" s="20">
        <f t="shared" si="64"/>
        <v>506.84927944121517</v>
      </c>
      <c r="CC121" s="59">
        <f t="shared" si="65"/>
        <v>800.18261277454849</v>
      </c>
      <c r="CD121" s="59">
        <f ca="1">AVERAGE(OFFSET($CC$3,0,0,'Données projet'!$E$12+1,1))-AVERAGE(OFFSET($H$3,0,0,'Données projet'!$E$12+1,1))</f>
        <v>249.53949216238527</v>
      </c>
      <c r="CE121" s="59">
        <f t="shared" si="94"/>
        <v>261.78576517528217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15.774673157821489</v>
      </c>
      <c r="CL121" s="21">
        <f>EXP(-LN(2)/25)*CL120+(1-EXP(-LN(2)/25))/(LN(2)/25)*Calculateur!CG121*Calculateur!CI121*VLOOKUP('Données projet'!$B$12,Paramètres!$A$1:$I$89,3,0)*0.475*44/12</f>
        <v>1.9671488903607597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17.74182204818225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7">
        <f t="shared" si="56"/>
        <v>486.32508105927991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281.14678081581229</v>
      </c>
      <c r="T122" s="59">
        <f t="shared" si="88"/>
        <v>380.81265808422603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63.813776074736893</v>
      </c>
      <c r="AA122" s="21">
        <f>EXP(-LN(2)/25)*AA121+(1-EXP(-LN(2)/25))/(LN(2)/25)*Calculateur!V122*Calculateur!X122*VLOOKUP('Données projet'!$B$9,Paramètres!$A$1:$I$89,3,0)*0.475*44/12</f>
        <v>9.8737423756352865</v>
      </c>
      <c r="AB122" s="21">
        <f>EXP(-LN(2)/2)*AB121+(1-EXP(-LN(2)/2))/(LN(2)/2)*V122*Y122*VLOOKUP('Données projet'!$B$9,Paramètres!$A$1:$I$89,3,0)*0.475*44/12</f>
        <v>7.8332864859739401E-9</v>
      </c>
      <c r="AC122" s="22">
        <f t="shared" si="57"/>
        <v>73.687518458205474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279.9271639349646</v>
      </c>
      <c r="AO122" s="59">
        <f t="shared" si="90"/>
        <v>260.03726798406916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3.6615384500000006</v>
      </c>
      <c r="BD122" s="12">
        <f>IF('Données projet'!$A$88&gt;35,BD121+BC122-BL121,IF(A122&lt;'Données projet'!$A$88,$BA$205^A122,IF(A122='Données projet'!$A$88,'Données projet'!$B$88,BD121+BC122-BL121)))</f>
        <v>149.11282050000031</v>
      </c>
      <c r="BE122" s="13">
        <f>BD122*VLOOKUP('Données projet'!$B$11,Paramètres!$A$1:$I$89,3,0)*VLOOKUP('Données projet'!$B$11,Paramètres!$A$1:$I$89,5,0)</f>
        <v>127.93879998900027</v>
      </c>
      <c r="BF122" s="13">
        <f t="shared" si="91"/>
        <v>33.519634407072864</v>
      </c>
      <c r="BG122" s="20">
        <f t="shared" si="61"/>
        <v>281.20677323982733</v>
      </c>
      <c r="BH122" s="59">
        <f t="shared" si="62"/>
        <v>574.54010657316064</v>
      </c>
      <c r="BI122" s="59">
        <f ca="1">AVERAGE(OFFSET($BH$3,0,0,'Données projet'!$E$11+1,1))-AVERAGE(OFFSET($H$3,0,0,'Données projet'!$E$11+1,1))</f>
        <v>212.99246338839475</v>
      </c>
      <c r="BJ122" s="59">
        <f t="shared" si="92"/>
        <v>162.04040335537223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233.89079999999998</v>
      </c>
      <c r="CA122" s="13">
        <f t="shared" si="93"/>
        <v>57.123140349023068</v>
      </c>
      <c r="CB122" s="20">
        <f t="shared" si="64"/>
        <v>506.84927944121517</v>
      </c>
      <c r="CC122" s="59">
        <f t="shared" si="65"/>
        <v>800.18261277454849</v>
      </c>
      <c r="CD122" s="59">
        <f ca="1">AVERAGE(OFFSET($CC$3,0,0,'Données projet'!$E$12+1,1))-AVERAGE(OFFSET($H$3,0,0,'Données projet'!$E$12+1,1))</f>
        <v>249.53949216238527</v>
      </c>
      <c r="CE122" s="59">
        <f t="shared" si="94"/>
        <v>261.78576517528217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15.465341438797182</v>
      </c>
      <c r="CL122" s="21">
        <f>EXP(-LN(2)/25)*CL121+(1-EXP(-LN(2)/25))/(LN(2)/25)*Calculateur!CG122*Calculateur!CI122*VLOOKUP('Données projet'!$B$12,Paramètres!$A$1:$I$89,3,0)*0.475*44/12</f>
        <v>1.9133571005059806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17.378698539303162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7">
        <f t="shared" si="56"/>
        <v>488.20727202973137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281.14678081581229</v>
      </c>
      <c r="T123" s="59">
        <f t="shared" si="88"/>
        <v>380.81265808422603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62.562426848471425</v>
      </c>
      <c r="AA123" s="21">
        <f>EXP(-LN(2)/25)*AA122+(1-EXP(-LN(2)/25))/(LN(2)/25)*Calculateur!V123*Calculateur!X123*VLOOKUP('Données projet'!$B$9,Paramètres!$A$1:$I$89,3,0)*0.475*44/12</f>
        <v>9.6037443711359956</v>
      </c>
      <c r="AB123" s="21">
        <f>EXP(-LN(2)/2)*AB122+(1-EXP(-LN(2)/2))/(LN(2)/2)*V123*Y123*VLOOKUP('Données projet'!$B$9,Paramètres!$A$1:$I$89,3,0)*0.475*44/12</f>
        <v>5.5389699932091147E-9</v>
      </c>
      <c r="AC123" s="22">
        <f t="shared" si="57"/>
        <v>72.166171225146385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279.9271639349646</v>
      </c>
      <c r="AO123" s="59">
        <f t="shared" si="90"/>
        <v>260.03726798406916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3.6615384500000006</v>
      </c>
      <c r="BD123" s="12">
        <f>IF('Données projet'!$A$88&gt;35,BD122+BC123-BL122,IF(A123&lt;'Données projet'!$A$88,$BA$205^A123,IF(A123='Données projet'!$A$88,'Données projet'!$B$88,BD122+BC123-BL122)))</f>
        <v>152.77435895000031</v>
      </c>
      <c r="BE123" s="13">
        <f>BD123*VLOOKUP('Données projet'!$B$11,Paramètres!$A$1:$I$89,3,0)*VLOOKUP('Données projet'!$B$11,Paramètres!$A$1:$I$89,5,0)</f>
        <v>131.08039997910029</v>
      </c>
      <c r="BF123" s="13">
        <f t="shared" si="91"/>
        <v>34.245887666235312</v>
      </c>
      <c r="BG123" s="20">
        <f t="shared" si="61"/>
        <v>287.94328431562616</v>
      </c>
      <c r="BH123" s="59">
        <f t="shared" si="62"/>
        <v>581.27661764895947</v>
      </c>
      <c r="BI123" s="59">
        <f ca="1">AVERAGE(OFFSET($BH$3,0,0,'Données projet'!$E$11+1,1))-AVERAGE(OFFSET($H$3,0,0,'Données projet'!$E$11+1,1))</f>
        <v>212.99246338839475</v>
      </c>
      <c r="BJ123" s="59">
        <f t="shared" si="92"/>
        <v>162.04040335537223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233.89079999999998</v>
      </c>
      <c r="CA123" s="13">
        <f t="shared" si="93"/>
        <v>57.123140349023068</v>
      </c>
      <c r="CB123" s="20">
        <f t="shared" si="64"/>
        <v>506.84927944121517</v>
      </c>
      <c r="CC123" s="59">
        <f t="shared" si="65"/>
        <v>800.18261277454849</v>
      </c>
      <c r="CD123" s="59">
        <f ca="1">AVERAGE(OFFSET($CC$3,0,0,'Données projet'!$E$12+1,1))-AVERAGE(OFFSET($H$3,0,0,'Données projet'!$E$12+1,1))</f>
        <v>249.53949216238527</v>
      </c>
      <c r="CE123" s="59">
        <f t="shared" si="94"/>
        <v>261.78576517528217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15.162075526109223</v>
      </c>
      <c r="CL123" s="21">
        <f>EXP(-LN(2)/25)*CL122+(1-EXP(-LN(2)/25))/(LN(2)/25)*Calculateur!CG123*Calculateur!CI123*VLOOKUP('Données projet'!$B$12,Paramètres!$A$1:$I$89,3,0)*0.475*44/12</f>
        <v>1.8610362499735678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17.023111776082793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7">
        <f t="shared" si="56"/>
        <v>490.08911331468346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281.14678081581229</v>
      </c>
      <c r="T124" s="59">
        <f t="shared" si="88"/>
        <v>380.81265808422603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61.335615817285358</v>
      </c>
      <c r="AA124" s="21">
        <f>EXP(-LN(2)/25)*AA123+(1-EXP(-LN(2)/25))/(LN(2)/25)*Calculateur!V124*Calculateur!X124*VLOOKUP('Données projet'!$B$9,Paramètres!$A$1:$I$89,3,0)*0.475*44/12</f>
        <v>9.3411294762683141</v>
      </c>
      <c r="AB124" s="21">
        <f>EXP(-LN(2)/2)*AB123+(1-EXP(-LN(2)/2))/(LN(2)/2)*V124*Y124*VLOOKUP('Données projet'!$B$9,Paramètres!$A$1:$I$89,3,0)*0.475*44/12</f>
        <v>3.9166432429869701E-9</v>
      </c>
      <c r="AC124" s="22">
        <f t="shared" si="57"/>
        <v>70.676745297470305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279.9271639349646</v>
      </c>
      <c r="AO124" s="59">
        <f t="shared" si="90"/>
        <v>260.03726798406916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156.43589739999999</v>
      </c>
      <c r="BB124" s="12">
        <f>VLOOKUP(A124,'Données projet'!$A$87:$I$107,9,0)</f>
        <v>3.6615384500000006</v>
      </c>
      <c r="BC124" s="12">
        <f t="array" ref="BC124">INDEX(BB:BB,MIN(IF(ISNUMBER(BB124:BB320),ROW(BB124:BB320),"")))</f>
        <v>3.6615384500000006</v>
      </c>
      <c r="BD124" s="12">
        <f>IF('Données projet'!$A$88&gt;35,BD123+BC124-BL123,IF(A124&lt;'Données projet'!$A$88,$BA$205^A124,IF(A124='Données projet'!$A$88,'Données projet'!$B$88,BD123+BC124-BL123)))</f>
        <v>156.4358974000003</v>
      </c>
      <c r="BE124" s="13">
        <f>BD124*VLOOKUP('Données projet'!$B$11,Paramètres!$A$1:$I$89,3,0)*VLOOKUP('Données projet'!$B$11,Paramètres!$A$1:$I$89,5,0)</f>
        <v>134.22199996920028</v>
      </c>
      <c r="BF124" s="13">
        <f t="shared" si="91"/>
        <v>34.970117475286401</v>
      </c>
      <c r="BG124" s="20">
        <f t="shared" si="61"/>
        <v>294.67627121581432</v>
      </c>
      <c r="BH124" s="59">
        <f t="shared" si="62"/>
        <v>588.00960454914764</v>
      </c>
      <c r="BI124" s="59">
        <f ca="1">AVERAGE(OFFSET($BH$3,0,0,'Données projet'!$E$11+1,1))-AVERAGE(OFFSET($H$3,0,0,'Données projet'!$E$11+1,1))</f>
        <v>212.99246338839475</v>
      </c>
      <c r="BJ124" s="59">
        <f t="shared" si="92"/>
        <v>162.04040335537223</v>
      </c>
      <c r="BK124" s="15">
        <f>IF(ISNA(VLOOKUP(A124,'Données projet'!$A$87:$I$107,3,0)),0,VLOOKUP(A124,'Données projet'!$A$87:$I$107,3,0))</f>
        <v>11</v>
      </c>
      <c r="BL124" s="15">
        <f>IF(ISNA(VLOOKUP(A124,'Données projet'!$A$87:$I$107,4,0)),0,VLOOKUP(A124,'Données projet'!$A$87:$I$107,4,0))</f>
        <v>66.179487179999995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233.89079999999998</v>
      </c>
      <c r="CA124" s="13">
        <f t="shared" si="93"/>
        <v>57.123140349023068</v>
      </c>
      <c r="CB124" s="20">
        <f t="shared" si="64"/>
        <v>506.84927944121517</v>
      </c>
      <c r="CC124" s="59">
        <f t="shared" si="65"/>
        <v>800.18261277454849</v>
      </c>
      <c r="CD124" s="59">
        <f ca="1">AVERAGE(OFFSET($CC$3,0,0,'Données projet'!$E$12+1,1))-AVERAGE(OFFSET($H$3,0,0,'Données projet'!$E$12+1,1))</f>
        <v>249.53949216238527</v>
      </c>
      <c r="CE124" s="59">
        <f t="shared" si="94"/>
        <v>261.78576517528217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14.864756472995133</v>
      </c>
      <c r="CL124" s="21">
        <f>EXP(-LN(2)/25)*CL123+(1-EXP(-LN(2)/25))/(LN(2)/25)*Calculateur!CG124*Calculateur!CI124*VLOOKUP('Données projet'!$B$12,Paramètres!$A$1:$I$89,3,0)*0.475*44/12</f>
        <v>1.8101461158503975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16.67490258884553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7">
        <f t="shared" si="56"/>
        <v>491.97060813901311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281.14678081581229</v>
      </c>
      <c r="T125" s="59">
        <f t="shared" si="88"/>
        <v>380.81265808422603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60.132861802140006</v>
      </c>
      <c r="AA125" s="21">
        <f>EXP(-LN(2)/25)*AA124+(1-EXP(-LN(2)/25))/(LN(2)/25)*Calculateur!V125*Calculateur!X125*VLOOKUP('Données projet'!$B$9,Paramètres!$A$1:$I$89,3,0)*0.475*44/12</f>
        <v>9.0856957995111074</v>
      </c>
      <c r="AB125" s="21">
        <f>EXP(-LN(2)/2)*AB124+(1-EXP(-LN(2)/2))/(LN(2)/2)*V125*Y125*VLOOKUP('Données projet'!$B$9,Paramètres!$A$1:$I$89,3,0)*0.475*44/12</f>
        <v>2.7694849966045574E-9</v>
      </c>
      <c r="AC125" s="22">
        <f t="shared" si="57"/>
        <v>69.218557604420596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279.9271639349646</v>
      </c>
      <c r="AO125" s="59">
        <f t="shared" si="90"/>
        <v>260.03726798406916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2.5913461700000013</v>
      </c>
      <c r="BD125" s="12">
        <f>IF('Données projet'!$A$88&gt;35,BD124+BC125-BL124,IF(A125&lt;'Données projet'!$A$88,$BA$205^A125,IF(A125='Données projet'!$A$88,'Données projet'!$B$88,BD124+BC125-BL124)))</f>
        <v>92.847756390000313</v>
      </c>
      <c r="BE125" s="13">
        <f>BD125*VLOOKUP('Données projet'!$B$11,Paramètres!$A$1:$I$89,3,0)*VLOOKUP('Données projet'!$B$11,Paramètres!$A$1:$I$89,5,0)</f>
        <v>79.663374982620283</v>
      </c>
      <c r="BF125" s="13">
        <f t="shared" si="91"/>
        <v>22.054857373824408</v>
      </c>
      <c r="BG125" s="20">
        <f t="shared" si="61"/>
        <v>177.15925468747449</v>
      </c>
      <c r="BH125" s="59">
        <f t="shared" si="62"/>
        <v>470.49258802080783</v>
      </c>
      <c r="BI125" s="59">
        <f ca="1">AVERAGE(OFFSET($BH$3,0,0,'Données projet'!$E$11+1,1))-AVERAGE(OFFSET($H$3,0,0,'Données projet'!$E$11+1,1))</f>
        <v>212.99246338839475</v>
      </c>
      <c r="BJ125" s="59">
        <f t="shared" si="92"/>
        <v>162.04040335537223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233.89079999999998</v>
      </c>
      <c r="CA125" s="13">
        <f t="shared" si="93"/>
        <v>57.123140349023068</v>
      </c>
      <c r="CB125" s="20">
        <f t="shared" si="64"/>
        <v>506.84927944121517</v>
      </c>
      <c r="CC125" s="59">
        <f t="shared" si="65"/>
        <v>800.18261277454849</v>
      </c>
      <c r="CD125" s="59">
        <f ca="1">AVERAGE(OFFSET($CC$3,0,0,'Données projet'!$E$12+1,1))-AVERAGE(OFFSET($H$3,0,0,'Données projet'!$E$12+1,1))</f>
        <v>249.53949216238527</v>
      </c>
      <c r="CE125" s="59">
        <f t="shared" si="94"/>
        <v>261.78576517528217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14.573267665165893</v>
      </c>
      <c r="CL125" s="21">
        <f>EXP(-LN(2)/25)*CL124+(1-EXP(-LN(2)/25))/(LN(2)/25)*Calculateur!CG125*Calculateur!CI125*VLOOKUP('Données projet'!$B$12,Paramètres!$A$1:$I$89,3,0)*0.475*44/12</f>
        <v>1.7606475751210213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16.333915240286913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7">
        <f t="shared" si="56"/>
        <v>493.85175967167811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281.14678081581229</v>
      </c>
      <c r="T126" s="59">
        <f t="shared" si="88"/>
        <v>380.81265808422603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58.953693059624143</v>
      </c>
      <c r="AA126" s="21">
        <f>EXP(-LN(2)/25)*AA125+(1-EXP(-LN(2)/25))/(LN(2)/25)*Calculateur!V126*Calculateur!X126*VLOOKUP('Données projet'!$B$9,Paramètres!$A$1:$I$89,3,0)*0.475*44/12</f>
        <v>8.8372469700774996</v>
      </c>
      <c r="AB126" s="21">
        <f>EXP(-LN(2)/2)*AB125+(1-EXP(-LN(2)/2))/(LN(2)/2)*V126*Y126*VLOOKUP('Données projet'!$B$9,Paramètres!$A$1:$I$89,3,0)*0.475*44/12</f>
        <v>1.958321621493485E-9</v>
      </c>
      <c r="AC126" s="22">
        <f t="shared" si="57"/>
        <v>67.790940031659972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279.9271639349646</v>
      </c>
      <c r="AO126" s="59">
        <f t="shared" si="90"/>
        <v>260.03726798406916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2.5913461700000013</v>
      </c>
      <c r="BD126" s="12">
        <f>IF('Données projet'!$A$88&gt;35,BD125+BC126-BL125,IF(A126&lt;'Données projet'!$A$88,$BA$205^A126,IF(A126='Données projet'!$A$88,'Données projet'!$B$88,BD125+BC126-BL125)))</f>
        <v>95.439102560000322</v>
      </c>
      <c r="BE126" s="13">
        <f>BD126*VLOOKUP('Données projet'!$B$11,Paramètres!$A$1:$I$89,3,0)*VLOOKUP('Données projet'!$B$11,Paramètres!$A$1:$I$89,5,0)</f>
        <v>81.88674999648029</v>
      </c>
      <c r="BF126" s="13">
        <f t="shared" si="91"/>
        <v>22.597876587535836</v>
      </c>
      <c r="BG126" s="20">
        <f t="shared" si="61"/>
        <v>181.97739130049476</v>
      </c>
      <c r="BH126" s="59">
        <f t="shared" si="62"/>
        <v>475.31072463382804</v>
      </c>
      <c r="BI126" s="59">
        <f ca="1">AVERAGE(OFFSET($BH$3,0,0,'Données projet'!$E$11+1,1))-AVERAGE(OFFSET($H$3,0,0,'Données projet'!$E$11+1,1))</f>
        <v>212.99246338839475</v>
      </c>
      <c r="BJ126" s="59">
        <f t="shared" si="92"/>
        <v>162.04040335537223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233.89079999999998</v>
      </c>
      <c r="CA126" s="13">
        <f t="shared" si="93"/>
        <v>57.123140349023068</v>
      </c>
      <c r="CB126" s="20">
        <f t="shared" si="64"/>
        <v>506.84927944121517</v>
      </c>
      <c r="CC126" s="59">
        <f t="shared" si="65"/>
        <v>800.18261277454849</v>
      </c>
      <c r="CD126" s="59">
        <f ca="1">AVERAGE(OFFSET($CC$3,0,0,'Données projet'!$E$12+1,1))-AVERAGE(OFFSET($H$3,0,0,'Données projet'!$E$12+1,1))</f>
        <v>249.53949216238527</v>
      </c>
      <c r="CE126" s="59">
        <f t="shared" si="94"/>
        <v>261.78576517528217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14.287494775067568</v>
      </c>
      <c r="CL126" s="21">
        <f>EXP(-LN(2)/25)*CL125+(1-EXP(-LN(2)/25))/(LN(2)/25)*Calculateur!CG126*Calculateur!CI126*VLOOKUP('Données projet'!$B$12,Paramètres!$A$1:$I$89,3,0)*0.475*44/12</f>
        <v>1.712502574590905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15.999997349658473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7">
        <f t="shared" si="56"/>
        <v>495.73257102713382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281.14678081581229</v>
      </c>
      <c r="T127" s="59">
        <f t="shared" si="88"/>
        <v>380.81265808422603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57.797647096927101</v>
      </c>
      <c r="AA127" s="21">
        <f>EXP(-LN(2)/25)*AA126+(1-EXP(-LN(2)/25))/(LN(2)/25)*Calculateur!V127*Calculateur!X127*VLOOKUP('Données projet'!$B$9,Paramètres!$A$1:$I$89,3,0)*0.475*44/12</f>
        <v>8.5955919869501098</v>
      </c>
      <c r="AB127" s="21">
        <f>EXP(-LN(2)/2)*AB126+(1-EXP(-LN(2)/2))/(LN(2)/2)*V127*Y127*VLOOKUP('Données projet'!$B$9,Paramètres!$A$1:$I$89,3,0)*0.475*44/12</f>
        <v>1.3847424983022787E-9</v>
      </c>
      <c r="AC127" s="22">
        <f t="shared" si="57"/>
        <v>66.393239085261953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279.9271639349646</v>
      </c>
      <c r="AO127" s="59">
        <f t="shared" si="90"/>
        <v>260.03726798406916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2.5913461700000013</v>
      </c>
      <c r="BD127" s="12">
        <f>IF('Données projet'!$A$88&gt;35,BD126+BC127-BL126,IF(A127&lt;'Données projet'!$A$88,$BA$205^A127,IF(A127='Données projet'!$A$88,'Données projet'!$B$88,BD126+BC127-BL126)))</f>
        <v>98.03044873000033</v>
      </c>
      <c r="BE127" s="13">
        <f>BD127*VLOOKUP('Données projet'!$B$11,Paramètres!$A$1:$I$89,3,0)*VLOOKUP('Données projet'!$B$11,Paramètres!$A$1:$I$89,5,0)</f>
        <v>84.110125010340298</v>
      </c>
      <c r="BF127" s="13">
        <f t="shared" si="91"/>
        <v>23.139182090391653</v>
      </c>
      <c r="BG127" s="20">
        <f t="shared" si="61"/>
        <v>186.79254320044149</v>
      </c>
      <c r="BH127" s="59">
        <f t="shared" si="62"/>
        <v>480.12587653377477</v>
      </c>
      <c r="BI127" s="59">
        <f ca="1">AVERAGE(OFFSET($BH$3,0,0,'Données projet'!$E$11+1,1))-AVERAGE(OFFSET($H$3,0,0,'Données projet'!$E$11+1,1))</f>
        <v>212.99246338839475</v>
      </c>
      <c r="BJ127" s="59">
        <f t="shared" si="92"/>
        <v>162.04040335537223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233.89079999999998</v>
      </c>
      <c r="CA127" s="13">
        <f t="shared" si="93"/>
        <v>57.123140349023068</v>
      </c>
      <c r="CB127" s="20">
        <f t="shared" si="64"/>
        <v>506.84927944121517</v>
      </c>
      <c r="CC127" s="59">
        <f t="shared" si="65"/>
        <v>800.18261277454849</v>
      </c>
      <c r="CD127" s="59">
        <f ca="1">AVERAGE(OFFSET($CC$3,0,0,'Données projet'!$E$12+1,1))-AVERAGE(OFFSET($H$3,0,0,'Données projet'!$E$12+1,1))</f>
        <v>249.53949216238527</v>
      </c>
      <c r="CE127" s="59">
        <f t="shared" si="94"/>
        <v>261.78576517528217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14.007325717039819</v>
      </c>
      <c r="CL127" s="21">
        <f>EXP(-LN(2)/25)*CL126+(1-EXP(-LN(2)/25))/(LN(2)/25)*Calculateur!CG127*Calculateur!CI127*VLOOKUP('Données projet'!$B$12,Paramètres!$A$1:$I$89,3,0)*0.475*44/12</f>
        <v>1.6656741016321204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15.67299981867194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7">
        <f t="shared" si="56"/>
        <v>497.61304526670199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281.14678081581229</v>
      </c>
      <c r="T128" s="59">
        <f t="shared" si="88"/>
        <v>380.81265808422603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56.664270490440138</v>
      </c>
      <c r="AA128" s="21">
        <f>EXP(-LN(2)/25)*AA127+(1-EXP(-LN(2)/25))/(LN(2)/25)*Calculateur!V128*Calculateur!X128*VLOOKUP('Données projet'!$B$9,Paramètres!$A$1:$I$89,3,0)*0.475*44/12</f>
        <v>8.3605450720444221</v>
      </c>
      <c r="AB128" s="21">
        <f>EXP(-LN(2)/2)*AB127+(1-EXP(-LN(2)/2))/(LN(2)/2)*V128*Y128*VLOOKUP('Données projet'!$B$9,Paramètres!$A$1:$I$89,3,0)*0.475*44/12</f>
        <v>9.7916081074674252E-10</v>
      </c>
      <c r="AC128" s="22">
        <f t="shared" si="57"/>
        <v>65.024815563463719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279.9271639349646</v>
      </c>
      <c r="AO128" s="59">
        <f t="shared" si="90"/>
        <v>260.03726798406916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100.6217949</v>
      </c>
      <c r="BB128" s="12">
        <f>VLOOKUP(A128,'Données projet'!$A$87:$I$107,9,0)</f>
        <v>2.5913461700000013</v>
      </c>
      <c r="BC128" s="12">
        <f t="array" ref="BC128">INDEX(BB:BB,MIN(IF(ISNUMBER(BB128:BB324),ROW(BB128:BB324),"")))</f>
        <v>2.5913461700000013</v>
      </c>
      <c r="BD128" s="12">
        <f>IF('Données projet'!$A$88&gt;35,BD127+BC128-BL127,IF(A128&lt;'Données projet'!$A$88,$BA$205^A128,IF(A128='Données projet'!$A$88,'Données projet'!$B$88,BD127+BC128-BL127)))</f>
        <v>100.62179490000034</v>
      </c>
      <c r="BE128" s="13">
        <f>BD128*VLOOKUP('Données projet'!$B$11,Paramètres!$A$1:$I$89,3,0)*VLOOKUP('Données projet'!$B$11,Paramètres!$A$1:$I$89,5,0)</f>
        <v>86.333500024200305</v>
      </c>
      <c r="BF128" s="13">
        <f t="shared" si="91"/>
        <v>23.678824389935208</v>
      </c>
      <c r="BG128" s="20">
        <f t="shared" si="61"/>
        <v>191.60479835461936</v>
      </c>
      <c r="BH128" s="59">
        <f t="shared" si="62"/>
        <v>484.9381316879527</v>
      </c>
      <c r="BI128" s="59">
        <f ca="1">AVERAGE(OFFSET($BH$3,0,0,'Données projet'!$E$11+1,1))-AVERAGE(OFFSET($H$3,0,0,'Données projet'!$E$11+1,1))</f>
        <v>212.99246338839475</v>
      </c>
      <c r="BJ128" s="59">
        <f t="shared" si="92"/>
        <v>162.04040335537223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100.6217949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233.89079999999998</v>
      </c>
      <c r="CA128" s="13">
        <f t="shared" si="93"/>
        <v>57.123140349023068</v>
      </c>
      <c r="CB128" s="20">
        <f t="shared" si="64"/>
        <v>506.84927944121517</v>
      </c>
      <c r="CC128" s="59">
        <f t="shared" si="65"/>
        <v>800.18261277454849</v>
      </c>
      <c r="CD128" s="59">
        <f ca="1">AVERAGE(OFFSET($CC$3,0,0,'Données projet'!$E$12+1,1))-AVERAGE(OFFSET($H$3,0,0,'Données projet'!$E$12+1,1))</f>
        <v>249.53949216238527</v>
      </c>
      <c r="CE128" s="59">
        <f t="shared" si="94"/>
        <v>261.78576517528217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13.732650603353743</v>
      </c>
      <c r="CL128" s="21">
        <f>EXP(-LN(2)/25)*CL127+(1-EXP(-LN(2)/25))/(LN(2)/25)*Calculateur!CG128*Calculateur!CI128*VLOOKUP('Données projet'!$B$12,Paramètres!$A$1:$I$89,3,0)*0.475*44/12</f>
        <v>1.6201261557289961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15.35277675908274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7">
        <f t="shared" si="56"/>
        <v>499.49318539989508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281.14678081581229</v>
      </c>
      <c r="T129" s="59">
        <f t="shared" si="88"/>
        <v>380.81265808422603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55.553118707914912</v>
      </c>
      <c r="AA129" s="21">
        <f>EXP(-LN(2)/25)*AA128+(1-EXP(-LN(2)/25))/(LN(2)/25)*Calculateur!V129*Calculateur!X129*VLOOKUP('Données projet'!$B$9,Paramètres!$A$1:$I$89,3,0)*0.475*44/12</f>
        <v>8.1319255273874109</v>
      </c>
      <c r="AB129" s="21">
        <f>EXP(-LN(2)/2)*AB128+(1-EXP(-LN(2)/2))/(LN(2)/2)*V129*Y129*VLOOKUP('Données projet'!$B$9,Paramètres!$A$1:$I$89,3,0)*0.475*44/12</f>
        <v>6.9237124915113934E-10</v>
      </c>
      <c r="AC129" s="22">
        <f t="shared" si="57"/>
        <v>63.685044235994695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279.9271639349646</v>
      </c>
      <c r="AO129" s="59">
        <f t="shared" si="90"/>
        <v>260.03726798406916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3.4106051316484809E-13</v>
      </c>
      <c r="BE129" s="13">
        <f>BD129*VLOOKUP('Données projet'!$B$11,Paramètres!$A$1:$I$89,3,0)*VLOOKUP('Données projet'!$B$11,Paramètres!$A$1:$I$89,5,0)</f>
        <v>2.9262992029543969E-13</v>
      </c>
      <c r="BF129" s="13">
        <f t="shared" si="91"/>
        <v>3.8796387982050903E-12</v>
      </c>
      <c r="BG129" s="20">
        <f t="shared" si="61"/>
        <v>7.2667013513884219E-12</v>
      </c>
      <c r="BH129" s="59">
        <f t="shared" si="62"/>
        <v>293.33333333334059</v>
      </c>
      <c r="BI129" s="59">
        <f ca="1">AVERAGE(OFFSET($BH$3,0,0,'Données projet'!$E$11+1,1))-AVERAGE(OFFSET($H$3,0,0,'Données projet'!$E$11+1,1))</f>
        <v>212.99246338839475</v>
      </c>
      <c r="BJ129" s="59">
        <f t="shared" si="92"/>
        <v>162.04040335537223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233.89079999999998</v>
      </c>
      <c r="CA129" s="13">
        <f t="shared" si="93"/>
        <v>57.123140349023068</v>
      </c>
      <c r="CB129" s="20">
        <f t="shared" si="64"/>
        <v>506.84927944121517</v>
      </c>
      <c r="CC129" s="59">
        <f t="shared" si="65"/>
        <v>800.18261277454849</v>
      </c>
      <c r="CD129" s="59">
        <f ca="1">AVERAGE(OFFSET($CC$3,0,0,'Données projet'!$E$12+1,1))-AVERAGE(OFFSET($H$3,0,0,'Données projet'!$E$12+1,1))</f>
        <v>249.53949216238527</v>
      </c>
      <c r="CE129" s="59">
        <f t="shared" si="94"/>
        <v>261.78576517528217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13.463361701111774</v>
      </c>
      <c r="CL129" s="21">
        <f>EXP(-LN(2)/25)*CL128+(1-EXP(-LN(2)/25))/(LN(2)/25)*Calculateur!CG129*Calculateur!CI129*VLOOKUP('Données projet'!$B$12,Paramètres!$A$1:$I$89,3,0)*0.475*44/12</f>
        <v>1.5758237208018551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15.039185421913629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7">
        <f t="shared" si="56"/>
        <v>501.37299438569698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281.14678081581229</v>
      </c>
      <c r="T130" s="59">
        <f t="shared" si="88"/>
        <v>380.81265808422603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54.463755934109336</v>
      </c>
      <c r="AA130" s="21">
        <f>EXP(-LN(2)/25)*AA129+(1-EXP(-LN(2)/25))/(LN(2)/25)*Calculateur!V130*Calculateur!X130*VLOOKUP('Données projet'!$B$9,Paramètres!$A$1:$I$89,3,0)*0.475*44/12</f>
        <v>7.9095575962016245</v>
      </c>
      <c r="AB130" s="21">
        <f>EXP(-LN(2)/2)*AB129+(1-EXP(-LN(2)/2))/(LN(2)/2)*V130*Y130*VLOOKUP('Données projet'!$B$9,Paramètres!$A$1:$I$89,3,0)*0.475*44/12</f>
        <v>4.8958040537337126E-10</v>
      </c>
      <c r="AC130" s="22">
        <f t="shared" si="57"/>
        <v>62.373313530800537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279.9271639349646</v>
      </c>
      <c r="AO130" s="59">
        <f t="shared" si="90"/>
        <v>260.03726798406916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3.4106051316484809E-13</v>
      </c>
      <c r="BE130" s="13">
        <f>BD130*VLOOKUP('Données projet'!$B$11,Paramètres!$A$1:$I$89,3,0)*VLOOKUP('Données projet'!$B$11,Paramètres!$A$1:$I$89,5,0)</f>
        <v>2.9262992029543969E-13</v>
      </c>
      <c r="BF130" s="13">
        <f t="shared" si="91"/>
        <v>3.8796387982050903E-12</v>
      </c>
      <c r="BG130" s="20">
        <f t="shared" si="61"/>
        <v>7.2667013513884219E-12</v>
      </c>
      <c r="BH130" s="59">
        <f t="shared" si="62"/>
        <v>293.33333333334059</v>
      </c>
      <c r="BI130" s="59">
        <f ca="1">AVERAGE(OFFSET($BH$3,0,0,'Données projet'!$E$11+1,1))-AVERAGE(OFFSET($H$3,0,0,'Données projet'!$E$11+1,1))</f>
        <v>212.99246338839475</v>
      </c>
      <c r="BJ130" s="59">
        <f t="shared" si="92"/>
        <v>162.04040335537223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233.89079999999998</v>
      </c>
      <c r="CA130" s="13">
        <f t="shared" si="93"/>
        <v>57.123140349023068</v>
      </c>
      <c r="CB130" s="20">
        <f t="shared" si="64"/>
        <v>506.84927944121517</v>
      </c>
      <c r="CC130" s="59">
        <f t="shared" si="65"/>
        <v>800.18261277454849</v>
      </c>
      <c r="CD130" s="59">
        <f ca="1">AVERAGE(OFFSET($CC$3,0,0,'Données projet'!$E$12+1,1))-AVERAGE(OFFSET($H$3,0,0,'Données projet'!$E$12+1,1))</f>
        <v>249.53949216238527</v>
      </c>
      <c r="CE130" s="59">
        <f t="shared" si="94"/>
        <v>261.78576517528217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13.199353389992758</v>
      </c>
      <c r="CL130" s="21">
        <f>EXP(-LN(2)/25)*CL129+(1-EXP(-LN(2)/25))/(LN(2)/25)*Calculateur!CG130*Calculateur!CI130*VLOOKUP('Données projet'!$B$12,Paramètres!$A$1:$I$89,3,0)*0.475*44/12</f>
        <v>1.5327327382875604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14.732086128280319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7">
        <f t="shared" si="56"/>
        <v>503.2524751338027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281.14678081581229</v>
      </c>
      <c r="T131" s="59">
        <f t="shared" si="88"/>
        <v>380.81265808422603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53.395754899852406</v>
      </c>
      <c r="AA131" s="21">
        <f>EXP(-LN(2)/25)*AA130+(1-EXP(-LN(2)/25))/(LN(2)/25)*Calculateur!V131*Calculateur!X131*VLOOKUP('Données projet'!$B$9,Paramètres!$A$1:$I$89,3,0)*0.475*44/12</f>
        <v>7.6932703277879346</v>
      </c>
      <c r="AB131" s="21">
        <f>EXP(-LN(2)/2)*AB130+(1-EXP(-LN(2)/2))/(LN(2)/2)*V131*Y131*VLOOKUP('Données projet'!$B$9,Paramètres!$A$1:$I$89,3,0)*0.475*44/12</f>
        <v>3.4618562457556967E-10</v>
      </c>
      <c r="AC131" s="22">
        <f t="shared" si="57"/>
        <v>61.089025227986525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279.9271639349646</v>
      </c>
      <c r="AO131" s="59">
        <f t="shared" si="90"/>
        <v>260.03726798406916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3.4106051316484809E-13</v>
      </c>
      <c r="BE131" s="13">
        <f>BD131*VLOOKUP('Données projet'!$B$11,Paramètres!$A$1:$I$89,3,0)*VLOOKUP('Données projet'!$B$11,Paramètres!$A$1:$I$89,5,0)</f>
        <v>2.9262992029543969E-13</v>
      </c>
      <c r="BF131" s="13">
        <f t="shared" si="91"/>
        <v>3.8796387982050903E-12</v>
      </c>
      <c r="BG131" s="20">
        <f t="shared" si="61"/>
        <v>7.2667013513884219E-12</v>
      </c>
      <c r="BH131" s="59">
        <f t="shared" si="62"/>
        <v>293.33333333334059</v>
      </c>
      <c r="BI131" s="59">
        <f ca="1">AVERAGE(OFFSET($BH$3,0,0,'Données projet'!$E$11+1,1))-AVERAGE(OFFSET($H$3,0,0,'Données projet'!$E$11+1,1))</f>
        <v>212.99246338839475</v>
      </c>
      <c r="BJ131" s="59">
        <f t="shared" si="92"/>
        <v>162.04040335537223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233.89079999999998</v>
      </c>
      <c r="CA131" s="13">
        <f t="shared" si="93"/>
        <v>57.123140349023068</v>
      </c>
      <c r="CB131" s="20">
        <f t="shared" si="64"/>
        <v>506.84927944121517</v>
      </c>
      <c r="CC131" s="59">
        <f t="shared" si="65"/>
        <v>800.18261277454849</v>
      </c>
      <c r="CD131" s="59">
        <f ca="1">AVERAGE(OFFSET($CC$3,0,0,'Données projet'!$E$12+1,1))-AVERAGE(OFFSET($H$3,0,0,'Données projet'!$E$12+1,1))</f>
        <v>249.53949216238527</v>
      </c>
      <c r="CE131" s="59">
        <f t="shared" si="94"/>
        <v>261.78576517528217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12.940522120825618</v>
      </c>
      <c r="CL131" s="21">
        <f>EXP(-LN(2)/25)*CL130+(1-EXP(-LN(2)/25))/(LN(2)/25)*Calculateur!CG131*Calculateur!CI131*VLOOKUP('Données projet'!$B$12,Paramètres!$A$1:$I$89,3,0)*0.475*44/12</f>
        <v>1.4908200809561756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14.431342201781794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7">
        <f t="shared" ref="H132:H195" si="110">(B132+E132+F132)*44/12+(C132+D132)*0.475*44/12</f>
        <v>505.13163050581727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281.14678081581229</v>
      </c>
      <c r="T132" s="59">
        <f t="shared" si="88"/>
        <v>380.81265808422603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52.348696714460949</v>
      </c>
      <c r="AA132" s="21">
        <f>EXP(-LN(2)/25)*AA131+(1-EXP(-LN(2)/25))/(LN(2)/25)*Calculateur!V132*Calculateur!X132*VLOOKUP('Données projet'!$B$9,Paramètres!$A$1:$I$89,3,0)*0.475*44/12</f>
        <v>7.4828974461030704</v>
      </c>
      <c r="AB132" s="21">
        <f>EXP(-LN(2)/2)*AB131+(1-EXP(-LN(2)/2))/(LN(2)/2)*V132*Y132*VLOOKUP('Données projet'!$B$9,Paramètres!$A$1:$I$89,3,0)*0.475*44/12</f>
        <v>2.4479020268668563E-10</v>
      </c>
      <c r="AC132" s="22">
        <f t="shared" ref="AC132:AC153" si="111">SUM(Z132:AB132)</f>
        <v>59.831594160808812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279.9271639349646</v>
      </c>
      <c r="AO132" s="59">
        <f t="shared" si="90"/>
        <v>260.03726798406916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3.4106051316484809E-13</v>
      </c>
      <c r="BE132" s="13">
        <f>BD132*VLOOKUP('Données projet'!$B$11,Paramètres!$A$1:$I$89,3,0)*VLOOKUP('Données projet'!$B$11,Paramètres!$A$1:$I$89,5,0)</f>
        <v>2.9262992029543969E-13</v>
      </c>
      <c r="BF132" s="13">
        <f t="shared" si="91"/>
        <v>3.8796387982050903E-12</v>
      </c>
      <c r="BG132" s="20">
        <f t="shared" ref="BG132:BG153" si="115">(BE132+BF132)*0.475*44/12</f>
        <v>7.2667013513884219E-12</v>
      </c>
      <c r="BH132" s="59">
        <f t="shared" ref="BH132:BH195" si="116">BG132+(AY132+AZ132)*44/12</f>
        <v>293.33333333334059</v>
      </c>
      <c r="BI132" s="59">
        <f ca="1">AVERAGE(OFFSET($BH$3,0,0,'Données projet'!$E$11+1,1))-AVERAGE(OFFSET($H$3,0,0,'Données projet'!$E$11+1,1))</f>
        <v>212.99246338839475</v>
      </c>
      <c r="BJ132" s="59">
        <f t="shared" si="92"/>
        <v>162.04040335537223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233.89079999999998</v>
      </c>
      <c r="CA132" s="13">
        <f t="shared" si="93"/>
        <v>57.123140349023068</v>
      </c>
      <c r="CB132" s="20">
        <f t="shared" ref="CB132:CB153" si="118">(BZ132+CA132)*0.475*44/12</f>
        <v>506.84927944121517</v>
      </c>
      <c r="CC132" s="59">
        <f t="shared" ref="CC132:CC195" si="119">CB132+(BT132+BU132)*44/12</f>
        <v>800.18261277454849</v>
      </c>
      <c r="CD132" s="59">
        <f ca="1">AVERAGE(OFFSET($CC$3,0,0,'Données projet'!$E$12+1,1))-AVERAGE(OFFSET($H$3,0,0,'Données projet'!$E$12+1,1))</f>
        <v>249.53949216238527</v>
      </c>
      <c r="CE132" s="59">
        <f t="shared" si="94"/>
        <v>261.78576517528217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12.686766374975358</v>
      </c>
      <c r="CL132" s="21">
        <f>EXP(-LN(2)/25)*CL131+(1-EXP(-LN(2)/25))/(LN(2)/25)*Calculateur!CG132*Calculateur!CI132*VLOOKUP('Données projet'!$B$12,Paramètres!$A$1:$I$89,3,0)*0.475*44/12</f>
        <v>1.4500535274436082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14.136819902418965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7">
        <f t="shared" si="110"/>
        <v>507.01046331641783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281.14678081581229</v>
      </c>
      <c r="T133" s="59">
        <f t="shared" ref="T133:T196" si="142">$T$3</f>
        <v>380.81265808422603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51.322170701442587</v>
      </c>
      <c r="AA133" s="21">
        <f>EXP(-LN(2)/25)*AA132+(1-EXP(-LN(2)/25))/(LN(2)/25)*Calculateur!V133*Calculateur!X133*VLOOKUP('Données projet'!$B$9,Paramètres!$A$1:$I$89,3,0)*0.475*44/12</f>
        <v>7.2782772219309075</v>
      </c>
      <c r="AB133" s="21">
        <f>EXP(-LN(2)/2)*AB132+(1-EXP(-LN(2)/2))/(LN(2)/2)*V133*Y133*VLOOKUP('Données projet'!$B$9,Paramètres!$A$1:$I$89,3,0)*0.475*44/12</f>
        <v>1.7309281228778483E-10</v>
      </c>
      <c r="AC133" s="22">
        <f t="shared" si="111"/>
        <v>58.600447923546589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279.9271639349646</v>
      </c>
      <c r="AO133" s="59">
        <f t="shared" ref="AO133:AO196" si="144">$AO$3</f>
        <v>260.03726798406916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3.4106051316484809E-13</v>
      </c>
      <c r="BE133" s="13">
        <f>BD133*VLOOKUP('Données projet'!$B$11,Paramètres!$A$1:$I$89,3,0)*VLOOKUP('Données projet'!$B$11,Paramètres!$A$1:$I$89,5,0)</f>
        <v>2.9262992029543969E-13</v>
      </c>
      <c r="BF133" s="13">
        <f t="shared" ref="BF133:BF153" si="145">EXP(-1.0587+0.8836*LN(BE133)+0.284)</f>
        <v>3.8796387982050903E-12</v>
      </c>
      <c r="BG133" s="20">
        <f t="shared" si="115"/>
        <v>7.2667013513884219E-12</v>
      </c>
      <c r="BH133" s="59">
        <f t="shared" si="116"/>
        <v>293.33333333334059</v>
      </c>
      <c r="BI133" s="59">
        <f ca="1">AVERAGE(OFFSET($BH$3,0,0,'Données projet'!$E$11+1,1))-AVERAGE(OFFSET($H$3,0,0,'Données projet'!$E$11+1,1))</f>
        <v>212.99246338839475</v>
      </c>
      <c r="BJ133" s="59">
        <f t="shared" ref="BJ133:BJ196" si="146">$BJ$3</f>
        <v>162.04040335537223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233.89079999999998</v>
      </c>
      <c r="CA133" s="13">
        <f t="shared" ref="CA133:CA153" si="147">EXP(-1.0587+0.8836*LN(BZ133)+0.284)</f>
        <v>57.123140349023068</v>
      </c>
      <c r="CB133" s="20">
        <f t="shared" si="118"/>
        <v>506.84927944121517</v>
      </c>
      <c r="CC133" s="59">
        <f t="shared" si="119"/>
        <v>800.18261277454849</v>
      </c>
      <c r="CD133" s="59">
        <f ca="1">AVERAGE(OFFSET($CC$3,0,0,'Données projet'!$E$12+1,1))-AVERAGE(OFFSET($H$3,0,0,'Données projet'!$E$12+1,1))</f>
        <v>249.53949216238527</v>
      </c>
      <c r="CE133" s="59">
        <f t="shared" ref="CE133:CE196" si="148">$CE$3</f>
        <v>261.78576517528217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12.4379866245255</v>
      </c>
      <c r="CL133" s="21">
        <f>EXP(-LN(2)/25)*CL132+(1-EXP(-LN(2)/25))/(LN(2)/25)*Calculateur!CG133*Calculateur!CI133*VLOOKUP('Données projet'!$B$12,Paramètres!$A$1:$I$89,3,0)*0.475*44/12</f>
        <v>1.4104017374806619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13.848388362006162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7">
        <f t="shared" si="110"/>
        <v>508.88897633447755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281.14678081581229</v>
      </c>
      <c r="T134" s="59">
        <f t="shared" si="142"/>
        <v>380.81265808422603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50.31577423742047</v>
      </c>
      <c r="AA134" s="21">
        <f>EXP(-LN(2)/25)*AA133+(1-EXP(-LN(2)/25))/(LN(2)/25)*Calculateur!V134*Calculateur!X134*VLOOKUP('Données projet'!$B$9,Paramètres!$A$1:$I$89,3,0)*0.475*44/12</f>
        <v>7.0792523485492422</v>
      </c>
      <c r="AB134" s="21">
        <f>EXP(-LN(2)/2)*AB133+(1-EXP(-LN(2)/2))/(LN(2)/2)*V134*Y134*VLOOKUP('Données projet'!$B$9,Paramètres!$A$1:$I$89,3,0)*0.475*44/12</f>
        <v>1.2239510134334281E-10</v>
      </c>
      <c r="AC134" s="22">
        <f t="shared" si="111"/>
        <v>57.395026586092108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279.9271639349646</v>
      </c>
      <c r="AO134" s="59">
        <f t="shared" si="144"/>
        <v>260.03726798406916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3.4106051316484809E-13</v>
      </c>
      <c r="BE134" s="13">
        <f>BD134*VLOOKUP('Données projet'!$B$11,Paramètres!$A$1:$I$89,3,0)*VLOOKUP('Données projet'!$B$11,Paramètres!$A$1:$I$89,5,0)</f>
        <v>2.9262992029543969E-13</v>
      </c>
      <c r="BF134" s="13">
        <f t="shared" si="145"/>
        <v>3.8796387982050903E-12</v>
      </c>
      <c r="BG134" s="20">
        <f t="shared" si="115"/>
        <v>7.2667013513884219E-12</v>
      </c>
      <c r="BH134" s="59">
        <f t="shared" si="116"/>
        <v>293.33333333334059</v>
      </c>
      <c r="BI134" s="59">
        <f ca="1">AVERAGE(OFFSET($BH$3,0,0,'Données projet'!$E$11+1,1))-AVERAGE(OFFSET($H$3,0,0,'Données projet'!$E$11+1,1))</f>
        <v>212.99246338839475</v>
      </c>
      <c r="BJ134" s="59">
        <f t="shared" si="146"/>
        <v>162.04040335537223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233.89079999999998</v>
      </c>
      <c r="CA134" s="13">
        <f t="shared" si="147"/>
        <v>57.123140349023068</v>
      </c>
      <c r="CB134" s="20">
        <f t="shared" si="118"/>
        <v>506.84927944121517</v>
      </c>
      <c r="CC134" s="59">
        <f t="shared" si="119"/>
        <v>800.18261277454849</v>
      </c>
      <c r="CD134" s="59">
        <f ca="1">AVERAGE(OFFSET($CC$3,0,0,'Données projet'!$E$12+1,1))-AVERAGE(OFFSET($H$3,0,0,'Données projet'!$E$12+1,1))</f>
        <v>249.53949216238527</v>
      </c>
      <c r="CE134" s="59">
        <f t="shared" si="148"/>
        <v>261.78576517528217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12.194085293241299</v>
      </c>
      <c r="CL134" s="21">
        <f>EXP(-LN(2)/25)*CL133+(1-EXP(-LN(2)/25))/(LN(2)/25)*Calculateur!CG134*Calculateur!CI134*VLOOKUP('Données projet'!$B$12,Paramètres!$A$1:$I$89,3,0)*0.475*44/12</f>
        <v>1.3718342277994493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13.565919521040747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7">
        <f t="shared" si="110"/>
        <v>510.76717228415504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281.14678081581229</v>
      </c>
      <c r="T135" s="59">
        <f t="shared" si="142"/>
        <v>380.81265808422603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49.329112594216596</v>
      </c>
      <c r="AA135" s="21">
        <f>EXP(-LN(2)/25)*AA134+(1-EXP(-LN(2)/25))/(LN(2)/25)*Calculateur!V135*Calculateur!X135*VLOOKUP('Données projet'!$B$9,Paramètres!$A$1:$I$89,3,0)*0.475*44/12</f>
        <v>6.8856698207964619</v>
      </c>
      <c r="AB135" s="21">
        <f>EXP(-LN(2)/2)*AB134+(1-EXP(-LN(2)/2))/(LN(2)/2)*V135*Y135*VLOOKUP('Données projet'!$B$9,Paramètres!$A$1:$I$89,3,0)*0.475*44/12</f>
        <v>8.6546406143892417E-11</v>
      </c>
      <c r="AC135" s="22">
        <f t="shared" si="111"/>
        <v>56.214782415099606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279.9271639349646</v>
      </c>
      <c r="AO135" s="59">
        <f t="shared" si="144"/>
        <v>260.03726798406916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3.4106051316484809E-13</v>
      </c>
      <c r="BE135" s="13">
        <f>BD135*VLOOKUP('Données projet'!$B$11,Paramètres!$A$1:$I$89,3,0)*VLOOKUP('Données projet'!$B$11,Paramètres!$A$1:$I$89,5,0)</f>
        <v>2.9262992029543969E-13</v>
      </c>
      <c r="BF135" s="13">
        <f t="shared" si="145"/>
        <v>3.8796387982050903E-12</v>
      </c>
      <c r="BG135" s="20">
        <f t="shared" si="115"/>
        <v>7.2667013513884219E-12</v>
      </c>
      <c r="BH135" s="59">
        <f t="shared" si="116"/>
        <v>293.33333333334059</v>
      </c>
      <c r="BI135" s="59">
        <f ca="1">AVERAGE(OFFSET($BH$3,0,0,'Données projet'!$E$11+1,1))-AVERAGE(OFFSET($H$3,0,0,'Données projet'!$E$11+1,1))</f>
        <v>212.99246338839475</v>
      </c>
      <c r="BJ135" s="59">
        <f t="shared" si="146"/>
        <v>162.04040335537223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233.89079999999998</v>
      </c>
      <c r="CA135" s="13">
        <f t="shared" si="147"/>
        <v>57.123140349023068</v>
      </c>
      <c r="CB135" s="20">
        <f t="shared" si="118"/>
        <v>506.84927944121517</v>
      </c>
      <c r="CC135" s="59">
        <f t="shared" si="119"/>
        <v>800.18261277454849</v>
      </c>
      <c r="CD135" s="59">
        <f ca="1">AVERAGE(OFFSET($CC$3,0,0,'Données projet'!$E$12+1,1))-AVERAGE(OFFSET($H$3,0,0,'Données projet'!$E$12+1,1))</f>
        <v>249.53949216238527</v>
      </c>
      <c r="CE135" s="59">
        <f t="shared" si="148"/>
        <v>261.78576517528217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11.954966718298458</v>
      </c>
      <c r="CL135" s="21">
        <f>EXP(-LN(2)/25)*CL134+(1-EXP(-LN(2)/25))/(LN(2)/25)*Calculateur!CG135*Calculateur!CI135*VLOOKUP('Données projet'!$B$12,Paramètres!$A$1:$I$89,3,0)*0.475*44/12</f>
        <v>1.3343213486986467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13.289288066997104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7">
        <f t="shared" si="110"/>
        <v>512.64505384594975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281.14678081581229</v>
      </c>
      <c r="T136" s="59">
        <f t="shared" si="142"/>
        <v>380.81265808422603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48.36179878403177</v>
      </c>
      <c r="AA136" s="21">
        <f>EXP(-LN(2)/25)*AA135+(1-EXP(-LN(2)/25))/(LN(2)/25)*Calculateur!V136*Calculateur!X136*VLOOKUP('Données projet'!$B$9,Paramètres!$A$1:$I$89,3,0)*0.475*44/12</f>
        <v>6.6973808174451444</v>
      </c>
      <c r="AB136" s="21">
        <f>EXP(-LN(2)/2)*AB135+(1-EXP(-LN(2)/2))/(LN(2)/2)*V136*Y136*VLOOKUP('Données projet'!$B$9,Paramètres!$A$1:$I$89,3,0)*0.475*44/12</f>
        <v>6.1197550671671407E-11</v>
      </c>
      <c r="AC136" s="22">
        <f t="shared" si="111"/>
        <v>55.059179601538112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279.9271639349646</v>
      </c>
      <c r="AO136" s="59">
        <f t="shared" si="144"/>
        <v>260.03726798406916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3.4106051316484809E-13</v>
      </c>
      <c r="BE136" s="13">
        <f>BD136*VLOOKUP('Données projet'!$B$11,Paramètres!$A$1:$I$89,3,0)*VLOOKUP('Données projet'!$B$11,Paramètres!$A$1:$I$89,5,0)</f>
        <v>2.9262992029543969E-13</v>
      </c>
      <c r="BF136" s="13">
        <f t="shared" si="145"/>
        <v>3.8796387982050903E-12</v>
      </c>
      <c r="BG136" s="20">
        <f t="shared" si="115"/>
        <v>7.2667013513884219E-12</v>
      </c>
      <c r="BH136" s="59">
        <f t="shared" si="116"/>
        <v>293.33333333334059</v>
      </c>
      <c r="BI136" s="59">
        <f ca="1">AVERAGE(OFFSET($BH$3,0,0,'Données projet'!$E$11+1,1))-AVERAGE(OFFSET($H$3,0,0,'Données projet'!$E$11+1,1))</f>
        <v>212.99246338839475</v>
      </c>
      <c r="BJ136" s="59">
        <f t="shared" si="146"/>
        <v>162.04040335537223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233.89079999999998</v>
      </c>
      <c r="CA136" s="13">
        <f t="shared" si="147"/>
        <v>57.123140349023068</v>
      </c>
      <c r="CB136" s="20">
        <f t="shared" si="118"/>
        <v>506.84927944121517</v>
      </c>
      <c r="CC136" s="59">
        <f t="shared" si="119"/>
        <v>800.18261277454849</v>
      </c>
      <c r="CD136" s="59">
        <f ca="1">AVERAGE(OFFSET($CC$3,0,0,'Données projet'!$E$12+1,1))-AVERAGE(OFFSET($H$3,0,0,'Données projet'!$E$12+1,1))</f>
        <v>249.53949216238527</v>
      </c>
      <c r="CE136" s="59">
        <f t="shared" si="148"/>
        <v>261.78576517528217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11.720537112762317</v>
      </c>
      <c r="CL136" s="21">
        <f>EXP(-LN(2)/25)*CL135+(1-EXP(-LN(2)/25))/(LN(2)/25)*Calculateur!CG136*Calculateur!CI136*VLOOKUP('Données projet'!$B$12,Paramètres!$A$1:$I$89,3,0)*0.475*44/12</f>
        <v>1.2978342612495721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13.018371374011888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7">
        <f t="shared" si="110"/>
        <v>514.52262365772413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281.14678081581229</v>
      </c>
      <c r="T137" s="59">
        <f t="shared" si="142"/>
        <v>380.81265808422603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47.4134534076615</v>
      </c>
      <c r="AA137" s="21">
        <f>EXP(-LN(2)/25)*AA136+(1-EXP(-LN(2)/25))/(LN(2)/25)*Calculateur!V137*Calculateur!X137*VLOOKUP('Données projet'!$B$9,Paramètres!$A$1:$I$89,3,0)*0.475*44/12</f>
        <v>6.5142405867921571</v>
      </c>
      <c r="AB137" s="21">
        <f>EXP(-LN(2)/2)*AB136+(1-EXP(-LN(2)/2))/(LN(2)/2)*V137*Y137*VLOOKUP('Données projet'!$B$9,Paramètres!$A$1:$I$89,3,0)*0.475*44/12</f>
        <v>4.3273203071946209E-11</v>
      </c>
      <c r="AC137" s="22">
        <f t="shared" si="111"/>
        <v>53.927693994496927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279.9271639349646</v>
      </c>
      <c r="AO137" s="59">
        <f t="shared" si="144"/>
        <v>260.03726798406916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3.4106051316484809E-13</v>
      </c>
      <c r="BE137" s="13">
        <f>BD137*VLOOKUP('Données projet'!$B$11,Paramètres!$A$1:$I$89,3,0)*VLOOKUP('Données projet'!$B$11,Paramètres!$A$1:$I$89,5,0)</f>
        <v>2.9262992029543969E-13</v>
      </c>
      <c r="BF137" s="13">
        <f t="shared" si="145"/>
        <v>3.8796387982050903E-12</v>
      </c>
      <c r="BG137" s="20">
        <f t="shared" si="115"/>
        <v>7.2667013513884219E-12</v>
      </c>
      <c r="BH137" s="59">
        <f t="shared" si="116"/>
        <v>293.33333333334059</v>
      </c>
      <c r="BI137" s="59">
        <f ca="1">AVERAGE(OFFSET($BH$3,0,0,'Données projet'!$E$11+1,1))-AVERAGE(OFFSET($H$3,0,0,'Données projet'!$E$11+1,1))</f>
        <v>212.99246338839475</v>
      </c>
      <c r="BJ137" s="59">
        <f t="shared" si="146"/>
        <v>162.04040335537223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233.89079999999998</v>
      </c>
      <c r="CA137" s="13">
        <f t="shared" si="147"/>
        <v>57.123140349023068</v>
      </c>
      <c r="CB137" s="20">
        <f t="shared" si="118"/>
        <v>506.84927944121517</v>
      </c>
      <c r="CC137" s="59">
        <f t="shared" si="119"/>
        <v>800.18261277454849</v>
      </c>
      <c r="CD137" s="59">
        <f ca="1">AVERAGE(OFFSET($CC$3,0,0,'Données projet'!$E$12+1,1))-AVERAGE(OFFSET($H$3,0,0,'Données projet'!$E$12+1,1))</f>
        <v>249.53949216238527</v>
      </c>
      <c r="CE137" s="59">
        <f t="shared" si="148"/>
        <v>261.78576517528217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11.4907045288028</v>
      </c>
      <c r="CL137" s="21">
        <f>EXP(-LN(2)/25)*CL136+(1-EXP(-LN(2)/25))/(LN(2)/25)*Calculateur!CG137*Calculateur!CI137*VLOOKUP('Données projet'!$B$12,Paramètres!$A$1:$I$89,3,0)*0.475*44/12</f>
        <v>1.262344915125565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12.753049443928365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7">
        <f t="shared" si="110"/>
        <v>516.39988431569509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281.14678081581229</v>
      </c>
      <c r="T138" s="59">
        <f t="shared" si="142"/>
        <v>380.81265808422603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46.483704505688287</v>
      </c>
      <c r="AA138" s="21">
        <f>EXP(-LN(2)/25)*AA137+(1-EXP(-LN(2)/25))/(LN(2)/25)*Calculateur!V138*Calculateur!X138*VLOOKUP('Données projet'!$B$9,Paramètres!$A$1:$I$89,3,0)*0.475*44/12</f>
        <v>6.3361083353773013</v>
      </c>
      <c r="AB138" s="21">
        <f>EXP(-LN(2)/2)*AB137+(1-EXP(-LN(2)/2))/(LN(2)/2)*V138*Y138*VLOOKUP('Données projet'!$B$9,Paramètres!$A$1:$I$89,3,0)*0.475*44/12</f>
        <v>3.0598775335835704E-11</v>
      </c>
      <c r="AC138" s="22">
        <f t="shared" si="111"/>
        <v>52.819812841096187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279.9271639349646</v>
      </c>
      <c r="AO138" s="59">
        <f t="shared" si="144"/>
        <v>260.03726798406916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3.4106051316484809E-13</v>
      </c>
      <c r="BE138" s="13">
        <f>BD138*VLOOKUP('Données projet'!$B$11,Paramètres!$A$1:$I$89,3,0)*VLOOKUP('Données projet'!$B$11,Paramètres!$A$1:$I$89,5,0)</f>
        <v>2.9262992029543969E-13</v>
      </c>
      <c r="BF138" s="13">
        <f t="shared" si="145"/>
        <v>3.8796387982050903E-12</v>
      </c>
      <c r="BG138" s="20">
        <f t="shared" si="115"/>
        <v>7.2667013513884219E-12</v>
      </c>
      <c r="BH138" s="59">
        <f t="shared" si="116"/>
        <v>293.33333333334059</v>
      </c>
      <c r="BI138" s="59">
        <f ca="1">AVERAGE(OFFSET($BH$3,0,0,'Données projet'!$E$11+1,1))-AVERAGE(OFFSET($H$3,0,0,'Données projet'!$E$11+1,1))</f>
        <v>212.99246338839475</v>
      </c>
      <c r="BJ138" s="59">
        <f t="shared" si="146"/>
        <v>162.04040335537223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233.89079999999998</v>
      </c>
      <c r="CA138" s="13">
        <f t="shared" si="147"/>
        <v>57.123140349023068</v>
      </c>
      <c r="CB138" s="20">
        <f t="shared" si="118"/>
        <v>506.84927944121517</v>
      </c>
      <c r="CC138" s="59">
        <f t="shared" si="119"/>
        <v>800.18261277454849</v>
      </c>
      <c r="CD138" s="59">
        <f ca="1">AVERAGE(OFFSET($CC$3,0,0,'Données projet'!$E$12+1,1))-AVERAGE(OFFSET($H$3,0,0,'Données projet'!$E$12+1,1))</f>
        <v>249.53949216238527</v>
      </c>
      <c r="CE138" s="59">
        <f t="shared" si="148"/>
        <v>261.78576517528217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11.265378821630694</v>
      </c>
      <c r="CL138" s="21">
        <f>EXP(-LN(2)/25)*CL137+(1-EXP(-LN(2)/25))/(LN(2)/25)*Calculateur!CG138*Calculateur!CI138*VLOOKUP('Données projet'!$B$12,Paramètres!$A$1:$I$89,3,0)*0.475*44/12</f>
        <v>1.2278260270376224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12.493204848668316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7">
        <f t="shared" si="110"/>
        <v>518.27683837539541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281.14678081581229</v>
      </c>
      <c r="T139" s="59">
        <f t="shared" si="142"/>
        <v>380.81265808422603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45.572187412591937</v>
      </c>
      <c r="AA139" s="21">
        <f>EXP(-LN(2)/25)*AA138+(1-EXP(-LN(2)/25))/(LN(2)/25)*Calculateur!V139*Calculateur!X139*VLOOKUP('Données projet'!$B$9,Paramètres!$A$1:$I$89,3,0)*0.475*44/12</f>
        <v>6.1628471197449528</v>
      </c>
      <c r="AB139" s="21">
        <f>EXP(-LN(2)/2)*AB138+(1-EXP(-LN(2)/2))/(LN(2)/2)*V139*Y139*VLOOKUP('Données projet'!$B$9,Paramètres!$A$1:$I$89,3,0)*0.475*44/12</f>
        <v>2.1636601535973104E-11</v>
      </c>
      <c r="AC139" s="22">
        <f t="shared" si="111"/>
        <v>51.735034532358526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279.9271639349646</v>
      </c>
      <c r="AO139" s="59">
        <f t="shared" si="144"/>
        <v>260.03726798406916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3.4106051316484809E-13</v>
      </c>
      <c r="BE139" s="13">
        <f>BD139*VLOOKUP('Données projet'!$B$11,Paramètres!$A$1:$I$89,3,0)*VLOOKUP('Données projet'!$B$11,Paramètres!$A$1:$I$89,5,0)</f>
        <v>2.9262992029543969E-13</v>
      </c>
      <c r="BF139" s="13">
        <f t="shared" si="145"/>
        <v>3.8796387982050903E-12</v>
      </c>
      <c r="BG139" s="20">
        <f t="shared" si="115"/>
        <v>7.2667013513884219E-12</v>
      </c>
      <c r="BH139" s="59">
        <f t="shared" si="116"/>
        <v>293.33333333334059</v>
      </c>
      <c r="BI139" s="59">
        <f ca="1">AVERAGE(OFFSET($BH$3,0,0,'Données projet'!$E$11+1,1))-AVERAGE(OFFSET($H$3,0,0,'Données projet'!$E$11+1,1))</f>
        <v>212.99246338839475</v>
      </c>
      <c r="BJ139" s="59">
        <f t="shared" si="146"/>
        <v>162.04040335537223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233.89079999999998</v>
      </c>
      <c r="CA139" s="13">
        <f t="shared" si="147"/>
        <v>57.123140349023068</v>
      </c>
      <c r="CB139" s="20">
        <f t="shared" si="118"/>
        <v>506.84927944121517</v>
      </c>
      <c r="CC139" s="59">
        <f t="shared" si="119"/>
        <v>800.18261277454849</v>
      </c>
      <c r="CD139" s="59">
        <f ca="1">AVERAGE(OFFSET($CC$3,0,0,'Données projet'!$E$12+1,1))-AVERAGE(OFFSET($H$3,0,0,'Données projet'!$E$12+1,1))</f>
        <v>249.53949216238527</v>
      </c>
      <c r="CE139" s="59">
        <f t="shared" si="148"/>
        <v>261.78576517528217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11.044471614141123</v>
      </c>
      <c r="CL139" s="21">
        <f>EXP(-LN(2)/25)*CL138+(1-EXP(-LN(2)/25))/(LN(2)/25)*Calculateur!CG139*Calculateur!CI139*VLOOKUP('Données projet'!$B$12,Paramètres!$A$1:$I$89,3,0)*0.475*44/12</f>
        <v>1.1942510597597142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12.238722673900838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7">
        <f t="shared" si="110"/>
        <v>520.15348835260465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281.14678081581229</v>
      </c>
      <c r="T140" s="59">
        <f t="shared" si="142"/>
        <v>380.81265808422603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44.678544613720675</v>
      </c>
      <c r="AA140" s="21">
        <f>EXP(-LN(2)/25)*AA139+(1-EXP(-LN(2)/25))/(LN(2)/25)*Calculateur!V140*Calculateur!X140*VLOOKUP('Données projet'!$B$9,Paramètres!$A$1:$I$89,3,0)*0.475*44/12</f>
        <v>5.9943237411654824</v>
      </c>
      <c r="AB140" s="21">
        <f>EXP(-LN(2)/2)*AB139+(1-EXP(-LN(2)/2))/(LN(2)/2)*V140*Y140*VLOOKUP('Données projet'!$B$9,Paramètres!$A$1:$I$89,3,0)*0.475*44/12</f>
        <v>1.5299387667917852E-11</v>
      </c>
      <c r="AC140" s="22">
        <f t="shared" si="111"/>
        <v>50.672868354901453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279.9271639349646</v>
      </c>
      <c r="AO140" s="59">
        <f t="shared" si="144"/>
        <v>260.03726798406916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3.4106051316484809E-13</v>
      </c>
      <c r="BE140" s="13">
        <f>BD140*VLOOKUP('Données projet'!$B$11,Paramètres!$A$1:$I$89,3,0)*VLOOKUP('Données projet'!$B$11,Paramètres!$A$1:$I$89,5,0)</f>
        <v>2.9262992029543969E-13</v>
      </c>
      <c r="BF140" s="13">
        <f t="shared" si="145"/>
        <v>3.8796387982050903E-12</v>
      </c>
      <c r="BG140" s="20">
        <f t="shared" si="115"/>
        <v>7.2667013513884219E-12</v>
      </c>
      <c r="BH140" s="59">
        <f t="shared" si="116"/>
        <v>293.33333333334059</v>
      </c>
      <c r="BI140" s="59">
        <f ca="1">AVERAGE(OFFSET($BH$3,0,0,'Données projet'!$E$11+1,1))-AVERAGE(OFFSET($H$3,0,0,'Données projet'!$E$11+1,1))</f>
        <v>212.99246338839475</v>
      </c>
      <c r="BJ140" s="59">
        <f t="shared" si="146"/>
        <v>162.04040335537223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233.89079999999998</v>
      </c>
      <c r="CA140" s="13">
        <f t="shared" si="147"/>
        <v>57.123140349023068</v>
      </c>
      <c r="CB140" s="20">
        <f t="shared" si="118"/>
        <v>506.84927944121517</v>
      </c>
      <c r="CC140" s="59">
        <f t="shared" si="119"/>
        <v>800.18261277454849</v>
      </c>
      <c r="CD140" s="59">
        <f ca="1">AVERAGE(OFFSET($CC$3,0,0,'Données projet'!$E$12+1,1))-AVERAGE(OFFSET($H$3,0,0,'Données projet'!$E$12+1,1))</f>
        <v>249.53949216238527</v>
      </c>
      <c r="CE140" s="59">
        <f t="shared" si="148"/>
        <v>261.78576517528217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10.827896262250331</v>
      </c>
      <c r="CL140" s="21">
        <f>EXP(-LN(2)/25)*CL139+(1-EXP(-LN(2)/25))/(LN(2)/25)*Calculateur!CG140*Calculateur!CI140*VLOOKUP('Données projet'!$B$12,Paramètres!$A$1:$I$89,3,0)*0.475*44/12</f>
        <v>1.161594201727651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11.989490463977981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7">
        <f t="shared" si="110"/>
        <v>522.02983672425421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281.14678081581229</v>
      </c>
      <c r="T141" s="59">
        <f t="shared" si="142"/>
        <v>380.81265808422603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43.802425605066993</v>
      </c>
      <c r="AA141" s="21">
        <f>EXP(-LN(2)/25)*AA140+(1-EXP(-LN(2)/25))/(LN(2)/25)*Calculateur!V141*Calculateur!X141*VLOOKUP('Données projet'!$B$9,Paramètres!$A$1:$I$89,3,0)*0.475*44/12</f>
        <v>5.8304086432355273</v>
      </c>
      <c r="AB141" s="21">
        <f>EXP(-LN(2)/2)*AB140+(1-EXP(-LN(2)/2))/(LN(2)/2)*V141*Y141*VLOOKUP('Données projet'!$B$9,Paramètres!$A$1:$I$89,3,0)*0.475*44/12</f>
        <v>1.0818300767986552E-11</v>
      </c>
      <c r="AC141" s="22">
        <f t="shared" si="111"/>
        <v>49.632834248313344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279.9271639349646</v>
      </c>
      <c r="AO141" s="59">
        <f t="shared" si="144"/>
        <v>260.03726798406916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3.4106051316484809E-13</v>
      </c>
      <c r="BE141" s="13">
        <f>BD141*VLOOKUP('Données projet'!$B$11,Paramètres!$A$1:$I$89,3,0)*VLOOKUP('Données projet'!$B$11,Paramètres!$A$1:$I$89,5,0)</f>
        <v>2.9262992029543969E-13</v>
      </c>
      <c r="BF141" s="13">
        <f t="shared" si="145"/>
        <v>3.8796387982050903E-12</v>
      </c>
      <c r="BG141" s="20">
        <f t="shared" si="115"/>
        <v>7.2667013513884219E-12</v>
      </c>
      <c r="BH141" s="59">
        <f t="shared" si="116"/>
        <v>293.33333333334059</v>
      </c>
      <c r="BI141" s="59">
        <f ca="1">AVERAGE(OFFSET($BH$3,0,0,'Données projet'!$E$11+1,1))-AVERAGE(OFFSET($H$3,0,0,'Données projet'!$E$11+1,1))</f>
        <v>212.99246338839475</v>
      </c>
      <c r="BJ141" s="59">
        <f t="shared" si="146"/>
        <v>162.04040335537223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233.89079999999998</v>
      </c>
      <c r="CA141" s="13">
        <f t="shared" si="147"/>
        <v>57.123140349023068</v>
      </c>
      <c r="CB141" s="20">
        <f t="shared" si="118"/>
        <v>506.84927944121517</v>
      </c>
      <c r="CC141" s="59">
        <f t="shared" si="119"/>
        <v>800.18261277454849</v>
      </c>
      <c r="CD141" s="59">
        <f ca="1">AVERAGE(OFFSET($CC$3,0,0,'Données projet'!$E$12+1,1))-AVERAGE(OFFSET($H$3,0,0,'Données projet'!$E$12+1,1))</f>
        <v>249.53949216238527</v>
      </c>
      <c r="CE141" s="59">
        <f t="shared" si="148"/>
        <v>261.78576517528217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10.615567820912196</v>
      </c>
      <c r="CL141" s="21">
        <f>EXP(-LN(2)/25)*CL140+(1-EXP(-LN(2)/25))/(LN(2)/25)*Calculateur!CG141*Calculateur!CI141*VLOOKUP('Données projet'!$B$12,Paramètres!$A$1:$I$89,3,0)*0.475*44/12</f>
        <v>1.1298303471958242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11.74539816810802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7">
        <f t="shared" si="110"/>
        <v>523.90588592930328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281.14678081581229</v>
      </c>
      <c r="T142" s="59">
        <f t="shared" si="142"/>
        <v>380.81265808422603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42.943486755793181</v>
      </c>
      <c r="AA142" s="21">
        <f>EXP(-LN(2)/25)*AA141+(1-EXP(-LN(2)/25))/(LN(2)/25)*Calculateur!V142*Calculateur!X142*VLOOKUP('Données projet'!$B$9,Paramètres!$A$1:$I$89,3,0)*0.475*44/12</f>
        <v>5.6709758122783871</v>
      </c>
      <c r="AB142" s="21">
        <f>EXP(-LN(2)/2)*AB141+(1-EXP(-LN(2)/2))/(LN(2)/2)*V142*Y142*VLOOKUP('Données projet'!$B$9,Paramètres!$A$1:$I$89,3,0)*0.475*44/12</f>
        <v>7.6496938339589259E-12</v>
      </c>
      <c r="AC142" s="22">
        <f t="shared" si="111"/>
        <v>48.614462568079219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279.9271639349646</v>
      </c>
      <c r="AO142" s="59">
        <f t="shared" si="144"/>
        <v>260.03726798406916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3.4106051316484809E-13</v>
      </c>
      <c r="BE142" s="13">
        <f>BD142*VLOOKUP('Données projet'!$B$11,Paramètres!$A$1:$I$89,3,0)*VLOOKUP('Données projet'!$B$11,Paramètres!$A$1:$I$89,5,0)</f>
        <v>2.9262992029543969E-13</v>
      </c>
      <c r="BF142" s="13">
        <f t="shared" si="145"/>
        <v>3.8796387982050903E-12</v>
      </c>
      <c r="BG142" s="20">
        <f t="shared" si="115"/>
        <v>7.2667013513884219E-12</v>
      </c>
      <c r="BH142" s="59">
        <f t="shared" si="116"/>
        <v>293.33333333334059</v>
      </c>
      <c r="BI142" s="59">
        <f ca="1">AVERAGE(OFFSET($BH$3,0,0,'Données projet'!$E$11+1,1))-AVERAGE(OFFSET($H$3,0,0,'Données projet'!$E$11+1,1))</f>
        <v>212.99246338839475</v>
      </c>
      <c r="BJ142" s="59">
        <f t="shared" si="146"/>
        <v>162.04040335537223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233.89079999999998</v>
      </c>
      <c r="CA142" s="13">
        <f t="shared" si="147"/>
        <v>57.123140349023068</v>
      </c>
      <c r="CB142" s="20">
        <f t="shared" si="118"/>
        <v>506.84927944121517</v>
      </c>
      <c r="CC142" s="59">
        <f t="shared" si="119"/>
        <v>800.18261277454849</v>
      </c>
      <c r="CD142" s="59">
        <f ca="1">AVERAGE(OFFSET($CC$3,0,0,'Données projet'!$E$12+1,1))-AVERAGE(OFFSET($H$3,0,0,'Données projet'!$E$12+1,1))</f>
        <v>249.53949216238527</v>
      </c>
      <c r="CE142" s="59">
        <f t="shared" si="148"/>
        <v>261.78576517528217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10.40740301080114</v>
      </c>
      <c r="CL142" s="21">
        <f>EXP(-LN(2)/25)*CL141+(1-EXP(-LN(2)/25))/(LN(2)/25)*Calculateur!CG142*Calculateur!CI142*VLOOKUP('Données projet'!$B$12,Paramètres!$A$1:$I$89,3,0)*0.475*44/12</f>
        <v>1.0989350769365587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11.506338087737699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7">
        <f t="shared" si="110"/>
        <v>525.78163836959061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281.14678081581229</v>
      </c>
      <c r="T143" s="59">
        <f t="shared" si="142"/>
        <v>380.81265808422603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42.101391173452662</v>
      </c>
      <c r="AA143" s="21">
        <f>EXP(-LN(2)/25)*AA142+(1-EXP(-LN(2)/25))/(LN(2)/25)*Calculateur!V143*Calculateur!X143*VLOOKUP('Données projet'!$B$9,Paramètres!$A$1:$I$89,3,0)*0.475*44/12</f>
        <v>5.5159026804679776</v>
      </c>
      <c r="AB143" s="21">
        <f>EXP(-LN(2)/2)*AB142+(1-EXP(-LN(2)/2))/(LN(2)/2)*V143*Y143*VLOOKUP('Données projet'!$B$9,Paramètres!$A$1:$I$89,3,0)*0.475*44/12</f>
        <v>5.4091503839932761E-12</v>
      </c>
      <c r="AC143" s="22">
        <f t="shared" si="111"/>
        <v>47.61729385392605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279.9271639349646</v>
      </c>
      <c r="AO143" s="59">
        <f t="shared" si="144"/>
        <v>260.03726798406916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3.4106051316484809E-13</v>
      </c>
      <c r="BE143" s="13">
        <f>BD143*VLOOKUP('Données projet'!$B$11,Paramètres!$A$1:$I$89,3,0)*VLOOKUP('Données projet'!$B$11,Paramètres!$A$1:$I$89,5,0)</f>
        <v>2.9262992029543969E-13</v>
      </c>
      <c r="BF143" s="13">
        <f t="shared" si="145"/>
        <v>3.8796387982050903E-12</v>
      </c>
      <c r="BG143" s="20">
        <f t="shared" si="115"/>
        <v>7.2667013513884219E-12</v>
      </c>
      <c r="BH143" s="59">
        <f t="shared" si="116"/>
        <v>293.33333333334059</v>
      </c>
      <c r="BI143" s="59">
        <f ca="1">AVERAGE(OFFSET($BH$3,0,0,'Données projet'!$E$11+1,1))-AVERAGE(OFFSET($H$3,0,0,'Données projet'!$E$11+1,1))</f>
        <v>212.99246338839475</v>
      </c>
      <c r="BJ143" s="59">
        <f t="shared" si="146"/>
        <v>162.04040335537223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233.89079999999998</v>
      </c>
      <c r="CA143" s="13">
        <f t="shared" si="147"/>
        <v>57.123140349023068</v>
      </c>
      <c r="CB143" s="20">
        <f t="shared" si="118"/>
        <v>506.84927944121517</v>
      </c>
      <c r="CC143" s="59">
        <f t="shared" si="119"/>
        <v>800.18261277454849</v>
      </c>
      <c r="CD143" s="59">
        <f ca="1">AVERAGE(OFFSET($CC$3,0,0,'Données projet'!$E$12+1,1))-AVERAGE(OFFSET($H$3,0,0,'Données projet'!$E$12+1,1))</f>
        <v>249.53949216238527</v>
      </c>
      <c r="CE143" s="59">
        <f t="shared" si="148"/>
        <v>261.78576517528217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10.203320185648364</v>
      </c>
      <c r="CL143" s="21">
        <f>EXP(-LN(2)/25)*CL142+(1-EXP(-LN(2)/25))/(LN(2)/25)*Calculateur!CG143*Calculateur!CI143*VLOOKUP('Données projet'!$B$12,Paramètres!$A$1:$I$89,3,0)*0.475*44/12</f>
        <v>1.0688846394672444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11.272204825115608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7">
        <f t="shared" si="110"/>
        <v>527.65709641065985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281.14678081581229</v>
      </c>
      <c r="T144" s="59">
        <f t="shared" si="142"/>
        <v>380.81265808422603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41.275808571854249</v>
      </c>
      <c r="AA144" s="21">
        <f>EXP(-LN(2)/25)*AA143+(1-EXP(-LN(2)/25))/(LN(2)/25)*Calculateur!V144*Calculateur!X144*VLOOKUP('Données projet'!$B$9,Paramètres!$A$1:$I$89,3,0)*0.475*44/12</f>
        <v>5.3650700316018654</v>
      </c>
      <c r="AB144" s="21">
        <f>EXP(-LN(2)/2)*AB143+(1-EXP(-LN(2)/2))/(LN(2)/2)*V144*Y144*VLOOKUP('Données projet'!$B$9,Paramètres!$A$1:$I$89,3,0)*0.475*44/12</f>
        <v>3.824846916979463E-12</v>
      </c>
      <c r="AC144" s="22">
        <f t="shared" si="111"/>
        <v>46.640878603459939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279.9271639349646</v>
      </c>
      <c r="AO144" s="59">
        <f t="shared" si="144"/>
        <v>260.03726798406916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3.4106051316484809E-13</v>
      </c>
      <c r="BE144" s="13">
        <f>BD144*VLOOKUP('Données projet'!$B$11,Paramètres!$A$1:$I$89,3,0)*VLOOKUP('Données projet'!$B$11,Paramètres!$A$1:$I$89,5,0)</f>
        <v>2.9262992029543969E-13</v>
      </c>
      <c r="BF144" s="13">
        <f t="shared" si="145"/>
        <v>3.8796387982050903E-12</v>
      </c>
      <c r="BG144" s="20">
        <f t="shared" si="115"/>
        <v>7.2667013513884219E-12</v>
      </c>
      <c r="BH144" s="59">
        <f t="shared" si="116"/>
        <v>293.33333333334059</v>
      </c>
      <c r="BI144" s="59">
        <f ca="1">AVERAGE(OFFSET($BH$3,0,0,'Données projet'!$E$11+1,1))-AVERAGE(OFFSET($H$3,0,0,'Données projet'!$E$11+1,1))</f>
        <v>212.99246338839475</v>
      </c>
      <c r="BJ144" s="59">
        <f t="shared" si="146"/>
        <v>162.04040335537223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233.89079999999998</v>
      </c>
      <c r="CA144" s="13">
        <f t="shared" si="147"/>
        <v>57.123140349023068</v>
      </c>
      <c r="CB144" s="20">
        <f t="shared" si="118"/>
        <v>506.84927944121517</v>
      </c>
      <c r="CC144" s="59">
        <f t="shared" si="119"/>
        <v>800.18261277454849</v>
      </c>
      <c r="CD144" s="59">
        <f ca="1">AVERAGE(OFFSET($CC$3,0,0,'Données projet'!$E$12+1,1))-AVERAGE(OFFSET($H$3,0,0,'Données projet'!$E$12+1,1))</f>
        <v>249.53949216238527</v>
      </c>
      <c r="CE144" s="59">
        <f t="shared" si="148"/>
        <v>261.78576517528217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10.003239300218603</v>
      </c>
      <c r="CL144" s="21">
        <f>EXP(-LN(2)/25)*CL143+(1-EXP(-LN(2)/25))/(LN(2)/25)*Calculateur!CG144*Calculateur!CI144*VLOOKUP('Données projet'!$B$12,Paramètres!$A$1:$I$89,3,0)*0.475*44/12</f>
        <v>1.0396559327908124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11.042895233009414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7">
        <f t="shared" si="110"/>
        <v>529.53226238256207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281.14678081581229</v>
      </c>
      <c r="T145" s="59">
        <f t="shared" si="142"/>
        <v>380.81265808422603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40.466415141517516</v>
      </c>
      <c r="AA145" s="21">
        <f>EXP(-LN(2)/25)*AA144+(1-EXP(-LN(2)/25))/(LN(2)/25)*Calculateur!V145*Calculateur!X145*VLOOKUP('Données projet'!$B$9,Paramètres!$A$1:$I$89,3,0)*0.475*44/12</f>
        <v>5.218361909450941</v>
      </c>
      <c r="AB145" s="21">
        <f>EXP(-LN(2)/2)*AB144+(1-EXP(-LN(2)/2))/(LN(2)/2)*V145*Y145*VLOOKUP('Données projet'!$B$9,Paramètres!$A$1:$I$89,3,0)*0.475*44/12</f>
        <v>2.704575191996638E-12</v>
      </c>
      <c r="AC145" s="22">
        <f t="shared" si="111"/>
        <v>45.684777050971164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279.9271639349646</v>
      </c>
      <c r="AO145" s="59">
        <f t="shared" si="144"/>
        <v>260.03726798406916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3.4106051316484809E-13</v>
      </c>
      <c r="BE145" s="13">
        <f>BD145*VLOOKUP('Données projet'!$B$11,Paramètres!$A$1:$I$89,3,0)*VLOOKUP('Données projet'!$B$11,Paramètres!$A$1:$I$89,5,0)</f>
        <v>2.9262992029543969E-13</v>
      </c>
      <c r="BF145" s="13">
        <f t="shared" si="145"/>
        <v>3.8796387982050903E-12</v>
      </c>
      <c r="BG145" s="20">
        <f t="shared" si="115"/>
        <v>7.2667013513884219E-12</v>
      </c>
      <c r="BH145" s="59">
        <f t="shared" si="116"/>
        <v>293.33333333334059</v>
      </c>
      <c r="BI145" s="59">
        <f ca="1">AVERAGE(OFFSET($BH$3,0,0,'Données projet'!$E$11+1,1))-AVERAGE(OFFSET($H$3,0,0,'Données projet'!$E$11+1,1))</f>
        <v>212.99246338839475</v>
      </c>
      <c r="BJ145" s="59">
        <f t="shared" si="146"/>
        <v>162.04040335537223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233.89079999999998</v>
      </c>
      <c r="CA145" s="13">
        <f t="shared" si="147"/>
        <v>57.123140349023068</v>
      </c>
      <c r="CB145" s="20">
        <f t="shared" si="118"/>
        <v>506.84927944121517</v>
      </c>
      <c r="CC145" s="59">
        <f t="shared" si="119"/>
        <v>800.18261277454849</v>
      </c>
      <c r="CD145" s="59">
        <f ca="1">AVERAGE(OFFSET($CC$3,0,0,'Données projet'!$E$12+1,1))-AVERAGE(OFFSET($H$3,0,0,'Données projet'!$E$12+1,1))</f>
        <v>249.53949216238527</v>
      </c>
      <c r="CE145" s="59">
        <f t="shared" si="148"/>
        <v>261.78576517528217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9.8070818789148291</v>
      </c>
      <c r="CL145" s="21">
        <f>EXP(-LN(2)/25)*CL144+(1-EXP(-LN(2)/25))/(LN(2)/25)*Calculateur!CG145*Calculateur!CI145*VLOOKUP('Données projet'!$B$12,Paramètres!$A$1:$I$89,3,0)*0.475*44/12</f>
        <v>1.0112264866355183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10.818308365550347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7">
        <f t="shared" si="110"/>
        <v>531.40713858063407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281.14678081581229</v>
      </c>
      <c r="T146" s="59">
        <f t="shared" si="142"/>
        <v>380.81265808422603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39.672893422668437</v>
      </c>
      <c r="AA146" s="21">
        <f>EXP(-LN(2)/25)*AA145+(1-EXP(-LN(2)/25))/(LN(2)/25)*Calculateur!V146*Calculateur!X146*VLOOKUP('Données projet'!$B$9,Paramètres!$A$1:$I$89,3,0)*0.475*44/12</f>
        <v>5.0756655286152785</v>
      </c>
      <c r="AB146" s="21">
        <f>EXP(-LN(2)/2)*AB145+(1-EXP(-LN(2)/2))/(LN(2)/2)*V146*Y146*VLOOKUP('Données projet'!$B$9,Paramètres!$A$1:$I$89,3,0)*0.475*44/12</f>
        <v>1.9124234584897315E-12</v>
      </c>
      <c r="AC146" s="22">
        <f t="shared" si="111"/>
        <v>44.748558951285624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279.9271639349646</v>
      </c>
      <c r="AO146" s="59">
        <f t="shared" si="144"/>
        <v>260.03726798406916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3.4106051316484809E-13</v>
      </c>
      <c r="BE146" s="13">
        <f>BD146*VLOOKUP('Données projet'!$B$11,Paramètres!$A$1:$I$89,3,0)*VLOOKUP('Données projet'!$B$11,Paramètres!$A$1:$I$89,5,0)</f>
        <v>2.9262992029543969E-13</v>
      </c>
      <c r="BF146" s="13">
        <f t="shared" si="145"/>
        <v>3.8796387982050903E-12</v>
      </c>
      <c r="BG146" s="20">
        <f t="shared" si="115"/>
        <v>7.2667013513884219E-12</v>
      </c>
      <c r="BH146" s="59">
        <f t="shared" si="116"/>
        <v>293.33333333334059</v>
      </c>
      <c r="BI146" s="59">
        <f ca="1">AVERAGE(OFFSET($BH$3,0,0,'Données projet'!$E$11+1,1))-AVERAGE(OFFSET($H$3,0,0,'Données projet'!$E$11+1,1))</f>
        <v>212.99246338839475</v>
      </c>
      <c r="BJ146" s="59">
        <f t="shared" si="146"/>
        <v>162.04040335537223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233.89079999999998</v>
      </c>
      <c r="CA146" s="13">
        <f t="shared" si="147"/>
        <v>57.123140349023068</v>
      </c>
      <c r="CB146" s="20">
        <f t="shared" si="118"/>
        <v>506.84927944121517</v>
      </c>
      <c r="CC146" s="59">
        <f t="shared" si="119"/>
        <v>800.18261277454849</v>
      </c>
      <c r="CD146" s="59">
        <f ca="1">AVERAGE(OFFSET($CC$3,0,0,'Données projet'!$E$12+1,1))-AVERAGE(OFFSET($H$3,0,0,'Données projet'!$E$12+1,1))</f>
        <v>249.53949216238527</v>
      </c>
      <c r="CE146" s="59">
        <f t="shared" si="148"/>
        <v>261.78576517528217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9.6147709849986089</v>
      </c>
      <c r="CL146" s="21">
        <f>EXP(-LN(2)/25)*CL145+(1-EXP(-LN(2)/25))/(LN(2)/25)*Calculateur!CG146*Calculateur!CI146*VLOOKUP('Données projet'!$B$12,Paramètres!$A$1:$I$89,3,0)*0.475*44/12</f>
        <v>0.98357444518038029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10.598345430178989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7">
        <f t="shared" si="110"/>
        <v>533.28172726625462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281.14678081581229</v>
      </c>
      <c r="T147" s="59">
        <f t="shared" si="142"/>
        <v>380.81265808422603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38.894932180725533</v>
      </c>
      <c r="AA147" s="21">
        <f>EXP(-LN(2)/25)*AA146+(1-EXP(-LN(2)/25))/(LN(2)/25)*Calculateur!V147*Calculateur!X147*VLOOKUP('Données projet'!$B$9,Paramètres!$A$1:$I$89,3,0)*0.475*44/12</f>
        <v>4.9368711878176441</v>
      </c>
      <c r="AB147" s="21">
        <f>EXP(-LN(2)/2)*AB146+(1-EXP(-LN(2)/2))/(LN(2)/2)*V147*Y147*VLOOKUP('Données projet'!$B$9,Paramètres!$A$1:$I$89,3,0)*0.475*44/12</f>
        <v>1.352287595998319E-12</v>
      </c>
      <c r="AC147" s="22">
        <f t="shared" si="111"/>
        <v>43.831803368544527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279.9271639349646</v>
      </c>
      <c r="AO147" s="59">
        <f t="shared" si="144"/>
        <v>260.03726798406916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3.4106051316484809E-13</v>
      </c>
      <c r="BE147" s="13">
        <f>BD147*VLOOKUP('Données projet'!$B$11,Paramètres!$A$1:$I$89,3,0)*VLOOKUP('Données projet'!$B$11,Paramètres!$A$1:$I$89,5,0)</f>
        <v>2.9262992029543969E-13</v>
      </c>
      <c r="BF147" s="13">
        <f t="shared" si="145"/>
        <v>3.8796387982050903E-12</v>
      </c>
      <c r="BG147" s="20">
        <f t="shared" si="115"/>
        <v>7.2667013513884219E-12</v>
      </c>
      <c r="BH147" s="59">
        <f t="shared" si="116"/>
        <v>293.33333333334059</v>
      </c>
      <c r="BI147" s="59">
        <f ca="1">AVERAGE(OFFSET($BH$3,0,0,'Données projet'!$E$11+1,1))-AVERAGE(OFFSET($H$3,0,0,'Données projet'!$E$11+1,1))</f>
        <v>212.99246338839475</v>
      </c>
      <c r="BJ147" s="59">
        <f t="shared" si="146"/>
        <v>162.04040335537223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233.89079999999998</v>
      </c>
      <c r="CA147" s="13">
        <f t="shared" si="147"/>
        <v>57.123140349023068</v>
      </c>
      <c r="CB147" s="20">
        <f t="shared" si="118"/>
        <v>506.84927944121517</v>
      </c>
      <c r="CC147" s="59">
        <f t="shared" si="119"/>
        <v>800.18261277454849</v>
      </c>
      <c r="CD147" s="59">
        <f ca="1">AVERAGE(OFFSET($CC$3,0,0,'Données projet'!$E$12+1,1))-AVERAGE(OFFSET($H$3,0,0,'Données projet'!$E$12+1,1))</f>
        <v>249.53949216238527</v>
      </c>
      <c r="CE147" s="59">
        <f t="shared" si="148"/>
        <v>261.78576517528217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9.4262311904140219</v>
      </c>
      <c r="CL147" s="21">
        <f>EXP(-LN(2)/25)*CL146+(1-EXP(-LN(2)/25))/(LN(2)/25)*Calculateur!CG147*Calculateur!CI147*VLOOKUP('Données projet'!$B$12,Paramètres!$A$1:$I$89,3,0)*0.475*44/12</f>
        <v>0.95667855025299076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10.382909740667012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7">
        <f t="shared" si="110"/>
        <v>535.15603066757899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281.14678081581229</v>
      </c>
      <c r="T148" s="59">
        <f t="shared" si="142"/>
        <v>380.81265808422603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38.132226284227627</v>
      </c>
      <c r="AA148" s="21">
        <f>EXP(-LN(2)/25)*AA147+(1-EXP(-LN(2)/25))/(LN(2)/25)*Calculateur!V148*Calculateur!X148*VLOOKUP('Données projet'!$B$9,Paramètres!$A$1:$I$89,3,0)*0.475*44/12</f>
        <v>4.8018721855679987</v>
      </c>
      <c r="AB148" s="21">
        <f>EXP(-LN(2)/2)*AB147+(1-EXP(-LN(2)/2))/(LN(2)/2)*V148*Y148*VLOOKUP('Données projet'!$B$9,Paramètres!$A$1:$I$89,3,0)*0.475*44/12</f>
        <v>9.5621172924486574E-13</v>
      </c>
      <c r="AC148" s="22">
        <f t="shared" si="111"/>
        <v>42.934098469796588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279.9271639349646</v>
      </c>
      <c r="AO148" s="59">
        <f t="shared" si="144"/>
        <v>260.03726798406916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3.4106051316484809E-13</v>
      </c>
      <c r="BE148" s="13">
        <f>BD148*VLOOKUP('Données projet'!$B$11,Paramètres!$A$1:$I$89,3,0)*VLOOKUP('Données projet'!$B$11,Paramètres!$A$1:$I$89,5,0)</f>
        <v>2.9262992029543969E-13</v>
      </c>
      <c r="BF148" s="13">
        <f t="shared" si="145"/>
        <v>3.8796387982050903E-12</v>
      </c>
      <c r="BG148" s="20">
        <f t="shared" si="115"/>
        <v>7.2667013513884219E-12</v>
      </c>
      <c r="BH148" s="59">
        <f t="shared" si="116"/>
        <v>293.33333333334059</v>
      </c>
      <c r="BI148" s="59">
        <f ca="1">AVERAGE(OFFSET($BH$3,0,0,'Données projet'!$E$11+1,1))-AVERAGE(OFFSET($H$3,0,0,'Données projet'!$E$11+1,1))</f>
        <v>212.99246338839475</v>
      </c>
      <c r="BJ148" s="59">
        <f t="shared" si="146"/>
        <v>162.04040335537223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233.89079999999998</v>
      </c>
      <c r="CA148" s="13">
        <f t="shared" si="147"/>
        <v>57.123140349023068</v>
      </c>
      <c r="CB148" s="20">
        <f t="shared" si="118"/>
        <v>506.84927944121517</v>
      </c>
      <c r="CC148" s="59">
        <f t="shared" si="119"/>
        <v>800.18261277454849</v>
      </c>
      <c r="CD148" s="59">
        <f ca="1">AVERAGE(OFFSET($CC$3,0,0,'Données projet'!$E$12+1,1))-AVERAGE(OFFSET($H$3,0,0,'Données projet'!$E$12+1,1))</f>
        <v>249.53949216238527</v>
      </c>
      <c r="CE148" s="59">
        <f t="shared" si="148"/>
        <v>261.78576517528217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9.2413885462033196</v>
      </c>
      <c r="CL148" s="21">
        <f>EXP(-LN(2)/25)*CL147+(1-EXP(-LN(2)/25))/(LN(2)/25)*Calculateur!CG148*Calculateur!CI148*VLOOKUP('Données projet'!$B$12,Paramètres!$A$1:$I$89,3,0)*0.475*44/12</f>
        <v>0.93051812498678432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10.171906671190104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7">
        <f t="shared" si="110"/>
        <v>537.03005098025324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281.14678081581229</v>
      </c>
      <c r="T149" s="59">
        <f t="shared" si="142"/>
        <v>380.81265808422603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37.384476585155383</v>
      </c>
      <c r="AA149" s="21">
        <f>EXP(-LN(2)/25)*AA148+(1-EXP(-LN(2)/25))/(LN(2)/25)*Calculateur!V149*Calculateur!X149*VLOOKUP('Données projet'!$B$9,Paramètres!$A$1:$I$89,3,0)*0.475*44/12</f>
        <v>4.670564738134158</v>
      </c>
      <c r="AB149" s="21">
        <f>EXP(-LN(2)/2)*AB148+(1-EXP(-LN(2)/2))/(LN(2)/2)*V149*Y149*VLOOKUP('Données projet'!$B$9,Paramètres!$A$1:$I$89,3,0)*0.475*44/12</f>
        <v>6.7614379799915951E-13</v>
      </c>
      <c r="AC149" s="22">
        <f t="shared" si="111"/>
        <v>42.055041323290219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279.9271639349646</v>
      </c>
      <c r="AO149" s="59">
        <f t="shared" si="144"/>
        <v>260.03726798406916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3.4106051316484809E-13</v>
      </c>
      <c r="BE149" s="13">
        <f>BD149*VLOOKUP('Données projet'!$B$11,Paramètres!$A$1:$I$89,3,0)*VLOOKUP('Données projet'!$B$11,Paramètres!$A$1:$I$89,5,0)</f>
        <v>2.9262992029543969E-13</v>
      </c>
      <c r="BF149" s="13">
        <f t="shared" si="145"/>
        <v>3.8796387982050903E-12</v>
      </c>
      <c r="BG149" s="20">
        <f t="shared" si="115"/>
        <v>7.2667013513884219E-12</v>
      </c>
      <c r="BH149" s="59">
        <f t="shared" si="116"/>
        <v>293.33333333334059</v>
      </c>
      <c r="BI149" s="59">
        <f ca="1">AVERAGE(OFFSET($BH$3,0,0,'Données projet'!$E$11+1,1))-AVERAGE(OFFSET($H$3,0,0,'Données projet'!$E$11+1,1))</f>
        <v>212.99246338839475</v>
      </c>
      <c r="BJ149" s="59">
        <f t="shared" si="146"/>
        <v>162.04040335537223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233.89079999999998</v>
      </c>
      <c r="CA149" s="13">
        <f t="shared" si="147"/>
        <v>57.123140349023068</v>
      </c>
      <c r="CB149" s="20">
        <f t="shared" si="118"/>
        <v>506.84927944121517</v>
      </c>
      <c r="CC149" s="59">
        <f t="shared" si="119"/>
        <v>800.18261277454849</v>
      </c>
      <c r="CD149" s="59">
        <f ca="1">AVERAGE(OFFSET($CC$3,0,0,'Données projet'!$E$12+1,1))-AVERAGE(OFFSET($H$3,0,0,'Données projet'!$E$12+1,1))</f>
        <v>249.53949216238527</v>
      </c>
      <c r="CE149" s="59">
        <f t="shared" si="148"/>
        <v>261.78576517528217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9.0601705535027079</v>
      </c>
      <c r="CL149" s="21">
        <f>EXP(-LN(2)/25)*CL148+(1-EXP(-LN(2)/25))/(LN(2)/25)*Calculateur!CG149*Calculateur!CI149*VLOOKUP('Données projet'!$B$12,Paramètres!$A$1:$I$89,3,0)*0.475*44/12</f>
        <v>0.90507305792519921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9.9652436114279066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7">
        <f t="shared" si="110"/>
        <v>538.90379036810714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281.14678081581229</v>
      </c>
      <c r="T150" s="59">
        <f t="shared" si="142"/>
        <v>380.81265808422603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36.651389801599663</v>
      </c>
      <c r="AA150" s="21">
        <f>EXP(-LN(2)/25)*AA149+(1-EXP(-LN(2)/25))/(LN(2)/25)*Calculateur!V150*Calculateur!X150*VLOOKUP('Données projet'!$B$9,Paramètres!$A$1:$I$89,3,0)*0.475*44/12</f>
        <v>4.5428478997555546</v>
      </c>
      <c r="AB150" s="21">
        <f>EXP(-LN(2)/2)*AB149+(1-EXP(-LN(2)/2))/(LN(2)/2)*V150*Y150*VLOOKUP('Données projet'!$B$9,Paramètres!$A$1:$I$89,3,0)*0.475*44/12</f>
        <v>4.7810586462243287E-13</v>
      </c>
      <c r="AC150" s="22">
        <f t="shared" si="111"/>
        <v>41.194237701355696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279.9271639349646</v>
      </c>
      <c r="AO150" s="59">
        <f t="shared" si="144"/>
        <v>260.03726798406916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3.4106051316484809E-13</v>
      </c>
      <c r="BE150" s="13">
        <f>BD150*VLOOKUP('Données projet'!$B$11,Paramètres!$A$1:$I$89,3,0)*VLOOKUP('Données projet'!$B$11,Paramètres!$A$1:$I$89,5,0)</f>
        <v>2.9262992029543969E-13</v>
      </c>
      <c r="BF150" s="13">
        <f t="shared" si="145"/>
        <v>3.8796387982050903E-12</v>
      </c>
      <c r="BG150" s="20">
        <f t="shared" si="115"/>
        <v>7.2667013513884219E-12</v>
      </c>
      <c r="BH150" s="59">
        <f t="shared" si="116"/>
        <v>293.33333333334059</v>
      </c>
      <c r="BI150" s="59">
        <f ca="1">AVERAGE(OFFSET($BH$3,0,0,'Données projet'!$E$11+1,1))-AVERAGE(OFFSET($H$3,0,0,'Données projet'!$E$11+1,1))</f>
        <v>212.99246338839475</v>
      </c>
      <c r="BJ150" s="59">
        <f t="shared" si="146"/>
        <v>162.04040335537223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233.89079999999998</v>
      </c>
      <c r="CA150" s="13">
        <f t="shared" si="147"/>
        <v>57.123140349023068</v>
      </c>
      <c r="CB150" s="20">
        <f t="shared" si="118"/>
        <v>506.84927944121517</v>
      </c>
      <c r="CC150" s="59">
        <f t="shared" si="119"/>
        <v>800.18261277454849</v>
      </c>
      <c r="CD150" s="59">
        <f ca="1">AVERAGE(OFFSET($CC$3,0,0,'Données projet'!$E$12+1,1))-AVERAGE(OFFSET($H$3,0,0,'Données projet'!$E$12+1,1))</f>
        <v>249.53949216238527</v>
      </c>
      <c r="CE150" s="59">
        <f t="shared" si="148"/>
        <v>261.78576517528217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8.8825061351068939</v>
      </c>
      <c r="CL150" s="21">
        <f>EXP(-LN(2)/25)*CL149+(1-EXP(-LN(2)/25))/(LN(2)/25)*Calculateur!CG150*Calculateur!CI150*VLOOKUP('Données projet'!$B$12,Paramètres!$A$1:$I$89,3,0)*0.475*44/12</f>
        <v>0.88032378756051111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9.7628299226674056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7">
        <f t="shared" si="110"/>
        <v>540.77725096382915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281.14678081581229</v>
      </c>
      <c r="T151" s="59">
        <f t="shared" si="142"/>
        <v>380.81265808422603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35.932678402730687</v>
      </c>
      <c r="AA151" s="21">
        <f>EXP(-LN(2)/25)*AA150+(1-EXP(-LN(2)/25))/(LN(2)/25)*Calculateur!V151*Calculateur!X151*VLOOKUP('Données projet'!$B$9,Paramètres!$A$1:$I$89,3,0)*0.475*44/12</f>
        <v>4.4186234850387507</v>
      </c>
      <c r="AB151" s="21">
        <f>EXP(-LN(2)/2)*AB150+(1-EXP(-LN(2)/2))/(LN(2)/2)*V151*Y151*VLOOKUP('Données projet'!$B$9,Paramètres!$A$1:$I$89,3,0)*0.475*44/12</f>
        <v>3.3807189899957976E-13</v>
      </c>
      <c r="AC151" s="22">
        <f t="shared" si="111"/>
        <v>40.351301887769779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279.9271639349646</v>
      </c>
      <c r="AO151" s="59">
        <f t="shared" si="144"/>
        <v>260.03726798406916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3.4106051316484809E-13</v>
      </c>
      <c r="BE151" s="13">
        <f>BD151*VLOOKUP('Données projet'!$B$11,Paramètres!$A$1:$I$89,3,0)*VLOOKUP('Données projet'!$B$11,Paramètres!$A$1:$I$89,5,0)</f>
        <v>2.9262992029543969E-13</v>
      </c>
      <c r="BF151" s="13">
        <f t="shared" si="145"/>
        <v>3.8796387982050903E-12</v>
      </c>
      <c r="BG151" s="20">
        <f t="shared" si="115"/>
        <v>7.2667013513884219E-12</v>
      </c>
      <c r="BH151" s="59">
        <f t="shared" si="116"/>
        <v>293.33333333334059</v>
      </c>
      <c r="BI151" s="59">
        <f ca="1">AVERAGE(OFFSET($BH$3,0,0,'Données projet'!$E$11+1,1))-AVERAGE(OFFSET($H$3,0,0,'Données projet'!$E$11+1,1))</f>
        <v>212.99246338839475</v>
      </c>
      <c r="BJ151" s="59">
        <f t="shared" si="146"/>
        <v>162.04040335537223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233.89079999999998</v>
      </c>
      <c r="CA151" s="13">
        <f t="shared" si="147"/>
        <v>57.123140349023068</v>
      </c>
      <c r="CB151" s="20">
        <f t="shared" si="118"/>
        <v>506.84927944121517</v>
      </c>
      <c r="CC151" s="59">
        <f t="shared" si="119"/>
        <v>800.18261277454849</v>
      </c>
      <c r="CD151" s="59">
        <f ca="1">AVERAGE(OFFSET($CC$3,0,0,'Données projet'!$E$12+1,1))-AVERAGE(OFFSET($H$3,0,0,'Données projet'!$E$12+1,1))</f>
        <v>249.53949216238527</v>
      </c>
      <c r="CE151" s="59">
        <f t="shared" si="148"/>
        <v>261.78576517528217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8.7083256075912274</v>
      </c>
      <c r="CL151" s="21">
        <f>EXP(-LN(2)/25)*CL150+(1-EXP(-LN(2)/25))/(LN(2)/25)*Calculateur!CG151*Calculateur!CI151*VLOOKUP('Données projet'!$B$12,Paramètres!$A$1:$I$89,3,0)*0.475*44/12</f>
        <v>0.85625128729545297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9.5645768948866809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7">
        <f t="shared" si="110"/>
        <v>542.65043486962156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281.14678081581229</v>
      </c>
      <c r="T152" s="59">
        <f t="shared" si="142"/>
        <v>380.81265808422603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35.228060496022863</v>
      </c>
      <c r="AA152" s="21">
        <f>EXP(-LN(2)/25)*AA151+(1-EXP(-LN(2)/25))/(LN(2)/25)*Calculateur!V152*Calculateur!X152*VLOOKUP('Données projet'!$B$9,Paramètres!$A$1:$I$89,3,0)*0.475*44/12</f>
        <v>4.2977959934750558</v>
      </c>
      <c r="AB152" s="21">
        <f>EXP(-LN(2)/2)*AB151+(1-EXP(-LN(2)/2))/(LN(2)/2)*V152*Y152*VLOOKUP('Données projet'!$B$9,Paramètres!$A$1:$I$89,3,0)*0.475*44/12</f>
        <v>2.3905293231121643E-13</v>
      </c>
      <c r="AC152" s="22">
        <f t="shared" si="111"/>
        <v>39.52585648949816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279.9271639349646</v>
      </c>
      <c r="AO152" s="59">
        <f t="shared" si="144"/>
        <v>260.03726798406916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3.4106051316484809E-13</v>
      </c>
      <c r="BE152" s="13">
        <f>BD152*VLOOKUP('Données projet'!$B$11,Paramètres!$A$1:$I$89,3,0)*VLOOKUP('Données projet'!$B$11,Paramètres!$A$1:$I$89,5,0)</f>
        <v>2.9262992029543969E-13</v>
      </c>
      <c r="BF152" s="13">
        <f t="shared" si="145"/>
        <v>3.8796387982050903E-12</v>
      </c>
      <c r="BG152" s="20">
        <f t="shared" si="115"/>
        <v>7.2667013513884219E-12</v>
      </c>
      <c r="BH152" s="59">
        <f t="shared" si="116"/>
        <v>293.33333333334059</v>
      </c>
      <c r="BI152" s="59">
        <f ca="1">AVERAGE(OFFSET($BH$3,0,0,'Données projet'!$E$11+1,1))-AVERAGE(OFFSET($H$3,0,0,'Données projet'!$E$11+1,1))</f>
        <v>212.99246338839475</v>
      </c>
      <c r="BJ152" s="59">
        <f t="shared" si="146"/>
        <v>162.04040335537223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233.89079999999998</v>
      </c>
      <c r="CA152" s="13">
        <f t="shared" si="147"/>
        <v>57.123140349023068</v>
      </c>
      <c r="CB152" s="20">
        <f t="shared" si="118"/>
        <v>506.84927944121517</v>
      </c>
      <c r="CC152" s="59">
        <f t="shared" si="119"/>
        <v>800.18261277454849</v>
      </c>
      <c r="CD152" s="59">
        <f ca="1">AVERAGE(OFFSET($CC$3,0,0,'Données projet'!$E$12+1,1))-AVERAGE(OFFSET($H$3,0,0,'Données projet'!$E$12+1,1))</f>
        <v>249.53949216238527</v>
      </c>
      <c r="CE152" s="59">
        <f t="shared" si="148"/>
        <v>261.78576517528217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8.5375606539805116</v>
      </c>
      <c r="CL152" s="21">
        <f>EXP(-LN(2)/25)*CL151+(1-EXP(-LN(2)/25))/(LN(2)/25)*Calculateur!CG152*Calculateur!CI152*VLOOKUP('Données projet'!$B$12,Paramètres!$A$1:$I$89,3,0)*0.475*44/12</f>
        <v>0.83283705081606063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9.3703977047965719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7">
        <f t="shared" si="110"/>
        <v>544.52334415783753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281.14678081581229</v>
      </c>
      <c r="T153" s="59">
        <f t="shared" si="142"/>
        <v>380.81265808422603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34.537259716691089</v>
      </c>
      <c r="AA153" s="21">
        <f>EXP(-LN(2)/25)*AA152+(1-EXP(-LN(2)/25))/(LN(2)/25)*Calculateur!V153*Calculateur!X153*VLOOKUP('Données projet'!$B$9,Paramètres!$A$1:$I$89,3,0)*0.475*44/12</f>
        <v>4.1802725360222119</v>
      </c>
      <c r="AB153" s="21">
        <f>EXP(-LN(2)/2)*AB152+(1-EXP(-LN(2)/2))/(LN(2)/2)*V153*Y153*VLOOKUP('Données projet'!$B$9,Paramètres!$A$1:$I$89,3,0)*0.475*44/12</f>
        <v>1.6903594949978988E-13</v>
      </c>
      <c r="AC153" s="22">
        <f t="shared" si="111"/>
        <v>38.717532252713468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279.9271639349646</v>
      </c>
      <c r="AO153" s="59">
        <f t="shared" si="144"/>
        <v>260.03726798406916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3.4106051316484809E-13</v>
      </c>
      <c r="BE153" s="13">
        <f>BD153*VLOOKUP('Données projet'!$B$11,Paramètres!$A$1:$I$89,3,0)*VLOOKUP('Données projet'!$B$11,Paramètres!$A$1:$I$89,5,0)</f>
        <v>2.9262992029543969E-13</v>
      </c>
      <c r="BF153" s="13">
        <f t="shared" si="145"/>
        <v>3.8796387982050903E-12</v>
      </c>
      <c r="BG153" s="20">
        <f t="shared" si="115"/>
        <v>7.2667013513884219E-12</v>
      </c>
      <c r="BH153" s="59">
        <f t="shared" si="116"/>
        <v>293.33333333334059</v>
      </c>
      <c r="BI153" s="59">
        <f ca="1">AVERAGE(OFFSET($BH$3,0,0,'Données projet'!$E$11+1,1))-AVERAGE(OFFSET($H$3,0,0,'Données projet'!$E$11+1,1))</f>
        <v>212.99246338839475</v>
      </c>
      <c r="BJ153" s="59">
        <f t="shared" si="146"/>
        <v>162.04040335537223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233.89079999999998</v>
      </c>
      <c r="CA153" s="13">
        <f t="shared" si="147"/>
        <v>57.123140349023068</v>
      </c>
      <c r="CB153" s="20">
        <f t="shared" si="118"/>
        <v>506.84927944121517</v>
      </c>
      <c r="CC153" s="59">
        <f t="shared" si="119"/>
        <v>800.18261277454849</v>
      </c>
      <c r="CD153" s="59">
        <f ca="1">AVERAGE(OFFSET($CC$3,0,0,'Données projet'!$E$12+1,1))-AVERAGE(OFFSET($H$3,0,0,'Données projet'!$E$12+1,1))</f>
        <v>249.53949216238527</v>
      </c>
      <c r="CE153" s="59">
        <f t="shared" si="148"/>
        <v>261.78576517528217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8.3701442969537645</v>
      </c>
      <c r="CL153" s="21">
        <f>EXP(-LN(2)/25)*CL152+(1-EXP(-LN(2)/25))/(LN(2)/25)*Calculateur!CG153*Calculateur!CI153*VLOOKUP('Données projet'!$B$12,Paramètres!$A$1:$I$89,3,0)*0.475*44/12</f>
        <v>0.81006307786449838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9.1802073748182629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7">
        <f t="shared" si="110"/>
        <v>546.39598087160175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281.14678081581229</v>
      </c>
      <c r="T154" s="59">
        <f t="shared" si="142"/>
        <v>380.81265808422603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33.860005119295145</v>
      </c>
      <c r="AA154" s="21">
        <f>EXP(-LN(2)/25)*AA153+(1-EXP(-LN(2)/25))/(LN(2)/25)*Calculateur!V154*Calculateur!X154*VLOOKUP('Données projet'!$B$9,Paramètres!$A$1:$I$89,3,0)*0.475*44/12</f>
        <v>4.0659627636937063</v>
      </c>
      <c r="AB154" s="21">
        <f>EXP(-LN(2)/2)*AB153+(1-EXP(-LN(2)/2))/(LN(2)/2)*V154*Y154*VLOOKUP('Données projet'!$B$9,Paramètres!$A$1:$I$89,3,0)*0.475*44/12</f>
        <v>1.1952646615560822E-13</v>
      </c>
      <c r="AC154" s="22">
        <f t="shared" ref="AC154:AC203" si="163">SUM(Z154:AB154)</f>
        <v>37.925967882988971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279.9271639349646</v>
      </c>
      <c r="AO154" s="59">
        <f t="shared" si="144"/>
        <v>260.03726798406916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3.4106051316484809E-13</v>
      </c>
      <c r="BE154" s="13">
        <f>BD154*VLOOKUP('Données projet'!$B$11,Paramètres!$A$1:$I$89,3,0)*VLOOKUP('Données projet'!$B$11,Paramètres!$A$1:$I$89,5,0)</f>
        <v>2.9262992029543969E-13</v>
      </c>
      <c r="BF154" s="13">
        <f t="shared" ref="BF154:BF203" si="167">EXP(-1.0587+0.8836*LN(BE154)+0.284)</f>
        <v>3.8796387982050903E-12</v>
      </c>
      <c r="BG154" s="20">
        <f t="shared" ref="BG154:BG203" si="168">(BE154+BF154)*0.475*44/12</f>
        <v>7.2667013513884219E-12</v>
      </c>
      <c r="BH154" s="59">
        <f t="shared" si="116"/>
        <v>293.33333333334059</v>
      </c>
      <c r="BI154" s="59">
        <f ca="1">AVERAGE(OFFSET($BH$3,0,0,'Données projet'!$E$11+1,1))-AVERAGE(OFFSET($H$3,0,0,'Données projet'!$E$11+1,1))</f>
        <v>212.99246338839475</v>
      </c>
      <c r="BJ154" s="59">
        <f t="shared" si="146"/>
        <v>162.04040335537223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233.89079999999998</v>
      </c>
      <c r="CA154" s="13">
        <f t="shared" ref="CA154:CA203" si="170">EXP(-1.0587+0.8836*LN(BZ154)+0.284)</f>
        <v>57.123140349023068</v>
      </c>
      <c r="CB154" s="20">
        <f t="shared" ref="CB154:CB203" si="171">(BZ154+CA154)*0.475*44/12</f>
        <v>506.84927944121517</v>
      </c>
      <c r="CC154" s="59">
        <f t="shared" si="119"/>
        <v>800.18261277454849</v>
      </c>
      <c r="CD154" s="59">
        <f ca="1">AVERAGE(OFFSET($CC$3,0,0,'Données projet'!$E$12+1,1))-AVERAGE(OFFSET($H$3,0,0,'Données projet'!$E$12+1,1))</f>
        <v>249.53949216238527</v>
      </c>
      <c r="CE154" s="59">
        <f t="shared" si="148"/>
        <v>261.78576517528217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8.2060108725744172</v>
      </c>
      <c r="CL154" s="21">
        <f>EXP(-LN(2)/25)*CL153+(1-EXP(-LN(2)/25))/(LN(2)/25)*Calculateur!CG154*Calculateur!CI154*VLOOKUP('Données projet'!$B$12,Paramètres!$A$1:$I$89,3,0)*0.475*44/12</f>
        <v>0.78791186040092787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8.9939227329753457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7">
        <f t="shared" si="110"/>
        <v>548.26834702541316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281.14678081581229</v>
      </c>
      <c r="T155" s="59">
        <f t="shared" si="142"/>
        <v>380.81265808422603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33.196031071469619</v>
      </c>
      <c r="AA155" s="21">
        <f>EXP(-LN(2)/25)*AA154+(1-EXP(-LN(2)/25))/(LN(2)/25)*Calculateur!V155*Calculateur!X155*VLOOKUP('Données projet'!$B$9,Paramètres!$A$1:$I$89,3,0)*0.475*44/12</f>
        <v>3.9547787981008131</v>
      </c>
      <c r="AB155" s="21">
        <f>EXP(-LN(2)/2)*AB154+(1-EXP(-LN(2)/2))/(LN(2)/2)*V155*Y155*VLOOKUP('Données projet'!$B$9,Paramètres!$A$1:$I$89,3,0)*0.475*44/12</f>
        <v>8.4517974749894939E-14</v>
      </c>
      <c r="AC155" s="22">
        <f t="shared" si="163"/>
        <v>37.150809869570516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279.9271639349646</v>
      </c>
      <c r="AO155" s="59">
        <f t="shared" si="144"/>
        <v>260.03726798406916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3.4106051316484809E-13</v>
      </c>
      <c r="BE155" s="13">
        <f>BD155*VLOOKUP('Données projet'!$B$11,Paramètres!$A$1:$I$89,3,0)*VLOOKUP('Données projet'!$B$11,Paramètres!$A$1:$I$89,5,0)</f>
        <v>2.9262992029543969E-13</v>
      </c>
      <c r="BF155" s="13">
        <f t="shared" si="167"/>
        <v>3.8796387982050903E-12</v>
      </c>
      <c r="BG155" s="20">
        <f t="shared" si="168"/>
        <v>7.2667013513884219E-12</v>
      </c>
      <c r="BH155" s="59">
        <f t="shared" si="116"/>
        <v>293.33333333334059</v>
      </c>
      <c r="BI155" s="59">
        <f ca="1">AVERAGE(OFFSET($BH$3,0,0,'Données projet'!$E$11+1,1))-AVERAGE(OFFSET($H$3,0,0,'Données projet'!$E$11+1,1))</f>
        <v>212.99246338839475</v>
      </c>
      <c r="BJ155" s="59">
        <f t="shared" si="146"/>
        <v>162.04040335537223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233.89079999999998</v>
      </c>
      <c r="CA155" s="13">
        <f t="shared" si="170"/>
        <v>57.123140349023068</v>
      </c>
      <c r="CB155" s="20">
        <f t="shared" si="171"/>
        <v>506.84927944121517</v>
      </c>
      <c r="CC155" s="59">
        <f t="shared" si="119"/>
        <v>800.18261277454849</v>
      </c>
      <c r="CD155" s="59">
        <f ca="1">AVERAGE(OFFSET($CC$3,0,0,'Données projet'!$E$12+1,1))-AVERAGE(OFFSET($H$3,0,0,'Données projet'!$E$12+1,1))</f>
        <v>249.53949216238527</v>
      </c>
      <c r="CE155" s="59">
        <f t="shared" si="148"/>
        <v>261.78576517528217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8.0450960045356457</v>
      </c>
      <c r="CL155" s="21">
        <f>EXP(-LN(2)/25)*CL154+(1-EXP(-LN(2)/25))/(LN(2)/25)*Calculateur!CG155*Calculateur!CI155*VLOOKUP('Données projet'!$B$12,Paramètres!$A$1:$I$89,3,0)*0.475*44/12</f>
        <v>0.76636636914378053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8.8114623736794258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7">
        <f t="shared" si="110"/>
        <v>550.14044460573155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281.14678081581229</v>
      </c>
      <c r="T156" s="59">
        <f t="shared" si="142"/>
        <v>380.81265808422603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32.545077149737772</v>
      </c>
      <c r="AA156" s="21">
        <f>EXP(-LN(2)/25)*AA155+(1-EXP(-LN(2)/25))/(LN(2)/25)*Calculateur!V156*Calculateur!X156*VLOOKUP('Données projet'!$B$9,Paramètres!$A$1:$I$89,3,0)*0.475*44/12</f>
        <v>3.8466351638939682</v>
      </c>
      <c r="AB156" s="21">
        <f>EXP(-LN(2)/2)*AB155+(1-EXP(-LN(2)/2))/(LN(2)/2)*V156*Y156*VLOOKUP('Données projet'!$B$9,Paramètres!$A$1:$I$89,3,0)*0.475*44/12</f>
        <v>5.9763233077804109E-14</v>
      </c>
      <c r="AC156" s="22">
        <f t="shared" si="163"/>
        <v>36.3917123136318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279.9271639349646</v>
      </c>
      <c r="AO156" s="59">
        <f t="shared" si="144"/>
        <v>260.03726798406916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3.4106051316484809E-13</v>
      </c>
      <c r="BE156" s="13">
        <f>BD156*VLOOKUP('Données projet'!$B$11,Paramètres!$A$1:$I$89,3,0)*VLOOKUP('Données projet'!$B$11,Paramètres!$A$1:$I$89,5,0)</f>
        <v>2.9262992029543969E-13</v>
      </c>
      <c r="BF156" s="13">
        <f t="shared" si="167"/>
        <v>3.8796387982050903E-12</v>
      </c>
      <c r="BG156" s="20">
        <f t="shared" si="168"/>
        <v>7.2667013513884219E-12</v>
      </c>
      <c r="BH156" s="59">
        <f t="shared" si="116"/>
        <v>293.33333333334059</v>
      </c>
      <c r="BI156" s="59">
        <f ca="1">AVERAGE(OFFSET($BH$3,0,0,'Données projet'!$E$11+1,1))-AVERAGE(OFFSET($H$3,0,0,'Données projet'!$E$11+1,1))</f>
        <v>212.99246338839475</v>
      </c>
      <c r="BJ156" s="59">
        <f t="shared" si="146"/>
        <v>162.04040335537223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233.89079999999998</v>
      </c>
      <c r="CA156" s="13">
        <f t="shared" si="170"/>
        <v>57.123140349023068</v>
      </c>
      <c r="CB156" s="20">
        <f t="shared" si="171"/>
        <v>506.84927944121517</v>
      </c>
      <c r="CC156" s="59">
        <f t="shared" si="119"/>
        <v>800.18261277454849</v>
      </c>
      <c r="CD156" s="59">
        <f ca="1">AVERAGE(OFFSET($CC$3,0,0,'Données projet'!$E$12+1,1))-AVERAGE(OFFSET($H$3,0,0,'Données projet'!$E$12+1,1))</f>
        <v>249.53949216238527</v>
      </c>
      <c r="CE156" s="59">
        <f t="shared" si="148"/>
        <v>261.78576517528217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7.8873365789107357</v>
      </c>
      <c r="CL156" s="21">
        <f>EXP(-LN(2)/25)*CL155+(1-EXP(-LN(2)/25))/(LN(2)/25)*Calculateur!CG156*Calculateur!CI156*VLOOKUP('Données projet'!$B$12,Paramètres!$A$1:$I$89,3,0)*0.475*44/12</f>
        <v>0.74541004047808801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8.6327466193888238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7">
        <f t="shared" si="110"/>
        <v>552.01227557154812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281.14678081581229</v>
      </c>
      <c r="T157" s="59">
        <f t="shared" si="142"/>
        <v>380.81265808422603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31.906888037368397</v>
      </c>
      <c r="AA157" s="21">
        <f>EXP(-LN(2)/25)*AA156+(1-EXP(-LN(2)/25))/(LN(2)/25)*Calculateur!V157*Calculateur!X157*VLOOKUP('Données projet'!$B$9,Paramètres!$A$1:$I$89,3,0)*0.475*44/12</f>
        <v>3.7414487230515361</v>
      </c>
      <c r="AB157" s="21">
        <f>EXP(-LN(2)/2)*AB156+(1-EXP(-LN(2)/2))/(LN(2)/2)*V157*Y157*VLOOKUP('Données projet'!$B$9,Paramètres!$A$1:$I$89,3,0)*0.475*44/12</f>
        <v>4.2258987374947469E-14</v>
      </c>
      <c r="AC157" s="22">
        <f t="shared" si="163"/>
        <v>35.648336760419973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279.9271639349646</v>
      </c>
      <c r="AO157" s="59">
        <f t="shared" si="144"/>
        <v>260.03726798406916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3.4106051316484809E-13</v>
      </c>
      <c r="BE157" s="13">
        <f>BD157*VLOOKUP('Données projet'!$B$11,Paramètres!$A$1:$I$89,3,0)*VLOOKUP('Données projet'!$B$11,Paramètres!$A$1:$I$89,5,0)</f>
        <v>2.9262992029543969E-13</v>
      </c>
      <c r="BF157" s="13">
        <f t="shared" si="167"/>
        <v>3.8796387982050903E-12</v>
      </c>
      <c r="BG157" s="20">
        <f t="shared" si="168"/>
        <v>7.2667013513884219E-12</v>
      </c>
      <c r="BH157" s="59">
        <f t="shared" si="116"/>
        <v>293.33333333334059</v>
      </c>
      <c r="BI157" s="59">
        <f ca="1">AVERAGE(OFFSET($BH$3,0,0,'Données projet'!$E$11+1,1))-AVERAGE(OFFSET($H$3,0,0,'Données projet'!$E$11+1,1))</f>
        <v>212.99246338839475</v>
      </c>
      <c r="BJ157" s="59">
        <f t="shared" si="146"/>
        <v>162.04040335537223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233.89079999999998</v>
      </c>
      <c r="CA157" s="13">
        <f t="shared" si="170"/>
        <v>57.123140349023068</v>
      </c>
      <c r="CB157" s="20">
        <f t="shared" si="171"/>
        <v>506.84927944121517</v>
      </c>
      <c r="CC157" s="59">
        <f t="shared" si="119"/>
        <v>800.18261277454849</v>
      </c>
      <c r="CD157" s="59">
        <f ca="1">AVERAGE(OFFSET($CC$3,0,0,'Données projet'!$E$12+1,1))-AVERAGE(OFFSET($H$3,0,0,'Données projet'!$E$12+1,1))</f>
        <v>249.53949216238527</v>
      </c>
      <c r="CE157" s="59">
        <f t="shared" si="148"/>
        <v>261.78576517528217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7.7326707193985822</v>
      </c>
      <c r="CL157" s="21">
        <f>EXP(-LN(2)/25)*CL156+(1-EXP(-LN(2)/25))/(LN(2)/25)*Calculateur!CG157*Calculateur!CI157*VLOOKUP('Données projet'!$B$12,Paramètres!$A$1:$I$89,3,0)*0.475*44/12</f>
        <v>0.7250267637218043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8.4576974831203859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7">
        <f t="shared" si="110"/>
        <v>553.88384185494203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281.14678081581229</v>
      </c>
      <c r="T158" s="59">
        <f t="shared" si="142"/>
        <v>380.81265808422603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31.281213424235663</v>
      </c>
      <c r="AA158" s="21">
        <f>EXP(-LN(2)/25)*AA157+(1-EXP(-LN(2)/25))/(LN(2)/25)*Calculateur!V158*Calculateur!X158*VLOOKUP('Données projet'!$B$9,Paramètres!$A$1:$I$89,3,0)*0.475*44/12</f>
        <v>3.6391386109654547</v>
      </c>
      <c r="AB158" s="21">
        <f>EXP(-LN(2)/2)*AB157+(1-EXP(-LN(2)/2))/(LN(2)/2)*V158*Y158*VLOOKUP('Données projet'!$B$9,Paramètres!$A$1:$I$89,3,0)*0.475*44/12</f>
        <v>2.9881616538902054E-14</v>
      </c>
      <c r="AC158" s="22">
        <f t="shared" si="163"/>
        <v>34.920352035201148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279.9271639349646</v>
      </c>
      <c r="AO158" s="59">
        <f t="shared" si="144"/>
        <v>260.03726798406916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3.4106051316484809E-13</v>
      </c>
      <c r="BE158" s="13">
        <f>BD158*VLOOKUP('Données projet'!$B$11,Paramètres!$A$1:$I$89,3,0)*VLOOKUP('Données projet'!$B$11,Paramètres!$A$1:$I$89,5,0)</f>
        <v>2.9262992029543969E-13</v>
      </c>
      <c r="BF158" s="13">
        <f t="shared" si="167"/>
        <v>3.8796387982050903E-12</v>
      </c>
      <c r="BG158" s="20">
        <f t="shared" si="168"/>
        <v>7.2667013513884219E-12</v>
      </c>
      <c r="BH158" s="59">
        <f t="shared" si="116"/>
        <v>293.33333333334059</v>
      </c>
      <c r="BI158" s="59">
        <f ca="1">AVERAGE(OFFSET($BH$3,0,0,'Données projet'!$E$11+1,1))-AVERAGE(OFFSET($H$3,0,0,'Données projet'!$E$11+1,1))</f>
        <v>212.99246338839475</v>
      </c>
      <c r="BJ158" s="59">
        <f t="shared" si="146"/>
        <v>162.04040335537223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233.89079999999998</v>
      </c>
      <c r="CA158" s="13">
        <f t="shared" si="170"/>
        <v>57.123140349023068</v>
      </c>
      <c r="CB158" s="20">
        <f t="shared" si="171"/>
        <v>506.84927944121517</v>
      </c>
      <c r="CC158" s="59">
        <f t="shared" si="119"/>
        <v>800.18261277454849</v>
      </c>
      <c r="CD158" s="59">
        <f ca="1">AVERAGE(OFFSET($CC$3,0,0,'Données projet'!$E$12+1,1))-AVERAGE(OFFSET($H$3,0,0,'Données projet'!$E$12+1,1))</f>
        <v>249.53949216238527</v>
      </c>
      <c r="CE158" s="59">
        <f t="shared" si="148"/>
        <v>261.78576517528217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7.5810377630546029</v>
      </c>
      <c r="CL158" s="21">
        <f>EXP(-LN(2)/25)*CL157+(1-EXP(-LN(2)/25))/(LN(2)/25)*Calculateur!CG158*Calculateur!CI158*VLOOKUP('Données projet'!$B$12,Paramètres!$A$1:$I$89,3,0)*0.475*44/12</f>
        <v>0.70520086874033117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8.2862386317949337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7">
        <f t="shared" si="110"/>
        <v>555.75514536162063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281.14678081581229</v>
      </c>
      <c r="T159" s="59">
        <f t="shared" si="142"/>
        <v>380.81265808422603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30.667807908642629</v>
      </c>
      <c r="AA159" s="21">
        <f>EXP(-LN(2)/25)*AA158+(1-EXP(-LN(2)/25))/(LN(2)/25)*Calculateur!V159*Calculateur!X159*VLOOKUP('Données projet'!$B$9,Paramètres!$A$1:$I$89,3,0)*0.475*44/12</f>
        <v>3.539626174274622</v>
      </c>
      <c r="AB159" s="21">
        <f>EXP(-LN(2)/2)*AB158+(1-EXP(-LN(2)/2))/(LN(2)/2)*V159*Y159*VLOOKUP('Données projet'!$B$9,Paramètres!$A$1:$I$89,3,0)*0.475*44/12</f>
        <v>2.1129493687473735E-14</v>
      </c>
      <c r="AC159" s="22">
        <f t="shared" si="163"/>
        <v>34.207434082917274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279.9271639349646</v>
      </c>
      <c r="AO159" s="59">
        <f t="shared" si="144"/>
        <v>260.03726798406916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3.4106051316484809E-13</v>
      </c>
      <c r="BE159" s="13">
        <f>BD159*VLOOKUP('Données projet'!$B$11,Paramètres!$A$1:$I$89,3,0)*VLOOKUP('Données projet'!$B$11,Paramètres!$A$1:$I$89,5,0)</f>
        <v>2.9262992029543969E-13</v>
      </c>
      <c r="BF159" s="13">
        <f t="shared" si="167"/>
        <v>3.8796387982050903E-12</v>
      </c>
      <c r="BG159" s="20">
        <f t="shared" si="168"/>
        <v>7.2667013513884219E-12</v>
      </c>
      <c r="BH159" s="59">
        <f t="shared" si="116"/>
        <v>293.33333333334059</v>
      </c>
      <c r="BI159" s="59">
        <f ca="1">AVERAGE(OFFSET($BH$3,0,0,'Données projet'!$E$11+1,1))-AVERAGE(OFFSET($H$3,0,0,'Données projet'!$E$11+1,1))</f>
        <v>212.99246338839475</v>
      </c>
      <c r="BJ159" s="59">
        <f t="shared" si="146"/>
        <v>162.04040335537223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233.89079999999998</v>
      </c>
      <c r="CA159" s="13">
        <f t="shared" si="170"/>
        <v>57.123140349023068</v>
      </c>
      <c r="CB159" s="20">
        <f t="shared" si="171"/>
        <v>506.84927944121517</v>
      </c>
      <c r="CC159" s="59">
        <f t="shared" si="119"/>
        <v>800.18261277454849</v>
      </c>
      <c r="CD159" s="59">
        <f ca="1">AVERAGE(OFFSET($CC$3,0,0,'Données projet'!$E$12+1,1))-AVERAGE(OFFSET($H$3,0,0,'Données projet'!$E$12+1,1))</f>
        <v>249.53949216238527</v>
      </c>
      <c r="CE159" s="59">
        <f t="shared" si="148"/>
        <v>261.78576517528217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7.4323782364975575</v>
      </c>
      <c r="CL159" s="21">
        <f>EXP(-LN(2)/25)*CL158+(1-EXP(-LN(2)/25))/(LN(2)/25)*Calculateur!CG159*Calculateur!CI159*VLOOKUP('Données projet'!$B$12,Paramètres!$A$1:$I$89,3,0)*0.475*44/12</f>
        <v>0.68591711389972487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8.1182953503972826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7">
        <f t="shared" si="110"/>
        <v>557.62618797144637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281.14678081581229</v>
      </c>
      <c r="T160" s="59">
        <f t="shared" si="142"/>
        <v>380.81265808422603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30.066430901069957</v>
      </c>
      <c r="AA160" s="21">
        <f>EXP(-LN(2)/25)*AA159+(1-EXP(-LN(2)/25))/(LN(2)/25)*Calculateur!V160*Calculateur!X160*VLOOKUP('Données projet'!$B$9,Paramètres!$A$1:$I$89,3,0)*0.475*44/12</f>
        <v>3.4428349103982319</v>
      </c>
      <c r="AB160" s="21">
        <f>EXP(-LN(2)/2)*AB159+(1-EXP(-LN(2)/2))/(LN(2)/2)*V160*Y160*VLOOKUP('Données projet'!$B$9,Paramètres!$A$1:$I$89,3,0)*0.475*44/12</f>
        <v>1.4940808269451027E-14</v>
      </c>
      <c r="AC160" s="22">
        <f t="shared" si="163"/>
        <v>33.509265811468204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279.9271639349646</v>
      </c>
      <c r="AO160" s="59">
        <f t="shared" si="144"/>
        <v>260.03726798406916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3.4106051316484809E-13</v>
      </c>
      <c r="BE160" s="13">
        <f>BD160*VLOOKUP('Données projet'!$B$11,Paramètres!$A$1:$I$89,3,0)*VLOOKUP('Données projet'!$B$11,Paramètres!$A$1:$I$89,5,0)</f>
        <v>2.9262992029543969E-13</v>
      </c>
      <c r="BF160" s="13">
        <f t="shared" si="167"/>
        <v>3.8796387982050903E-12</v>
      </c>
      <c r="BG160" s="20">
        <f t="shared" si="168"/>
        <v>7.2667013513884219E-12</v>
      </c>
      <c r="BH160" s="59">
        <f t="shared" si="116"/>
        <v>293.33333333334059</v>
      </c>
      <c r="BI160" s="59">
        <f ca="1">AVERAGE(OFFSET($BH$3,0,0,'Données projet'!$E$11+1,1))-AVERAGE(OFFSET($H$3,0,0,'Données projet'!$E$11+1,1))</f>
        <v>212.99246338839475</v>
      </c>
      <c r="BJ160" s="59">
        <f t="shared" si="146"/>
        <v>162.04040335537223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233.89079999999998</v>
      </c>
      <c r="CA160" s="13">
        <f t="shared" si="170"/>
        <v>57.123140349023068</v>
      </c>
      <c r="CB160" s="20">
        <f t="shared" si="171"/>
        <v>506.84927944121517</v>
      </c>
      <c r="CC160" s="59">
        <f t="shared" si="119"/>
        <v>800.18261277454849</v>
      </c>
      <c r="CD160" s="59">
        <f ca="1">AVERAGE(OFFSET($CC$3,0,0,'Données projet'!$E$12+1,1))-AVERAGE(OFFSET($H$3,0,0,'Données projet'!$E$12+1,1))</f>
        <v>249.53949216238527</v>
      </c>
      <c r="CE160" s="59">
        <f t="shared" si="148"/>
        <v>261.78576517528217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7.2866338325829378</v>
      </c>
      <c r="CL160" s="21">
        <f>EXP(-LN(2)/25)*CL159+(1-EXP(-LN(2)/25))/(LN(2)/25)*Calculateur!CG160*Calculateur!CI160*VLOOKUP('Données projet'!$B$12,Paramètres!$A$1:$I$89,3,0)*0.475*44/12</f>
        <v>0.66716067434932358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7.9537945069322618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7">
        <f t="shared" si="110"/>
        <v>559.49697153894931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281.14678081581229</v>
      </c>
      <c r="T161" s="59">
        <f t="shared" si="142"/>
        <v>380.81265808422603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29.476846529812029</v>
      </c>
      <c r="AA161" s="21">
        <f>EXP(-LN(2)/25)*AA160+(1-EXP(-LN(2)/25))/(LN(2)/25)*Calculateur!V161*Calculateur!X161*VLOOKUP('Données projet'!$B$9,Paramètres!$A$1:$I$89,3,0)*0.475*44/12</f>
        <v>3.3486904087225731</v>
      </c>
      <c r="AB161" s="21">
        <f>EXP(-LN(2)/2)*AB160+(1-EXP(-LN(2)/2))/(LN(2)/2)*V161*Y161*VLOOKUP('Données projet'!$B$9,Paramètres!$A$1:$I$89,3,0)*0.475*44/12</f>
        <v>1.0564746843736867E-14</v>
      </c>
      <c r="AC161" s="22">
        <f t="shared" si="163"/>
        <v>32.825536938534611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279.9271639349646</v>
      </c>
      <c r="AO161" s="59">
        <f t="shared" si="144"/>
        <v>260.03726798406916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3.4106051316484809E-13</v>
      </c>
      <c r="BE161" s="13">
        <f>BD161*VLOOKUP('Données projet'!$B$11,Paramètres!$A$1:$I$89,3,0)*VLOOKUP('Données projet'!$B$11,Paramètres!$A$1:$I$89,5,0)</f>
        <v>2.9262992029543969E-13</v>
      </c>
      <c r="BF161" s="13">
        <f t="shared" si="167"/>
        <v>3.8796387982050903E-12</v>
      </c>
      <c r="BG161" s="20">
        <f t="shared" si="168"/>
        <v>7.2667013513884219E-12</v>
      </c>
      <c r="BH161" s="59">
        <f t="shared" si="116"/>
        <v>293.33333333334059</v>
      </c>
      <c r="BI161" s="59">
        <f ca="1">AVERAGE(OFFSET($BH$3,0,0,'Données projet'!$E$11+1,1))-AVERAGE(OFFSET($H$3,0,0,'Données projet'!$E$11+1,1))</f>
        <v>212.99246338839475</v>
      </c>
      <c r="BJ161" s="59">
        <f t="shared" si="146"/>
        <v>162.04040335537223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233.89079999999998</v>
      </c>
      <c r="CA161" s="13">
        <f t="shared" si="170"/>
        <v>57.123140349023068</v>
      </c>
      <c r="CB161" s="20">
        <f t="shared" si="171"/>
        <v>506.84927944121517</v>
      </c>
      <c r="CC161" s="59">
        <f t="shared" si="119"/>
        <v>800.18261277454849</v>
      </c>
      <c r="CD161" s="59">
        <f ca="1">AVERAGE(OFFSET($CC$3,0,0,'Données projet'!$E$12+1,1))-AVERAGE(OFFSET($H$3,0,0,'Données projet'!$E$12+1,1))</f>
        <v>249.53949216238527</v>
      </c>
      <c r="CE161" s="59">
        <f t="shared" si="148"/>
        <v>261.78576517528217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7.1437473875337751</v>
      </c>
      <c r="CL161" s="21">
        <f>EXP(-LN(2)/25)*CL160+(1-EXP(-LN(2)/25))/(LN(2)/25)*Calculateur!CG161*Calculateur!CI161*VLOOKUP('Données projet'!$B$12,Paramètres!$A$1:$I$89,3,0)*0.475*44/12</f>
        <v>0.64891713062478629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7.7926645181585616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7">
        <f t="shared" si="110"/>
        <v>561.36749789382725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281.14678081581229</v>
      </c>
      <c r="T162" s="59">
        <f t="shared" si="142"/>
        <v>380.81265808422603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28.898823548463511</v>
      </c>
      <c r="AA162" s="21">
        <f>EXP(-LN(2)/25)*AA161+(1-EXP(-LN(2)/25))/(LN(2)/25)*Calculateur!V162*Calculateur!X162*VLOOKUP('Données projet'!$B$9,Paramètres!$A$1:$I$89,3,0)*0.475*44/12</f>
        <v>3.2571202933960794</v>
      </c>
      <c r="AB162" s="21">
        <f>EXP(-LN(2)/2)*AB161+(1-EXP(-LN(2)/2))/(LN(2)/2)*V162*Y162*VLOOKUP('Données projet'!$B$9,Paramètres!$A$1:$I$89,3,0)*0.475*44/12</f>
        <v>7.4704041347255136E-15</v>
      </c>
      <c r="AC162" s="22">
        <f t="shared" si="163"/>
        <v>32.155943841859596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279.9271639349646</v>
      </c>
      <c r="AO162" s="59">
        <f t="shared" si="144"/>
        <v>260.03726798406916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3.4106051316484809E-13</v>
      </c>
      <c r="BE162" s="13">
        <f>BD162*VLOOKUP('Données projet'!$B$11,Paramètres!$A$1:$I$89,3,0)*VLOOKUP('Données projet'!$B$11,Paramètres!$A$1:$I$89,5,0)</f>
        <v>2.9262992029543969E-13</v>
      </c>
      <c r="BF162" s="13">
        <f t="shared" si="167"/>
        <v>3.8796387982050903E-12</v>
      </c>
      <c r="BG162" s="20">
        <f t="shared" si="168"/>
        <v>7.2667013513884219E-12</v>
      </c>
      <c r="BH162" s="59">
        <f t="shared" si="116"/>
        <v>293.33333333334059</v>
      </c>
      <c r="BI162" s="59">
        <f ca="1">AVERAGE(OFFSET($BH$3,0,0,'Données projet'!$E$11+1,1))-AVERAGE(OFFSET($H$3,0,0,'Données projet'!$E$11+1,1))</f>
        <v>212.99246338839475</v>
      </c>
      <c r="BJ162" s="59">
        <f t="shared" si="146"/>
        <v>162.04040335537223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233.89079999999998</v>
      </c>
      <c r="CA162" s="13">
        <f t="shared" si="170"/>
        <v>57.123140349023068</v>
      </c>
      <c r="CB162" s="20">
        <f t="shared" si="171"/>
        <v>506.84927944121517</v>
      </c>
      <c r="CC162" s="59">
        <f t="shared" si="119"/>
        <v>800.18261277454849</v>
      </c>
      <c r="CD162" s="59">
        <f ca="1">AVERAGE(OFFSET($CC$3,0,0,'Données projet'!$E$12+1,1))-AVERAGE(OFFSET($H$3,0,0,'Données projet'!$E$12+1,1))</f>
        <v>249.53949216238527</v>
      </c>
      <c r="CE162" s="59">
        <f t="shared" si="148"/>
        <v>261.78576517528217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7.0036628585199008</v>
      </c>
      <c r="CL162" s="21">
        <f>EXP(-LN(2)/25)*CL161+(1-EXP(-LN(2)/25))/(LN(2)/25)*Calculateur!CG162*Calculateur!CI162*VLOOKUP('Données projet'!$B$12,Paramètres!$A$1:$I$89,3,0)*0.475*44/12</f>
        <v>0.63117245756278273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7.6348353160826834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7">
        <f t="shared" si="110"/>
        <v>563.23776884143183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281.14678081581229</v>
      </c>
      <c r="T163" s="59">
        <f t="shared" si="142"/>
        <v>380.81265808422603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28.33213524522003</v>
      </c>
      <c r="AA163" s="21">
        <f>EXP(-LN(2)/25)*AA162+(1-EXP(-LN(2)/25))/(LN(2)/25)*Calculateur!V163*Calculateur!X163*VLOOKUP('Données projet'!$B$9,Paramètres!$A$1:$I$89,3,0)*0.475*44/12</f>
        <v>3.1680541676886516</v>
      </c>
      <c r="AB163" s="21">
        <f>EXP(-LN(2)/2)*AB162+(1-EXP(-LN(2)/2))/(LN(2)/2)*V163*Y163*VLOOKUP('Données projet'!$B$9,Paramètres!$A$1:$I$89,3,0)*0.475*44/12</f>
        <v>5.2823734218684337E-15</v>
      </c>
      <c r="AC163" s="22">
        <f t="shared" si="163"/>
        <v>31.500189412908686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279.9271639349646</v>
      </c>
      <c r="AO163" s="59">
        <f t="shared" si="144"/>
        <v>260.03726798406916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3.4106051316484809E-13</v>
      </c>
      <c r="BE163" s="13">
        <f>BD163*VLOOKUP('Données projet'!$B$11,Paramètres!$A$1:$I$89,3,0)*VLOOKUP('Données projet'!$B$11,Paramètres!$A$1:$I$89,5,0)</f>
        <v>2.9262992029543969E-13</v>
      </c>
      <c r="BF163" s="13">
        <f t="shared" si="167"/>
        <v>3.8796387982050903E-12</v>
      </c>
      <c r="BG163" s="20">
        <f t="shared" si="168"/>
        <v>7.2667013513884219E-12</v>
      </c>
      <c r="BH163" s="59">
        <f t="shared" si="116"/>
        <v>293.33333333334059</v>
      </c>
      <c r="BI163" s="59">
        <f ca="1">AVERAGE(OFFSET($BH$3,0,0,'Données projet'!$E$11+1,1))-AVERAGE(OFFSET($H$3,0,0,'Données projet'!$E$11+1,1))</f>
        <v>212.99246338839475</v>
      </c>
      <c r="BJ163" s="59">
        <f t="shared" si="146"/>
        <v>162.04040335537223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233.89079999999998</v>
      </c>
      <c r="CA163" s="13">
        <f t="shared" si="170"/>
        <v>57.123140349023068</v>
      </c>
      <c r="CB163" s="20">
        <f t="shared" si="171"/>
        <v>506.84927944121517</v>
      </c>
      <c r="CC163" s="59">
        <f t="shared" si="119"/>
        <v>800.18261277454849</v>
      </c>
      <c r="CD163" s="59">
        <f ca="1">AVERAGE(OFFSET($CC$3,0,0,'Données projet'!$E$12+1,1))-AVERAGE(OFFSET($H$3,0,0,'Données projet'!$E$12+1,1))</f>
        <v>249.53949216238527</v>
      </c>
      <c r="CE163" s="59">
        <f t="shared" si="148"/>
        <v>261.78576517528217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6.8663253016768628</v>
      </c>
      <c r="CL163" s="21">
        <f>EXP(-LN(2)/25)*CL162+(1-EXP(-LN(2)/25))/(LN(2)/25)*Calculateur!CG163*Calculateur!CI163*VLOOKUP('Données projet'!$B$12,Paramètres!$A$1:$I$89,3,0)*0.475*44/12</f>
        <v>0.61391301351881145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7.4802383151956739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7">
        <f t="shared" si="110"/>
        <v>565.10778616324205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281.14678081581229</v>
      </c>
      <c r="T164" s="59">
        <f t="shared" si="142"/>
        <v>380.81265808422603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27.776559353957417</v>
      </c>
      <c r="AA164" s="21">
        <f>EXP(-LN(2)/25)*AA163+(1-EXP(-LN(2)/25))/(LN(2)/25)*Calculateur!V164*Calculateur!X164*VLOOKUP('Données projet'!$B$9,Paramètres!$A$1:$I$89,3,0)*0.475*44/12</f>
        <v>3.0814235598724773</v>
      </c>
      <c r="AB164" s="21">
        <f>EXP(-LN(2)/2)*AB163+(1-EXP(-LN(2)/2))/(LN(2)/2)*V164*Y164*VLOOKUP('Données projet'!$B$9,Paramètres!$A$1:$I$89,3,0)*0.475*44/12</f>
        <v>3.7352020673627568E-15</v>
      </c>
      <c r="AC164" s="22">
        <f t="shared" si="163"/>
        <v>30.857982913829897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279.9271639349646</v>
      </c>
      <c r="AO164" s="59">
        <f t="shared" si="144"/>
        <v>260.03726798406916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3.4106051316484809E-13</v>
      </c>
      <c r="BE164" s="13">
        <f>BD164*VLOOKUP('Données projet'!$B$11,Paramètres!$A$1:$I$89,3,0)*VLOOKUP('Données projet'!$B$11,Paramètres!$A$1:$I$89,5,0)</f>
        <v>2.9262992029543969E-13</v>
      </c>
      <c r="BF164" s="13">
        <f t="shared" si="167"/>
        <v>3.8796387982050903E-12</v>
      </c>
      <c r="BG164" s="20">
        <f t="shared" si="168"/>
        <v>7.2667013513884219E-12</v>
      </c>
      <c r="BH164" s="59">
        <f t="shared" si="116"/>
        <v>293.33333333334059</v>
      </c>
      <c r="BI164" s="59">
        <f ca="1">AVERAGE(OFFSET($BH$3,0,0,'Données projet'!$E$11+1,1))-AVERAGE(OFFSET($H$3,0,0,'Données projet'!$E$11+1,1))</f>
        <v>212.99246338839475</v>
      </c>
      <c r="BJ164" s="59">
        <f t="shared" si="146"/>
        <v>162.04040335537223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233.89079999999998</v>
      </c>
      <c r="CA164" s="13">
        <f t="shared" si="170"/>
        <v>57.123140349023068</v>
      </c>
      <c r="CB164" s="20">
        <f t="shared" si="171"/>
        <v>506.84927944121517</v>
      </c>
      <c r="CC164" s="59">
        <f t="shared" si="119"/>
        <v>800.18261277454849</v>
      </c>
      <c r="CD164" s="59">
        <f ca="1">AVERAGE(OFFSET($CC$3,0,0,'Données projet'!$E$12+1,1))-AVERAGE(OFFSET($H$3,0,0,'Données projet'!$E$12+1,1))</f>
        <v>249.53949216238527</v>
      </c>
      <c r="CE164" s="59">
        <f t="shared" si="148"/>
        <v>261.78576517528217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6.7316808505558781</v>
      </c>
      <c r="CL164" s="21">
        <f>EXP(-LN(2)/25)*CL163+(1-EXP(-LN(2)/25))/(LN(2)/25)*Calculateur!CG164*Calculateur!CI164*VLOOKUP('Données projet'!$B$12,Paramètres!$A$1:$I$89,3,0)*0.475*44/12</f>
        <v>0.59712552987985723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7.3288063804357355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7">
        <f t="shared" si="110"/>
        <v>566.97755161732744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281.14678081581229</v>
      </c>
      <c r="T165" s="59">
        <f t="shared" si="142"/>
        <v>380.81265808422603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27.231877967054633</v>
      </c>
      <c r="AA165" s="21">
        <f>EXP(-LN(2)/25)*AA164+(1-EXP(-LN(2)/25))/(LN(2)/25)*Calculateur!V165*Calculateur!X165*VLOOKUP('Données projet'!$B$9,Paramètres!$A$1:$I$89,3,0)*0.475*44/12</f>
        <v>2.9971618705827421</v>
      </c>
      <c r="AB165" s="21">
        <f>EXP(-LN(2)/2)*AB164+(1-EXP(-LN(2)/2))/(LN(2)/2)*V165*Y165*VLOOKUP('Données projet'!$B$9,Paramètres!$A$1:$I$89,3,0)*0.475*44/12</f>
        <v>2.6411867109342168E-15</v>
      </c>
      <c r="AC165" s="22">
        <f t="shared" si="163"/>
        <v>30.229039837637377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279.9271639349646</v>
      </c>
      <c r="AO165" s="59">
        <f t="shared" si="144"/>
        <v>260.03726798406916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3.4106051316484809E-13</v>
      </c>
      <c r="BE165" s="13">
        <f>BD165*VLOOKUP('Données projet'!$B$11,Paramètres!$A$1:$I$89,3,0)*VLOOKUP('Données projet'!$B$11,Paramètres!$A$1:$I$89,5,0)</f>
        <v>2.9262992029543969E-13</v>
      </c>
      <c r="BF165" s="13">
        <f t="shared" si="167"/>
        <v>3.8796387982050903E-12</v>
      </c>
      <c r="BG165" s="20">
        <f t="shared" si="168"/>
        <v>7.2667013513884219E-12</v>
      </c>
      <c r="BH165" s="59">
        <f t="shared" si="116"/>
        <v>293.33333333334059</v>
      </c>
      <c r="BI165" s="59">
        <f ca="1">AVERAGE(OFFSET($BH$3,0,0,'Données projet'!$E$11+1,1))-AVERAGE(OFFSET($H$3,0,0,'Données projet'!$E$11+1,1))</f>
        <v>212.99246338839475</v>
      </c>
      <c r="BJ165" s="59">
        <f t="shared" si="146"/>
        <v>162.04040335537223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233.89079999999998</v>
      </c>
      <c r="CA165" s="13">
        <f t="shared" si="170"/>
        <v>57.123140349023068</v>
      </c>
      <c r="CB165" s="20">
        <f t="shared" si="171"/>
        <v>506.84927944121517</v>
      </c>
      <c r="CC165" s="59">
        <f t="shared" si="119"/>
        <v>800.18261277454849</v>
      </c>
      <c r="CD165" s="59">
        <f ca="1">AVERAGE(OFFSET($CC$3,0,0,'Données projet'!$E$12+1,1))-AVERAGE(OFFSET($H$3,0,0,'Données projet'!$E$12+1,1))</f>
        <v>249.53949216238527</v>
      </c>
      <c r="CE165" s="59">
        <f t="shared" si="148"/>
        <v>261.78576517528217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6.5996766949963703</v>
      </c>
      <c r="CL165" s="21">
        <f>EXP(-LN(2)/25)*CL164+(1-EXP(-LN(2)/25))/(LN(2)/25)*Calculateur!CG165*Calculateur!CI165*VLOOKUP('Données projet'!$B$12,Paramètres!$A$1:$I$89,3,0)*0.475*44/12</f>
        <v>0.58079710086382563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7.1804737958601956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7">
        <f t="shared" si="110"/>
        <v>568.84706693879741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281.14678081581229</v>
      </c>
      <c r="T166" s="59">
        <f t="shared" si="142"/>
        <v>380.81265808422603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26.697877449926168</v>
      </c>
      <c r="AA166" s="21">
        <f>EXP(-LN(2)/25)*AA165+(1-EXP(-LN(2)/25))/(LN(2)/25)*Calculateur!V166*Calculateur!X166*VLOOKUP('Données projet'!$B$9,Paramètres!$A$1:$I$89,3,0)*0.475*44/12</f>
        <v>2.9152043216177645</v>
      </c>
      <c r="AB166" s="21">
        <f>EXP(-LN(2)/2)*AB165+(1-EXP(-LN(2)/2))/(LN(2)/2)*V166*Y166*VLOOKUP('Données projet'!$B$9,Paramètres!$A$1:$I$89,3,0)*0.475*44/12</f>
        <v>1.8676010336813784E-15</v>
      </c>
      <c r="AC166" s="22">
        <f t="shared" si="163"/>
        <v>29.613081771543936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279.9271639349646</v>
      </c>
      <c r="AO166" s="59">
        <f t="shared" si="144"/>
        <v>260.03726798406916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3.4106051316484809E-13</v>
      </c>
      <c r="BE166" s="13">
        <f>BD166*VLOOKUP('Données projet'!$B$11,Paramètres!$A$1:$I$89,3,0)*VLOOKUP('Données projet'!$B$11,Paramètres!$A$1:$I$89,5,0)</f>
        <v>2.9262992029543969E-13</v>
      </c>
      <c r="BF166" s="13">
        <f t="shared" si="167"/>
        <v>3.8796387982050903E-12</v>
      </c>
      <c r="BG166" s="20">
        <f t="shared" si="168"/>
        <v>7.2667013513884219E-12</v>
      </c>
      <c r="BH166" s="59">
        <f t="shared" si="116"/>
        <v>293.33333333334059</v>
      </c>
      <c r="BI166" s="59">
        <f ca="1">AVERAGE(OFFSET($BH$3,0,0,'Données projet'!$E$11+1,1))-AVERAGE(OFFSET($H$3,0,0,'Données projet'!$E$11+1,1))</f>
        <v>212.99246338839475</v>
      </c>
      <c r="BJ166" s="59">
        <f t="shared" si="146"/>
        <v>162.04040335537223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233.89079999999998</v>
      </c>
      <c r="CA166" s="13">
        <f t="shared" si="170"/>
        <v>57.123140349023068</v>
      </c>
      <c r="CB166" s="20">
        <f t="shared" si="171"/>
        <v>506.84927944121517</v>
      </c>
      <c r="CC166" s="59">
        <f t="shared" si="119"/>
        <v>800.18261277454849</v>
      </c>
      <c r="CD166" s="59">
        <f ca="1">AVERAGE(OFFSET($CC$3,0,0,'Données projet'!$E$12+1,1))-AVERAGE(OFFSET($H$3,0,0,'Données projet'!$E$12+1,1))</f>
        <v>249.53949216238527</v>
      </c>
      <c r="CE166" s="59">
        <f t="shared" si="148"/>
        <v>261.78576517528217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6.4702610604127999</v>
      </c>
      <c r="CL166" s="21">
        <f>EXP(-LN(2)/25)*CL165+(1-EXP(-LN(2)/25))/(LN(2)/25)*Calculateur!CG166*Calculateur!CI166*VLOOKUP('Données projet'!$B$12,Paramètres!$A$1:$I$89,3,0)*0.475*44/12</f>
        <v>0.56491517359791221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7.035176234010712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7">
        <f t="shared" si="110"/>
        <v>570.71633384024005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281.14678081581229</v>
      </c>
      <c r="T167" s="59">
        <f t="shared" si="142"/>
        <v>380.81265808422603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26.174348357230439</v>
      </c>
      <c r="AA167" s="21">
        <f>EXP(-LN(2)/25)*AA166+(1-EXP(-LN(2)/25))/(LN(2)/25)*Calculateur!V167*Calculateur!X167*VLOOKUP('Données projet'!$B$9,Paramètres!$A$1:$I$89,3,0)*0.475*44/12</f>
        <v>2.8354879061391944</v>
      </c>
      <c r="AB167" s="21">
        <f>EXP(-LN(2)/2)*AB166+(1-EXP(-LN(2)/2))/(LN(2)/2)*V167*Y167*VLOOKUP('Données projet'!$B$9,Paramètres!$A$1:$I$89,3,0)*0.475*44/12</f>
        <v>1.3205933554671084E-15</v>
      </c>
      <c r="AC167" s="22">
        <f t="shared" si="163"/>
        <v>29.009836263369635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279.9271639349646</v>
      </c>
      <c r="AO167" s="59">
        <f t="shared" si="144"/>
        <v>260.03726798406916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3.4106051316484809E-13</v>
      </c>
      <c r="BE167" s="13">
        <f>BD167*VLOOKUP('Données projet'!$B$11,Paramètres!$A$1:$I$89,3,0)*VLOOKUP('Données projet'!$B$11,Paramètres!$A$1:$I$89,5,0)</f>
        <v>2.9262992029543969E-13</v>
      </c>
      <c r="BF167" s="13">
        <f t="shared" si="167"/>
        <v>3.8796387982050903E-12</v>
      </c>
      <c r="BG167" s="20">
        <f t="shared" si="168"/>
        <v>7.2667013513884219E-12</v>
      </c>
      <c r="BH167" s="59">
        <f t="shared" si="116"/>
        <v>293.33333333334059</v>
      </c>
      <c r="BI167" s="59">
        <f ca="1">AVERAGE(OFFSET($BH$3,0,0,'Données projet'!$E$11+1,1))-AVERAGE(OFFSET($H$3,0,0,'Données projet'!$E$11+1,1))</f>
        <v>212.99246338839475</v>
      </c>
      <c r="BJ167" s="59">
        <f t="shared" si="146"/>
        <v>162.04040335537223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233.89079999999998</v>
      </c>
      <c r="CA167" s="13">
        <f t="shared" si="170"/>
        <v>57.123140349023068</v>
      </c>
      <c r="CB167" s="20">
        <f t="shared" si="171"/>
        <v>506.84927944121517</v>
      </c>
      <c r="CC167" s="59">
        <f t="shared" si="119"/>
        <v>800.18261277454849</v>
      </c>
      <c r="CD167" s="59">
        <f ca="1">AVERAGE(OFFSET($CC$3,0,0,'Données projet'!$E$12+1,1))-AVERAGE(OFFSET($H$3,0,0,'Données projet'!$E$12+1,1))</f>
        <v>249.53949216238527</v>
      </c>
      <c r="CE167" s="59">
        <f t="shared" si="148"/>
        <v>261.78576517528217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6.34338318748767</v>
      </c>
      <c r="CL167" s="21">
        <f>EXP(-LN(2)/25)*CL166+(1-EXP(-LN(2)/25))/(LN(2)/25)*Calculateur!CG167*Calculateur!CI167*VLOOKUP('Données projet'!$B$12,Paramètres!$A$1:$I$89,3,0)*0.475*44/12</f>
        <v>0.54946753846827945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6.8928507259559497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7">
        <f t="shared" si="110"/>
        <v>572.58535401215045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281.14678081581229</v>
      </c>
      <c r="T168" s="59">
        <f t="shared" si="142"/>
        <v>380.81265808422603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25.661085350721258</v>
      </c>
      <c r="AA168" s="21">
        <f>EXP(-LN(2)/25)*AA167+(1-EXP(-LN(2)/25))/(LN(2)/25)*Calculateur!V168*Calculateur!X168*VLOOKUP('Données projet'!$B$9,Paramètres!$A$1:$I$89,3,0)*0.475*44/12</f>
        <v>2.7579513402339897</v>
      </c>
      <c r="AB168" s="21">
        <f>EXP(-LN(2)/2)*AB167+(1-EXP(-LN(2)/2))/(LN(2)/2)*V168*Y168*VLOOKUP('Données projet'!$B$9,Paramètres!$A$1:$I$89,3,0)*0.475*44/12</f>
        <v>9.338005168406892E-16</v>
      </c>
      <c r="AC168" s="22">
        <f t="shared" si="163"/>
        <v>28.419036690955249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279.9271639349646</v>
      </c>
      <c r="AO168" s="59">
        <f t="shared" si="144"/>
        <v>260.03726798406916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3.4106051316484809E-13</v>
      </c>
      <c r="BE168" s="13">
        <f>BD168*VLOOKUP('Données projet'!$B$11,Paramètres!$A$1:$I$89,3,0)*VLOOKUP('Données projet'!$B$11,Paramètres!$A$1:$I$89,5,0)</f>
        <v>2.9262992029543969E-13</v>
      </c>
      <c r="BF168" s="13">
        <f t="shared" si="167"/>
        <v>3.8796387982050903E-12</v>
      </c>
      <c r="BG168" s="20">
        <f t="shared" si="168"/>
        <v>7.2667013513884219E-12</v>
      </c>
      <c r="BH168" s="59">
        <f t="shared" si="116"/>
        <v>293.33333333334059</v>
      </c>
      <c r="BI168" s="59">
        <f ca="1">AVERAGE(OFFSET($BH$3,0,0,'Données projet'!$E$11+1,1))-AVERAGE(OFFSET($H$3,0,0,'Données projet'!$E$11+1,1))</f>
        <v>212.99246338839475</v>
      </c>
      <c r="BJ168" s="59">
        <f t="shared" si="146"/>
        <v>162.04040335537223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233.89079999999998</v>
      </c>
      <c r="CA168" s="13">
        <f t="shared" si="170"/>
        <v>57.123140349023068</v>
      </c>
      <c r="CB168" s="20">
        <f t="shared" si="171"/>
        <v>506.84927944121517</v>
      </c>
      <c r="CC168" s="59">
        <f t="shared" si="119"/>
        <v>800.18261277454849</v>
      </c>
      <c r="CD168" s="59">
        <f ca="1">AVERAGE(OFFSET($CC$3,0,0,'Données projet'!$E$12+1,1))-AVERAGE(OFFSET($H$3,0,0,'Données projet'!$E$12+1,1))</f>
        <v>249.53949216238527</v>
      </c>
      <c r="CE168" s="59">
        <f t="shared" si="148"/>
        <v>261.78576517528217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6.2189933122627412</v>
      </c>
      <c r="CL168" s="21">
        <f>EXP(-LN(2)/25)*CL167+(1-EXP(-LN(2)/25))/(LN(2)/25)*Calculateur!CG168*Calculateur!CI168*VLOOKUP('Données projet'!$B$12,Paramètres!$A$1:$I$89,3,0)*0.475*44/12</f>
        <v>0.53444231973362233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6.7534356319963633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7">
        <f t="shared" si="110"/>
        <v>574.454129123347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281.14678081581229</v>
      </c>
      <c r="T169" s="59">
        <f t="shared" si="142"/>
        <v>380.81265808422603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25.1578871187102</v>
      </c>
      <c r="AA169" s="21">
        <f>EXP(-LN(2)/25)*AA168+(1-EXP(-LN(2)/25))/(LN(2)/25)*Calculateur!V169*Calculateur!X169*VLOOKUP('Données projet'!$B$9,Paramètres!$A$1:$I$89,3,0)*0.475*44/12</f>
        <v>2.6825350158009336</v>
      </c>
      <c r="AB169" s="21">
        <f>EXP(-LN(2)/2)*AB168+(1-EXP(-LN(2)/2))/(LN(2)/2)*V169*Y169*VLOOKUP('Données projet'!$B$9,Paramètres!$A$1:$I$89,3,0)*0.475*44/12</f>
        <v>6.6029667773355421E-16</v>
      </c>
      <c r="AC169" s="22">
        <f t="shared" si="163"/>
        <v>27.840422134511133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279.9271639349646</v>
      </c>
      <c r="AO169" s="59">
        <f t="shared" si="144"/>
        <v>260.03726798406916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3.4106051316484809E-13</v>
      </c>
      <c r="BE169" s="13">
        <f>BD169*VLOOKUP('Données projet'!$B$11,Paramètres!$A$1:$I$89,3,0)*VLOOKUP('Données projet'!$B$11,Paramètres!$A$1:$I$89,5,0)</f>
        <v>2.9262992029543969E-13</v>
      </c>
      <c r="BF169" s="13">
        <f t="shared" si="167"/>
        <v>3.8796387982050903E-12</v>
      </c>
      <c r="BG169" s="20">
        <f t="shared" si="168"/>
        <v>7.2667013513884219E-12</v>
      </c>
      <c r="BH169" s="59">
        <f t="shared" si="116"/>
        <v>293.33333333334059</v>
      </c>
      <c r="BI169" s="59">
        <f ca="1">AVERAGE(OFFSET($BH$3,0,0,'Données projet'!$E$11+1,1))-AVERAGE(OFFSET($H$3,0,0,'Données projet'!$E$11+1,1))</f>
        <v>212.99246338839475</v>
      </c>
      <c r="BJ169" s="59">
        <f t="shared" si="146"/>
        <v>162.04040335537223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233.89079999999998</v>
      </c>
      <c r="CA169" s="13">
        <f t="shared" si="170"/>
        <v>57.123140349023068</v>
      </c>
      <c r="CB169" s="20">
        <f t="shared" si="171"/>
        <v>506.84927944121517</v>
      </c>
      <c r="CC169" s="59">
        <f t="shared" si="119"/>
        <v>800.18261277454849</v>
      </c>
      <c r="CD169" s="59">
        <f ca="1">AVERAGE(OFFSET($CC$3,0,0,'Données projet'!$E$12+1,1))-AVERAGE(OFFSET($H$3,0,0,'Données projet'!$E$12+1,1))</f>
        <v>249.53949216238527</v>
      </c>
      <c r="CE169" s="59">
        <f t="shared" si="148"/>
        <v>261.78576517528217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6.0970426466206407</v>
      </c>
      <c r="CL169" s="21">
        <f>EXP(-LN(2)/25)*CL168+(1-EXP(-LN(2)/25))/(LN(2)/25)*Calculateur!CG169*Calculateur!CI169*VLOOKUP('Données projet'!$B$12,Paramètres!$A$1:$I$89,3,0)*0.475*44/12</f>
        <v>0.51982796639540629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6.6168706130160473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7">
        <f t="shared" si="110"/>
        <v>576.3226608213796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281.14678081581229</v>
      </c>
      <c r="T170" s="59">
        <f t="shared" si="142"/>
        <v>380.81265808422603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24.664556297108263</v>
      </c>
      <c r="AA170" s="21">
        <f>EXP(-LN(2)/25)*AA169+(1-EXP(-LN(2)/25))/(LN(2)/25)*Calculateur!V170*Calculateur!X170*VLOOKUP('Données projet'!$B$9,Paramètres!$A$1:$I$89,3,0)*0.475*44/12</f>
        <v>2.6091809547254714</v>
      </c>
      <c r="AB170" s="21">
        <f>EXP(-LN(2)/2)*AB169+(1-EXP(-LN(2)/2))/(LN(2)/2)*V170*Y170*VLOOKUP('Données projet'!$B$9,Paramètres!$A$1:$I$89,3,0)*0.475*44/12</f>
        <v>4.669002584203446E-16</v>
      </c>
      <c r="AC170" s="22">
        <f t="shared" si="163"/>
        <v>27.273737251833733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279.9271639349646</v>
      </c>
      <c r="AO170" s="59">
        <f t="shared" si="144"/>
        <v>260.03726798406916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3.4106051316484809E-13</v>
      </c>
      <c r="BE170" s="13">
        <f>BD170*VLOOKUP('Données projet'!$B$11,Paramètres!$A$1:$I$89,3,0)*VLOOKUP('Données projet'!$B$11,Paramètres!$A$1:$I$89,5,0)</f>
        <v>2.9262992029543969E-13</v>
      </c>
      <c r="BF170" s="13">
        <f t="shared" si="167"/>
        <v>3.8796387982050903E-12</v>
      </c>
      <c r="BG170" s="20">
        <f t="shared" si="168"/>
        <v>7.2667013513884219E-12</v>
      </c>
      <c r="BH170" s="59">
        <f t="shared" si="116"/>
        <v>293.33333333334059</v>
      </c>
      <c r="BI170" s="59">
        <f ca="1">AVERAGE(OFFSET($BH$3,0,0,'Données projet'!$E$11+1,1))-AVERAGE(OFFSET($H$3,0,0,'Données projet'!$E$11+1,1))</f>
        <v>212.99246338839475</v>
      </c>
      <c r="BJ170" s="59">
        <f t="shared" si="146"/>
        <v>162.04040335537223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233.89079999999998</v>
      </c>
      <c r="CA170" s="13">
        <f t="shared" si="170"/>
        <v>57.123140349023068</v>
      </c>
      <c r="CB170" s="20">
        <f t="shared" si="171"/>
        <v>506.84927944121517</v>
      </c>
      <c r="CC170" s="59">
        <f t="shared" si="119"/>
        <v>800.18261277454849</v>
      </c>
      <c r="CD170" s="59">
        <f ca="1">AVERAGE(OFFSET($CC$3,0,0,'Données projet'!$E$12+1,1))-AVERAGE(OFFSET($H$3,0,0,'Données projet'!$E$12+1,1))</f>
        <v>249.53949216238527</v>
      </c>
      <c r="CE170" s="59">
        <f t="shared" si="148"/>
        <v>261.78576517528217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5.9774833591492209</v>
      </c>
      <c r="CL170" s="21">
        <f>EXP(-LN(2)/25)*CL169+(1-EXP(-LN(2)/25))/(LN(2)/25)*Calculateur!CG170*Calculateur!CI170*VLOOKUP('Données projet'!$B$12,Paramètres!$A$1:$I$89,3,0)*0.475*44/12</f>
        <v>0.50561324331775925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6.4830966024669801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7">
        <f t="shared" si="110"/>
        <v>578.19095073292465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281.14678081581229</v>
      </c>
      <c r="T171" s="59">
        <f t="shared" si="142"/>
        <v>380.81265808422603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24.180899392015849</v>
      </c>
      <c r="AA171" s="21">
        <f>EXP(-LN(2)/25)*AA170+(1-EXP(-LN(2)/25))/(LN(2)/25)*Calculateur!V171*Calculateur!X171*VLOOKUP('Données projet'!$B$9,Paramètres!$A$1:$I$89,3,0)*0.475*44/12</f>
        <v>2.5378327643076402</v>
      </c>
      <c r="AB171" s="21">
        <f>EXP(-LN(2)/2)*AB170+(1-EXP(-LN(2)/2))/(LN(2)/2)*V171*Y171*VLOOKUP('Données projet'!$B$9,Paramètres!$A$1:$I$89,3,0)*0.475*44/12</f>
        <v>3.301483388667771E-16</v>
      </c>
      <c r="AC171" s="22">
        <f t="shared" si="163"/>
        <v>26.71873215632349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279.9271639349646</v>
      </c>
      <c r="AO171" s="59">
        <f t="shared" si="144"/>
        <v>260.03726798406916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3.4106051316484809E-13</v>
      </c>
      <c r="BE171" s="13">
        <f>BD171*VLOOKUP('Données projet'!$B$11,Paramètres!$A$1:$I$89,3,0)*VLOOKUP('Données projet'!$B$11,Paramètres!$A$1:$I$89,5,0)</f>
        <v>2.9262992029543969E-13</v>
      </c>
      <c r="BF171" s="13">
        <f t="shared" si="167"/>
        <v>3.8796387982050903E-12</v>
      </c>
      <c r="BG171" s="20">
        <f t="shared" si="168"/>
        <v>7.2667013513884219E-12</v>
      </c>
      <c r="BH171" s="59">
        <f t="shared" si="116"/>
        <v>293.33333333334059</v>
      </c>
      <c r="BI171" s="59">
        <f ca="1">AVERAGE(OFFSET($BH$3,0,0,'Données projet'!$E$11+1,1))-AVERAGE(OFFSET($H$3,0,0,'Données projet'!$E$11+1,1))</f>
        <v>212.99246338839475</v>
      </c>
      <c r="BJ171" s="59">
        <f t="shared" si="146"/>
        <v>162.04040335537223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233.89079999999998</v>
      </c>
      <c r="CA171" s="13">
        <f t="shared" si="170"/>
        <v>57.123140349023068</v>
      </c>
      <c r="CB171" s="20">
        <f t="shared" si="171"/>
        <v>506.84927944121517</v>
      </c>
      <c r="CC171" s="59">
        <f t="shared" si="119"/>
        <v>800.18261277454849</v>
      </c>
      <c r="CD171" s="59">
        <f ca="1">AVERAGE(OFFSET($CC$3,0,0,'Données projet'!$E$12+1,1))-AVERAGE(OFFSET($H$3,0,0,'Données projet'!$E$12+1,1))</f>
        <v>249.53949216238527</v>
      </c>
      <c r="CE171" s="59">
        <f t="shared" si="148"/>
        <v>261.78576517528217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5.8602685563811505</v>
      </c>
      <c r="CL171" s="21">
        <f>EXP(-LN(2)/25)*CL170+(1-EXP(-LN(2)/25))/(LN(2)/25)*Calculateur!CG171*Calculateur!CI171*VLOOKUP('Données projet'!$B$12,Paramètres!$A$1:$I$89,3,0)*0.475*44/12</f>
        <v>0.49178722259019025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6.3520557789713408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7">
        <f t="shared" si="110"/>
        <v>580.05900046417378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281.14678081581229</v>
      </c>
      <c r="T172" s="59">
        <f t="shared" si="142"/>
        <v>380.81265808422603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23.706726703830714</v>
      </c>
      <c r="AA172" s="21">
        <f>EXP(-LN(2)/25)*AA171+(1-EXP(-LN(2)/25))/(LN(2)/25)*Calculateur!V172*Calculateur!X172*VLOOKUP('Données projet'!$B$9,Paramètres!$A$1:$I$89,3,0)*0.475*44/12</f>
        <v>2.4684355939088229</v>
      </c>
      <c r="AB172" s="21">
        <f>EXP(-LN(2)/2)*AB171+(1-EXP(-LN(2)/2))/(LN(2)/2)*V172*Y172*VLOOKUP('Données projet'!$B$9,Paramètres!$A$1:$I$89,3,0)*0.475*44/12</f>
        <v>2.334501292101723E-16</v>
      </c>
      <c r="AC172" s="22">
        <f t="shared" si="163"/>
        <v>26.175162297739536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279.9271639349646</v>
      </c>
      <c r="AO172" s="59">
        <f t="shared" si="144"/>
        <v>260.03726798406916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3.4106051316484809E-13</v>
      </c>
      <c r="BE172" s="13">
        <f>BD172*VLOOKUP('Données projet'!$B$11,Paramètres!$A$1:$I$89,3,0)*VLOOKUP('Données projet'!$B$11,Paramètres!$A$1:$I$89,5,0)</f>
        <v>2.9262992029543969E-13</v>
      </c>
      <c r="BF172" s="13">
        <f t="shared" si="167"/>
        <v>3.8796387982050903E-12</v>
      </c>
      <c r="BG172" s="20">
        <f t="shared" si="168"/>
        <v>7.2667013513884219E-12</v>
      </c>
      <c r="BH172" s="59">
        <f t="shared" si="116"/>
        <v>293.33333333334059</v>
      </c>
      <c r="BI172" s="59">
        <f ca="1">AVERAGE(OFFSET($BH$3,0,0,'Données projet'!$E$11+1,1))-AVERAGE(OFFSET($H$3,0,0,'Données projet'!$E$11+1,1))</f>
        <v>212.99246338839475</v>
      </c>
      <c r="BJ172" s="59">
        <f t="shared" si="146"/>
        <v>162.04040335537223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233.89079999999998</v>
      </c>
      <c r="CA172" s="13">
        <f t="shared" si="170"/>
        <v>57.123140349023068</v>
      </c>
      <c r="CB172" s="20">
        <f t="shared" si="171"/>
        <v>506.84927944121517</v>
      </c>
      <c r="CC172" s="59">
        <f t="shared" si="119"/>
        <v>800.18261277454849</v>
      </c>
      <c r="CD172" s="59">
        <f ca="1">AVERAGE(OFFSET($CC$3,0,0,'Données projet'!$E$12+1,1))-AVERAGE(OFFSET($H$3,0,0,'Données projet'!$E$12+1,1))</f>
        <v>249.53949216238527</v>
      </c>
      <c r="CE172" s="59">
        <f t="shared" si="148"/>
        <v>261.78576517528217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5.7453522644013919</v>
      </c>
      <c r="CL172" s="21">
        <f>EXP(-LN(2)/25)*CL171+(1-EXP(-LN(2)/25))/(LN(2)/25)*Calculateur!CG172*Calculateur!CI172*VLOOKUP('Données projet'!$B$12,Paramètres!$A$1:$I$89,3,0)*0.475*44/12</f>
        <v>0.47833927512649543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6.2236915395278878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7">
        <f t="shared" si="110"/>
        <v>581.92681160121015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281.14678081581229</v>
      </c>
      <c r="T173" s="59">
        <f t="shared" si="142"/>
        <v>380.81265808422603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23.241852252844108</v>
      </c>
      <c r="AA173" s="21">
        <f>EXP(-LN(2)/25)*AA172+(1-EXP(-LN(2)/25))/(LN(2)/25)*Calculateur!V173*Calculateur!X173*VLOOKUP('Données projet'!$B$9,Paramètres!$A$1:$I$89,3,0)*0.475*44/12</f>
        <v>2.4009360927839998</v>
      </c>
      <c r="AB173" s="21">
        <f>EXP(-LN(2)/2)*AB172+(1-EXP(-LN(2)/2))/(LN(2)/2)*V173*Y173*VLOOKUP('Données projet'!$B$9,Paramètres!$A$1:$I$89,3,0)*0.475*44/12</f>
        <v>1.6507416943338855E-16</v>
      </c>
      <c r="AC173" s="22">
        <f t="shared" si="163"/>
        <v>25.642788345628109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279.9271639349646</v>
      </c>
      <c r="AO173" s="59">
        <f t="shared" si="144"/>
        <v>260.03726798406916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3.4106051316484809E-13</v>
      </c>
      <c r="BE173" s="13">
        <f>BD173*VLOOKUP('Données projet'!$B$11,Paramètres!$A$1:$I$89,3,0)*VLOOKUP('Données projet'!$B$11,Paramètres!$A$1:$I$89,5,0)</f>
        <v>2.9262992029543969E-13</v>
      </c>
      <c r="BF173" s="13">
        <f t="shared" si="167"/>
        <v>3.8796387982050903E-12</v>
      </c>
      <c r="BG173" s="20">
        <f t="shared" si="168"/>
        <v>7.2667013513884219E-12</v>
      </c>
      <c r="BH173" s="59">
        <f t="shared" si="116"/>
        <v>293.33333333334059</v>
      </c>
      <c r="BI173" s="59">
        <f ca="1">AVERAGE(OFFSET($BH$3,0,0,'Données projet'!$E$11+1,1))-AVERAGE(OFFSET($H$3,0,0,'Données projet'!$E$11+1,1))</f>
        <v>212.99246338839475</v>
      </c>
      <c r="BJ173" s="59">
        <f t="shared" si="146"/>
        <v>162.04040335537223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233.89079999999998</v>
      </c>
      <c r="CA173" s="13">
        <f t="shared" si="170"/>
        <v>57.123140349023068</v>
      </c>
      <c r="CB173" s="20">
        <f t="shared" si="171"/>
        <v>506.84927944121517</v>
      </c>
      <c r="CC173" s="59">
        <f t="shared" si="119"/>
        <v>800.18261277454849</v>
      </c>
      <c r="CD173" s="59">
        <f ca="1">AVERAGE(OFFSET($CC$3,0,0,'Données projet'!$E$12+1,1))-AVERAGE(OFFSET($H$3,0,0,'Données projet'!$E$12+1,1))</f>
        <v>249.53949216238527</v>
      </c>
      <c r="CE173" s="59">
        <f t="shared" si="148"/>
        <v>261.78576517528217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5.6326894108153391</v>
      </c>
      <c r="CL173" s="21">
        <f>EXP(-LN(2)/25)*CL172+(1-EXP(-LN(2)/25))/(LN(2)/25)*Calculateur!CG173*Calculateur!CI173*VLOOKUP('Données projet'!$B$12,Paramètres!$A$1:$I$89,3,0)*0.475*44/12</f>
        <v>0.46525906249339222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6.0979484733087315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7">
        <f t="shared" si="110"/>
        <v>583.79438571037781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281.14678081581229</v>
      </c>
      <c r="T174" s="59">
        <f t="shared" si="142"/>
        <v>380.81265808422603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22.786093706295933</v>
      </c>
      <c r="AA174" s="21">
        <f>EXP(-LN(2)/25)*AA173+(1-EXP(-LN(2)/25))/(LN(2)/25)*Calculateur!V174*Calculateur!X174*VLOOKUP('Données projet'!$B$9,Paramètres!$A$1:$I$89,3,0)*0.475*44/12</f>
        <v>2.3352823690670794</v>
      </c>
      <c r="AB174" s="21">
        <f>EXP(-LN(2)/2)*AB173+(1-EXP(-LN(2)/2))/(LN(2)/2)*V174*Y174*VLOOKUP('Données projet'!$B$9,Paramètres!$A$1:$I$89,3,0)*0.475*44/12</f>
        <v>1.1672506460508615E-16</v>
      </c>
      <c r="AC174" s="22">
        <f t="shared" si="163"/>
        <v>25.121376075363013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279.9271639349646</v>
      </c>
      <c r="AO174" s="59">
        <f t="shared" si="144"/>
        <v>260.03726798406916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3.4106051316484809E-13</v>
      </c>
      <c r="BE174" s="13">
        <f>BD174*VLOOKUP('Données projet'!$B$11,Paramètres!$A$1:$I$89,3,0)*VLOOKUP('Données projet'!$B$11,Paramètres!$A$1:$I$89,5,0)</f>
        <v>2.9262992029543969E-13</v>
      </c>
      <c r="BF174" s="13">
        <f t="shared" si="167"/>
        <v>3.8796387982050903E-12</v>
      </c>
      <c r="BG174" s="20">
        <f t="shared" si="168"/>
        <v>7.2667013513884219E-12</v>
      </c>
      <c r="BH174" s="59">
        <f t="shared" si="116"/>
        <v>293.33333333334059</v>
      </c>
      <c r="BI174" s="59">
        <f ca="1">AVERAGE(OFFSET($BH$3,0,0,'Données projet'!$E$11+1,1))-AVERAGE(OFFSET($H$3,0,0,'Données projet'!$E$11+1,1))</f>
        <v>212.99246338839475</v>
      </c>
      <c r="BJ174" s="59">
        <f t="shared" si="146"/>
        <v>162.04040335537223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233.89079999999998</v>
      </c>
      <c r="CA174" s="13">
        <f t="shared" si="170"/>
        <v>57.123140349023068</v>
      </c>
      <c r="CB174" s="20">
        <f t="shared" si="171"/>
        <v>506.84927944121517</v>
      </c>
      <c r="CC174" s="59">
        <f t="shared" si="119"/>
        <v>800.18261277454849</v>
      </c>
      <c r="CD174" s="59">
        <f ca="1">AVERAGE(OFFSET($CC$3,0,0,'Données projet'!$E$12+1,1))-AVERAGE(OFFSET($H$3,0,0,'Données projet'!$E$12+1,1))</f>
        <v>249.53949216238527</v>
      </c>
      <c r="CE174" s="59">
        <f t="shared" si="148"/>
        <v>261.78576517528217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5.5222358070705537</v>
      </c>
      <c r="CL174" s="21">
        <f>EXP(-LN(2)/25)*CL173+(1-EXP(-LN(2)/25))/(LN(2)/25)*Calculateur!CG174*Calculateur!CI174*VLOOKUP('Données projet'!$B$12,Paramètres!$A$1:$I$89,3,0)*0.475*44/12</f>
        <v>0.45253652896259966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5.9747723360331531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7">
        <f t="shared" si="110"/>
        <v>585.66172433864131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281.14678081581229</v>
      </c>
      <c r="T175" s="59">
        <f t="shared" si="142"/>
        <v>380.81265808422603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22.339272306860302</v>
      </c>
      <c r="AA175" s="21">
        <f>EXP(-LN(2)/25)*AA174+(1-EXP(-LN(2)/25))/(LN(2)/25)*Calculateur!V175*Calculateur!X175*VLOOKUP('Données projet'!$B$9,Paramètres!$A$1:$I$89,3,0)*0.475*44/12</f>
        <v>2.2714239498777777</v>
      </c>
      <c r="AB175" s="21">
        <f>EXP(-LN(2)/2)*AB174+(1-EXP(-LN(2)/2))/(LN(2)/2)*V175*Y175*VLOOKUP('Données projet'!$B$9,Paramètres!$A$1:$I$89,3,0)*0.475*44/12</f>
        <v>8.2537084716694276E-17</v>
      </c>
      <c r="AC175" s="22">
        <f t="shared" si="163"/>
        <v>24.61069625673808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279.9271639349646</v>
      </c>
      <c r="AO175" s="59">
        <f t="shared" si="144"/>
        <v>260.03726798406916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3.4106051316484809E-13</v>
      </c>
      <c r="BE175" s="13">
        <f>BD175*VLOOKUP('Données projet'!$B$11,Paramètres!$A$1:$I$89,3,0)*VLOOKUP('Données projet'!$B$11,Paramètres!$A$1:$I$89,5,0)</f>
        <v>2.9262992029543969E-13</v>
      </c>
      <c r="BF175" s="13">
        <f t="shared" si="167"/>
        <v>3.8796387982050903E-12</v>
      </c>
      <c r="BG175" s="20">
        <f t="shared" si="168"/>
        <v>7.2667013513884219E-12</v>
      </c>
      <c r="BH175" s="59">
        <f t="shared" si="116"/>
        <v>293.33333333334059</v>
      </c>
      <c r="BI175" s="59">
        <f ca="1">AVERAGE(OFFSET($BH$3,0,0,'Données projet'!$E$11+1,1))-AVERAGE(OFFSET($H$3,0,0,'Données projet'!$E$11+1,1))</f>
        <v>212.99246338839475</v>
      </c>
      <c r="BJ175" s="59">
        <f t="shared" si="146"/>
        <v>162.04040335537223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233.89079999999998</v>
      </c>
      <c r="CA175" s="13">
        <f t="shared" si="170"/>
        <v>57.123140349023068</v>
      </c>
      <c r="CB175" s="20">
        <f t="shared" si="171"/>
        <v>506.84927944121517</v>
      </c>
      <c r="CC175" s="59">
        <f t="shared" si="119"/>
        <v>800.18261277454849</v>
      </c>
      <c r="CD175" s="59">
        <f ca="1">AVERAGE(OFFSET($CC$3,0,0,'Données projet'!$E$12+1,1))-AVERAGE(OFFSET($H$3,0,0,'Données projet'!$E$12+1,1))</f>
        <v>249.53949216238527</v>
      </c>
      <c r="CE175" s="59">
        <f t="shared" si="148"/>
        <v>261.78576517528217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5.4139481311251574</v>
      </c>
      <c r="CL175" s="21">
        <f>EXP(-LN(2)/25)*CL174+(1-EXP(-LN(2)/25))/(LN(2)/25)*Calculateur!CG175*Calculateur!CI175*VLOOKUP('Données projet'!$B$12,Paramètres!$A$1:$I$89,3,0)*0.475*44/12</f>
        <v>0.44016189378025561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5.8541100249054132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7">
        <f t="shared" si="110"/>
        <v>587.52882901393605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281.14678081581229</v>
      </c>
      <c r="T176" s="59">
        <f t="shared" si="142"/>
        <v>380.81265808422603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21.901212802533461</v>
      </c>
      <c r="AA176" s="21">
        <f>EXP(-LN(2)/25)*AA175+(1-EXP(-LN(2)/25))/(LN(2)/25)*Calculateur!V176*Calculateur!X176*VLOOKUP('Données projet'!$B$9,Paramètres!$A$1:$I$89,3,0)*0.475*44/12</f>
        <v>2.2093117425193758</v>
      </c>
      <c r="AB176" s="21">
        <f>EXP(-LN(2)/2)*AB175+(1-EXP(-LN(2)/2))/(LN(2)/2)*V176*Y176*VLOOKUP('Données projet'!$B$9,Paramètres!$A$1:$I$89,3,0)*0.475*44/12</f>
        <v>5.8362532302543075E-17</v>
      </c>
      <c r="AC176" s="22">
        <f t="shared" si="163"/>
        <v>24.110524545052836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279.9271639349646</v>
      </c>
      <c r="AO176" s="59">
        <f t="shared" si="144"/>
        <v>260.03726798406916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3.4106051316484809E-13</v>
      </c>
      <c r="BE176" s="13">
        <f>BD176*VLOOKUP('Données projet'!$B$11,Paramètres!$A$1:$I$89,3,0)*VLOOKUP('Données projet'!$B$11,Paramètres!$A$1:$I$89,5,0)</f>
        <v>2.9262992029543969E-13</v>
      </c>
      <c r="BF176" s="13">
        <f t="shared" si="167"/>
        <v>3.8796387982050903E-12</v>
      </c>
      <c r="BG176" s="20">
        <f t="shared" si="168"/>
        <v>7.2667013513884219E-12</v>
      </c>
      <c r="BH176" s="59">
        <f t="shared" si="116"/>
        <v>293.33333333334059</v>
      </c>
      <c r="BI176" s="59">
        <f ca="1">AVERAGE(OFFSET($BH$3,0,0,'Données projet'!$E$11+1,1))-AVERAGE(OFFSET($H$3,0,0,'Données projet'!$E$11+1,1))</f>
        <v>212.99246338839475</v>
      </c>
      <c r="BJ176" s="59">
        <f t="shared" si="146"/>
        <v>162.04040335537223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233.89079999999998</v>
      </c>
      <c r="CA176" s="13">
        <f t="shared" si="170"/>
        <v>57.123140349023068</v>
      </c>
      <c r="CB176" s="20">
        <f t="shared" si="171"/>
        <v>506.84927944121517</v>
      </c>
      <c r="CC176" s="59">
        <f t="shared" si="119"/>
        <v>800.18261277454849</v>
      </c>
      <c r="CD176" s="59">
        <f ca="1">AVERAGE(OFFSET($CC$3,0,0,'Données projet'!$E$12+1,1))-AVERAGE(OFFSET($H$3,0,0,'Données projet'!$E$12+1,1))</f>
        <v>249.53949216238527</v>
      </c>
      <c r="CE176" s="59">
        <f t="shared" si="148"/>
        <v>261.78576517528217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5.3077839104560898</v>
      </c>
      <c r="CL176" s="21">
        <f>EXP(-LN(2)/25)*CL175+(1-EXP(-LN(2)/25))/(LN(2)/25)*Calculateur!CG176*Calculateur!CI176*VLOOKUP('Données projet'!$B$12,Paramètres!$A$1:$I$89,3,0)*0.475*44/12</f>
        <v>0.42812564364772654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5.7359095541038165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7">
        <f t="shared" si="110"/>
        <v>589.39570124551142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281.14678081581229</v>
      </c>
      <c r="T177" s="59">
        <f t="shared" si="142"/>
        <v>380.81265808422603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21.471743377896555</v>
      </c>
      <c r="AA177" s="21">
        <f>EXP(-LN(2)/25)*AA176+(1-EXP(-LN(2)/25))/(LN(2)/25)*Calculateur!V177*Calculateur!X177*VLOOKUP('Données projet'!$B$9,Paramètres!$A$1:$I$89,3,0)*0.475*44/12</f>
        <v>2.1488979967375283</v>
      </c>
      <c r="AB177" s="21">
        <f>EXP(-LN(2)/2)*AB176+(1-EXP(-LN(2)/2))/(LN(2)/2)*V177*Y177*VLOOKUP('Données projet'!$B$9,Paramètres!$A$1:$I$89,3,0)*0.475*44/12</f>
        <v>4.1268542358347138E-17</v>
      </c>
      <c r="AC177" s="22">
        <f t="shared" si="163"/>
        <v>23.620641374634083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279.9271639349646</v>
      </c>
      <c r="AO177" s="59">
        <f t="shared" si="144"/>
        <v>260.03726798406916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3.4106051316484809E-13</v>
      </c>
      <c r="BE177" s="13">
        <f>BD177*VLOOKUP('Données projet'!$B$11,Paramètres!$A$1:$I$89,3,0)*VLOOKUP('Données projet'!$B$11,Paramètres!$A$1:$I$89,5,0)</f>
        <v>2.9262992029543969E-13</v>
      </c>
      <c r="BF177" s="13">
        <f t="shared" si="167"/>
        <v>3.8796387982050903E-12</v>
      </c>
      <c r="BG177" s="20">
        <f t="shared" si="168"/>
        <v>7.2667013513884219E-12</v>
      </c>
      <c r="BH177" s="59">
        <f t="shared" si="116"/>
        <v>293.33333333334059</v>
      </c>
      <c r="BI177" s="59">
        <f ca="1">AVERAGE(OFFSET($BH$3,0,0,'Données projet'!$E$11+1,1))-AVERAGE(OFFSET($H$3,0,0,'Données projet'!$E$11+1,1))</f>
        <v>212.99246338839475</v>
      </c>
      <c r="BJ177" s="59">
        <f t="shared" si="146"/>
        <v>162.04040335537223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233.89079999999998</v>
      </c>
      <c r="CA177" s="13">
        <f t="shared" si="170"/>
        <v>57.123140349023068</v>
      </c>
      <c r="CB177" s="20">
        <f t="shared" si="171"/>
        <v>506.84927944121517</v>
      </c>
      <c r="CC177" s="59">
        <f t="shared" si="119"/>
        <v>800.18261277454849</v>
      </c>
      <c r="CD177" s="59">
        <f ca="1">AVERAGE(OFFSET($CC$3,0,0,'Données projet'!$E$12+1,1))-AVERAGE(OFFSET($H$3,0,0,'Données projet'!$E$12+1,1))</f>
        <v>249.53949216238527</v>
      </c>
      <c r="CE177" s="59">
        <f t="shared" si="148"/>
        <v>261.78576517528217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5.203701505400562</v>
      </c>
      <c r="CL177" s="21">
        <f>EXP(-LN(2)/25)*CL176+(1-EXP(-LN(2)/25))/(LN(2)/25)*Calculateur!CG177*Calculateur!CI177*VLOOKUP('Données projet'!$B$12,Paramètres!$A$1:$I$89,3,0)*0.475*44/12</f>
        <v>0.41641852540803037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5.6201200308085921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7">
        <f t="shared" si="110"/>
        <v>591.2623425242657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281.14678081581229</v>
      </c>
      <c r="T178" s="59">
        <f t="shared" si="142"/>
        <v>380.81265808422603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21.050695586726295</v>
      </c>
      <c r="AA178" s="21">
        <f>EXP(-LN(2)/25)*AA177+(1-EXP(-LN(2)/25))/(LN(2)/25)*Calculateur!V178*Calculateur!X178*VLOOKUP('Données projet'!$B$9,Paramètres!$A$1:$I$89,3,0)*0.475*44/12</f>
        <v>2.0901362680111064</v>
      </c>
      <c r="AB178" s="21">
        <f>EXP(-LN(2)/2)*AB177+(1-EXP(-LN(2)/2))/(LN(2)/2)*V178*Y178*VLOOKUP('Données projet'!$B$9,Paramètres!$A$1:$I$89,3,0)*0.475*44/12</f>
        <v>2.9181266151271537E-17</v>
      </c>
      <c r="AC178" s="22">
        <f t="shared" si="163"/>
        <v>23.140831854737403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279.9271639349646</v>
      </c>
      <c r="AO178" s="59">
        <f t="shared" si="144"/>
        <v>260.03726798406916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3.4106051316484809E-13</v>
      </c>
      <c r="BE178" s="13">
        <f>BD178*VLOOKUP('Données projet'!$B$11,Paramètres!$A$1:$I$89,3,0)*VLOOKUP('Données projet'!$B$11,Paramètres!$A$1:$I$89,5,0)</f>
        <v>2.9262992029543969E-13</v>
      </c>
      <c r="BF178" s="13">
        <f t="shared" si="167"/>
        <v>3.8796387982050903E-12</v>
      </c>
      <c r="BG178" s="20">
        <f t="shared" si="168"/>
        <v>7.2667013513884219E-12</v>
      </c>
      <c r="BH178" s="59">
        <f t="shared" si="116"/>
        <v>293.33333333334059</v>
      </c>
      <c r="BI178" s="59">
        <f ca="1">AVERAGE(OFFSET($BH$3,0,0,'Données projet'!$E$11+1,1))-AVERAGE(OFFSET($H$3,0,0,'Données projet'!$E$11+1,1))</f>
        <v>212.99246338839475</v>
      </c>
      <c r="BJ178" s="59">
        <f t="shared" si="146"/>
        <v>162.04040335537223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233.89079999999998</v>
      </c>
      <c r="CA178" s="13">
        <f t="shared" si="170"/>
        <v>57.123140349023068</v>
      </c>
      <c r="CB178" s="20">
        <f t="shared" si="171"/>
        <v>506.84927944121517</v>
      </c>
      <c r="CC178" s="59">
        <f t="shared" si="119"/>
        <v>800.18261277454849</v>
      </c>
      <c r="CD178" s="59">
        <f ca="1">AVERAGE(OFFSET($CC$3,0,0,'Données projet'!$E$12+1,1))-AVERAGE(OFFSET($H$3,0,0,'Données projet'!$E$12+1,1))</f>
        <v>249.53949216238527</v>
      </c>
      <c r="CE178" s="59">
        <f t="shared" si="148"/>
        <v>261.78576517528217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5.101660092824174</v>
      </c>
      <c r="CL178" s="21">
        <f>EXP(-LN(2)/25)*CL177+(1-EXP(-LN(2)/25))/(LN(2)/25)*Calculateur!CG178*Calculateur!CI178*VLOOKUP('Données projet'!$B$12,Paramètres!$A$1:$I$89,3,0)*0.475*44/12</f>
        <v>0.40503153893224925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5.5066916317564232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7">
        <f t="shared" si="110"/>
        <v>593.12875432307192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281.14678081581229</v>
      </c>
      <c r="T179" s="59">
        <f t="shared" si="142"/>
        <v>380.81265808422603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20.637904285927089</v>
      </c>
      <c r="AA179" s="21">
        <f>EXP(-LN(2)/25)*AA178+(1-EXP(-LN(2)/25))/(LN(2)/25)*Calculateur!V179*Calculateur!X179*VLOOKUP('Données projet'!$B$9,Paramètres!$A$1:$I$89,3,0)*0.475*44/12</f>
        <v>2.0329813818468536</v>
      </c>
      <c r="AB179" s="21">
        <f>EXP(-LN(2)/2)*AB178+(1-EXP(-LN(2)/2))/(LN(2)/2)*V179*Y179*VLOOKUP('Données projet'!$B$9,Paramètres!$A$1:$I$89,3,0)*0.475*44/12</f>
        <v>2.0634271179173569E-17</v>
      </c>
      <c r="AC179" s="22">
        <f t="shared" si="163"/>
        <v>22.670885667773941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279.9271639349646</v>
      </c>
      <c r="AO179" s="59">
        <f t="shared" si="144"/>
        <v>260.03726798406916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3.4106051316484809E-13</v>
      </c>
      <c r="BE179" s="13">
        <f>BD179*VLOOKUP('Données projet'!$B$11,Paramètres!$A$1:$I$89,3,0)*VLOOKUP('Données projet'!$B$11,Paramètres!$A$1:$I$89,5,0)</f>
        <v>2.9262992029543969E-13</v>
      </c>
      <c r="BF179" s="13">
        <f t="shared" si="167"/>
        <v>3.8796387982050903E-12</v>
      </c>
      <c r="BG179" s="20">
        <f t="shared" si="168"/>
        <v>7.2667013513884219E-12</v>
      </c>
      <c r="BH179" s="59">
        <f t="shared" si="116"/>
        <v>293.33333333334059</v>
      </c>
      <c r="BI179" s="59">
        <f ca="1">AVERAGE(OFFSET($BH$3,0,0,'Données projet'!$E$11+1,1))-AVERAGE(OFFSET($H$3,0,0,'Données projet'!$E$11+1,1))</f>
        <v>212.99246338839475</v>
      </c>
      <c r="BJ179" s="59">
        <f t="shared" si="146"/>
        <v>162.04040335537223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233.89079999999998</v>
      </c>
      <c r="CA179" s="13">
        <f t="shared" si="170"/>
        <v>57.123140349023068</v>
      </c>
      <c r="CB179" s="20">
        <f t="shared" si="171"/>
        <v>506.84927944121517</v>
      </c>
      <c r="CC179" s="59">
        <f t="shared" si="119"/>
        <v>800.18261277454849</v>
      </c>
      <c r="CD179" s="59">
        <f ca="1">AVERAGE(OFFSET($CC$3,0,0,'Données projet'!$E$12+1,1))-AVERAGE(OFFSET($H$3,0,0,'Données projet'!$E$12+1,1))</f>
        <v>249.53949216238527</v>
      </c>
      <c r="CE179" s="59">
        <f t="shared" si="148"/>
        <v>261.78576517528217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5.0016196501092933</v>
      </c>
      <c r="CL179" s="21">
        <f>EXP(-LN(2)/25)*CL178+(1-EXP(-LN(2)/25))/(LN(2)/25)*Calculateur!CG179*Calculateur!CI179*VLOOKUP('Données projet'!$B$12,Paramètres!$A$1:$I$89,3,0)*0.475*44/12</f>
        <v>0.39395593020046399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5.3955755803097576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7">
        <f t="shared" si="110"/>
        <v>594.99493809709747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281.14678081581229</v>
      </c>
      <c r="T180" s="59">
        <f t="shared" si="142"/>
        <v>380.81265808422603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20.233207570758722</v>
      </c>
      <c r="AA180" s="21">
        <f>EXP(-LN(2)/25)*AA179+(1-EXP(-LN(2)/25))/(LN(2)/25)*Calculateur!V180*Calculateur!X180*VLOOKUP('Données projet'!$B$9,Paramètres!$A$1:$I$89,3,0)*0.475*44/12</f>
        <v>1.977389399050407</v>
      </c>
      <c r="AB180" s="21">
        <f>EXP(-LN(2)/2)*AB179+(1-EXP(-LN(2)/2))/(LN(2)/2)*V180*Y180*VLOOKUP('Données projet'!$B$9,Paramètres!$A$1:$I$89,3,0)*0.475*44/12</f>
        <v>1.4590633075635769E-17</v>
      </c>
      <c r="AC180" s="22">
        <f t="shared" si="163"/>
        <v>22.210596969809128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279.9271639349646</v>
      </c>
      <c r="AO180" s="59">
        <f t="shared" si="144"/>
        <v>260.03726798406916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3.4106051316484809E-13</v>
      </c>
      <c r="BE180" s="13">
        <f>BD180*VLOOKUP('Données projet'!$B$11,Paramètres!$A$1:$I$89,3,0)*VLOOKUP('Données projet'!$B$11,Paramètres!$A$1:$I$89,5,0)</f>
        <v>2.9262992029543969E-13</v>
      </c>
      <c r="BF180" s="13">
        <f t="shared" si="167"/>
        <v>3.8796387982050903E-12</v>
      </c>
      <c r="BG180" s="20">
        <f t="shared" si="168"/>
        <v>7.2667013513884219E-12</v>
      </c>
      <c r="BH180" s="59">
        <f t="shared" si="116"/>
        <v>293.33333333334059</v>
      </c>
      <c r="BI180" s="59">
        <f ca="1">AVERAGE(OFFSET($BH$3,0,0,'Données projet'!$E$11+1,1))-AVERAGE(OFFSET($H$3,0,0,'Données projet'!$E$11+1,1))</f>
        <v>212.99246338839475</v>
      </c>
      <c r="BJ180" s="59">
        <f t="shared" si="146"/>
        <v>162.04040335537223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233.89079999999998</v>
      </c>
      <c r="CA180" s="13">
        <f t="shared" si="170"/>
        <v>57.123140349023068</v>
      </c>
      <c r="CB180" s="20">
        <f t="shared" si="171"/>
        <v>506.84927944121517</v>
      </c>
      <c r="CC180" s="59">
        <f t="shared" si="119"/>
        <v>800.18261277454849</v>
      </c>
      <c r="CD180" s="59">
        <f ca="1">AVERAGE(OFFSET($CC$3,0,0,'Données projet'!$E$12+1,1))-AVERAGE(OFFSET($H$3,0,0,'Données projet'!$E$12+1,1))</f>
        <v>249.53949216238527</v>
      </c>
      <c r="CE180" s="59">
        <f t="shared" si="148"/>
        <v>261.78576517528217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4.9035409394574065</v>
      </c>
      <c r="CL180" s="21">
        <f>EXP(-LN(2)/25)*CL179+(1-EXP(-LN(2)/25))/(LN(2)/25)*Calculateur!CG180*Calculateur!CI180*VLOOKUP('Données projet'!$B$12,Paramètres!$A$1:$I$89,3,0)*0.475*44/12</f>
        <v>0.38318318457189032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5.2867241240292966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7">
        <f t="shared" si="110"/>
        <v>596.86089528411594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281.14678081581229</v>
      </c>
      <c r="T181" s="59">
        <f t="shared" si="142"/>
        <v>380.81265808422603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19.836446711334187</v>
      </c>
      <c r="AA181" s="21">
        <f>EXP(-LN(2)/25)*AA180+(1-EXP(-LN(2)/25))/(LN(2)/25)*Calculateur!V181*Calculateur!X181*VLOOKUP('Données projet'!$B$9,Paramètres!$A$1:$I$89,3,0)*0.475*44/12</f>
        <v>1.9233175819469845</v>
      </c>
      <c r="AB181" s="21">
        <f>EXP(-LN(2)/2)*AB180+(1-EXP(-LN(2)/2))/(LN(2)/2)*V181*Y181*VLOOKUP('Données projet'!$B$9,Paramètres!$A$1:$I$89,3,0)*0.475*44/12</f>
        <v>1.0317135589586785E-17</v>
      </c>
      <c r="AC181" s="22">
        <f t="shared" si="163"/>
        <v>21.759764293281172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279.9271639349646</v>
      </c>
      <c r="AO181" s="59">
        <f t="shared" si="144"/>
        <v>260.03726798406916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3.4106051316484809E-13</v>
      </c>
      <c r="BE181" s="13">
        <f>BD181*VLOOKUP('Données projet'!$B$11,Paramètres!$A$1:$I$89,3,0)*VLOOKUP('Données projet'!$B$11,Paramètres!$A$1:$I$89,5,0)</f>
        <v>2.9262992029543969E-13</v>
      </c>
      <c r="BF181" s="13">
        <f t="shared" si="167"/>
        <v>3.8796387982050903E-12</v>
      </c>
      <c r="BG181" s="20">
        <f t="shared" si="168"/>
        <v>7.2667013513884219E-12</v>
      </c>
      <c r="BH181" s="59">
        <f t="shared" si="116"/>
        <v>293.33333333334059</v>
      </c>
      <c r="BI181" s="59">
        <f ca="1">AVERAGE(OFFSET($BH$3,0,0,'Données projet'!$E$11+1,1))-AVERAGE(OFFSET($H$3,0,0,'Données projet'!$E$11+1,1))</f>
        <v>212.99246338839475</v>
      </c>
      <c r="BJ181" s="59">
        <f t="shared" si="146"/>
        <v>162.04040335537223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233.89079999999998</v>
      </c>
      <c r="CA181" s="13">
        <f t="shared" si="170"/>
        <v>57.123140349023068</v>
      </c>
      <c r="CB181" s="20">
        <f t="shared" si="171"/>
        <v>506.84927944121517</v>
      </c>
      <c r="CC181" s="59">
        <f t="shared" si="119"/>
        <v>800.18261277454849</v>
      </c>
      <c r="CD181" s="59">
        <f ca="1">AVERAGE(OFFSET($CC$3,0,0,'Données projet'!$E$12+1,1))-AVERAGE(OFFSET($H$3,0,0,'Données projet'!$E$12+1,1))</f>
        <v>249.53949216238527</v>
      </c>
      <c r="CE181" s="59">
        <f t="shared" si="148"/>
        <v>261.78576517528217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4.8073854924992965</v>
      </c>
      <c r="CL181" s="21">
        <f>EXP(-LN(2)/25)*CL180+(1-EXP(-LN(2)/25))/(LN(2)/25)*Calculateur!CG181*Calculateur!CI181*VLOOKUP('Données projet'!$B$12,Paramètres!$A$1:$I$89,3,0)*0.475*44/12</f>
        <v>0.37270502023904406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5.1800905127383405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7">
        <f t="shared" si="110"/>
        <v>598.72662730481102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281.14678081581229</v>
      </c>
      <c r="T182" s="59">
        <f t="shared" si="142"/>
        <v>380.81265808422603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19.447466090362738</v>
      </c>
      <c r="AA182" s="21">
        <f>EXP(-LN(2)/25)*AA181+(1-EXP(-LN(2)/25))/(LN(2)/25)*Calculateur!V182*Calculateur!X182*VLOOKUP('Données projet'!$B$9,Paramètres!$A$1:$I$89,3,0)*0.475*44/12</f>
        <v>1.8707243615257685</v>
      </c>
      <c r="AB182" s="21">
        <f>EXP(-LN(2)/2)*AB181+(1-EXP(-LN(2)/2))/(LN(2)/2)*V182*Y182*VLOOKUP('Données projet'!$B$9,Paramètres!$A$1:$I$89,3,0)*0.475*44/12</f>
        <v>7.2953165378178844E-18</v>
      </c>
      <c r="AC182" s="22">
        <f t="shared" si="163"/>
        <v>21.318190451888505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279.9271639349646</v>
      </c>
      <c r="AO182" s="59">
        <f t="shared" si="144"/>
        <v>260.03726798406916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3.4106051316484809E-13</v>
      </c>
      <c r="BE182" s="13">
        <f>BD182*VLOOKUP('Données projet'!$B$11,Paramètres!$A$1:$I$89,3,0)*VLOOKUP('Données projet'!$B$11,Paramètres!$A$1:$I$89,5,0)</f>
        <v>2.9262992029543969E-13</v>
      </c>
      <c r="BF182" s="13">
        <f t="shared" si="167"/>
        <v>3.8796387982050903E-12</v>
      </c>
      <c r="BG182" s="20">
        <f t="shared" si="168"/>
        <v>7.2667013513884219E-12</v>
      </c>
      <c r="BH182" s="59">
        <f t="shared" si="116"/>
        <v>293.33333333334059</v>
      </c>
      <c r="BI182" s="59">
        <f ca="1">AVERAGE(OFFSET($BH$3,0,0,'Données projet'!$E$11+1,1))-AVERAGE(OFFSET($H$3,0,0,'Données projet'!$E$11+1,1))</f>
        <v>212.99246338839475</v>
      </c>
      <c r="BJ182" s="59">
        <f t="shared" si="146"/>
        <v>162.04040335537223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233.89079999999998</v>
      </c>
      <c r="CA182" s="13">
        <f t="shared" si="170"/>
        <v>57.123140349023068</v>
      </c>
      <c r="CB182" s="20">
        <f t="shared" si="171"/>
        <v>506.84927944121517</v>
      </c>
      <c r="CC182" s="59">
        <f t="shared" si="119"/>
        <v>800.18261277454849</v>
      </c>
      <c r="CD182" s="59">
        <f ca="1">AVERAGE(OFFSET($CC$3,0,0,'Données projet'!$E$12+1,1))-AVERAGE(OFFSET($H$3,0,0,'Données projet'!$E$12+1,1))</f>
        <v>249.53949216238527</v>
      </c>
      <c r="CE182" s="59">
        <f t="shared" si="148"/>
        <v>261.78576517528217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4.7131155952070038</v>
      </c>
      <c r="CL182" s="21">
        <f>EXP(-LN(2)/25)*CL181+(1-EXP(-LN(2)/25))/(LN(2)/25)*Calculateur!CG182*Calculateur!CI182*VLOOKUP('Données projet'!$B$12,Paramètres!$A$1:$I$89,3,0)*0.475*44/12</f>
        <v>0.36251338186090221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5.0756289770679057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7">
        <f t="shared" si="110"/>
        <v>600.59213556307429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281.14678081581229</v>
      </c>
      <c r="T183" s="59">
        <f t="shared" si="142"/>
        <v>380.81265808422603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19.066113142113785</v>
      </c>
      <c r="AA183" s="21">
        <f>EXP(-LN(2)/25)*AA182+(1-EXP(-LN(2)/25))/(LN(2)/25)*Calculateur!V183*Calculateur!X183*VLOOKUP('Données projet'!$B$9,Paramètres!$A$1:$I$89,3,0)*0.475*44/12</f>
        <v>1.8195693054827278</v>
      </c>
      <c r="AB183" s="21">
        <f>EXP(-LN(2)/2)*AB182+(1-EXP(-LN(2)/2))/(LN(2)/2)*V183*Y183*VLOOKUP('Données projet'!$B$9,Paramètres!$A$1:$I$89,3,0)*0.475*44/12</f>
        <v>5.1585677947933923E-18</v>
      </c>
      <c r="AC183" s="22">
        <f t="shared" si="163"/>
        <v>20.885682447596512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279.9271639349646</v>
      </c>
      <c r="AO183" s="59">
        <f t="shared" si="144"/>
        <v>260.03726798406916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3.4106051316484809E-13</v>
      </c>
      <c r="BE183" s="13">
        <f>BD183*VLOOKUP('Données projet'!$B$11,Paramètres!$A$1:$I$89,3,0)*VLOOKUP('Données projet'!$B$11,Paramètres!$A$1:$I$89,5,0)</f>
        <v>2.9262992029543969E-13</v>
      </c>
      <c r="BF183" s="13">
        <f t="shared" si="167"/>
        <v>3.8796387982050903E-12</v>
      </c>
      <c r="BG183" s="20">
        <f t="shared" si="168"/>
        <v>7.2667013513884219E-12</v>
      </c>
      <c r="BH183" s="59">
        <f t="shared" si="116"/>
        <v>293.33333333334059</v>
      </c>
      <c r="BI183" s="59">
        <f ca="1">AVERAGE(OFFSET($BH$3,0,0,'Données projet'!$E$11+1,1))-AVERAGE(OFFSET($H$3,0,0,'Données projet'!$E$11+1,1))</f>
        <v>212.99246338839475</v>
      </c>
      <c r="BJ183" s="59">
        <f t="shared" si="146"/>
        <v>162.04040335537223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233.89079999999998</v>
      </c>
      <c r="CA183" s="13">
        <f t="shared" si="170"/>
        <v>57.123140349023068</v>
      </c>
      <c r="CB183" s="20">
        <f t="shared" si="171"/>
        <v>506.84927944121517</v>
      </c>
      <c r="CC183" s="59">
        <f t="shared" si="119"/>
        <v>800.18261277454849</v>
      </c>
      <c r="CD183" s="59">
        <f ca="1">AVERAGE(OFFSET($CC$3,0,0,'Données projet'!$E$12+1,1))-AVERAGE(OFFSET($H$3,0,0,'Données projet'!$E$12+1,1))</f>
        <v>249.53949216238527</v>
      </c>
      <c r="CE183" s="59">
        <f t="shared" si="148"/>
        <v>261.78576517528217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4.6206942731016527</v>
      </c>
      <c r="CL183" s="21">
        <f>EXP(-LN(2)/25)*CL182+(1-EXP(-LN(2)/25))/(LN(2)/25)*Calculateur!CG183*Calculateur!CI183*VLOOKUP('Données projet'!$B$12,Paramètres!$A$1:$I$89,3,0)*0.475*44/12</f>
        <v>0.35260043437016564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4.9732947074718181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7">
        <f t="shared" si="110"/>
        <v>602.45742144629571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281.14678081581229</v>
      </c>
      <c r="T184" s="59">
        <f t="shared" si="142"/>
        <v>380.81265808422603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18.692238292577663</v>
      </c>
      <c r="AA184" s="21">
        <f>EXP(-LN(2)/25)*AA183+(1-EXP(-LN(2)/25))/(LN(2)/25)*Calculateur!V184*Calculateur!X184*VLOOKUP('Données projet'!$B$9,Paramètres!$A$1:$I$89,3,0)*0.475*44/12</f>
        <v>1.7698130871373114</v>
      </c>
      <c r="AB184" s="21">
        <f>EXP(-LN(2)/2)*AB183+(1-EXP(-LN(2)/2))/(LN(2)/2)*V184*Y184*VLOOKUP('Données projet'!$B$9,Paramètres!$A$1:$I$89,3,0)*0.475*44/12</f>
        <v>3.6476582689089422E-18</v>
      </c>
      <c r="AC184" s="22">
        <f t="shared" si="163"/>
        <v>20.462051379714975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279.9271639349646</v>
      </c>
      <c r="AO184" s="59">
        <f t="shared" si="144"/>
        <v>260.03726798406916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3.4106051316484809E-13</v>
      </c>
      <c r="BE184" s="13">
        <f>BD184*VLOOKUP('Données projet'!$B$11,Paramètres!$A$1:$I$89,3,0)*VLOOKUP('Données projet'!$B$11,Paramètres!$A$1:$I$89,5,0)</f>
        <v>2.9262992029543969E-13</v>
      </c>
      <c r="BF184" s="13">
        <f t="shared" si="167"/>
        <v>3.8796387982050903E-12</v>
      </c>
      <c r="BG184" s="20">
        <f t="shared" si="168"/>
        <v>7.2667013513884219E-12</v>
      </c>
      <c r="BH184" s="59">
        <f t="shared" si="116"/>
        <v>293.33333333334059</v>
      </c>
      <c r="BI184" s="59">
        <f ca="1">AVERAGE(OFFSET($BH$3,0,0,'Données projet'!$E$11+1,1))-AVERAGE(OFFSET($H$3,0,0,'Données projet'!$E$11+1,1))</f>
        <v>212.99246338839475</v>
      </c>
      <c r="BJ184" s="59">
        <f t="shared" si="146"/>
        <v>162.04040335537223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233.89079999999998</v>
      </c>
      <c r="CA184" s="13">
        <f t="shared" si="170"/>
        <v>57.123140349023068</v>
      </c>
      <c r="CB184" s="20">
        <f t="shared" si="171"/>
        <v>506.84927944121517</v>
      </c>
      <c r="CC184" s="59">
        <f t="shared" si="119"/>
        <v>800.18261277454849</v>
      </c>
      <c r="CD184" s="59">
        <f ca="1">AVERAGE(OFFSET($CC$3,0,0,'Données projet'!$E$12+1,1))-AVERAGE(OFFSET($H$3,0,0,'Données projet'!$E$12+1,1))</f>
        <v>249.53949216238527</v>
      </c>
      <c r="CE184" s="59">
        <f t="shared" si="148"/>
        <v>261.78576517528217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4.5300852767513478</v>
      </c>
      <c r="CL184" s="21">
        <f>EXP(-LN(2)/25)*CL183+(1-EXP(-LN(2)/25))/(LN(2)/25)*Calculateur!CG184*Calculateur!CI184*VLOOKUP('Données projet'!$B$12,Paramètres!$A$1:$I$89,3,0)*0.475*44/12</f>
        <v>0.34295855694986249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4.8730438337012103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7">
        <f t="shared" si="110"/>
        <v>604.32248632564779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281.14678081581229</v>
      </c>
      <c r="T185" s="59">
        <f t="shared" si="142"/>
        <v>380.81265808422603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18.325694900799803</v>
      </c>
      <c r="AA185" s="21">
        <f>EXP(-LN(2)/25)*AA184+(1-EXP(-LN(2)/25))/(LN(2)/25)*Calculateur!V185*Calculateur!X185*VLOOKUP('Données projet'!$B$9,Paramètres!$A$1:$I$89,3,0)*0.475*44/12</f>
        <v>1.7214174551991164</v>
      </c>
      <c r="AB185" s="21">
        <f>EXP(-LN(2)/2)*AB184+(1-EXP(-LN(2)/2))/(LN(2)/2)*V185*Y185*VLOOKUP('Données projet'!$B$9,Paramètres!$A$1:$I$89,3,0)*0.475*44/12</f>
        <v>2.5792838973966961E-18</v>
      </c>
      <c r="AC185" s="22">
        <f t="shared" si="163"/>
        <v>20.047112355998919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279.9271639349646</v>
      </c>
      <c r="AO185" s="59">
        <f t="shared" si="144"/>
        <v>260.03726798406916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3.4106051316484809E-13</v>
      </c>
      <c r="BE185" s="13">
        <f>BD185*VLOOKUP('Données projet'!$B$11,Paramètres!$A$1:$I$89,3,0)*VLOOKUP('Données projet'!$B$11,Paramètres!$A$1:$I$89,5,0)</f>
        <v>2.9262992029543969E-13</v>
      </c>
      <c r="BF185" s="13">
        <f t="shared" si="167"/>
        <v>3.8796387982050903E-12</v>
      </c>
      <c r="BG185" s="20">
        <f t="shared" si="168"/>
        <v>7.2667013513884219E-12</v>
      </c>
      <c r="BH185" s="59">
        <f t="shared" si="116"/>
        <v>293.33333333334059</v>
      </c>
      <c r="BI185" s="59">
        <f ca="1">AVERAGE(OFFSET($BH$3,0,0,'Données projet'!$E$11+1,1))-AVERAGE(OFFSET($H$3,0,0,'Données projet'!$E$11+1,1))</f>
        <v>212.99246338839475</v>
      </c>
      <c r="BJ185" s="59">
        <f t="shared" si="146"/>
        <v>162.04040335537223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233.89079999999998</v>
      </c>
      <c r="CA185" s="13">
        <f t="shared" si="170"/>
        <v>57.123140349023068</v>
      </c>
      <c r="CB185" s="20">
        <f t="shared" si="171"/>
        <v>506.84927944121517</v>
      </c>
      <c r="CC185" s="59">
        <f t="shared" si="119"/>
        <v>800.18261277454849</v>
      </c>
      <c r="CD185" s="59">
        <f ca="1">AVERAGE(OFFSET($CC$3,0,0,'Données projet'!$E$12+1,1))-AVERAGE(OFFSET($H$3,0,0,'Données projet'!$E$12+1,1))</f>
        <v>249.53949216238527</v>
      </c>
      <c r="CE185" s="59">
        <f t="shared" si="148"/>
        <v>261.78576517528217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4.4412530675534416</v>
      </c>
      <c r="CL185" s="21">
        <f>EXP(-LN(2)/25)*CL184+(1-EXP(-LN(2)/25))/(LN(2)/25)*Calculateur!CG185*Calculateur!CI185*VLOOKUP('Données projet'!$B$12,Paramètres!$A$1:$I$89,3,0)*0.475*44/12</f>
        <v>0.33358033717466185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4.7748334047281036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7">
        <f t="shared" si="110"/>
        <v>606.18733155636312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281.14678081581229</v>
      </c>
      <c r="T186" s="59">
        <f t="shared" si="142"/>
        <v>380.81265808422603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17.966339201365315</v>
      </c>
      <c r="AA186" s="21">
        <f>EXP(-LN(2)/25)*AA185+(1-EXP(-LN(2)/25))/(LN(2)/25)*Calculateur!V186*Calculateur!X186*VLOOKUP('Données projet'!$B$9,Paramètres!$A$1:$I$89,3,0)*0.475*44/12</f>
        <v>1.674345204361287</v>
      </c>
      <c r="AB186" s="21">
        <f>EXP(-LN(2)/2)*AB185+(1-EXP(-LN(2)/2))/(LN(2)/2)*V186*Y186*VLOOKUP('Données projet'!$B$9,Paramètres!$A$1:$I$89,3,0)*0.475*44/12</f>
        <v>1.8238291344544711E-18</v>
      </c>
      <c r="AC186" s="22">
        <f t="shared" si="163"/>
        <v>19.640684405726603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279.9271639349646</v>
      </c>
      <c r="AO186" s="59">
        <f t="shared" si="144"/>
        <v>260.03726798406916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3.4106051316484809E-13</v>
      </c>
      <c r="BE186" s="13">
        <f>BD186*VLOOKUP('Données projet'!$B$11,Paramètres!$A$1:$I$89,3,0)*VLOOKUP('Données projet'!$B$11,Paramètres!$A$1:$I$89,5,0)</f>
        <v>2.9262992029543969E-13</v>
      </c>
      <c r="BF186" s="13">
        <f t="shared" si="167"/>
        <v>3.8796387982050903E-12</v>
      </c>
      <c r="BG186" s="20">
        <f t="shared" si="168"/>
        <v>7.2667013513884219E-12</v>
      </c>
      <c r="BH186" s="59">
        <f t="shared" si="116"/>
        <v>293.33333333334059</v>
      </c>
      <c r="BI186" s="59">
        <f ca="1">AVERAGE(OFFSET($BH$3,0,0,'Données projet'!$E$11+1,1))-AVERAGE(OFFSET($H$3,0,0,'Données projet'!$E$11+1,1))</f>
        <v>212.99246338839475</v>
      </c>
      <c r="BJ186" s="59">
        <f t="shared" si="146"/>
        <v>162.04040335537223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233.89079999999998</v>
      </c>
      <c r="CA186" s="13">
        <f t="shared" si="170"/>
        <v>57.123140349023068</v>
      </c>
      <c r="CB186" s="20">
        <f t="shared" si="171"/>
        <v>506.84927944121517</v>
      </c>
      <c r="CC186" s="59">
        <f t="shared" si="119"/>
        <v>800.18261277454849</v>
      </c>
      <c r="CD186" s="59">
        <f ca="1">AVERAGE(OFFSET($CC$3,0,0,'Données projet'!$E$12+1,1))-AVERAGE(OFFSET($H$3,0,0,'Données projet'!$E$12+1,1))</f>
        <v>249.53949216238527</v>
      </c>
      <c r="CE186" s="59">
        <f t="shared" si="148"/>
        <v>261.78576517528217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4.3541628037956084</v>
      </c>
      <c r="CL186" s="21">
        <f>EXP(-LN(2)/25)*CL185+(1-EXP(-LN(2)/25))/(LN(2)/25)*Calculateur!CG186*Calculateur!CI186*VLOOKUP('Données projet'!$B$12,Paramètres!$A$1:$I$89,3,0)*0.475*44/12</f>
        <v>0.3244585653123932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4.6786213691080016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7">
        <f t="shared" si="110"/>
        <v>608.05195847800564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281.14678081581229</v>
      </c>
      <c r="T187" s="59">
        <f t="shared" si="142"/>
        <v>380.81265808422603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17.614030248011403</v>
      </c>
      <c r="AA187" s="21">
        <f>EXP(-LN(2)/25)*AA186+(1-EXP(-LN(2)/25))/(LN(2)/25)*Calculateur!V187*Calculateur!X187*VLOOKUP('Données projet'!$B$9,Paramètres!$A$1:$I$89,3,0)*0.475*44/12</f>
        <v>1.6285601466980399</v>
      </c>
      <c r="AB187" s="21">
        <f>EXP(-LN(2)/2)*AB186+(1-EXP(-LN(2)/2))/(LN(2)/2)*V187*Y187*VLOOKUP('Données projet'!$B$9,Paramètres!$A$1:$I$89,3,0)*0.475*44/12</f>
        <v>1.2896419486983481E-18</v>
      </c>
      <c r="AC187" s="22">
        <f t="shared" si="163"/>
        <v>19.242590394709442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279.9271639349646</v>
      </c>
      <c r="AO187" s="59">
        <f t="shared" si="144"/>
        <v>260.03726798406916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3.4106051316484809E-13</v>
      </c>
      <c r="BE187" s="13">
        <f>BD187*VLOOKUP('Données projet'!$B$11,Paramètres!$A$1:$I$89,3,0)*VLOOKUP('Données projet'!$B$11,Paramètres!$A$1:$I$89,5,0)</f>
        <v>2.9262992029543969E-13</v>
      </c>
      <c r="BF187" s="13">
        <f t="shared" si="167"/>
        <v>3.8796387982050903E-12</v>
      </c>
      <c r="BG187" s="20">
        <f t="shared" si="168"/>
        <v>7.2667013513884219E-12</v>
      </c>
      <c r="BH187" s="59">
        <f t="shared" si="116"/>
        <v>293.33333333334059</v>
      </c>
      <c r="BI187" s="59">
        <f ca="1">AVERAGE(OFFSET($BH$3,0,0,'Données projet'!$E$11+1,1))-AVERAGE(OFFSET($H$3,0,0,'Données projet'!$E$11+1,1))</f>
        <v>212.99246338839475</v>
      </c>
      <c r="BJ187" s="59">
        <f t="shared" si="146"/>
        <v>162.04040335537223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233.89079999999998</v>
      </c>
      <c r="CA187" s="13">
        <f t="shared" si="170"/>
        <v>57.123140349023068</v>
      </c>
      <c r="CB187" s="20">
        <f t="shared" si="171"/>
        <v>506.84927944121517</v>
      </c>
      <c r="CC187" s="59">
        <f t="shared" si="119"/>
        <v>800.18261277454849</v>
      </c>
      <c r="CD187" s="59">
        <f ca="1">AVERAGE(OFFSET($CC$3,0,0,'Données projet'!$E$12+1,1))-AVERAGE(OFFSET($H$3,0,0,'Données projet'!$E$12+1,1))</f>
        <v>249.53949216238527</v>
      </c>
      <c r="CE187" s="59">
        <f t="shared" si="148"/>
        <v>261.78576517528217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4.2687803269902505</v>
      </c>
      <c r="CL187" s="21">
        <f>EXP(-LN(2)/25)*CL186+(1-EXP(-LN(2)/25))/(LN(2)/25)*Calculateur!CG187*Calculateur!CI187*VLOOKUP('Données projet'!$B$12,Paramètres!$A$1:$I$89,3,0)*0.475*44/12</f>
        <v>0.31558622878139142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4.5843665557716422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7">
        <f t="shared" si="110"/>
        <v>609.91636841473621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281.14678081581229</v>
      </c>
      <c r="T188" s="59">
        <f t="shared" si="142"/>
        <v>380.81265808422603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17.26862985834552</v>
      </c>
      <c r="AA188" s="21">
        <f>EXP(-LN(2)/25)*AA187+(1-EXP(-LN(2)/25))/(LN(2)/25)*Calculateur!V188*Calculateur!X188*VLOOKUP('Données projet'!$B$9,Paramètres!$A$1:$I$89,3,0)*0.475*44/12</f>
        <v>1.584027083844326</v>
      </c>
      <c r="AB188" s="21">
        <f>EXP(-LN(2)/2)*AB187+(1-EXP(-LN(2)/2))/(LN(2)/2)*V188*Y188*VLOOKUP('Données projet'!$B$9,Paramètres!$A$1:$I$89,3,0)*0.475*44/12</f>
        <v>9.1191456722723555E-19</v>
      </c>
      <c r="AC188" s="22">
        <f t="shared" si="163"/>
        <v>18.852656942189846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279.9271639349646</v>
      </c>
      <c r="AO188" s="59">
        <f t="shared" si="144"/>
        <v>260.03726798406916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3.4106051316484809E-13</v>
      </c>
      <c r="BE188" s="13">
        <f>BD188*VLOOKUP('Données projet'!$B$11,Paramètres!$A$1:$I$89,3,0)*VLOOKUP('Données projet'!$B$11,Paramètres!$A$1:$I$89,5,0)</f>
        <v>2.9262992029543969E-13</v>
      </c>
      <c r="BF188" s="13">
        <f t="shared" si="167"/>
        <v>3.8796387982050903E-12</v>
      </c>
      <c r="BG188" s="20">
        <f t="shared" si="168"/>
        <v>7.2667013513884219E-12</v>
      </c>
      <c r="BH188" s="59">
        <f t="shared" si="116"/>
        <v>293.33333333334059</v>
      </c>
      <c r="BI188" s="59">
        <f ca="1">AVERAGE(OFFSET($BH$3,0,0,'Données projet'!$E$11+1,1))-AVERAGE(OFFSET($H$3,0,0,'Données projet'!$E$11+1,1))</f>
        <v>212.99246338839475</v>
      </c>
      <c r="BJ188" s="59">
        <f t="shared" si="146"/>
        <v>162.04040335537223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233.89079999999998</v>
      </c>
      <c r="CA188" s="13">
        <f t="shared" si="170"/>
        <v>57.123140349023068</v>
      </c>
      <c r="CB188" s="20">
        <f t="shared" si="171"/>
        <v>506.84927944121517</v>
      </c>
      <c r="CC188" s="59">
        <f t="shared" si="119"/>
        <v>800.18261277454849</v>
      </c>
      <c r="CD188" s="59">
        <f ca="1">AVERAGE(OFFSET($CC$3,0,0,'Données projet'!$E$12+1,1))-AVERAGE(OFFSET($H$3,0,0,'Données projet'!$E$12+1,1))</f>
        <v>249.53949216238527</v>
      </c>
      <c r="CE188" s="59">
        <f t="shared" si="148"/>
        <v>261.78576517528217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4.1850721484768769</v>
      </c>
      <c r="CL188" s="21">
        <f>EXP(-LN(2)/25)*CL187+(1-EXP(-LN(2)/25))/(LN(2)/25)*Calculateur!CG188*Calculateur!CI188*VLOOKUP('Données projet'!$B$12,Paramètres!$A$1:$I$89,3,0)*0.475*44/12</f>
        <v>0.30695650675940578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4.4920286552362825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7">
        <f t="shared" si="110"/>
        <v>611.78056267557156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281.14678081581229</v>
      </c>
      <c r="T189" s="59">
        <f t="shared" si="142"/>
        <v>380.81265808422603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16.930002559647548</v>
      </c>
      <c r="AA189" s="21">
        <f>EXP(-LN(2)/25)*AA188+(1-EXP(-LN(2)/25))/(LN(2)/25)*Calculateur!V189*Calculateur!X189*VLOOKUP('Données projet'!$B$9,Paramètres!$A$1:$I$89,3,0)*0.475*44/12</f>
        <v>1.5407117799362389</v>
      </c>
      <c r="AB189" s="21">
        <f>EXP(-LN(2)/2)*AB188+(1-EXP(-LN(2)/2))/(LN(2)/2)*V189*Y189*VLOOKUP('Données projet'!$B$9,Paramètres!$A$1:$I$89,3,0)*0.475*44/12</f>
        <v>6.4482097434917403E-19</v>
      </c>
      <c r="AC189" s="22">
        <f t="shared" si="163"/>
        <v>18.470714339583786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279.9271639349646</v>
      </c>
      <c r="AO189" s="59">
        <f t="shared" si="144"/>
        <v>260.03726798406916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3.4106051316484809E-13</v>
      </c>
      <c r="BE189" s="13">
        <f>BD189*VLOOKUP('Données projet'!$B$11,Paramètres!$A$1:$I$89,3,0)*VLOOKUP('Données projet'!$B$11,Paramètres!$A$1:$I$89,5,0)</f>
        <v>2.9262992029543969E-13</v>
      </c>
      <c r="BF189" s="13">
        <f t="shared" si="167"/>
        <v>3.8796387982050903E-12</v>
      </c>
      <c r="BG189" s="20">
        <f t="shared" si="168"/>
        <v>7.2667013513884219E-12</v>
      </c>
      <c r="BH189" s="59">
        <f t="shared" si="116"/>
        <v>293.33333333334059</v>
      </c>
      <c r="BI189" s="59">
        <f ca="1">AVERAGE(OFFSET($BH$3,0,0,'Données projet'!$E$11+1,1))-AVERAGE(OFFSET($H$3,0,0,'Données projet'!$E$11+1,1))</f>
        <v>212.99246338839475</v>
      </c>
      <c r="BJ189" s="59">
        <f t="shared" si="146"/>
        <v>162.04040335537223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233.89079999999998</v>
      </c>
      <c r="CA189" s="13">
        <f t="shared" si="170"/>
        <v>57.123140349023068</v>
      </c>
      <c r="CB189" s="20">
        <f t="shared" si="171"/>
        <v>506.84927944121517</v>
      </c>
      <c r="CC189" s="59">
        <f t="shared" si="119"/>
        <v>800.18261277454849</v>
      </c>
      <c r="CD189" s="59">
        <f ca="1">AVERAGE(OFFSET($CC$3,0,0,'Données projet'!$E$12+1,1))-AVERAGE(OFFSET($H$3,0,0,'Données projet'!$E$12+1,1))</f>
        <v>249.53949216238527</v>
      </c>
      <c r="CE189" s="59">
        <f t="shared" si="148"/>
        <v>261.78576517528217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4.1030054362872033</v>
      </c>
      <c r="CL189" s="21">
        <f>EXP(-LN(2)/25)*CL188+(1-EXP(-LN(2)/25))/(LN(2)/25)*Calculateur!CG189*Calculateur!CI189*VLOOKUP('Données projet'!$B$12,Paramètres!$A$1:$I$89,3,0)*0.475*44/12</f>
        <v>0.29856276493992867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4.401568201227132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7">
        <f t="shared" si="110"/>
        <v>613.64454255463852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281.14678081581229</v>
      </c>
      <c r="T190" s="59">
        <f t="shared" si="142"/>
        <v>380.81265808422603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16.598015535734785</v>
      </c>
      <c r="AA190" s="21">
        <f>EXP(-LN(2)/25)*AA189+(1-EXP(-LN(2)/25))/(LN(2)/25)*Calculateur!V190*Calculateur!X190*VLOOKUP('Données projet'!$B$9,Paramètres!$A$1:$I$89,3,0)*0.475*44/12</f>
        <v>1.4985809352913713</v>
      </c>
      <c r="AB190" s="21">
        <f>EXP(-LN(2)/2)*AB189+(1-EXP(-LN(2)/2))/(LN(2)/2)*V190*Y190*VLOOKUP('Données projet'!$B$9,Paramètres!$A$1:$I$89,3,0)*0.475*44/12</f>
        <v>4.5595728361361777E-19</v>
      </c>
      <c r="AC190" s="22">
        <f t="shared" si="163"/>
        <v>18.096596471026157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279.9271639349646</v>
      </c>
      <c r="AO190" s="59">
        <f t="shared" si="144"/>
        <v>260.03726798406916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3.4106051316484809E-13</v>
      </c>
      <c r="BE190" s="13">
        <f>BD190*VLOOKUP('Données projet'!$B$11,Paramètres!$A$1:$I$89,3,0)*VLOOKUP('Données projet'!$B$11,Paramètres!$A$1:$I$89,5,0)</f>
        <v>2.9262992029543969E-13</v>
      </c>
      <c r="BF190" s="13">
        <f t="shared" si="167"/>
        <v>3.8796387982050903E-12</v>
      </c>
      <c r="BG190" s="20">
        <f t="shared" si="168"/>
        <v>7.2667013513884219E-12</v>
      </c>
      <c r="BH190" s="59">
        <f t="shared" si="116"/>
        <v>293.33333333334059</v>
      </c>
      <c r="BI190" s="59">
        <f ca="1">AVERAGE(OFFSET($BH$3,0,0,'Données projet'!$E$11+1,1))-AVERAGE(OFFSET($H$3,0,0,'Données projet'!$E$11+1,1))</f>
        <v>212.99246338839475</v>
      </c>
      <c r="BJ190" s="59">
        <f t="shared" si="146"/>
        <v>162.04040335537223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233.89079999999998</v>
      </c>
      <c r="CA190" s="13">
        <f t="shared" si="170"/>
        <v>57.123140349023068</v>
      </c>
      <c r="CB190" s="20">
        <f t="shared" si="171"/>
        <v>506.84927944121517</v>
      </c>
      <c r="CC190" s="59">
        <f t="shared" si="119"/>
        <v>800.18261277454849</v>
      </c>
      <c r="CD190" s="59">
        <f ca="1">AVERAGE(OFFSET($CC$3,0,0,'Données projet'!$E$12+1,1))-AVERAGE(OFFSET($H$3,0,0,'Données projet'!$E$12+1,1))</f>
        <v>249.53949216238527</v>
      </c>
      <c r="CE190" s="59">
        <f t="shared" si="148"/>
        <v>261.78576517528217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4.0225480022678175</v>
      </c>
      <c r="CL190" s="21">
        <f>EXP(-LN(2)/25)*CL189+(1-EXP(-LN(2)/25))/(LN(2)/25)*Calculateur!CG190*Calculateur!CI190*VLOOKUP('Données projet'!$B$12,Paramètres!$A$1:$I$89,3,0)*0.475*44/12</f>
        <v>0.29039855043191287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4.3129465526997306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7">
        <f t="shared" si="110"/>
        <v>615.50830933142174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281.14678081581229</v>
      </c>
      <c r="T191" s="59">
        <f t="shared" si="142"/>
        <v>380.81265808422603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16.272538574868861</v>
      </c>
      <c r="AA191" s="21">
        <f>EXP(-LN(2)/25)*AA190+(1-EXP(-LN(2)/25))/(LN(2)/25)*Calculateur!V191*Calculateur!X191*VLOOKUP('Données projet'!$B$9,Paramètres!$A$1:$I$89,3,0)*0.475*44/12</f>
        <v>1.4576021608088823</v>
      </c>
      <c r="AB191" s="21">
        <f>EXP(-LN(2)/2)*AB190+(1-EXP(-LN(2)/2))/(LN(2)/2)*V191*Y191*VLOOKUP('Données projet'!$B$9,Paramètres!$A$1:$I$89,3,0)*0.475*44/12</f>
        <v>3.2241048717458702E-19</v>
      </c>
      <c r="AC191" s="22">
        <f t="shared" si="163"/>
        <v>17.730140735677743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279.9271639349646</v>
      </c>
      <c r="AO191" s="59">
        <f t="shared" si="144"/>
        <v>260.03726798406916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3.4106051316484809E-13</v>
      </c>
      <c r="BE191" s="13">
        <f>BD191*VLOOKUP('Données projet'!$B$11,Paramètres!$A$1:$I$89,3,0)*VLOOKUP('Données projet'!$B$11,Paramètres!$A$1:$I$89,5,0)</f>
        <v>2.9262992029543969E-13</v>
      </c>
      <c r="BF191" s="13">
        <f t="shared" si="167"/>
        <v>3.8796387982050903E-12</v>
      </c>
      <c r="BG191" s="20">
        <f t="shared" si="168"/>
        <v>7.2667013513884219E-12</v>
      </c>
      <c r="BH191" s="59">
        <f t="shared" si="116"/>
        <v>293.33333333334059</v>
      </c>
      <c r="BI191" s="59">
        <f ca="1">AVERAGE(OFFSET($BH$3,0,0,'Données projet'!$E$11+1,1))-AVERAGE(OFFSET($H$3,0,0,'Données projet'!$E$11+1,1))</f>
        <v>212.99246338839475</v>
      </c>
      <c r="BJ191" s="59">
        <f t="shared" si="146"/>
        <v>162.04040335537223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233.89079999999998</v>
      </c>
      <c r="CA191" s="13">
        <f t="shared" si="170"/>
        <v>57.123140349023068</v>
      </c>
      <c r="CB191" s="20">
        <f t="shared" si="171"/>
        <v>506.84927944121517</v>
      </c>
      <c r="CC191" s="59">
        <f t="shared" si="119"/>
        <v>800.18261277454849</v>
      </c>
      <c r="CD191" s="59">
        <f ca="1">AVERAGE(OFFSET($CC$3,0,0,'Données projet'!$E$12+1,1))-AVERAGE(OFFSET($H$3,0,0,'Données projet'!$E$12+1,1))</f>
        <v>249.53949216238527</v>
      </c>
      <c r="CE191" s="59">
        <f t="shared" si="148"/>
        <v>261.78576517528217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3.943668289455363</v>
      </c>
      <c r="CL191" s="21">
        <f>EXP(-LN(2)/25)*CL190+(1-EXP(-LN(2)/25))/(LN(2)/25)*Calculateur!CG191*Calculateur!CI191*VLOOKUP('Données projet'!$B$12,Paramètres!$A$1:$I$89,3,0)*0.475*44/12</f>
        <v>0.28245758679895616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4.2261258762543195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7">
        <f t="shared" si="110"/>
        <v>617.37186427100642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281.14678081581229</v>
      </c>
      <c r="T192" s="59">
        <f t="shared" si="142"/>
        <v>380.81265808422603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15.953444018684173</v>
      </c>
      <c r="AA192" s="21">
        <f>EXP(-LN(2)/25)*AA191+(1-EXP(-LN(2)/25))/(LN(2)/25)*Calculateur!V192*Calculateur!X192*VLOOKUP('Données projet'!$B$9,Paramètres!$A$1:$I$89,3,0)*0.475*44/12</f>
        <v>1.4177439530695972</v>
      </c>
      <c r="AB192" s="21">
        <f>EXP(-LN(2)/2)*AB191+(1-EXP(-LN(2)/2))/(LN(2)/2)*V192*Y192*VLOOKUP('Données projet'!$B$9,Paramètres!$A$1:$I$89,3,0)*0.475*44/12</f>
        <v>2.2797864180680889E-19</v>
      </c>
      <c r="AC192" s="22">
        <f t="shared" si="163"/>
        <v>17.37118797175377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279.9271639349646</v>
      </c>
      <c r="AO192" s="59">
        <f t="shared" si="144"/>
        <v>260.03726798406916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3.4106051316484809E-13</v>
      </c>
      <c r="BE192" s="13">
        <f>BD192*VLOOKUP('Données projet'!$B$11,Paramètres!$A$1:$I$89,3,0)*VLOOKUP('Données projet'!$B$11,Paramètres!$A$1:$I$89,5,0)</f>
        <v>2.9262992029543969E-13</v>
      </c>
      <c r="BF192" s="13">
        <f t="shared" si="167"/>
        <v>3.8796387982050903E-12</v>
      </c>
      <c r="BG192" s="20">
        <f t="shared" si="168"/>
        <v>7.2667013513884219E-12</v>
      </c>
      <c r="BH192" s="59">
        <f t="shared" si="116"/>
        <v>293.33333333334059</v>
      </c>
      <c r="BI192" s="59">
        <f ca="1">AVERAGE(OFFSET($BH$3,0,0,'Données projet'!$E$11+1,1))-AVERAGE(OFFSET($H$3,0,0,'Données projet'!$E$11+1,1))</f>
        <v>212.99246338839475</v>
      </c>
      <c r="BJ192" s="59">
        <f t="shared" si="146"/>
        <v>162.04040335537223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233.89079999999998</v>
      </c>
      <c r="CA192" s="13">
        <f t="shared" si="170"/>
        <v>57.123140349023068</v>
      </c>
      <c r="CB192" s="20">
        <f t="shared" si="171"/>
        <v>506.84927944121517</v>
      </c>
      <c r="CC192" s="59">
        <f t="shared" si="119"/>
        <v>800.18261277454849</v>
      </c>
      <c r="CD192" s="59">
        <f ca="1">AVERAGE(OFFSET($CC$3,0,0,'Données projet'!$E$12+1,1))-AVERAGE(OFFSET($H$3,0,0,'Données projet'!$E$12+1,1))</f>
        <v>249.53949216238527</v>
      </c>
      <c r="CE192" s="59">
        <f t="shared" si="148"/>
        <v>261.78576517528217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3.8663353596992862</v>
      </c>
      <c r="CL192" s="21">
        <f>EXP(-LN(2)/25)*CL191+(1-EXP(-LN(2)/25))/(LN(2)/25)*Calculateur!CG192*Calculateur!CI192*VLOOKUP('Données projet'!$B$12,Paramètres!$A$1:$I$89,3,0)*0.475*44/12</f>
        <v>0.27473376923413978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4.1410691289334256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7">
        <f t="shared" si="110"/>
        <v>619.23520862431519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281.14678081581229</v>
      </c>
      <c r="T193" s="59">
        <f t="shared" si="142"/>
        <v>380.81265808422603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15.640606712117807</v>
      </c>
      <c r="AA193" s="21">
        <f>EXP(-LN(2)/25)*AA192+(1-EXP(-LN(2)/25))/(LN(2)/25)*Calculateur!V193*Calculateur!X193*VLOOKUP('Données projet'!$B$9,Paramètres!$A$1:$I$89,3,0)*0.475*44/12</f>
        <v>1.3789756701169948</v>
      </c>
      <c r="AB193" s="21">
        <f>EXP(-LN(2)/2)*AB192+(1-EXP(-LN(2)/2))/(LN(2)/2)*V193*Y193*VLOOKUP('Données projet'!$B$9,Paramètres!$A$1:$I$89,3,0)*0.475*44/12</f>
        <v>1.6120524358729351E-19</v>
      </c>
      <c r="AC193" s="22">
        <f t="shared" si="163"/>
        <v>17.019582382234802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279.9271639349646</v>
      </c>
      <c r="AO193" s="59">
        <f t="shared" si="144"/>
        <v>260.03726798406916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3.4106051316484809E-13</v>
      </c>
      <c r="BE193" s="13">
        <f>BD193*VLOOKUP('Données projet'!$B$11,Paramètres!$A$1:$I$89,3,0)*VLOOKUP('Données projet'!$B$11,Paramètres!$A$1:$I$89,5,0)</f>
        <v>2.9262992029543969E-13</v>
      </c>
      <c r="BF193" s="13">
        <f t="shared" si="167"/>
        <v>3.8796387982050903E-12</v>
      </c>
      <c r="BG193" s="20">
        <f t="shared" si="168"/>
        <v>7.2667013513884219E-12</v>
      </c>
      <c r="BH193" s="59">
        <f t="shared" si="116"/>
        <v>293.33333333334059</v>
      </c>
      <c r="BI193" s="59">
        <f ca="1">AVERAGE(OFFSET($BH$3,0,0,'Données projet'!$E$11+1,1))-AVERAGE(OFFSET($H$3,0,0,'Données projet'!$E$11+1,1))</f>
        <v>212.99246338839475</v>
      </c>
      <c r="BJ193" s="59">
        <f t="shared" si="146"/>
        <v>162.04040335537223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233.89079999999998</v>
      </c>
      <c r="CA193" s="13">
        <f t="shared" si="170"/>
        <v>57.123140349023068</v>
      </c>
      <c r="CB193" s="20">
        <f t="shared" si="171"/>
        <v>506.84927944121517</v>
      </c>
      <c r="CC193" s="59">
        <f t="shared" si="119"/>
        <v>800.18261277454849</v>
      </c>
      <c r="CD193" s="59">
        <f ca="1">AVERAGE(OFFSET($CC$3,0,0,'Données projet'!$E$12+1,1))-AVERAGE(OFFSET($H$3,0,0,'Données projet'!$E$12+1,1))</f>
        <v>249.53949216238527</v>
      </c>
      <c r="CE193" s="59">
        <f t="shared" si="148"/>
        <v>261.78576517528217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3.7905188815272965</v>
      </c>
      <c r="CL193" s="21">
        <f>EXP(-LN(2)/25)*CL192+(1-EXP(-LN(2)/25))/(LN(2)/25)*Calculateur!CG193*Calculateur!CI193*VLOOKUP('Données projet'!$B$12,Paramètres!$A$1:$I$89,3,0)*0.475*44/12</f>
        <v>0.26722115986681122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4.0577400413941076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7">
        <f t="shared" si="110"/>
        <v>621.09834362834158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281.14678081581229</v>
      </c>
      <c r="T194" s="59">
        <f t="shared" si="142"/>
        <v>380.81265808422603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15.333903954321292</v>
      </c>
      <c r="AA194" s="21">
        <f>EXP(-LN(2)/25)*AA193+(1-EXP(-LN(2)/25))/(LN(2)/25)*Calculateur!V194*Calculateur!X194*VLOOKUP('Données projet'!$B$9,Paramètres!$A$1:$I$89,3,0)*0.475*44/12</f>
        <v>1.3412675079004668</v>
      </c>
      <c r="AB194" s="21">
        <f>EXP(-LN(2)/2)*AB193+(1-EXP(-LN(2)/2))/(LN(2)/2)*V194*Y194*VLOOKUP('Données projet'!$B$9,Paramètres!$A$1:$I$89,3,0)*0.475*44/12</f>
        <v>1.1398932090340444E-19</v>
      </c>
      <c r="AC194" s="22">
        <f t="shared" si="163"/>
        <v>16.675171462221758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279.9271639349646</v>
      </c>
      <c r="AO194" s="59">
        <f t="shared" si="144"/>
        <v>260.03726798406916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3.4106051316484809E-13</v>
      </c>
      <c r="BE194" s="13">
        <f>BD194*VLOOKUP('Données projet'!$B$11,Paramètres!$A$1:$I$89,3,0)*VLOOKUP('Données projet'!$B$11,Paramètres!$A$1:$I$89,5,0)</f>
        <v>2.9262992029543969E-13</v>
      </c>
      <c r="BF194" s="13">
        <f t="shared" si="167"/>
        <v>3.8796387982050903E-12</v>
      </c>
      <c r="BG194" s="20">
        <f t="shared" si="168"/>
        <v>7.2667013513884219E-12</v>
      </c>
      <c r="BH194" s="59">
        <f t="shared" si="116"/>
        <v>293.33333333334059</v>
      </c>
      <c r="BI194" s="59">
        <f ca="1">AVERAGE(OFFSET($BH$3,0,0,'Données projet'!$E$11+1,1))-AVERAGE(OFFSET($H$3,0,0,'Données projet'!$E$11+1,1))</f>
        <v>212.99246338839475</v>
      </c>
      <c r="BJ194" s="59">
        <f t="shared" si="146"/>
        <v>162.04040335537223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233.89079999999998</v>
      </c>
      <c r="CA194" s="13">
        <f t="shared" si="170"/>
        <v>57.123140349023068</v>
      </c>
      <c r="CB194" s="20">
        <f t="shared" si="171"/>
        <v>506.84927944121517</v>
      </c>
      <c r="CC194" s="59">
        <f t="shared" si="119"/>
        <v>800.18261277454849</v>
      </c>
      <c r="CD194" s="59">
        <f ca="1">AVERAGE(OFFSET($CC$3,0,0,'Données projet'!$E$12+1,1))-AVERAGE(OFFSET($H$3,0,0,'Données projet'!$E$12+1,1))</f>
        <v>249.53949216238527</v>
      </c>
      <c r="CE194" s="59">
        <f t="shared" si="148"/>
        <v>261.78576517528217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3.7161891182487743</v>
      </c>
      <c r="CL194" s="21">
        <f>EXP(-LN(2)/25)*CL193+(1-EXP(-LN(2)/25))/(LN(2)/25)*Calculateur!CG194*Calculateur!CI194*VLOOKUP('Données projet'!$B$12,Paramètres!$A$1:$I$89,3,0)*0.475*44/12</f>
        <v>0.2599139831977032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3.9761031014464776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7">
        <f t="shared" si="110"/>
        <v>622.96127050637585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281.14678081581229</v>
      </c>
      <c r="T195" s="59">
        <f t="shared" si="142"/>
        <v>380.81265808422603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15.033215450534955</v>
      </c>
      <c r="AA195" s="21">
        <f>EXP(-LN(2)/25)*AA194+(1-EXP(-LN(2)/25))/(LN(2)/25)*Calculateur!V195*Calculateur!X195*VLOOKUP('Données projet'!$B$9,Paramètres!$A$1:$I$89,3,0)*0.475*44/12</f>
        <v>1.3045904773627357</v>
      </c>
      <c r="AB195" s="21">
        <f>EXP(-LN(2)/2)*AB194+(1-EXP(-LN(2)/2))/(LN(2)/2)*V195*Y195*VLOOKUP('Données projet'!$B$9,Paramètres!$A$1:$I$89,3,0)*0.475*44/12</f>
        <v>8.0602621793646754E-20</v>
      </c>
      <c r="AC195" s="22">
        <f t="shared" si="163"/>
        <v>16.337805927897691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279.9271639349646</v>
      </c>
      <c r="AO195" s="59">
        <f t="shared" si="144"/>
        <v>260.03726798406916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3.4106051316484809E-13</v>
      </c>
      <c r="BE195" s="13">
        <f>BD195*VLOOKUP('Données projet'!$B$11,Paramètres!$A$1:$I$89,3,0)*VLOOKUP('Données projet'!$B$11,Paramètres!$A$1:$I$89,5,0)</f>
        <v>2.9262992029543969E-13</v>
      </c>
      <c r="BF195" s="13">
        <f t="shared" si="167"/>
        <v>3.8796387982050903E-12</v>
      </c>
      <c r="BG195" s="20">
        <f t="shared" si="168"/>
        <v>7.2667013513884219E-12</v>
      </c>
      <c r="BH195" s="59">
        <f t="shared" si="116"/>
        <v>293.33333333334059</v>
      </c>
      <c r="BI195" s="59">
        <f ca="1">AVERAGE(OFFSET($BH$3,0,0,'Données projet'!$E$11+1,1))-AVERAGE(OFFSET($H$3,0,0,'Données projet'!$E$11+1,1))</f>
        <v>212.99246338839475</v>
      </c>
      <c r="BJ195" s="59">
        <f t="shared" si="146"/>
        <v>162.04040335537223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233.89079999999998</v>
      </c>
      <c r="CA195" s="13">
        <f t="shared" si="170"/>
        <v>57.123140349023068</v>
      </c>
      <c r="CB195" s="20">
        <f t="shared" si="171"/>
        <v>506.84927944121517</v>
      </c>
      <c r="CC195" s="59">
        <f t="shared" si="119"/>
        <v>800.18261277454849</v>
      </c>
      <c r="CD195" s="59">
        <f ca="1">AVERAGE(OFFSET($CC$3,0,0,'Données projet'!$E$12+1,1))-AVERAGE(OFFSET($H$3,0,0,'Données projet'!$E$12+1,1))</f>
        <v>249.53949216238527</v>
      </c>
      <c r="CE195" s="59">
        <f t="shared" si="148"/>
        <v>261.78576517528217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3.6433169162914649</v>
      </c>
      <c r="CL195" s="21">
        <f>EXP(-LN(2)/25)*CL194+(1-EXP(-LN(2)/25))/(LN(2)/25)*Calculateur!CG195*Calculateur!CI195*VLOOKUP('Données projet'!$B$12,Paramètres!$A$1:$I$89,3,0)*0.475*44/12</f>
        <v>0.25280662165887968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3.8961235379503445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7">
        <f t="shared" ref="H196:H203" si="192">(B196+E196+F196)*44/12+(C196+D196)*0.475*44/12</f>
        <v>624.8239904682282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281.14678081581229</v>
      </c>
      <c r="T196" s="59">
        <f t="shared" si="142"/>
        <v>380.81265808422603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14.738423264905991</v>
      </c>
      <c r="AA196" s="21">
        <f>EXP(-LN(2)/25)*AA195+(1-EXP(-LN(2)/25))/(LN(2)/25)*Calculateur!V196*Calculateur!X196*VLOOKUP('Données projet'!$B$9,Paramètres!$A$1:$I$89,3,0)*0.475*44/12</f>
        <v>1.2689163821538201</v>
      </c>
      <c r="AB196" s="21">
        <f>EXP(-LN(2)/2)*AB195+(1-EXP(-LN(2)/2))/(LN(2)/2)*V196*Y196*VLOOKUP('Données projet'!$B$9,Paramètres!$A$1:$I$89,3,0)*0.475*44/12</f>
        <v>5.6994660451702222E-20</v>
      </c>
      <c r="AC196" s="22">
        <f t="shared" si="163"/>
        <v>16.007339647059812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279.9271639349646</v>
      </c>
      <c r="AO196" s="59">
        <f t="shared" si="144"/>
        <v>260.03726798406916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3.4106051316484809E-13</v>
      </c>
      <c r="BE196" s="13">
        <f>BD196*VLOOKUP('Données projet'!$B$11,Paramètres!$A$1:$I$89,3,0)*VLOOKUP('Données projet'!$B$11,Paramètres!$A$1:$I$89,5,0)</f>
        <v>2.9262992029543969E-13</v>
      </c>
      <c r="BF196" s="13">
        <f t="shared" si="167"/>
        <v>3.8796387982050903E-12</v>
      </c>
      <c r="BG196" s="20">
        <f t="shared" si="168"/>
        <v>7.2667013513884219E-12</v>
      </c>
      <c r="BH196" s="59">
        <f t="shared" ref="BH196:BH203" si="194">BG196+(AY196+AZ196)*44/12</f>
        <v>293.33333333334059</v>
      </c>
      <c r="BI196" s="59">
        <f ca="1">AVERAGE(OFFSET($BH$3,0,0,'Données projet'!$E$11+1,1))-AVERAGE(OFFSET($H$3,0,0,'Données projet'!$E$11+1,1))</f>
        <v>212.99246338839475</v>
      </c>
      <c r="BJ196" s="59">
        <f t="shared" si="146"/>
        <v>162.04040335537223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233.89079999999998</v>
      </c>
      <c r="CA196" s="13">
        <f t="shared" si="170"/>
        <v>57.123140349023068</v>
      </c>
      <c r="CB196" s="20">
        <f t="shared" si="171"/>
        <v>506.84927944121517</v>
      </c>
      <c r="CC196" s="59">
        <f t="shared" ref="CC196:CC203" si="195">CB196+(BT196+BU196)*44/12</f>
        <v>800.18261277454849</v>
      </c>
      <c r="CD196" s="59">
        <f ca="1">AVERAGE(OFFSET($CC$3,0,0,'Données projet'!$E$12+1,1))-AVERAGE(OFFSET($H$3,0,0,'Données projet'!$E$12+1,1))</f>
        <v>249.53949216238527</v>
      </c>
      <c r="CE196" s="59">
        <f t="shared" si="148"/>
        <v>261.78576517528217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3.571873693766884</v>
      </c>
      <c r="CL196" s="21">
        <f>EXP(-LN(2)/25)*CL195+(1-EXP(-LN(2)/25))/(LN(2)/25)*Calculateur!CG196*Calculateur!CI196*VLOOKUP('Données projet'!$B$12,Paramètres!$A$1:$I$89,3,0)*0.475*44/12</f>
        <v>0.24589361129509518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3.8177673050619791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7">
        <f t="shared" si="192"/>
        <v>626.68650471044612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281.14678081581229</v>
      </c>
      <c r="T197" s="59">
        <f t="shared" ref="T197:T203" si="204">$T$3</f>
        <v>380.81265808422603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14.449411774231733</v>
      </c>
      <c r="AA197" s="21">
        <f>EXP(-LN(2)/25)*AA196+(1-EXP(-LN(2)/25))/(LN(2)/25)*Calculateur!V197*Calculateur!X197*VLOOKUP('Données projet'!$B$9,Paramètres!$A$1:$I$89,3,0)*0.475*44/12</f>
        <v>1.2342177969544115</v>
      </c>
      <c r="AB197" s="21">
        <f>EXP(-LN(2)/2)*AB196+(1-EXP(-LN(2)/2))/(LN(2)/2)*V197*Y197*VLOOKUP('Données projet'!$B$9,Paramètres!$A$1:$I$89,3,0)*0.475*44/12</f>
        <v>4.0301310896823377E-20</v>
      </c>
      <c r="AC197" s="22">
        <f t="shared" si="163"/>
        <v>15.683629571186144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279.9271639349646</v>
      </c>
      <c r="AO197" s="59">
        <f t="shared" ref="AO197:AO203" si="205">$AO$3</f>
        <v>260.03726798406916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3.4106051316484809E-13</v>
      </c>
      <c r="BE197" s="13">
        <f>BD197*VLOOKUP('Données projet'!$B$11,Paramètres!$A$1:$I$89,3,0)*VLOOKUP('Données projet'!$B$11,Paramètres!$A$1:$I$89,5,0)</f>
        <v>2.9262992029543969E-13</v>
      </c>
      <c r="BF197" s="13">
        <f t="shared" si="167"/>
        <v>3.8796387982050903E-12</v>
      </c>
      <c r="BG197" s="20">
        <f t="shared" si="168"/>
        <v>7.2667013513884219E-12</v>
      </c>
      <c r="BH197" s="59">
        <f t="shared" si="194"/>
        <v>293.33333333334059</v>
      </c>
      <c r="BI197" s="59">
        <f ca="1">AVERAGE(OFFSET($BH$3,0,0,'Données projet'!$E$11+1,1))-AVERAGE(OFFSET($H$3,0,0,'Données projet'!$E$11+1,1))</f>
        <v>212.99246338839475</v>
      </c>
      <c r="BJ197" s="59">
        <f t="shared" ref="BJ197:BJ203" si="206">$BJ$3</f>
        <v>162.04040335537223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233.89079999999998</v>
      </c>
      <c r="CA197" s="13">
        <f t="shared" si="170"/>
        <v>57.123140349023068</v>
      </c>
      <c r="CB197" s="20">
        <f t="shared" si="171"/>
        <v>506.84927944121517</v>
      </c>
      <c r="CC197" s="59">
        <f t="shared" si="195"/>
        <v>800.18261277454849</v>
      </c>
      <c r="CD197" s="59">
        <f ca="1">AVERAGE(OFFSET($CC$3,0,0,'Données projet'!$E$12+1,1))-AVERAGE(OFFSET($H$3,0,0,'Données projet'!$E$12+1,1))</f>
        <v>249.53949216238527</v>
      </c>
      <c r="CE197" s="59">
        <f t="shared" ref="CE197:CE203" si="207">$CE$3</f>
        <v>261.78576517528217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3.5018314292599468</v>
      </c>
      <c r="CL197" s="21">
        <f>EXP(-LN(2)/25)*CL196+(1-EXP(-LN(2)/25))/(LN(2)/25)*Calculateur!CG197*Calculateur!CI197*VLOOKUP('Données projet'!$B$12,Paramètres!$A$1:$I$89,3,0)*0.475*44/12</f>
        <v>0.23916963756324777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3.7410010668231948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7">
        <f t="shared" si="192"/>
        <v>628.54881441652697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281.14678081581229</v>
      </c>
      <c r="T198" s="59">
        <f t="shared" si="204"/>
        <v>380.81265808422603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14.166067622609992</v>
      </c>
      <c r="AA198" s="21">
        <f>EXP(-LN(2)/25)*AA197+(1-EXP(-LN(2)/25))/(LN(2)/25)*Calculateur!V198*Calculateur!X198*VLOOKUP('Données projet'!$B$9,Paramètres!$A$1:$I$89,3,0)*0.475*44/12</f>
        <v>1.2004680463919999</v>
      </c>
      <c r="AB198" s="21">
        <f>EXP(-LN(2)/2)*AB197+(1-EXP(-LN(2)/2))/(LN(2)/2)*V198*Y198*VLOOKUP('Données projet'!$B$9,Paramètres!$A$1:$I$89,3,0)*0.475*44/12</f>
        <v>2.8497330225851111E-20</v>
      </c>
      <c r="AC198" s="22">
        <f t="shared" si="163"/>
        <v>15.366535669001992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279.9271639349646</v>
      </c>
      <c r="AO198" s="59">
        <f t="shared" si="205"/>
        <v>260.03726798406916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3.4106051316484809E-13</v>
      </c>
      <c r="BE198" s="13">
        <f>BD198*VLOOKUP('Données projet'!$B$11,Paramètres!$A$1:$I$89,3,0)*VLOOKUP('Données projet'!$B$11,Paramètres!$A$1:$I$89,5,0)</f>
        <v>2.9262992029543969E-13</v>
      </c>
      <c r="BF198" s="13">
        <f t="shared" si="167"/>
        <v>3.8796387982050903E-12</v>
      </c>
      <c r="BG198" s="20">
        <f t="shared" si="168"/>
        <v>7.2667013513884219E-12</v>
      </c>
      <c r="BH198" s="59">
        <f t="shared" si="194"/>
        <v>293.33333333334059</v>
      </c>
      <c r="BI198" s="59">
        <f ca="1">AVERAGE(OFFSET($BH$3,0,0,'Données projet'!$E$11+1,1))-AVERAGE(OFFSET($H$3,0,0,'Données projet'!$E$11+1,1))</f>
        <v>212.99246338839475</v>
      </c>
      <c r="BJ198" s="59">
        <f t="shared" si="206"/>
        <v>162.04040335537223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233.89079999999998</v>
      </c>
      <c r="CA198" s="13">
        <f t="shared" si="170"/>
        <v>57.123140349023068</v>
      </c>
      <c r="CB198" s="20">
        <f t="shared" si="171"/>
        <v>506.84927944121517</v>
      </c>
      <c r="CC198" s="59">
        <f t="shared" si="195"/>
        <v>800.18261277454849</v>
      </c>
      <c r="CD198" s="59">
        <f ca="1">AVERAGE(OFFSET($CC$3,0,0,'Données projet'!$E$12+1,1))-AVERAGE(OFFSET($H$3,0,0,'Données projet'!$E$12+1,1))</f>
        <v>249.53949216238527</v>
      </c>
      <c r="CE198" s="59">
        <f t="shared" si="207"/>
        <v>261.78576517528217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3.4331626508384279</v>
      </c>
      <c r="CL198" s="21">
        <f>EXP(-LN(2)/25)*CL197+(1-EXP(-LN(2)/25))/(LN(2)/25)*Calculateur!CG198*Calculateur!CI198*VLOOKUP('Données projet'!$B$12,Paramètres!$A$1:$I$89,3,0)*0.475*44/12</f>
        <v>0.23262953124669616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3.665792182085124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7">
        <f t="shared" si="192"/>
        <v>630.41092075712754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281.14678081581229</v>
      </c>
      <c r="T199" s="59">
        <f t="shared" si="204"/>
        <v>380.81265808422603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13.888279676978687</v>
      </c>
      <c r="AA199" s="21">
        <f>EXP(-LN(2)/25)*AA198+(1-EXP(-LN(2)/25))/(LN(2)/25)*Calculateur!V199*Calculateur!X199*VLOOKUP('Données projet'!$B$9,Paramètres!$A$1:$I$89,3,0)*0.475*44/12</f>
        <v>1.1676411845335397</v>
      </c>
      <c r="AB199" s="21">
        <f>EXP(-LN(2)/2)*AB198+(1-EXP(-LN(2)/2))/(LN(2)/2)*V199*Y199*VLOOKUP('Données projet'!$B$9,Paramètres!$A$1:$I$89,3,0)*0.475*44/12</f>
        <v>2.0150655448411689E-20</v>
      </c>
      <c r="AC199" s="22">
        <f t="shared" si="163"/>
        <v>15.055920861512227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279.9271639349646</v>
      </c>
      <c r="AO199" s="59">
        <f t="shared" si="205"/>
        <v>260.03726798406916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3.4106051316484809E-13</v>
      </c>
      <c r="BE199" s="13">
        <f>BD199*VLOOKUP('Données projet'!$B$11,Paramètres!$A$1:$I$89,3,0)*VLOOKUP('Données projet'!$B$11,Paramètres!$A$1:$I$89,5,0)</f>
        <v>2.9262992029543969E-13</v>
      </c>
      <c r="BF199" s="13">
        <f t="shared" si="167"/>
        <v>3.8796387982050903E-12</v>
      </c>
      <c r="BG199" s="20">
        <f t="shared" si="168"/>
        <v>7.2667013513884219E-12</v>
      </c>
      <c r="BH199" s="59">
        <f t="shared" si="194"/>
        <v>293.33333333334059</v>
      </c>
      <c r="BI199" s="59">
        <f ca="1">AVERAGE(OFFSET($BH$3,0,0,'Données projet'!$E$11+1,1))-AVERAGE(OFFSET($H$3,0,0,'Données projet'!$E$11+1,1))</f>
        <v>212.99246338839475</v>
      </c>
      <c r="BJ199" s="59">
        <f t="shared" si="206"/>
        <v>162.04040335537223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233.89079999999998</v>
      </c>
      <c r="CA199" s="13">
        <f t="shared" si="170"/>
        <v>57.123140349023068</v>
      </c>
      <c r="CB199" s="20">
        <f t="shared" si="171"/>
        <v>506.84927944121517</v>
      </c>
      <c r="CC199" s="59">
        <f t="shared" si="195"/>
        <v>800.18261277454849</v>
      </c>
      <c r="CD199" s="59">
        <f ca="1">AVERAGE(OFFSET($CC$3,0,0,'Données projet'!$E$12+1,1))-AVERAGE(OFFSET($H$3,0,0,'Données projet'!$E$12+1,1))</f>
        <v>249.53949216238527</v>
      </c>
      <c r="CE199" s="59">
        <f t="shared" si="207"/>
        <v>261.78576517528217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3.3658404252779359</v>
      </c>
      <c r="CL199" s="21">
        <f>EXP(-LN(2)/25)*CL198+(1-EXP(-LN(2)/25))/(LN(2)/25)*Calculateur!CG199*Calculateur!CI199*VLOOKUP('Données projet'!$B$12,Paramètres!$A$1:$I$89,3,0)*0.475*44/12</f>
        <v>0.22626826448129989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3.592108689759236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7">
        <f t="shared" si="192"/>
        <v>632.27282489026709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281.14678081581229</v>
      </c>
      <c r="T200" s="59">
        <f t="shared" si="204"/>
        <v>380.81265808422603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13.615938983527295</v>
      </c>
      <c r="AA200" s="21">
        <f>EXP(-LN(2)/25)*AA199+(1-EXP(-LN(2)/25))/(LN(2)/25)*Calculateur!V200*Calculateur!X200*VLOOKUP('Données projet'!$B$9,Paramètres!$A$1:$I$89,3,0)*0.475*44/12</f>
        <v>1.1357119749388889</v>
      </c>
      <c r="AB200" s="21">
        <f>EXP(-LN(2)/2)*AB199+(1-EXP(-LN(2)/2))/(LN(2)/2)*V200*Y200*VLOOKUP('Données projet'!$B$9,Paramètres!$A$1:$I$89,3,0)*0.475*44/12</f>
        <v>1.4248665112925555E-20</v>
      </c>
      <c r="AC200" s="22">
        <f t="shared" si="163"/>
        <v>14.751650958466184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279.9271639349646</v>
      </c>
      <c r="AO200" s="59">
        <f t="shared" si="205"/>
        <v>260.03726798406916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3.4106051316484809E-13</v>
      </c>
      <c r="BE200" s="13">
        <f>BD200*VLOOKUP('Données projet'!$B$11,Paramètres!$A$1:$I$89,3,0)*VLOOKUP('Données projet'!$B$11,Paramètres!$A$1:$I$89,5,0)</f>
        <v>2.9262992029543969E-13</v>
      </c>
      <c r="BF200" s="13">
        <f t="shared" si="167"/>
        <v>3.8796387982050903E-12</v>
      </c>
      <c r="BG200" s="20">
        <f t="shared" si="168"/>
        <v>7.2667013513884219E-12</v>
      </c>
      <c r="BH200" s="59">
        <f t="shared" si="194"/>
        <v>293.33333333334059</v>
      </c>
      <c r="BI200" s="59">
        <f ca="1">AVERAGE(OFFSET($BH$3,0,0,'Données projet'!$E$11+1,1))-AVERAGE(OFFSET($H$3,0,0,'Données projet'!$E$11+1,1))</f>
        <v>212.99246338839475</v>
      </c>
      <c r="BJ200" s="59">
        <f t="shared" si="206"/>
        <v>162.04040335537223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233.89079999999998</v>
      </c>
      <c r="CA200" s="13">
        <f t="shared" si="170"/>
        <v>57.123140349023068</v>
      </c>
      <c r="CB200" s="20">
        <f t="shared" si="171"/>
        <v>506.84927944121517</v>
      </c>
      <c r="CC200" s="59">
        <f t="shared" si="195"/>
        <v>800.18261277454849</v>
      </c>
      <c r="CD200" s="59">
        <f ca="1">AVERAGE(OFFSET($CC$3,0,0,'Données projet'!$E$12+1,1))-AVERAGE(OFFSET($H$3,0,0,'Données projet'!$E$12+1,1))</f>
        <v>249.53949216238527</v>
      </c>
      <c r="CE200" s="59">
        <f t="shared" si="207"/>
        <v>261.78576517528217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3.2998383474981821</v>
      </c>
      <c r="CL200" s="21">
        <f>EXP(-LN(2)/25)*CL199+(1-EXP(-LN(2)/25))/(LN(2)/25)*Calculateur!CG200*Calculateur!CI200*VLOOKUP('Données projet'!$B$12,Paramètres!$A$1:$I$89,3,0)*0.475*44/12</f>
        <v>0.22008094689012786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3.51991929438831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7">
        <f t="shared" si="192"/>
        <v>634.13452796152774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281.14678081581229</v>
      </c>
      <c r="T201" s="59">
        <f t="shared" si="204"/>
        <v>380.81265808422603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13.348938724963064</v>
      </c>
      <c r="AA201" s="21">
        <f>EXP(-LN(2)/25)*AA200+(1-EXP(-LN(2)/25))/(LN(2)/25)*Calculateur!V201*Calculateur!X201*VLOOKUP('Données projet'!$B$9,Paramètres!$A$1:$I$89,3,0)*0.475*44/12</f>
        <v>1.1046558712596879</v>
      </c>
      <c r="AB201" s="21">
        <f>EXP(-LN(2)/2)*AB200+(1-EXP(-LN(2)/2))/(LN(2)/2)*V201*Y201*VLOOKUP('Données projet'!$B$9,Paramètres!$A$1:$I$89,3,0)*0.475*44/12</f>
        <v>1.0075327724205844E-20</v>
      </c>
      <c r="AC201" s="22">
        <f t="shared" si="163"/>
        <v>14.453594596222752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279.9271639349646</v>
      </c>
      <c r="AO201" s="59">
        <f t="shared" si="205"/>
        <v>260.03726798406916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3.4106051316484809E-13</v>
      </c>
      <c r="BE201" s="13">
        <f>BD201*VLOOKUP('Données projet'!$B$11,Paramètres!$A$1:$I$89,3,0)*VLOOKUP('Données projet'!$B$11,Paramètres!$A$1:$I$89,5,0)</f>
        <v>2.9262992029543969E-13</v>
      </c>
      <c r="BF201" s="13">
        <f t="shared" si="167"/>
        <v>3.8796387982050903E-12</v>
      </c>
      <c r="BG201" s="20">
        <f t="shared" si="168"/>
        <v>7.2667013513884219E-12</v>
      </c>
      <c r="BH201" s="59">
        <f t="shared" si="194"/>
        <v>293.33333333334059</v>
      </c>
      <c r="BI201" s="59">
        <f ca="1">AVERAGE(OFFSET($BH$3,0,0,'Données projet'!$E$11+1,1))-AVERAGE(OFFSET($H$3,0,0,'Données projet'!$E$11+1,1))</f>
        <v>212.99246338839475</v>
      </c>
      <c r="BJ201" s="59">
        <f t="shared" si="206"/>
        <v>162.04040335537223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233.89079999999998</v>
      </c>
      <c r="CA201" s="13">
        <f t="shared" si="170"/>
        <v>57.123140349023068</v>
      </c>
      <c r="CB201" s="20">
        <f t="shared" si="171"/>
        <v>506.84927944121517</v>
      </c>
      <c r="CC201" s="59">
        <f t="shared" si="195"/>
        <v>800.18261277454849</v>
      </c>
      <c r="CD201" s="59">
        <f ca="1">AVERAGE(OFFSET($CC$3,0,0,'Données projet'!$E$12+1,1))-AVERAGE(OFFSET($H$3,0,0,'Données projet'!$E$12+1,1))</f>
        <v>249.53949216238527</v>
      </c>
      <c r="CE201" s="59">
        <f t="shared" si="207"/>
        <v>261.78576517528217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3.2351305302063968</v>
      </c>
      <c r="CL201" s="21">
        <f>EXP(-LN(2)/25)*CL200+(1-EXP(-LN(2)/25))/(LN(2)/25)*Calculateur!CG201*Calculateur!CI201*VLOOKUP('Données projet'!$B$12,Paramètres!$A$1:$I$89,3,0)*0.475*44/12</f>
        <v>0.21406282182386333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3.4491933520302602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7">
        <f t="shared" si="192"/>
        <v>635.99603110425005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281.14678081581229</v>
      </c>
      <c r="T202" s="59">
        <f t="shared" si="204"/>
        <v>380.81265808422603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13.0871741786152</v>
      </c>
      <c r="AA202" s="21">
        <f>EXP(-LN(2)/25)*AA201+(1-EXP(-LN(2)/25))/(LN(2)/25)*Calculateur!V202*Calculateur!X202*VLOOKUP('Données projet'!$B$9,Paramètres!$A$1:$I$89,3,0)*0.475*44/12</f>
        <v>1.0744489983687642</v>
      </c>
      <c r="AB202" s="21">
        <f>EXP(-LN(2)/2)*AB201+(1-EXP(-LN(2)/2))/(LN(2)/2)*V202*Y202*VLOOKUP('Données projet'!$B$9,Paramètres!$A$1:$I$89,3,0)*0.475*44/12</f>
        <v>7.1243325564627777E-21</v>
      </c>
      <c r="AC202" s="22">
        <f t="shared" si="163"/>
        <v>14.161623176983964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279.9271639349646</v>
      </c>
      <c r="AO202" s="59">
        <f t="shared" si="205"/>
        <v>260.03726798406916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3.4106051316484809E-13</v>
      </c>
      <c r="BE202" s="13">
        <f>BD202*VLOOKUP('Données projet'!$B$11,Paramètres!$A$1:$I$89,3,0)*VLOOKUP('Données projet'!$B$11,Paramètres!$A$1:$I$89,5,0)</f>
        <v>2.9262992029543969E-13</v>
      </c>
      <c r="BF202" s="13">
        <f t="shared" si="167"/>
        <v>3.8796387982050903E-12</v>
      </c>
      <c r="BG202" s="20">
        <f t="shared" si="168"/>
        <v>7.2667013513884219E-12</v>
      </c>
      <c r="BH202" s="59">
        <f t="shared" si="194"/>
        <v>293.33333333334059</v>
      </c>
      <c r="BI202" s="59">
        <f ca="1">AVERAGE(OFFSET($BH$3,0,0,'Données projet'!$E$11+1,1))-AVERAGE(OFFSET($H$3,0,0,'Données projet'!$E$11+1,1))</f>
        <v>212.99246338839475</v>
      </c>
      <c r="BJ202" s="59">
        <f t="shared" si="206"/>
        <v>162.04040335537223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233.89079999999998</v>
      </c>
      <c r="CA202" s="13">
        <f t="shared" si="170"/>
        <v>57.123140349023068</v>
      </c>
      <c r="CB202" s="20">
        <f t="shared" si="171"/>
        <v>506.84927944121517</v>
      </c>
      <c r="CC202" s="59">
        <f t="shared" si="195"/>
        <v>800.18261277454849</v>
      </c>
      <c r="CD202" s="59">
        <f ca="1">AVERAGE(OFFSET($CC$3,0,0,'Données projet'!$E$12+1,1))-AVERAGE(OFFSET($H$3,0,0,'Données projet'!$E$12+1,1))</f>
        <v>249.53949216238527</v>
      </c>
      <c r="CE202" s="59">
        <f t="shared" si="207"/>
        <v>261.78576517528217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3.1716915937438319</v>
      </c>
      <c r="CL202" s="21">
        <f>EXP(-LN(2)/25)*CL201+(1-EXP(-LN(2)/25))/(LN(2)/25)*Calculateur!CG202*Calculateur!CI202*VLOOKUP('Données projet'!$B$12,Paramètres!$A$1:$I$89,3,0)*0.475*44/12</f>
        <v>0.20820926270401524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3.379900856447847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7">
        <f t="shared" si="192"/>
        <v>637.85733543972447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281.14678081581229</v>
      </c>
      <c r="T203" s="59">
        <f t="shared" si="204"/>
        <v>380.81265808422603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12.83054267536061</v>
      </c>
      <c r="AA203" s="21">
        <f>EXP(-LN(2)/25)*AA202+(1-EXP(-LN(2)/25))/(LN(2)/25)*Calculateur!V203*Calculateur!X203*VLOOKUP('Données projet'!$B$9,Paramètres!$A$1:$I$89,3,0)*0.475*44/12</f>
        <v>1.0450681340055532</v>
      </c>
      <c r="AB203" s="21">
        <f>EXP(-LN(2)/2)*AB202+(1-EXP(-LN(2)/2))/(LN(2)/2)*V203*Y203*VLOOKUP('Données projet'!$B$9,Paramètres!$A$1:$I$89,3,0)*0.475*44/12</f>
        <v>5.0376638621029221E-21</v>
      </c>
      <c r="AC203" s="22">
        <f t="shared" si="163"/>
        <v>13.875610809366163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279.9271639349646</v>
      </c>
      <c r="AO203" s="59">
        <f t="shared" si="205"/>
        <v>260.03726798406916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3.4106051316484809E-13</v>
      </c>
      <c r="BE203" s="13">
        <f>BD203*VLOOKUP('Données projet'!$B$11,Paramètres!$A$1:$I$89,3,0)*VLOOKUP('Données projet'!$B$11,Paramètres!$A$1:$I$89,5,0)</f>
        <v>2.9262992029543969E-13</v>
      </c>
      <c r="BF203" s="13">
        <f t="shared" si="167"/>
        <v>3.8796387982050903E-12</v>
      </c>
      <c r="BG203" s="20">
        <f t="shared" si="168"/>
        <v>7.2667013513884219E-12</v>
      </c>
      <c r="BH203" s="59">
        <f t="shared" si="194"/>
        <v>293.33333333334059</v>
      </c>
      <c r="BI203" s="59">
        <f ca="1">AVERAGE(OFFSET($BH$3,0,0,'Données projet'!$E$11+1,1))-AVERAGE(OFFSET($H$3,0,0,'Données projet'!$E$11+1,1))</f>
        <v>212.99246338839475</v>
      </c>
      <c r="BJ203" s="59">
        <f t="shared" si="206"/>
        <v>162.04040335537223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233.89079999999998</v>
      </c>
      <c r="CA203" s="13">
        <f t="shared" si="170"/>
        <v>57.123140349023068</v>
      </c>
      <c r="CB203" s="20">
        <f t="shared" si="171"/>
        <v>506.84927944121517</v>
      </c>
      <c r="CC203" s="59">
        <f t="shared" si="195"/>
        <v>800.18261277454849</v>
      </c>
      <c r="CD203" s="59">
        <f ca="1">AVERAGE(OFFSET($CC$3,0,0,'Données projet'!$E$12+1,1))-AVERAGE(OFFSET($H$3,0,0,'Données projet'!$E$12+1,1))</f>
        <v>249.53949216238527</v>
      </c>
      <c r="CE203" s="59">
        <f t="shared" si="207"/>
        <v>261.78576517528217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3.1094966561313675</v>
      </c>
      <c r="CL203" s="21">
        <f>EXP(-LN(2)/25)*CL202+(1-EXP(-LN(2)/25))/(LN(2)/25)*Calculateur!CG203*Calculateur!CI203*VLOOKUP('Données projet'!$B$12,Paramètres!$A$1:$I$89,3,0)*0.475*44/12</f>
        <v>0.20251576946612468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3.3120124255974921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1.335603426080427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1.1648439739921734</v>
      </c>
      <c r="BV205" s="82">
        <f>EXP(LN('Données projet'!B114)/'Données projet'!A114)</f>
        <v>1.2709816152101407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2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3" t="s">
        <v>115</v>
      </c>
      <c r="P2" s="121">
        <v>0</v>
      </c>
    </row>
    <row r="3" spans="1:16" ht="15.75" thickBot="1" x14ac:dyDescent="0.3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.75" thickBot="1" x14ac:dyDescent="0.3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3" t="s">
        <v>122</v>
      </c>
      <c r="P5" s="121">
        <v>0</v>
      </c>
    </row>
    <row r="6" spans="1:16" x14ac:dyDescent="0.2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.75" thickBot="1" x14ac:dyDescent="0.3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.75" thickBot="1" x14ac:dyDescent="0.3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3" t="s">
        <v>134</v>
      </c>
      <c r="P10" s="121">
        <v>0</v>
      </c>
    </row>
    <row r="11" spans="1:16" ht="15.75" thickBot="1" x14ac:dyDescent="0.3">
      <c r="A11" s="122" t="s">
        <v>23</v>
      </c>
      <c r="B11" s="123" t="s">
        <v>135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5">
      <c r="A12" s="122" t="s">
        <v>136</v>
      </c>
      <c r="B12" s="123" t="s">
        <v>137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139</v>
      </c>
      <c r="B13" s="123" t="s">
        <v>140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141</v>
      </c>
      <c r="B14" s="123" t="s">
        <v>142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143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164</v>
      </c>
      <c r="B25" s="123" t="s">
        <v>165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72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21</v>
      </c>
      <c r="B30" s="123" t="s">
        <v>173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174</v>
      </c>
      <c r="B31" s="123" t="s">
        <v>175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176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19</v>
      </c>
      <c r="B66" s="123" t="s">
        <v>228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112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278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.75" thickBot="1" x14ac:dyDescent="0.3">
      <c r="A89" s="133" t="s">
        <v>279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25">
      <c r="A93" s="122" t="s">
        <v>73</v>
      </c>
    </row>
    <row r="94" spans="1:14" x14ac:dyDescent="0.25">
      <c r="A94" s="122" t="s">
        <v>74</v>
      </c>
    </row>
    <row r="95" spans="1:14" x14ac:dyDescent="0.2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F16" sqref="F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4" t="s">
        <v>280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1.1327999999999998</v>
      </c>
      <c r="C6" s="147">
        <f ca="1">IF(OR('Données projet'!B9="",'Données projet'!C9="",'Données projet'!C9=0%),0,Calculateur!S3)</f>
        <v>281.14678081581229</v>
      </c>
      <c r="D6" s="147">
        <f>IF(OR('Données projet'!B9="",'Données projet'!C9="",'Données projet'!C9=0%),0,Calculateur!T3)</f>
        <v>380.81265808422603</v>
      </c>
      <c r="E6" s="147">
        <f ca="1">MIN(C6,D6)</f>
        <v>281.14678081581229</v>
      </c>
      <c r="F6" s="147">
        <f ca="1">E6*B6</f>
        <v>318.48307330815209</v>
      </c>
      <c r="G6" s="147">
        <f ca="1">F6*(100%-'Données projet'!$C$24)*(100%-'Données projet'!$C$25)*(100%-'Données projet'!$C$26)*(100%-'Données projet'!$C$27)</f>
        <v>243.63955108073634</v>
      </c>
      <c r="H6" s="148">
        <f>IF(OR('Données projet'!B9="",'Données projet'!C9="",'Données projet'!C9=0%),0,AVERAGE(Calculateur!$AC$3:$AC$33)*B6)</f>
        <v>13.835144971261439</v>
      </c>
      <c r="I6" s="149">
        <f>H6*(100%-'Données projet'!$C$24)*(100%-'Données projet'!$C$25)*(100%-'Données projet'!$C$26)*(100%-'Données projet'!$C$27)</f>
        <v>10.583885903015002</v>
      </c>
      <c r="J6" s="150">
        <f>IF(OR('Données projet'!B9="",'Données projet'!C9="",'Données projet'!C9=0%),0,SUM(Calculateur!$V$3:$V$33)*VLOOKUP('Données projet'!$B$9,Paramètres!$A$1:$I$89,9,0)*B6)</f>
        <v>86.517164305069429</v>
      </c>
      <c r="K6" s="151">
        <f>J6*(100%-'Données projet'!$C$24)*(100%-'Données projet'!$C$25)*(100%-'Données projet'!$C$26)*(100%-'Données projet'!$C$27)</f>
        <v>66.185630693378116</v>
      </c>
      <c r="L6" s="152">
        <f ca="1">G6+I6+K6</f>
        <v>320.40906767712949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1.1327999999999998</v>
      </c>
      <c r="C7" s="147">
        <f ca="1">IF(OR('Données projet'!B10="",'Données projet'!C10="",'Données projet'!C10=0%),0,Calculateur!AN3)</f>
        <v>279.9271639349646</v>
      </c>
      <c r="D7" s="147">
        <f>IF(OR('Données projet'!B10="",'Données projet'!C10="",'Données projet'!C10=0%),0,Calculateur!AO3)</f>
        <v>260.03726798406916</v>
      </c>
      <c r="E7" s="147">
        <f t="shared" ref="E7:E15" ca="1" si="0">MIN(C7,D7)</f>
        <v>260.03726798406916</v>
      </c>
      <c r="F7" s="147">
        <f t="shared" ref="F7:F15" ca="1" si="1">E7*B7</f>
        <v>294.57021717235352</v>
      </c>
      <c r="G7" s="147">
        <f ca="1">F7*(100%-'Données projet'!$C$24)*(100%-'Données projet'!$C$25)*(100%-'Données projet'!$C$26)*(100%-'Données projet'!$C$27)</f>
        <v>225.34621613685042</v>
      </c>
      <c r="H7" s="155">
        <f>IF(OR('Données projet'!B10="",'Données projet'!C10="",'Données projet'!C10=0%),0,AVERAGE(Calculateur!$AX$3:$AX$33)*B7)</f>
        <v>9.4382578169596805</v>
      </c>
      <c r="I7" s="149">
        <f>H7*(100%-'Données projet'!$C$24)*(100%-'Données projet'!$C$25)*(100%-'Données projet'!$C$26)*(100%-'Données projet'!$C$27)</f>
        <v>7.2202672299741559</v>
      </c>
      <c r="J7" s="150">
        <f>IF(OR('Données projet'!B10="",'Données projet'!C10="",'Données projet'!C10=0%),0,SUM(Calculateur!$AQ$3:$AQ$33)*VLOOKUP('Données projet'!$B$10,Paramètres!$A$1:$I$89,9,0)*B7)</f>
        <v>69.569692061538447</v>
      </c>
      <c r="K7" s="151">
        <f>J7*(100%-'Données projet'!$C$24)*(100%-'Données projet'!$C$25)*(100%-'Données projet'!$C$26)*(100%-'Données projet'!$C$27)</f>
        <v>53.22081442707691</v>
      </c>
      <c r="L7" s="152">
        <f t="shared" ref="L7:L15" ca="1" si="2">G7+I7+K7</f>
        <v>285.78729779390147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Hêtre</v>
      </c>
      <c r="B8" s="154">
        <f>'Données projet'!D11</f>
        <v>0.37759999999999999</v>
      </c>
      <c r="C8" s="147">
        <f ca="1">IF(OR('Données projet'!B11="",'Données projet'!C11="",'Données projet'!C11=0%),0,Calculateur!BI3)</f>
        <v>212.99246338839475</v>
      </c>
      <c r="D8" s="147">
        <f>IF(OR('Données projet'!B11="",'Données projet'!C11="",'Données projet'!C11=0%),0,Calculateur!BJ3)</f>
        <v>162.04040335537223</v>
      </c>
      <c r="E8" s="147">
        <f t="shared" ca="1" si="0"/>
        <v>162.04040335537223</v>
      </c>
      <c r="F8" s="147">
        <f t="shared" ca="1" si="1"/>
        <v>61.186456306988553</v>
      </c>
      <c r="G8" s="147">
        <f ca="1">F8*(100%-'Données projet'!$C$24)*(100%-'Données projet'!$C$25)*(100%-'Données projet'!$C$26)*(100%-'Données projet'!$C$27)</f>
        <v>46.807639074846243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46.807639074846243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Châtaignier</v>
      </c>
      <c r="B9" s="154">
        <f>'Données projet'!D12</f>
        <v>1.1327999999999998</v>
      </c>
      <c r="C9" s="147">
        <f ca="1">IF(OR('Données projet'!B12="",'Données projet'!C12="",'Données projet'!C12=0%),0,Calculateur!CD3)</f>
        <v>249.53949216238527</v>
      </c>
      <c r="D9" s="147">
        <f>IF(OR('Données projet'!B12="",'Données projet'!C12="",'Données projet'!C12=0%),0,Calculateur!CE3)</f>
        <v>261.78576517528217</v>
      </c>
      <c r="E9" s="147">
        <f t="shared" ca="1" si="0"/>
        <v>249.53949216238527</v>
      </c>
      <c r="F9" s="147">
        <f t="shared" ca="1" si="1"/>
        <v>282.67833672155001</v>
      </c>
      <c r="G9" s="147">
        <f ca="1">F9*(100%-'Données projet'!$C$24)*(100%-'Données projet'!$C$25)*(100%-'Données projet'!$C$26)*(100%-'Données projet'!$C$27)</f>
        <v>216.24892759198576</v>
      </c>
      <c r="H9" s="155">
        <f>IF(OR('Données projet'!B12="",'Données projet'!C12="",'Données projet'!C12=0%),0,AVERAGE(Calculateur!$CN$3:$CN$33)*B9)</f>
        <v>1.056850937252533</v>
      </c>
      <c r="I9" s="149">
        <f>H9*(100%-'Données projet'!$C$24)*(100%-'Données projet'!$C$25)*(100%-'Données projet'!$C$26)*(100%-'Données projet'!$C$27)</f>
        <v>0.80849096699818779</v>
      </c>
      <c r="J9" s="150">
        <f>IF(OR('Données projet'!B12="",'Données projet'!C12="",'Données projet'!C12=0%),0,SUM(Calculateur!$CG$3:$CG$33)*VLOOKUP('Données projet'!$B$12,Paramètres!$A$1:$I$89,9,0)*B9)</f>
        <v>38.798399999999994</v>
      </c>
      <c r="K9" s="151">
        <f>J9*(100%-'Données projet'!$C$24)*(100%-'Données projet'!$C$25)*(100%-'Données projet'!$C$26)*(100%-'Données projet'!$C$27)</f>
        <v>29.680775999999991</v>
      </c>
      <c r="L9" s="152">
        <f t="shared" ca="1" si="2"/>
        <v>246.73819455898393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956.91808350904421</v>
      </c>
      <c r="G16" s="166">
        <f t="shared" ca="1" si="3"/>
        <v>732.04233388441878</v>
      </c>
      <c r="H16" s="167">
        <f t="shared" si="3"/>
        <v>24.330253725473654</v>
      </c>
      <c r="I16" s="167">
        <f t="shared" si="3"/>
        <v>18.612644099987346</v>
      </c>
      <c r="J16" s="168">
        <f t="shared" si="3"/>
        <v>194.88525636660788</v>
      </c>
      <c r="K16" s="168">
        <f t="shared" si="3"/>
        <v>149.08722112045501</v>
      </c>
      <c r="L16" s="169">
        <f t="shared" ca="1" si="3"/>
        <v>899.74219910486113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6" t="s">
        <v>291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0" zoomScaleNormal="80" workbookViewId="0">
      <selection activeCell="N15" sqref="N1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4" t="s">
        <v>292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4" t="s">
        <v>293</v>
      </c>
      <c r="I4" s="264"/>
      <c r="K4" s="288" t="s">
        <v>294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298" t="s">
        <v>295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3624.1321676891966</v>
      </c>
      <c r="U10" s="178">
        <f>'Données projet'!D9</f>
        <v>1.1327999999999998</v>
      </c>
      <c r="V10" s="177">
        <f>U10*T10</f>
        <v>4105.4169195583208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957.42255241974249</v>
      </c>
      <c r="U11" s="178">
        <f>'Données projet'!D10</f>
        <v>1.1327999999999998</v>
      </c>
      <c r="V11" s="177">
        <f t="shared" ref="V11" si="0">U11*T11</f>
        <v>1084.5682673810841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574.08160182763345</v>
      </c>
      <c r="U12" s="178">
        <f>'Données projet'!D11</f>
        <v>0.37759999999999999</v>
      </c>
      <c r="V12" s="177">
        <f t="shared" ref="V12:V19" si="1">U12*T12</f>
        <v>216.77321285011439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Châtaignier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1569.9760578687305</v>
      </c>
      <c r="U13" s="178">
        <f>'Données projet'!D12</f>
        <v>1.1327999999999998</v>
      </c>
      <c r="V13" s="177">
        <f t="shared" si="1"/>
        <v>1778.4688783536976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77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1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48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91"/>
      <c r="H16" s="190"/>
      <c r="I16" s="191"/>
      <c r="J16" s="202"/>
      <c r="K16" s="208"/>
      <c r="L16" s="288" t="s">
        <v>312</v>
      </c>
      <c r="M16" s="289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291"/>
      <c r="J17" s="202"/>
      <c r="K17" s="208"/>
      <c r="L17" s="261" t="s">
        <v>313</v>
      </c>
      <c r="M17" s="263"/>
      <c r="N17" s="175">
        <f>VLOOKUP(N16,Calculateur!$A$2:$H$153,3,0)/VLOOKUP('Scénario référence'!$G$15,Paramètres!A1:I89,3,0)/VLOOKUP('Scénario référence'!$G$15,Paramètres!A1:I89,5,0)</f>
        <v>50.000000000000036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91"/>
      <c r="J18" s="202"/>
      <c r="K18" s="208"/>
      <c r="L18" s="261" t="s">
        <v>309</v>
      </c>
      <c r="M18" s="263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91"/>
      <c r="H19" s="212" t="s">
        <v>77</v>
      </c>
      <c r="I19" s="212" t="s">
        <v>314</v>
      </c>
      <c r="J19" s="93"/>
      <c r="K19" s="173"/>
      <c r="L19" s="288" t="s">
        <v>315</v>
      </c>
      <c r="M19" s="289"/>
      <c r="N19" s="179">
        <f>N17*N18</f>
        <v>5000.0000000000036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91"/>
      <c r="H20" s="190">
        <v>1</v>
      </c>
      <c r="I20" s="191">
        <v>6574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18</v>
      </c>
      <c r="B23" s="181">
        <f>'Données projet'!D36</f>
        <v>69.284615380000005</v>
      </c>
      <c r="C23" s="193">
        <v>10</v>
      </c>
      <c r="D23" s="182">
        <f>B23*C23</f>
        <v>692.84615380000002</v>
      </c>
      <c r="E23" s="193">
        <v>150</v>
      </c>
      <c r="F23" s="230"/>
      <c r="H23" s="190"/>
      <c r="I23" s="191"/>
      <c r="K23" s="208"/>
      <c r="L23" s="290" t="s">
        <v>316</v>
      </c>
      <c r="M23" s="290"/>
      <c r="N23" s="290"/>
      <c r="O23" s="23"/>
      <c r="P23" s="23"/>
      <c r="Q23" s="234"/>
      <c r="R23" s="23"/>
      <c r="S23" s="36" t="s">
        <v>317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-16569.245449129507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24</v>
      </c>
      <c r="B24" s="181">
        <f>'Données projet'!D37</f>
        <v>42.661538460000003</v>
      </c>
      <c r="C24" s="193">
        <v>10</v>
      </c>
      <c r="D24" s="182">
        <f t="shared" ref="D24:D42" si="2">B24*C24</f>
        <v>426.61538460000003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2090.1981913515142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65.669230769999999</v>
      </c>
      <c r="C25" s="193">
        <v>18</v>
      </c>
      <c r="D25" s="182">
        <f t="shared" si="2"/>
        <v>1182.04615386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5">
        <f ca="1">T23-T24</f>
        <v>-18659.443640481022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2" t="s">
        <v>321</v>
      </c>
      <c r="M26" s="293"/>
      <c r="N26" s="293"/>
      <c r="O26" s="293"/>
      <c r="P26" s="294"/>
      <c r="Q26" s="234"/>
      <c r="R26" s="23"/>
      <c r="S26" s="186" t="s">
        <v>322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42</v>
      </c>
      <c r="B27" s="181">
        <f>'Données projet'!D40</f>
        <v>73.392307689999996</v>
      </c>
      <c r="C27" s="193">
        <v>25</v>
      </c>
      <c r="D27" s="182">
        <f t="shared" si="2"/>
        <v>1834.8076922499999</v>
      </c>
      <c r="E27" s="193">
        <v>150</v>
      </c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323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48</v>
      </c>
      <c r="B28" s="181">
        <f>'Données projet'!D41</f>
        <v>81.330769230000001</v>
      </c>
      <c r="C28" s="193">
        <v>35</v>
      </c>
      <c r="D28" s="182">
        <f t="shared" si="2"/>
        <v>2846.57692305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48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200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200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200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200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200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200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200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200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>
        <v>30</v>
      </c>
      <c r="D62" s="179">
        <f t="shared" si="4"/>
        <v>0</v>
      </c>
      <c r="E62" s="193">
        <v>200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48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 t="shared" ref="D85:D96" si="6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42</v>
      </c>
      <c r="B86" s="181">
        <f>'Données projet'!D89</f>
        <v>69.141025639999995</v>
      </c>
      <c r="C86" s="191">
        <v>10</v>
      </c>
      <c r="D86" s="179">
        <f t="shared" si="6"/>
        <v>691.41025639999998</v>
      </c>
      <c r="E86" s="193">
        <v>200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48</v>
      </c>
      <c r="B87" s="181">
        <f>'Données projet'!D90</f>
        <v>44.737179490000003</v>
      </c>
      <c r="C87" s="191">
        <v>10</v>
      </c>
      <c r="D87" s="179">
        <f t="shared" si="6"/>
        <v>447.37179490000005</v>
      </c>
      <c r="E87" s="193">
        <v>200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54</v>
      </c>
      <c r="B88" s="181">
        <f>'Données projet'!D91</f>
        <v>47.025641030000003</v>
      </c>
      <c r="C88" s="191">
        <v>15</v>
      </c>
      <c r="D88" s="179">
        <f t="shared" si="6"/>
        <v>705.38461545000007</v>
      </c>
      <c r="E88" s="193">
        <v>200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63</v>
      </c>
      <c r="B89" s="181">
        <f>'Données projet'!D92</f>
        <v>64.628205129999998</v>
      </c>
      <c r="C89" s="191">
        <v>15</v>
      </c>
      <c r="D89" s="179">
        <f t="shared" si="6"/>
        <v>969.42307695</v>
      </c>
      <c r="E89" s="193">
        <v>200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72</v>
      </c>
      <c r="B90" s="181">
        <f>'Données projet'!D93</f>
        <v>62.551282049999998</v>
      </c>
      <c r="C90" s="191">
        <v>50</v>
      </c>
      <c r="D90" s="179">
        <f t="shared" si="6"/>
        <v>3127.5641025</v>
      </c>
      <c r="E90" s="193">
        <v>200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81</v>
      </c>
      <c r="B91" s="181">
        <f>'Données projet'!D94</f>
        <v>57.38461538</v>
      </c>
      <c r="C91" s="191">
        <v>50</v>
      </c>
      <c r="D91" s="179">
        <f t="shared" si="6"/>
        <v>2869.2307689999998</v>
      </c>
      <c r="E91" s="193">
        <v>200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52.782051279999997</v>
      </c>
      <c r="C92" s="191">
        <v>50</v>
      </c>
      <c r="D92" s="179">
        <f t="shared" si="6"/>
        <v>2639.1025639999998</v>
      </c>
      <c r="E92" s="193">
        <v>200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99</v>
      </c>
      <c r="B93" s="181">
        <f>'Données projet'!D96</f>
        <v>53.75</v>
      </c>
      <c r="C93" s="191">
        <v>50</v>
      </c>
      <c r="D93" s="179">
        <f t="shared" si="6"/>
        <v>2687.5</v>
      </c>
      <c r="E93" s="193">
        <v>200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111</v>
      </c>
      <c r="B94" s="181">
        <f>'Données projet'!D97</f>
        <v>108.1474359</v>
      </c>
      <c r="C94" s="191">
        <v>50</v>
      </c>
      <c r="D94" s="179">
        <f t="shared" si="6"/>
        <v>5407.371795</v>
      </c>
      <c r="E94" s="193">
        <v>200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116</v>
      </c>
      <c r="B95" s="181">
        <f>'Données projet'!D98</f>
        <v>72.698717950000002</v>
      </c>
      <c r="C95" s="191">
        <v>50</v>
      </c>
      <c r="D95" s="179">
        <f t="shared" si="6"/>
        <v>3634.9358975</v>
      </c>
      <c r="E95" s="193">
        <v>200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121</v>
      </c>
      <c r="B96" s="181">
        <f>'Données projet'!D99</f>
        <v>66.179487179999995</v>
      </c>
      <c r="C96" s="191">
        <v>50</v>
      </c>
      <c r="D96" s="179">
        <f t="shared" si="6"/>
        <v>3308.9743589999998</v>
      </c>
      <c r="E96" s="193">
        <v>200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125</v>
      </c>
      <c r="B97" s="181">
        <f>'Données projet'!D100</f>
        <v>100.6217949</v>
      </c>
      <c r="C97" s="191">
        <v>50</v>
      </c>
      <c r="D97" s="179">
        <f t="shared" ref="D97:D104" si="7">B97*C97</f>
        <v>5031.0897450000002</v>
      </c>
      <c r="E97" s="193">
        <v>200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22</v>
      </c>
      <c r="B107" s="174" t="str">
        <f>IF('Données projet'!B12="","",'Données projet'!B12)</f>
        <v>Châtaignier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48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>
        <v>10</v>
      </c>
      <c r="D116" s="179">
        <f>B116*C116</f>
        <v>0</v>
      </c>
      <c r="E116" s="193">
        <v>200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32</v>
      </c>
      <c r="C117" s="191">
        <v>10</v>
      </c>
      <c r="D117" s="179">
        <f t="shared" ref="D117:D135" si="9">B117*C117</f>
        <v>320</v>
      </c>
      <c r="E117" s="193">
        <v>200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35</v>
      </c>
      <c r="C118" s="191">
        <v>15</v>
      </c>
      <c r="D118" s="179">
        <f t="shared" si="9"/>
        <v>525</v>
      </c>
      <c r="E118" s="193">
        <v>200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35</v>
      </c>
      <c r="C119" s="191">
        <v>15</v>
      </c>
      <c r="D119" s="179">
        <f t="shared" si="9"/>
        <v>525</v>
      </c>
      <c r="E119" s="193">
        <v>200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35</v>
      </c>
      <c r="C120" s="191">
        <v>50</v>
      </c>
      <c r="D120" s="179">
        <f t="shared" si="9"/>
        <v>1750</v>
      </c>
      <c r="E120" s="193">
        <v>200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35</v>
      </c>
      <c r="C121" s="191">
        <v>50</v>
      </c>
      <c r="D121" s="179">
        <f t="shared" si="9"/>
        <v>1750</v>
      </c>
      <c r="E121" s="193">
        <v>200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35</v>
      </c>
      <c r="C122" s="191">
        <v>50</v>
      </c>
      <c r="D122" s="179">
        <f t="shared" si="9"/>
        <v>1750</v>
      </c>
      <c r="E122" s="193">
        <v>200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24</v>
      </c>
      <c r="C123" s="191">
        <v>50</v>
      </c>
      <c r="D123" s="179">
        <f t="shared" si="9"/>
        <v>1200</v>
      </c>
      <c r="E123" s="193">
        <v>200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19</v>
      </c>
      <c r="C124" s="191">
        <v>50</v>
      </c>
      <c r="D124" s="179">
        <f t="shared" si="9"/>
        <v>950</v>
      </c>
      <c r="E124" s="193">
        <v>200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16</v>
      </c>
      <c r="C125" s="191">
        <v>50</v>
      </c>
      <c r="D125" s="179">
        <f t="shared" si="9"/>
        <v>800</v>
      </c>
      <c r="E125" s="193">
        <v>200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14</v>
      </c>
      <c r="C126" s="191">
        <v>50</v>
      </c>
      <c r="D126" s="179">
        <f t="shared" si="9"/>
        <v>700</v>
      </c>
      <c r="E126" s="193">
        <v>200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13</v>
      </c>
      <c r="C127" s="191">
        <v>50</v>
      </c>
      <c r="D127" s="179">
        <f t="shared" si="9"/>
        <v>650</v>
      </c>
      <c r="E127" s="193">
        <v>200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13</v>
      </c>
      <c r="C128" s="191">
        <v>50</v>
      </c>
      <c r="D128" s="179">
        <f t="shared" si="9"/>
        <v>650</v>
      </c>
      <c r="E128" s="193">
        <v>200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12</v>
      </c>
      <c r="C129" s="191">
        <v>50</v>
      </c>
      <c r="D129" s="179">
        <f t="shared" si="9"/>
        <v>600</v>
      </c>
      <c r="E129" s="193">
        <v>200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11</v>
      </c>
      <c r="C130" s="191">
        <v>50</v>
      </c>
      <c r="D130" s="179">
        <f t="shared" si="9"/>
        <v>550</v>
      </c>
      <c r="E130" s="193">
        <v>200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48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25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48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26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48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27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48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28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48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29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48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A0862-1C07-48EA-9B62-1955692D410D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F809692C-E59C-4B78-867E-998B89499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47E030-C249-4734-A6F9-377E4CEB3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2024-07-09T09:46:02Z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