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Benoît AYMES/ANGOUME/Dossier LBC/"/>
    </mc:Choice>
  </mc:AlternateContent>
  <xr:revisionPtr revIDLastSave="19" documentId="11_7E26BCB39C0BB266E8943DF968EBF6B69F868E1A" xr6:coauthVersionLast="47" xr6:coauthVersionMax="47" xr10:uidLastSave="{780B5A5C-9FC6-4BC1-9192-99974965508F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BR4" i="2"/>
  <c r="EC4" i="2"/>
  <c r="BQ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W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I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EX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FS113" i="2"/>
  <c r="EX113" i="2"/>
  <c r="HI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X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EX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G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EX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FS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B156" i="2" l="1"/>
  <c r="EX156" i="2"/>
  <c r="FS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EA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HI163" i="2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V164" i="2" l="1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W168" i="2"/>
  <c r="HI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A179" i="2" l="1"/>
  <c r="HG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H185" i="2" l="1"/>
  <c r="HI185" i="2"/>
  <c r="EB185" i="2"/>
  <c r="HG185" i="2"/>
  <c r="EW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FQ195" i="2"/>
  <c r="EB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HH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EB199" i="2"/>
  <c r="EA199" i="2"/>
  <c r="HH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HH201" i="2" l="1"/>
  <c r="HG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I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AH151" i="2" a="1"/>
  <c r="AH151" i="2" s="1"/>
  <c r="CS77" i="2" a="1"/>
  <c r="CS77" i="2" s="1"/>
  <c r="AH90" i="2" a="1"/>
  <c r="AH90" i="2" s="1"/>
  <c r="AH19" i="2" a="1"/>
  <c r="AH19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DN132" i="2" l="1" a="1"/>
  <c r="DN132" i="2" s="1"/>
  <c r="DN29" i="2" a="1"/>
  <c r="DN29" i="2" s="1"/>
  <c r="DN41" i="2" a="1"/>
  <c r="DN41" i="2" s="1"/>
  <c r="FY109" i="2" a="1"/>
  <c r="FY109" i="2" s="1"/>
  <c r="DN162" i="2" a="1"/>
  <c r="DN162" i="2" s="1"/>
  <c r="DN114" i="2" a="1"/>
  <c r="DN114" i="2" s="1"/>
  <c r="FY159" i="2" a="1"/>
  <c r="FY159" i="2" s="1"/>
  <c r="FY58" i="2" a="1"/>
  <c r="FY58" i="2" s="1"/>
  <c r="FY28" i="2" a="1"/>
  <c r="FY28" i="2" s="1"/>
  <c r="DN153" i="2" a="1"/>
  <c r="DN153" i="2" s="1"/>
  <c r="FY35" i="2" a="1"/>
  <c r="FY35" i="2" s="1"/>
  <c r="DN187" i="2" a="1"/>
  <c r="DN187" i="2" s="1"/>
  <c r="FY167" i="2" a="1"/>
  <c r="FY167" i="2" s="1"/>
  <c r="DN170" i="2" a="1"/>
  <c r="DN170" i="2" s="1"/>
  <c r="FY124" i="2" a="1"/>
  <c r="FY124" i="2" s="1"/>
  <c r="FY174" i="2" a="1"/>
  <c r="FY174" i="2" s="1"/>
  <c r="FY110" i="2" a="1"/>
  <c r="FY110" i="2" s="1"/>
  <c r="FY165" i="2" a="1"/>
  <c r="FY165" i="2" s="1"/>
  <c r="DN133" i="2" a="1"/>
  <c r="DN133" i="2" s="1"/>
  <c r="DN38" i="2" a="1"/>
  <c r="DN38" i="2" s="1"/>
  <c r="BC32" i="2" a="1"/>
  <c r="BC32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BC58" i="2" a="1"/>
  <c r="BC58" i="2" s="1"/>
  <c r="FY169" i="2" a="1"/>
  <c r="FY169" i="2" s="1"/>
  <c r="FY99" i="2" a="1"/>
  <c r="FY99" i="2" s="1"/>
  <c r="FY153" i="2" a="1"/>
  <c r="FY153" i="2" s="1"/>
  <c r="FY146" i="2" a="1"/>
  <c r="FY146" i="2" s="1"/>
  <c r="DN167" i="2" a="1"/>
  <c r="DN167" i="2" s="1"/>
  <c r="DN86" i="2" a="1"/>
  <c r="DN86" i="2" s="1"/>
  <c r="FY34" i="2" a="1"/>
  <c r="FY34" i="2" s="1"/>
  <c r="FY133" i="2" a="1"/>
  <c r="FY133" i="2" s="1"/>
  <c r="DN43" i="2" a="1"/>
  <c r="DN43" i="2" s="1"/>
  <c r="FY164" i="2" a="1"/>
  <c r="FY164" i="2" s="1"/>
  <c r="FY140" i="2" a="1"/>
  <c r="FY140" i="2" s="1"/>
  <c r="DN186" i="2" a="1"/>
  <c r="DN186" i="2" s="1"/>
  <c r="FY149" i="2" a="1"/>
  <c r="FY149" i="2" s="1"/>
  <c r="FY47" i="2" a="1"/>
  <c r="FY47" i="2" s="1"/>
  <c r="DN164" i="2" a="1"/>
  <c r="DN164" i="2" s="1"/>
  <c r="FY191" i="2" a="1"/>
  <c r="FY191" i="2" s="1"/>
  <c r="DN135" i="2" a="1"/>
  <c r="DN135" i="2" s="1"/>
  <c r="CS137" i="2" a="1"/>
  <c r="CS137" i="2" s="1"/>
  <c r="BX107" i="2" a="1"/>
  <c r="BX107" i="2" s="1"/>
  <c r="FY62" i="2" a="1"/>
  <c r="FY62" i="2" s="1"/>
  <c r="FY32" i="2" a="1"/>
  <c r="FY32" i="2" s="1"/>
  <c r="FS203" i="2"/>
  <c r="CS72" i="2" a="1"/>
  <c r="CS72" i="2" s="1"/>
  <c r="DN70" i="2" a="1"/>
  <c r="DN70" i="2" s="1"/>
  <c r="CS56" i="2" a="1"/>
  <c r="CS56" i="2" s="1"/>
  <c r="DN63" i="2" a="1"/>
  <c r="DN63" i="2" s="1"/>
  <c r="BC192" i="2" a="1"/>
  <c r="BC192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16" i="2" a="1"/>
  <c r="DN16" i="2" s="1"/>
  <c r="FY173" i="2" a="1"/>
  <c r="FY173" i="2" s="1"/>
  <c r="DN46" i="2" a="1"/>
  <c r="DN46" i="2" s="1"/>
  <c r="FY86" i="2" a="1"/>
  <c r="FY86" i="2" s="1"/>
  <c r="FY188" i="2" a="1"/>
  <c r="FY188" i="2" s="1"/>
  <c r="DN49" i="2" a="1"/>
  <c r="DN49" i="2" s="1"/>
  <c r="DN115" i="2" a="1"/>
  <c r="DN115" i="2" s="1"/>
  <c r="FY143" i="2" a="1"/>
  <c r="FY143" i="2" s="1"/>
  <c r="FY78" i="2" a="1"/>
  <c r="FY78" i="2" s="1"/>
  <c r="DN190" i="2" a="1"/>
  <c r="DN190" i="2" s="1"/>
  <c r="CS105" i="2" a="1"/>
  <c r="CS105" i="2" s="1"/>
  <c r="CS114" i="2" a="1"/>
  <c r="CS114" i="2" s="1"/>
  <c r="CS120" i="2" a="1"/>
  <c r="CS120" i="2" s="1"/>
  <c r="FY80" i="2" a="1"/>
  <c r="FY80" i="2" s="1"/>
  <c r="DN50" i="2" a="1"/>
  <c r="DN50" i="2" s="1"/>
  <c r="FY116" i="2" a="1"/>
  <c r="FY116" i="2" s="1"/>
  <c r="DN45" i="2" a="1"/>
  <c r="DN45" i="2" s="1"/>
  <c r="DN55" i="2" a="1"/>
  <c r="DN55" i="2" s="1"/>
  <c r="DN80" i="2" a="1"/>
  <c r="DN80" i="2" s="1"/>
  <c r="BC18" i="2" a="1"/>
  <c r="BC18" i="2" s="1"/>
  <c r="BC55" i="2" a="1"/>
  <c r="BC55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88" i="2" a="1"/>
  <c r="DN188" i="2" s="1"/>
  <c r="DN30" i="2" a="1"/>
  <c r="DN30" i="2" s="1"/>
  <c r="FY115" i="2" a="1"/>
  <c r="FY115" i="2" s="1"/>
  <c r="FY126" i="2" a="1"/>
  <c r="FY126" i="2" s="1"/>
  <c r="DN177" i="2" a="1"/>
  <c r="DN177" i="2" s="1"/>
  <c r="FY79" i="2" a="1"/>
  <c r="FY79" i="2" s="1"/>
  <c r="DN103" i="2" a="1"/>
  <c r="DN103" i="2" s="1"/>
  <c r="FY29" i="2" a="1"/>
  <c r="FY29" i="2" s="1"/>
  <c r="DN176" i="2" a="1"/>
  <c r="DN176" i="2" s="1"/>
  <c r="FY121" i="2" a="1"/>
  <c r="FY121" i="2" s="1"/>
  <c r="DN137" i="2" a="1"/>
  <c r="DN137" i="2" s="1"/>
  <c r="FY24" i="2" a="1"/>
  <c r="FY24" i="2" s="1"/>
  <c r="CS129" i="2" a="1"/>
  <c r="CS129" i="2" s="1"/>
  <c r="DN65" i="2" a="1"/>
  <c r="DN65" i="2" s="1"/>
  <c r="AH163" i="2" a="1"/>
  <c r="AH163" i="2" s="1"/>
  <c r="DN124" i="2" a="1"/>
  <c r="DN124" i="2" s="1"/>
  <c r="FY102" i="2" a="1"/>
  <c r="FY102" i="2" s="1"/>
  <c r="CS134" i="2" a="1"/>
  <c r="CS134" i="2" s="1"/>
  <c r="DN110" i="2" a="1"/>
  <c r="DN110" i="2" s="1"/>
  <c r="CS185" i="2" a="1"/>
  <c r="CS185" i="2" s="1"/>
  <c r="BC38" i="2" a="1"/>
  <c r="BC38" i="2" s="1"/>
  <c r="BC130" i="2" a="1"/>
  <c r="BC130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<sst xmlns="http://schemas.openxmlformats.org/spreadsheetml/2006/main" count="1170" uniqueCount="324">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</sst>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27" sqref="C27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5.56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5.56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5.56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141.17692307692306</v>
      </c>
      <c r="C36" s="60">
        <v>1</v>
      </c>
      <c r="D36" s="60">
        <v>49.784615384615385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9.4117948717948714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183.7076923076923</v>
      </c>
      <c r="C37" s="60">
        <v>2</v>
      </c>
      <c r="D37" s="60">
        <v>48.723076923076924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26</v>
      </c>
      <c r="B38" s="60">
        <v>249.41538461538462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318.7923076923077</v>
      </c>
      <c r="C39" s="60">
        <v>4</v>
      </c>
      <c r="D39" s="60">
        <v>64.523076923076914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19.393589743589743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40</v>
      </c>
      <c r="B40" s="60">
        <v>398.71538461538461</v>
      </c>
      <c r="C40" s="60">
        <v>5</v>
      </c>
      <c r="D40" s="60">
        <v>92.661538461538456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18.055769230769229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427.74615384615385</v>
      </c>
      <c r="C41" s="60">
        <v>6</v>
      </c>
      <c r="D41" s="60">
        <v>83.969230769230762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15.21153846153846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56</v>
      </c>
      <c r="B42" s="60">
        <v>446.47692307692301</v>
      </c>
      <c r="C42" s="60">
        <v>7</v>
      </c>
      <c r="D42" s="60">
        <v>446.47692307692301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12.837499999999991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284.53760770546342</v>
      </c>
      <c r="T3" s="59">
        <f>IF('Données projet'!E9&gt;30,$R$33-$H$33,LOOKUP('Données projet'!$E$9,$A$3:$A$203,R3:R203)-LOOKUP('Données projet'!$E$9,$A$3:$A$203,$H$3:$H$203))</f>
        <v>360.81184932435383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258.21776086535527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9.4117948717948714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>EXP(-1.0587+0.8836*LN(O4)+0.284)</f>
        <v>0.39163423183147406</v>
      </c>
      <c r="Q4" s="20">
        <f t="shared" ref="Q4:Q34" si="2">(O4+P4)*0.475*44/12</f>
        <v>2.1308141159990979</v>
      </c>
      <c r="R4" s="59">
        <f t="shared" si="0"/>
        <v>260.01970300488796</v>
      </c>
      <c r="S4" s="59">
        <f ca="1">AVERAGE(OFFSET($R$3,0,0,'Données projet'!$E$9+1,1))-AVERAGE(OFFSET($H$3,0,0,'Données projet'!$E$9+1,1))</f>
        <v>284.53760770546342</v>
      </c>
      <c r="T4" s="59">
        <f>$T$3</f>
        <v>360.81184932435383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259.6898569811928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9.4117948717948714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ref="P5:P68" si="33">EXP(-1.0587+0.8836*LN(O5)+0.284)</f>
        <v>0.52422298600197004</v>
      </c>
      <c r="Q5" s="20">
        <f t="shared" si="2"/>
        <v>2.9281438920569403</v>
      </c>
      <c r="R5" s="59">
        <f t="shared" si="0"/>
        <v>262.03925500316808</v>
      </c>
      <c r="S5" s="59">
        <f ca="1">AVERAGE(OFFSET($R$3,0,0,'Données projet'!$E$9+1,1))-AVERAGE(OFFSET($H$3,0,0,'Données projet'!$E$9+1,1))</f>
        <v>284.53760770546342</v>
      </c>
      <c r="T5" s="59">
        <f t="shared" ref="T5:T68" si="34">$T$3</f>
        <v>360.81184932435383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261.13644068172516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9.4117948717948714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2"/>
        <v>4.0251008301171156</v>
      </c>
      <c r="R6" s="59">
        <f t="shared" si="0"/>
        <v>264.35843416345045</v>
      </c>
      <c r="S6" s="59">
        <f ca="1">AVERAGE(OFFSET($R$3,0,0,'Données projet'!$E$9+1,1))-AVERAGE(OFFSET($H$3,0,0,'Données projet'!$E$9+1,1))</f>
        <v>284.53760770546342</v>
      </c>
      <c r="T6" s="59">
        <f t="shared" si="34"/>
        <v>360.81184932435383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262.56729793585498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9.4117948717948714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2"/>
        <v>5.5347320133681039</v>
      </c>
      <c r="R7" s="59">
        <f t="shared" si="0"/>
        <v>267.09028756892366</v>
      </c>
      <c r="S7" s="59">
        <f ca="1">AVERAGE(OFFSET($R$3,0,0,'Données projet'!$E$9+1,1))-AVERAGE(OFFSET($H$3,0,0,'Données projet'!$E$9+1,1))</f>
        <v>284.53760770546342</v>
      </c>
      <c r="T7" s="59">
        <f t="shared" si="34"/>
        <v>360.81184932435383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263.98686406549422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9.4117948717948714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2"/>
        <v>7.6128950978985666</v>
      </c>
      <c r="R8" s="59">
        <f t="shared" si="0"/>
        <v>270.39067287567633</v>
      </c>
      <c r="S8" s="59">
        <f ca="1">AVERAGE(OFFSET($R$3,0,0,'Données projet'!$E$9+1,1))-AVERAGE(OFFSET($H$3,0,0,'Données projet'!$E$9+1,1))</f>
        <v>284.53760770546342</v>
      </c>
      <c r="T8" s="59">
        <f t="shared" si="34"/>
        <v>360.81184932435383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265.39766916344126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9.4117948717948714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2"/>
        <v>10.474526236664085</v>
      </c>
      <c r="R9" s="59">
        <f t="shared" si="0"/>
        <v>274.47452623666408</v>
      </c>
      <c r="S9" s="59">
        <f ca="1">AVERAGE(OFFSET($R$3,0,0,'Données projet'!$E$9+1,1))-AVERAGE(OFFSET($H$3,0,0,'Données projet'!$E$9+1,1))</f>
        <v>284.53760770546342</v>
      </c>
      <c r="T9" s="59">
        <f t="shared" si="34"/>
        <v>360.81184932435383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266.80134428269588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9.4117948717948714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2"/>
        <v>14.416109245825893</v>
      </c>
      <c r="R10" s="59">
        <f t="shared" si="0"/>
        <v>279.63833146804814</v>
      </c>
      <c r="S10" s="59">
        <f ca="1">AVERAGE(OFFSET($R$3,0,0,'Données projet'!$E$9+1,1))-AVERAGE(OFFSET($H$3,0,0,'Données projet'!$E$9+1,1))</f>
        <v>284.53760770546342</v>
      </c>
      <c r="T10" s="59">
        <f t="shared" si="34"/>
        <v>360.81184932435383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268.19902551606629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9.4117948717948714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2"/>
        <v>19.846716673503781</v>
      </c>
      <c r="R11" s="59">
        <f t="shared" si="0"/>
        <v>286.29116111794826</v>
      </c>
      <c r="S11" s="59">
        <f ca="1">AVERAGE(OFFSET($R$3,0,0,'Données projet'!$E$9+1,1))-AVERAGE(OFFSET($H$3,0,0,'Données projet'!$E$9+1,1))</f>
        <v>284.53760770546342</v>
      </c>
      <c r="T11" s="59">
        <f t="shared" si="34"/>
        <v>360.81184932435383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269.59154790621875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9.4117948717948714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2"/>
        <v>27.330902060221728</v>
      </c>
      <c r="R12" s="59">
        <f t="shared" si="0"/>
        <v>294.9975687268884</v>
      </c>
      <c r="S12" s="59">
        <f ca="1">AVERAGE(OFFSET($R$3,0,0,'Données projet'!$E$9+1,1))-AVERAGE(OFFSET($H$3,0,0,'Données projet'!$E$9+1,1))</f>
        <v>284.53760770546342</v>
      </c>
      <c r="T12" s="59">
        <f t="shared" si="34"/>
        <v>360.81184932435383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270.97955004458549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9.4117948717948714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2"/>
        <v>37.647980385231108</v>
      </c>
      <c r="R13" s="59">
        <f t="shared" si="0"/>
        <v>306.53686927411997</v>
      </c>
      <c r="S13" s="59">
        <f ca="1">AVERAGE(OFFSET($R$3,0,0,'Données projet'!$E$9+1,1))-AVERAGE(OFFSET($H$3,0,0,'Données projet'!$E$9+1,1))</f>
        <v>284.53760770546342</v>
      </c>
      <c r="T13" s="59">
        <f t="shared" si="34"/>
        <v>360.81184932435383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272.36353541359648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9.4117948717948714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2"/>
        <v>51.873974862320885</v>
      </c>
      <c r="R14" s="59">
        <f t="shared" si="0"/>
        <v>321.98508597343204</v>
      </c>
      <c r="S14" s="59">
        <f ca="1">AVERAGE(OFFSET($R$3,0,0,'Données projet'!$E$9+1,1))-AVERAGE(OFFSET($H$3,0,0,'Données projet'!$E$9+1,1))</f>
        <v>284.53760770546342</v>
      </c>
      <c r="T14" s="59">
        <f t="shared" si="34"/>
        <v>360.81184932435383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273.74391070285878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9.4117948717948714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2"/>
        <v>71.4949191061866</v>
      </c>
      <c r="R15" s="59">
        <f t="shared" si="0"/>
        <v>342.82825243951993</v>
      </c>
      <c r="S15" s="59">
        <f ca="1">AVERAGE(OFFSET($R$3,0,0,'Données projet'!$E$9+1,1))-AVERAGE(OFFSET($H$3,0,0,'Données projet'!$E$9+1,1))</f>
        <v>284.53760770546342</v>
      </c>
      <c r="T15" s="59">
        <f t="shared" si="34"/>
        <v>360.81184932435383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275.1210109551854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9.4117948717948714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2"/>
        <v>98.563542320451802</v>
      </c>
      <c r="R16" s="59">
        <f t="shared" si="0"/>
        <v>371.11909787600734</v>
      </c>
      <c r="S16" s="59">
        <f ca="1">AVERAGE(OFFSET($R$3,0,0,'Données projet'!$E$9+1,1))-AVERAGE(OFFSET($H$3,0,0,'Données projet'!$E$9+1,1))</f>
        <v>284.53760770546342</v>
      </c>
      <c r="T16" s="59">
        <f t="shared" si="34"/>
        <v>360.81184932435383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276.49511674025064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9.4117948717948714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2"/>
        <v>135.91598928147849</v>
      </c>
      <c r="R17" s="59">
        <f t="shared" si="0"/>
        <v>409.69376705925629</v>
      </c>
      <c r="S17" s="59">
        <f ca="1">AVERAGE(OFFSET($R$3,0,0,'Données projet'!$E$9+1,1))-AVERAGE(OFFSET($H$3,0,0,'Données projet'!$E$9+1,1))</f>
        <v>284.53760770546342</v>
      </c>
      <c r="T17" s="59">
        <f t="shared" si="34"/>
        <v>360.81184932435383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277.86646627514682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141.17692307692306</v>
      </c>
      <c r="L18" s="12">
        <f>VLOOKUP(A18,'Données projet'!$A$35:$I$55,9,0)</f>
        <v>9.4117948717948714</v>
      </c>
      <c r="M18" s="12">
        <f t="array" ref="M18">INDEX(L:L,MIN(IF(ISNUMBER(L18:L214),ROW(L18:L214),"")))</f>
        <v>9.4117948717948714</v>
      </c>
      <c r="N18" s="13">
        <f>IF('Données projet'!$A$36&gt;35,N17+M18-V17,IF(A18&lt;'Données projet'!$A$36,$K$205^A18,IF(A18='Données projet'!$A$36,'Données projet'!$B$36,N17+M18-V17)))</f>
        <v>141.17692307692306</v>
      </c>
      <c r="O18" s="13">
        <f>N18*VLOOKUP('Données projet'!$B$9,Paramètres!$A$1:$I$89,3,0)*VLOOKUP('Données projet'!$B$9,Paramètres!$A$1:$I$89,5,0)</f>
        <v>84.423799999999986</v>
      </c>
      <c r="P18" s="13">
        <f t="shared" si="33"/>
        <v>23.215414769475935</v>
      </c>
      <c r="Q18" s="20">
        <f t="shared" si="2"/>
        <v>187.47163239017053</v>
      </c>
      <c r="R18" s="59">
        <f t="shared" si="0"/>
        <v>462.4716323901705</v>
      </c>
      <c r="S18" s="59">
        <f ca="1">AVERAGE(OFFSET($R$3,0,0,'Données projet'!$E$9+1,1))-AVERAGE(OFFSET($H$3,0,0,'Données projet'!$E$9+1,1))</f>
        <v>284.53760770546342</v>
      </c>
      <c r="T18" s="59">
        <f t="shared" si="34"/>
        <v>360.81184932435383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49.784615384615385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9.9131546026642408</v>
      </c>
      <c r="AB18" s="21">
        <f>EXP(-LN(2)/2)*AB17+(1-EXP(-LN(2)/2))/(LN(2)/2)*V18*Y18*VLOOKUP('Données projet'!$B$9,Paramètres!$A$1:$I$89,3,0)*0.475*44/12</f>
        <v>14.831482237492764</v>
      </c>
      <c r="AC18" s="22">
        <f t="shared" si="3"/>
        <v>24.744636840157007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279.23526421774841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18.463076923076926</v>
      </c>
      <c r="N19" s="13">
        <f>IF('Données projet'!$A$36&gt;35,N18+M19-V18,IF(A19&lt;'Données projet'!$A$36,$K$205^A19,IF(A19='Données projet'!$A$36,'Données projet'!$B$36,N18+M19-V18)))</f>
        <v>109.85538461538459</v>
      </c>
      <c r="O19" s="13">
        <f>N19*VLOOKUP('Données projet'!$B$9,Paramètres!$A$1:$I$89,3,0)*VLOOKUP('Données projet'!$B$9,Paramètres!$A$1:$I$89,5,0)</f>
        <v>65.693519999999992</v>
      </c>
      <c r="P19" s="13">
        <f t="shared" si="33"/>
        <v>18.600086973007183</v>
      </c>
      <c r="Q19" s="20">
        <f t="shared" si="2"/>
        <v>146.81136547798749</v>
      </c>
      <c r="R19" s="59">
        <f t="shared" si="0"/>
        <v>423.03358770020975</v>
      </c>
      <c r="S19" s="59">
        <f ca="1">AVERAGE(OFFSET($R$3,0,0,'Données projet'!$E$9+1,1))-AVERAGE(OFFSET($H$3,0,0,'Données projet'!$E$9+1,1))</f>
        <v>284.53760770546342</v>
      </c>
      <c r="T19" s="59">
        <f t="shared" si="34"/>
        <v>360.81184932435383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9.6420788687442442</v>
      </c>
      <c r="AB19" s="21">
        <f>EXP(-LN(2)/2)*AB18+(1-EXP(-LN(2)/2))/(LN(2)/2)*V19*Y19*VLOOKUP('Données projet'!$B$9,Paramètres!$A$1:$I$89,3,0)*0.475*44/12</f>
        <v>10.487441665178963</v>
      </c>
      <c r="AC19" s="22">
        <f t="shared" si="3"/>
        <v>20.129520533923206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280.60168819778306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18.463076923076926</v>
      </c>
      <c r="N20" s="13">
        <f>IF('Données projet'!$A$36&gt;35,N19+M20-V19,IF(A20&lt;'Données projet'!$A$36,$K$205^A20,IF(A20='Données projet'!$A$36,'Données projet'!$B$36,N19+M20-V19)))</f>
        <v>128.31846153846152</v>
      </c>
      <c r="O20" s="13">
        <f>N20*VLOOKUP('Données projet'!$B$9,Paramètres!$A$1:$I$89,3,0)*VLOOKUP('Données projet'!$B$9,Paramètres!$A$1:$I$89,5,0)</f>
        <v>76.734439999999992</v>
      </c>
      <c r="P20" s="13">
        <f t="shared" si="33"/>
        <v>21.336811414414317</v>
      </c>
      <c r="Q20" s="20">
        <f t="shared" si="2"/>
        <v>170.80742954677157</v>
      </c>
      <c r="R20" s="59">
        <f t="shared" si="0"/>
        <v>448.25187399121603</v>
      </c>
      <c r="S20" s="59">
        <f ca="1">AVERAGE(OFFSET($R$3,0,0,'Données projet'!$E$9+1,1))-AVERAGE(OFFSET($H$3,0,0,'Données projet'!$E$9+1,1))</f>
        <v>284.53760770546342</v>
      </c>
      <c r="T20" s="59">
        <f t="shared" si="34"/>
        <v>360.81184932435383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9.378415715023543</v>
      </c>
      <c r="AB20" s="21">
        <f>EXP(-LN(2)/2)*AB19+(1-EXP(-LN(2)/2))/(LN(2)/2)*V20*Y20*VLOOKUP('Données projet'!$B$9,Paramètres!$A$1:$I$89,3,0)*0.475*44/12</f>
        <v>7.4157411187463831</v>
      </c>
      <c r="AC20" s="22">
        <f t="shared" si="3"/>
        <v>16.794156833769925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281.96589376684187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18.463076923076926</v>
      </c>
      <c r="N21" s="13">
        <f>IF('Données projet'!$A$36&gt;35,N20+M21-V20,IF(A21&lt;'Données projet'!$A$36,$K$205^A21,IF(A21='Données projet'!$A$36,'Données projet'!$B$36,N20+M21-V20)))</f>
        <v>146.78153846153845</v>
      </c>
      <c r="O21" s="13">
        <f>N21*VLOOKUP('Données projet'!$B$9,Paramètres!$A$1:$I$89,3,0)*VLOOKUP('Données projet'!$B$9,Paramètres!$A$1:$I$89,5,0)</f>
        <v>87.775359999999992</v>
      </c>
      <c r="P21" s="13">
        <f t="shared" si="33"/>
        <v>24.02791634919064</v>
      </c>
      <c r="Q21" s="20">
        <f t="shared" si="2"/>
        <v>194.72403964150703</v>
      </c>
      <c r="R21" s="59">
        <f t="shared" si="0"/>
        <v>473.39070630817372</v>
      </c>
      <c r="S21" s="59">
        <f ca="1">AVERAGE(OFFSET($R$3,0,0,'Données projet'!$E$9+1,1))-AVERAGE(OFFSET($H$3,0,0,'Données projet'!$E$9+1,1))</f>
        <v>284.53760770546342</v>
      </c>
      <c r="T21" s="59">
        <f t="shared" si="34"/>
        <v>360.81184932435383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9.1219624441067761</v>
      </c>
      <c r="AB21" s="21">
        <f>EXP(-LN(2)/2)*AB20+(1-EXP(-LN(2)/2))/(LN(2)/2)*V21*Y21*VLOOKUP('Données projet'!$B$9,Paramètres!$A$1:$I$89,3,0)*0.475*44/12</f>
        <v>5.2437208325894824</v>
      </c>
      <c r="AC21" s="22">
        <f t="shared" si="3"/>
        <v>14.365683276696259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283.32801821685143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18.463076923076926</v>
      </c>
      <c r="N22" s="13">
        <f>IF('Données projet'!$A$36&gt;35,N21+M22-V21,IF(A22&lt;'Données projet'!$A$36,$K$205^A22,IF(A22='Données projet'!$A$36,'Données projet'!$B$36,N21+M22-V21)))</f>
        <v>165.24461538461537</v>
      </c>
      <c r="O22" s="13">
        <f>N22*VLOOKUP('Données projet'!$B$9,Paramètres!$A$1:$I$89,3,0)*VLOOKUP('Données projet'!$B$9,Paramètres!$A$1:$I$89,5,0)</f>
        <v>98.816280000000006</v>
      </c>
      <c r="P22" s="13">
        <f t="shared" si="33"/>
        <v>26.679797439959771</v>
      </c>
      <c r="Q22" s="20">
        <f t="shared" si="2"/>
        <v>218.57233487459663</v>
      </c>
      <c r="R22" s="59">
        <f t="shared" si="0"/>
        <v>498.46122376348546</v>
      </c>
      <c r="S22" s="59">
        <f ca="1">AVERAGE(OFFSET($R$3,0,0,'Données projet'!$E$9+1,1))-AVERAGE(OFFSET($H$3,0,0,'Données projet'!$E$9+1,1))</f>
        <v>284.53760770546342</v>
      </c>
      <c r="T22" s="59">
        <f t="shared" si="34"/>
        <v>360.81184932435383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8.8725219013695202</v>
      </c>
      <c r="AB22" s="21">
        <f>EXP(-LN(2)/2)*AB21+(1-EXP(-LN(2)/2))/(LN(2)/2)*V22*Y22*VLOOKUP('Données projet'!$B$9,Paramètres!$A$1:$I$89,3,0)*0.475*44/12</f>
        <v>3.707870559373192</v>
      </c>
      <c r="AC22" s="22">
        <f t="shared" si="3"/>
        <v>12.580392460742711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284.6881835717237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183.7076923076923</v>
      </c>
      <c r="L23" s="12">
        <f>VLOOKUP(A23,'Données projet'!$A$35:$I$55,9,0)</f>
        <v>18.463076923076926</v>
      </c>
      <c r="M23" s="12">
        <f t="array" ref="M23">INDEX(L:L,MIN(IF(ISNUMBER(L23:L219),ROW(L23:L219),"")))</f>
        <v>18.463076923076926</v>
      </c>
      <c r="N23" s="13">
        <f>IF('Données projet'!$A$36&gt;35,N22+M23-V22,IF(A23&lt;'Données projet'!$A$36,$K$205^A23,IF(A23='Données projet'!$A$36,'Données projet'!$B$36,N22+M23-V22)))</f>
        <v>183.7076923076923</v>
      </c>
      <c r="O23" s="13">
        <f>N23*VLOOKUP('Données projet'!$B$9,Paramètres!$A$1:$I$89,3,0)*VLOOKUP('Données projet'!$B$9,Paramètres!$A$1:$I$89,5,0)</f>
        <v>109.85720000000001</v>
      </c>
      <c r="P23" s="13">
        <f t="shared" si="33"/>
        <v>29.297337235526424</v>
      </c>
      <c r="Q23" s="20">
        <f t="shared" si="2"/>
        <v>242.36081901854183</v>
      </c>
      <c r="R23" s="59">
        <f t="shared" si="0"/>
        <v>523.47193012965295</v>
      </c>
      <c r="S23" s="59">
        <f ca="1">AVERAGE(OFFSET($R$3,0,0,'Données projet'!$E$9+1,1))-AVERAGE(OFFSET($H$3,0,0,'Données projet'!$E$9+1,1))</f>
        <v>284.53760770546342</v>
      </c>
      <c r="T23" s="59">
        <f t="shared" si="34"/>
        <v>360.81184932435383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48.723076923076924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286.0464989636726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19.071794871794875</v>
      </c>
      <c r="N24" s="13">
        <f>IF('Données projet'!$A$36&gt;35,N23+M24-V23,IF(A24&lt;'Données projet'!$A$36,$K$205^A24,IF(A24='Données projet'!$A$36,'Données projet'!$B$36,N23+M24-V23)))</f>
        <v>154.05641025641026</v>
      </c>
      <c r="O24" s="13">
        <f>N24*VLOOKUP('Données projet'!$B$9,Paramètres!$A$1:$I$89,3,0)*VLOOKUP('Données projet'!$B$9,Paramètres!$A$1:$I$89,5,0)</f>
        <v>92.125733333333343</v>
      </c>
      <c r="P24" s="13">
        <f t="shared" si="33"/>
        <v>25.077202059466597</v>
      </c>
      <c r="Q24" s="20">
        <f t="shared" si="2"/>
        <v>204.12844580912656</v>
      </c>
      <c r="R24" s="59">
        <f t="shared" si="0"/>
        <v>486.46177914245987</v>
      </c>
      <c r="S24" s="59">
        <f ca="1">AVERAGE(OFFSET($R$3,0,0,'Données projet'!$E$9+1,1))-AVERAGE(OFFSET($H$3,0,0,'Données projet'!$E$9+1,1))</f>
        <v>284.53760770546342</v>
      </c>
      <c r="T24" s="59">
        <f t="shared" si="34"/>
        <v>360.81184932435383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287.40306254407398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19.071794871794875</v>
      </c>
      <c r="N25" s="13">
        <f>IF('Données projet'!$A$36&gt;35,N24+M25-V24,IF(A25&lt;'Données projet'!$A$36,$K$205^A25,IF(A25='Données projet'!$A$36,'Données projet'!$B$36,N24+M25-V24)))</f>
        <v>173.12820512820514</v>
      </c>
      <c r="O25" s="13">
        <f>N25*VLOOKUP('Données projet'!$B$9,Paramètres!$A$1:$I$89,3,0)*VLOOKUP('Données projet'!$B$9,Paramètres!$A$1:$I$89,5,0)</f>
        <v>103.53066666666668</v>
      </c>
      <c r="P25" s="13">
        <f t="shared" si="33"/>
        <v>27.80142408921413</v>
      </c>
      <c r="Q25" s="20">
        <f t="shared" si="2"/>
        <v>228.73672473315909</v>
      </c>
      <c r="R25" s="59">
        <f t="shared" si="0"/>
        <v>512.29228028871466</v>
      </c>
      <c r="S25" s="59">
        <f ca="1">AVERAGE(OFFSET($R$3,0,0,'Données projet'!$E$9+1,1))-AVERAGE(OFFSET($H$3,0,0,'Données projet'!$E$9+1,1))</f>
        <v>284.53760770546342</v>
      </c>
      <c r="T25" s="59">
        <f t="shared" si="34"/>
        <v>360.81184932435383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288.75796303707591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19.071794871794875</v>
      </c>
      <c r="N26" s="13">
        <f>IF('Données projet'!$A$36&gt;35,N25+M26-V25,IF(A26&lt;'Données projet'!$A$36,$K$205^A26,IF(A26='Données projet'!$A$36,'Données projet'!$B$36,N25+M26-V25)))</f>
        <v>192.20000000000002</v>
      </c>
      <c r="O26" s="13">
        <f>N26*VLOOKUP('Données projet'!$B$9,Paramètres!$A$1:$I$89,3,0)*VLOOKUP('Données projet'!$B$9,Paramètres!$A$1:$I$89,5,0)</f>
        <v>114.93560000000001</v>
      </c>
      <c r="P26" s="13">
        <f t="shared" si="33"/>
        <v>30.49086327624272</v>
      </c>
      <c r="Q26" s="20">
        <f t="shared" si="2"/>
        <v>253.28442353945601</v>
      </c>
      <c r="R26" s="59">
        <f t="shared" si="0"/>
        <v>538.06220131723376</v>
      </c>
      <c r="S26" s="59">
        <f ca="1">AVERAGE(OFFSET($R$3,0,0,'Données projet'!$E$9+1,1))-AVERAGE(OFFSET($H$3,0,0,'Données projet'!$E$9+1,1))</f>
        <v>284.53760770546342</v>
      </c>
      <c r="T26" s="59">
        <f t="shared" si="34"/>
        <v>360.81184932435383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290.11128101539128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19.071794871794875</v>
      </c>
      <c r="N27" s="13">
        <f>IF('Données projet'!$A$36&gt;35,N26+M27-V26,IF(A27&lt;'Données projet'!$A$36,$K$205^A27,IF(A27='Données projet'!$A$36,'Données projet'!$B$36,N26+M27-V26)))</f>
        <v>211.2717948717949</v>
      </c>
      <c r="O27" s="13">
        <f>N27*VLOOKUP('Données projet'!$B$9,Paramètres!$A$1:$I$89,3,0)*VLOOKUP('Données projet'!$B$9,Paramètres!$A$1:$I$89,5,0)</f>
        <v>126.34053333333337</v>
      </c>
      <c r="P27" s="13">
        <f t="shared" si="33"/>
        <v>33.149363946532553</v>
      </c>
      <c r="Q27" s="20">
        <f t="shared" si="2"/>
        <v>277.77823776243309</v>
      </c>
      <c r="R27" s="59">
        <f t="shared" si="0"/>
        <v>563.77823776243304</v>
      </c>
      <c r="S27" s="59">
        <f ca="1">AVERAGE(OFFSET($R$3,0,0,'Données projet'!$E$9+1,1))-AVERAGE(OFFSET($H$3,0,0,'Données projet'!$E$9+1,1))</f>
        <v>284.53760770546342</v>
      </c>
      <c r="T27" s="59">
        <f t="shared" si="34"/>
        <v>360.81184932435383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291.46308995746739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19.071794871794875</v>
      </c>
      <c r="N28" s="13">
        <f>IF('Données projet'!$A$36&gt;35,N27+M28-V27,IF(A28&lt;'Données projet'!$A$36,$K$205^A28,IF(A28='Données projet'!$A$36,'Données projet'!$B$36,N27+M28-V27)))</f>
        <v>230.34358974358977</v>
      </c>
      <c r="O28" s="13">
        <f>N28*VLOOKUP('Données projet'!$B$9,Paramètres!$A$1:$I$89,3,0)*VLOOKUP('Données projet'!$B$9,Paramètres!$A$1:$I$89,5,0)</f>
        <v>137.74546666666669</v>
      </c>
      <c r="P28" s="13">
        <f t="shared" si="33"/>
        <v>35.780036573255778</v>
      </c>
      <c r="Q28" s="20">
        <f t="shared" si="2"/>
        <v>302.22358480953159</v>
      </c>
      <c r="R28" s="59">
        <f t="shared" si="0"/>
        <v>589.44580703175382</v>
      </c>
      <c r="S28" s="59">
        <f ca="1">AVERAGE(OFFSET($R$3,0,0,'Données projet'!$E$9+1,1))-AVERAGE(OFFSET($H$3,0,0,'Données projet'!$E$9+1,1))</f>
        <v>284.53760770546342</v>
      </c>
      <c r="T28" s="59">
        <f t="shared" si="34"/>
        <v>360.81184932435383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292.81345713074649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249.41538461538462</v>
      </c>
      <c r="L29" s="12">
        <f>VLOOKUP(A29,'Données projet'!$A$35:$I$55,9,0)</f>
        <v>19.071794871794875</v>
      </c>
      <c r="M29" s="12">
        <f t="array" ref="M29">INDEX(L:L,MIN(IF(ISNUMBER(L29:L225),ROW(L29:L225),"")))</f>
        <v>19.071794871794875</v>
      </c>
      <c r="N29" s="13">
        <f>IF('Données projet'!$A$36&gt;35,N28+M29-V28,IF(A29&lt;'Données projet'!$A$36,$K$205^A29,IF(A29='Données projet'!$A$36,'Données projet'!$B$36,N28+M29-V28)))</f>
        <v>249.41538461538465</v>
      </c>
      <c r="O29" s="13">
        <f>N29*VLOOKUP('Données projet'!$B$9,Paramètres!$A$1:$I$89,3,0)*VLOOKUP('Données projet'!$B$9,Paramètres!$A$1:$I$89,5,0)</f>
        <v>149.15040000000002</v>
      </c>
      <c r="P29" s="13">
        <f t="shared" si="33"/>
        <v>38.385447191571515</v>
      </c>
      <c r="Q29" s="20">
        <f t="shared" si="2"/>
        <v>326.62493385865372</v>
      </c>
      <c r="R29" s="59">
        <f t="shared" si="0"/>
        <v>615.06937830309812</v>
      </c>
      <c r="S29" s="59">
        <f ca="1">AVERAGE(OFFSET($R$3,0,0,'Données projet'!$E$9+1,1))-AVERAGE(OFFSET($H$3,0,0,'Données projet'!$E$9+1,1))</f>
        <v>284.53760770546342</v>
      </c>
      <c r="T29" s="59">
        <f t="shared" si="34"/>
        <v>360.81184932435383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294.1624443352182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19.393589743589743</v>
      </c>
      <c r="N30" s="13">
        <f>IF('Données projet'!$A$36&gt;35,N29+M30-V29,IF(A30&lt;'Données projet'!$A$36,$K$205^A30,IF(A30='Données projet'!$A$36,'Données projet'!$B$36,N29+M30-V29)))</f>
        <v>221.82435897435903</v>
      </c>
      <c r="O30" s="13">
        <f>N30*VLOOKUP('Données projet'!$B$9,Paramètres!$A$1:$I$89,3,0)*VLOOKUP('Données projet'!$B$9,Paramètres!$A$1:$I$89,5,0)</f>
        <v>132.6509666666667</v>
      </c>
      <c r="P30" s="13">
        <f t="shared" si="33"/>
        <v>34.608198355283058</v>
      </c>
      <c r="Q30" s="20">
        <f t="shared" si="2"/>
        <v>291.30971241322919</v>
      </c>
      <c r="R30" s="59">
        <f t="shared" si="0"/>
        <v>580.97637907989588</v>
      </c>
      <c r="S30" s="59">
        <f ca="1">AVERAGE(OFFSET($R$3,0,0,'Données projet'!$E$9+1,1))-AVERAGE(OFFSET($H$3,0,0,'Données projet'!$E$9+1,1))</f>
        <v>284.53760770546342</v>
      </c>
      <c r="T30" s="59">
        <f t="shared" si="34"/>
        <v>360.81184932435383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295.5101085337198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19.393589743589743</v>
      </c>
      <c r="N31" s="13">
        <f>IF('Données projet'!$A$36&gt;35,N30+M31-V30,IF(A31&lt;'Données projet'!$A$36,$K$205^A31,IF(A31='Données projet'!$A$36,'Données projet'!$B$36,N30+M31-V30)))</f>
        <v>241.21794871794879</v>
      </c>
      <c r="O31" s="13">
        <f>N31*VLOOKUP('Données projet'!$B$9,Paramètres!$A$1:$I$89,3,0)*VLOOKUP('Données projet'!$B$9,Paramètres!$A$1:$I$89,5,0)</f>
        <v>144.24833333333339</v>
      </c>
      <c r="P31" s="13">
        <f t="shared" si="33"/>
        <v>37.268539287745227</v>
      </c>
      <c r="Q31" s="20">
        <f t="shared" si="2"/>
        <v>316.14188648171188</v>
      </c>
      <c r="R31" s="59">
        <f t="shared" si="0"/>
        <v>607.03077537060074</v>
      </c>
      <c r="S31" s="59">
        <f ca="1">AVERAGE(OFFSET($R$3,0,0,'Données projet'!$E$9+1,1))-AVERAGE(OFFSET($H$3,0,0,'Données projet'!$E$9+1,1))</f>
        <v>284.53760770546342</v>
      </c>
      <c r="T31" s="59">
        <f t="shared" si="34"/>
        <v>360.81184932435383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296.8565023896623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19.393589743589743</v>
      </c>
      <c r="N32" s="13">
        <f>IF('Données projet'!$A$36&gt;35,N31+M32-V31,IF(A32&lt;'Données projet'!$A$36,$K$205^A32,IF(A32='Données projet'!$A$36,'Données projet'!$B$36,N31+M32-V31)))</f>
        <v>260.61153846153854</v>
      </c>
      <c r="O32" s="13">
        <f>N32*VLOOKUP('Données projet'!$B$9,Paramètres!$A$1:$I$89,3,0)*VLOOKUP('Données projet'!$B$9,Paramètres!$A$1:$I$89,5,0)</f>
        <v>155.84570000000005</v>
      </c>
      <c r="P32" s="13">
        <f t="shared" si="33"/>
        <v>39.904071626695313</v>
      </c>
      <c r="Q32" s="20">
        <f t="shared" si="2"/>
        <v>340.93085224982775</v>
      </c>
      <c r="R32" s="59">
        <f t="shared" si="0"/>
        <v>633.04196336093889</v>
      </c>
      <c r="S32" s="59">
        <f ca="1">AVERAGE(OFFSET($R$3,0,0,'Données projet'!$E$9+1,1))-AVERAGE(OFFSET($H$3,0,0,'Données projet'!$E$9+1,1))</f>
        <v>284.53760770546342</v>
      </c>
      <c r="T32" s="59">
        <f t="shared" si="34"/>
        <v>360.81184932435383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298.20167472850483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19.393589743589743</v>
      </c>
      <c r="N33" s="13">
        <f>IF('Données projet'!$A$36&gt;35,N32+M33-V32,IF(A33&lt;'Données projet'!$A$36,$K$205^A33,IF(A33='Données projet'!$A$36,'Données projet'!$B$36,N32+M33-V32)))</f>
        <v>280.0051282051283</v>
      </c>
      <c r="O33" s="13">
        <f>N33*VLOOKUP('Données projet'!$B$9,Paramètres!$A$1:$I$89,3,0)*VLOOKUP('Données projet'!$B$9,Paramètres!$A$1:$I$89,5,0)</f>
        <v>167.44306666666677</v>
      </c>
      <c r="P33" s="13">
        <f t="shared" si="33"/>
        <v>42.516851449807113</v>
      </c>
      <c r="Q33" s="20">
        <f t="shared" si="2"/>
        <v>365.68019071952534</v>
      </c>
      <c r="R33" s="59">
        <f t="shared" si="0"/>
        <v>659.01352405285866</v>
      </c>
      <c r="S33" s="59">
        <f ca="1">AVERAGE(OFFSET($R$3,0,0,'Données projet'!$E$9+1,1))-AVERAGE(OFFSET($H$3,0,0,'Données projet'!$E$9+1,1))</f>
        <v>284.53760770546342</v>
      </c>
      <c r="T33" s="59">
        <f t="shared" si="34"/>
        <v>360.81184932435383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299.54567093596972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19.393589743589743</v>
      </c>
      <c r="N34" s="13">
        <f>IF('Données projet'!$A$36&gt;35,N33+M34-V33,IF(A34&lt;'Données projet'!$A$36,$K$205^A34,IF(A34='Données projet'!$A$36,'Données projet'!$B$36,N33+M34-V33)))</f>
        <v>299.39871794871806</v>
      </c>
      <c r="O34" s="13">
        <f>N34*VLOOKUP('Données projet'!$B$9,Paramètres!$A$1:$I$89,3,0)*VLOOKUP('Données projet'!$B$9,Paramètres!$A$1:$I$89,5,0)</f>
        <v>179.04043333333343</v>
      </c>
      <c r="P34" s="13">
        <f t="shared" si="33"/>
        <v>45.108633894312518</v>
      </c>
      <c r="Q34" s="20">
        <f t="shared" si="2"/>
        <v>390.39295875481668</v>
      </c>
      <c r="R34" s="59">
        <f t="shared" si="0"/>
        <v>683.72629208814999</v>
      </c>
      <c r="S34" s="59">
        <f ca="1">AVERAGE(OFFSET($R$3,0,0,'Données projet'!$E$9+1,1))-AVERAGE(OFFSET($H$3,0,0,'Données projet'!$E$9+1,1))</f>
        <v>284.53760770546342</v>
      </c>
      <c r="T34" s="59">
        <f t="shared" si="34"/>
        <v>360.81184932435383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300.88853330343193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19.393589743589743</v>
      </c>
      <c r="M35" s="12">
        <f t="array" ref="M35">INDEX(L:L,MIN(IF(ISNUMBER(L35:L231),ROW(L35:L231),"")))</f>
        <v>19.393589743589743</v>
      </c>
      <c r="N35" s="13">
        <f>IF('Données projet'!$A$36&gt;35,N34+M35-V34,IF(A35&lt;'Données projet'!$A$36,$K$205^A35,IF(A35='Données projet'!$A$36,'Données projet'!$B$36,N34+M35-V34)))</f>
        <v>318.79230769230782</v>
      </c>
      <c r="O35" s="13">
        <f>N35*VLOOKUP('Données projet'!$B$9,Paramètres!$A$1:$I$89,3,0)*VLOOKUP('Données projet'!$B$9,Paramètres!$A$1:$I$89,5,0)</f>
        <v>190.63780000000008</v>
      </c>
      <c r="P35" s="13">
        <f t="shared" si="33"/>
        <v>47.680933861376609</v>
      </c>
      <c r="Q35" s="20">
        <f t="shared" ref="Q35:Q66" si="53">(O35+P35)*0.475*44/12</f>
        <v>415.07179480856439</v>
      </c>
      <c r="R35" s="59">
        <f t="shared" si="0"/>
        <v>708.40512814189765</v>
      </c>
      <c r="S35" s="59">
        <f ca="1">AVERAGE(OFFSET($R$3,0,0,'Données projet'!$E$9+1,1))-AVERAGE(OFFSET($H$3,0,0,'Données projet'!$E$9+1,1))</f>
        <v>284.53760770546342</v>
      </c>
      <c r="T35" s="59">
        <f t="shared" si="34"/>
        <v>360.81184932435383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302.23030132892234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272.3250000000001</v>
      </c>
      <c r="O36" s="13">
        <f>N36*VLOOKUP('Données projet'!$B$9,Paramètres!$A$1:$I$89,3,0)*VLOOKUP('Données projet'!$B$9,Paramètres!$A$1:$I$89,5,0)</f>
        <v>162.85035000000008</v>
      </c>
      <c r="P36" s="13">
        <f t="shared" si="33"/>
        <v>41.484757610477807</v>
      </c>
      <c r="Q36" s="20">
        <f t="shared" si="53"/>
        <v>355.88364575491568</v>
      </c>
      <c r="R36" s="59">
        <f t="shared" si="0"/>
        <v>649.21697908824899</v>
      </c>
      <c r="S36" s="59">
        <f ca="1">AVERAGE(OFFSET($R$3,0,0,'Données projet'!$E$9+1,1))-AVERAGE(OFFSET($H$3,0,0,'Données projet'!$E$9+1,1))</f>
        <v>284.53760770546342</v>
      </c>
      <c r="T36" s="59">
        <f t="shared" si="34"/>
        <v>360.81184932435383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303.57101198061997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290.38076923076932</v>
      </c>
      <c r="O37" s="13">
        <f>N37*VLOOKUP('Données projet'!$B$9,Paramètres!$A$1:$I$89,3,0)*VLOOKUP('Données projet'!$B$9,Paramètres!$A$1:$I$89,5,0)</f>
        <v>173.64770000000004</v>
      </c>
      <c r="P37" s="13">
        <f t="shared" si="33"/>
        <v>43.905974872685142</v>
      </c>
      <c r="Q37" s="20">
        <f t="shared" si="53"/>
        <v>378.90598373659333</v>
      </c>
      <c r="R37" s="59">
        <f t="shared" si="0"/>
        <v>672.23931706992664</v>
      </c>
      <c r="S37" s="59">
        <f ca="1">AVERAGE(OFFSET($R$3,0,0,'Données projet'!$E$9+1,1))-AVERAGE(OFFSET($H$3,0,0,'Données projet'!$E$9+1,1))</f>
        <v>284.53760770546342</v>
      </c>
      <c r="T37" s="59">
        <f t="shared" si="34"/>
        <v>360.81184932435383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304.91069992847446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308.43653846153853</v>
      </c>
      <c r="O38" s="13">
        <f>N38*VLOOKUP('Données projet'!$B$9,Paramètres!$A$1:$I$89,3,0)*VLOOKUP('Données projet'!$B$9,Paramètres!$A$1:$I$89,5,0)</f>
        <v>184.44505000000007</v>
      </c>
      <c r="P38" s="13">
        <f t="shared" si="33"/>
        <v>46.309719450497106</v>
      </c>
      <c r="Q38" s="20">
        <f t="shared" si="53"/>
        <v>401.89789012628256</v>
      </c>
      <c r="R38" s="59">
        <f t="shared" si="0"/>
        <v>695.23122345961588</v>
      </c>
      <c r="S38" s="59">
        <f ca="1">AVERAGE(OFFSET($R$3,0,0,'Données projet'!$E$9+1,1))-AVERAGE(OFFSET($H$3,0,0,'Données projet'!$E$9+1,1))</f>
        <v>284.53760770546342</v>
      </c>
      <c r="T38" s="59">
        <f t="shared" si="34"/>
        <v>360.81184932435383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306.24939774861355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326.49230769230775</v>
      </c>
      <c r="O39" s="13">
        <f>N39*VLOOKUP('Données projet'!$B$9,Paramètres!$A$1:$I$89,3,0)*VLOOKUP('Données projet'!$B$9,Paramètres!$A$1:$I$89,5,0)</f>
        <v>195.24240000000006</v>
      </c>
      <c r="P39" s="13">
        <f t="shared" si="33"/>
        <v>48.697130705157392</v>
      </c>
      <c r="Q39" s="20">
        <f t="shared" si="53"/>
        <v>424.86134931148257</v>
      </c>
      <c r="R39" s="59">
        <f t="shared" si="0"/>
        <v>718.19468264481588</v>
      </c>
      <c r="S39" s="59">
        <f ca="1">AVERAGE(OFFSET($R$3,0,0,'Données projet'!$E$9+1,1))-AVERAGE(OFFSET($H$3,0,0,'Données projet'!$E$9+1,1))</f>
        <v>284.53760770546342</v>
      </c>
      <c r="T39" s="59">
        <f t="shared" si="34"/>
        <v>360.81184932435383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307.58713610439963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344.54807692307696</v>
      </c>
      <c r="O40" s="13">
        <f>N40*VLOOKUP('Données projet'!$B$9,Paramètres!$A$1:$I$89,3,0)*VLOOKUP('Données projet'!$B$9,Paramètres!$A$1:$I$89,5,0)</f>
        <v>206.03975000000003</v>
      </c>
      <c r="P40" s="13">
        <f t="shared" si="33"/>
        <v>51.069214862008621</v>
      </c>
      <c r="Q40" s="20">
        <f t="shared" si="53"/>
        <v>447.79811380133168</v>
      </c>
      <c r="R40" s="59">
        <f t="shared" si="0"/>
        <v>741.131447134665</v>
      </c>
      <c r="S40" s="59">
        <f ca="1">AVERAGE(OFFSET($R$3,0,0,'Données projet'!$E$9+1,1))-AVERAGE(OFFSET($H$3,0,0,'Données projet'!$E$9+1,1))</f>
        <v>284.53760770546342</v>
      </c>
      <c r="T40" s="59">
        <f t="shared" si="34"/>
        <v>360.81184932435383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308.9239439073624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362.60384615384618</v>
      </c>
      <c r="O41" s="13">
        <f>N41*VLOOKUP('Données projet'!$B$9,Paramètres!$A$1:$I$89,3,0)*VLOOKUP('Données projet'!$B$9,Paramètres!$A$1:$I$89,5,0)</f>
        <v>216.83710000000005</v>
      </c>
      <c r="P41" s="13">
        <f t="shared" si="33"/>
        <v>53.426866729052094</v>
      </c>
      <c r="Q41" s="20">
        <f t="shared" si="53"/>
        <v>470.70974205309909</v>
      </c>
      <c r="R41" s="59">
        <f t="shared" si="0"/>
        <v>764.04307538643241</v>
      </c>
      <c r="S41" s="59">
        <f ca="1">AVERAGE(OFFSET($R$3,0,0,'Données projet'!$E$9+1,1))-AVERAGE(OFFSET($H$3,0,0,'Données projet'!$E$9+1,1))</f>
        <v>284.53760770546342</v>
      </c>
      <c r="T41" s="59">
        <f t="shared" si="34"/>
        <v>360.81184932435383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310.25984846071503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380.65961538461539</v>
      </c>
      <c r="O42" s="13">
        <f>N42*VLOOKUP('Données projet'!$B$9,Paramètres!$A$1:$I$89,3,0)*VLOOKUP('Données projet'!$B$9,Paramètres!$A$1:$I$89,5,0)</f>
        <v>227.63445000000002</v>
      </c>
      <c r="P42" s="13">
        <f t="shared" si="33"/>
        <v>55.770886966725193</v>
      </c>
      <c r="Q42" s="20">
        <f t="shared" si="53"/>
        <v>493.59762855037974</v>
      </c>
      <c r="R42" s="59">
        <f t="shared" si="0"/>
        <v>786.93096188371305</v>
      </c>
      <c r="S42" s="59">
        <f ca="1">AVERAGE(OFFSET($R$3,0,0,'Données projet'!$E$9+1,1))-AVERAGE(OFFSET($H$3,0,0,'Données projet'!$E$9+1,1))</f>
        <v>284.53760770546342</v>
      </c>
      <c r="T42" s="59">
        <f t="shared" si="34"/>
        <v>360.81184932435383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311.59487558773577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398.71538461538461</v>
      </c>
      <c r="O43" s="13">
        <f>N43*VLOOKUP('Données projet'!$B$9,Paramètres!$A$1:$I$89,3,0)*VLOOKUP('Données projet'!$B$9,Paramètres!$A$1:$I$89,5,0)</f>
        <v>238.43180000000001</v>
      </c>
      <c r="P43" s="13">
        <f t="shared" si="33"/>
        <v>58.101995988242535</v>
      </c>
      <c r="Q43" s="20">
        <f t="shared" si="53"/>
        <v>516.46302801285583</v>
      </c>
      <c r="R43" s="59">
        <f t="shared" si="0"/>
        <v>809.79636134618909</v>
      </c>
      <c r="S43" s="59">
        <f ca="1">AVERAGE(OFFSET($R$3,0,0,'Données projet'!$E$9+1,1))-AVERAGE(OFFSET($H$3,0,0,'Données projet'!$E$9+1,1))</f>
        <v>284.53760770546342</v>
      </c>
      <c r="T43" s="59">
        <f t="shared" si="34"/>
        <v>360.81184932435383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312.92904974695091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15.21153846153846</v>
      </c>
      <c r="N44" s="13">
        <f>IF('Données projet'!$A$36&gt;35,N43+M44-V43,IF(A44&lt;'Données projet'!$A$36,$K$205^A44,IF(A44='Données projet'!$A$36,'Données projet'!$B$36,N43+M44-V43)))</f>
        <v>321.26538461538462</v>
      </c>
      <c r="O44" s="13">
        <f>N44*VLOOKUP('Données projet'!$B$9,Paramètres!$A$1:$I$89,3,0)*VLOOKUP('Données projet'!$B$9,Paramètres!$A$1:$I$89,5,0)</f>
        <v>192.11670000000004</v>
      </c>
      <c r="P44" s="13">
        <f t="shared" si="33"/>
        <v>48.007622995174927</v>
      </c>
      <c r="Q44" s="20">
        <f t="shared" si="53"/>
        <v>418.21652921659637</v>
      </c>
      <c r="R44" s="59">
        <f t="shared" si="0"/>
        <v>711.54986254992968</v>
      </c>
      <c r="S44" s="59">
        <f ca="1">AVERAGE(OFFSET($R$3,0,0,'Données projet'!$E$9+1,1))-AVERAGE(OFFSET($H$3,0,0,'Données projet'!$E$9+1,1))</f>
        <v>284.53760770546342</v>
      </c>
      <c r="T44" s="59">
        <f t="shared" si="34"/>
        <v>360.81184932435383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314.26239413576309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15.21153846153846</v>
      </c>
      <c r="N45" s="13">
        <f>IF('Données projet'!$A$36&gt;35,N44+M45-V44,IF(A45&lt;'Données projet'!$A$36,$K$205^A45,IF(A45='Données projet'!$A$36,'Données projet'!$B$36,N44+M45-V44)))</f>
        <v>336.47692307692307</v>
      </c>
      <c r="O45" s="13">
        <f>N45*VLOOKUP('Données projet'!$B$9,Paramètres!$A$1:$I$89,3,0)*VLOOKUP('Données projet'!$B$9,Paramètres!$A$1:$I$89,5,0)</f>
        <v>201.21320000000003</v>
      </c>
      <c r="P45" s="13">
        <f t="shared" si="33"/>
        <v>50.010698447793764</v>
      </c>
      <c r="Q45" s="20">
        <f t="shared" si="53"/>
        <v>437.54828979657418</v>
      </c>
      <c r="R45" s="59">
        <f t="shared" si="0"/>
        <v>730.88162312990744</v>
      </c>
      <c r="S45" s="59">
        <f ca="1">AVERAGE(OFFSET($R$3,0,0,'Données projet'!$E$9+1,1))-AVERAGE(OFFSET($H$3,0,0,'Données projet'!$E$9+1,1))</f>
        <v>284.53760770546342</v>
      </c>
      <c r="T45" s="59">
        <f t="shared" si="34"/>
        <v>360.81184932435383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315.59493078393314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15.21153846153846</v>
      </c>
      <c r="N46" s="13">
        <f>IF('Données projet'!$A$36&gt;35,N45+M46-V45,IF(A46&lt;'Données projet'!$A$36,$K$205^A46,IF(A46='Données projet'!$A$36,'Données projet'!$B$36,N45+M46-V45)))</f>
        <v>351.68846153846152</v>
      </c>
      <c r="O46" s="13">
        <f>N46*VLOOKUP('Données projet'!$B$9,Paramètres!$A$1:$I$89,3,0)*VLOOKUP('Données projet'!$B$9,Paramètres!$A$1:$I$89,5,0)</f>
        <v>210.30970000000002</v>
      </c>
      <c r="P46" s="13">
        <f t="shared" si="33"/>
        <v>52.003257134609832</v>
      </c>
      <c r="Q46" s="20">
        <f t="shared" si="53"/>
        <v>456.86173367611218</v>
      </c>
      <c r="R46" s="59">
        <f t="shared" si="0"/>
        <v>750.19506700944544</v>
      </c>
      <c r="S46" s="59">
        <f ca="1">AVERAGE(OFFSET($R$3,0,0,'Données projet'!$E$9+1,1))-AVERAGE(OFFSET($H$3,0,0,'Données projet'!$E$9+1,1))</f>
        <v>284.53760770546342</v>
      </c>
      <c r="T46" s="59">
        <f t="shared" si="34"/>
        <v>360.81184932435383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316.92668063811999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15.21153846153846</v>
      </c>
      <c r="N47" s="13">
        <f>IF('Données projet'!$A$36&gt;35,N46+M47-V46,IF(A47&lt;'Données projet'!$A$36,$K$205^A47,IF(A47='Données projet'!$A$36,'Données projet'!$B$36,N46+M47-V46)))</f>
        <v>366.9</v>
      </c>
      <c r="O47" s="13">
        <f>N47*VLOOKUP('Données projet'!$B$9,Paramètres!$A$1:$I$89,3,0)*VLOOKUP('Données projet'!$B$9,Paramètres!$A$1:$I$89,5,0)</f>
        <v>219.40620000000001</v>
      </c>
      <c r="P47" s="13">
        <f t="shared" si="33"/>
        <v>53.985805930473333</v>
      </c>
      <c r="Q47" s="20">
        <f t="shared" si="53"/>
        <v>476.15774366224105</v>
      </c>
      <c r="R47" s="59">
        <f t="shared" si="0"/>
        <v>769.4910769955743</v>
      </c>
      <c r="S47" s="59">
        <f ca="1">AVERAGE(OFFSET($R$3,0,0,'Données projet'!$E$9+1,1))-AVERAGE(OFFSET($H$3,0,0,'Données projet'!$E$9+1,1))</f>
        <v>284.53760770546342</v>
      </c>
      <c r="T47" s="59">
        <f t="shared" si="34"/>
        <v>360.81184932435383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318.25766363851949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15.21153846153846</v>
      </c>
      <c r="N48" s="13">
        <f>IF('Données projet'!$A$36&gt;35,N47+M48-V47,IF(A48&lt;'Données projet'!$A$36,$K$205^A48,IF(A48='Données projet'!$A$36,'Données projet'!$B$36,N47+M48-V47)))</f>
        <v>382.11153846153843</v>
      </c>
      <c r="O48" s="13">
        <f>N48*VLOOKUP('Données projet'!$B$9,Paramètres!$A$1:$I$89,3,0)*VLOOKUP('Données projet'!$B$9,Paramètres!$A$1:$I$89,5,0)</f>
        <v>228.5027</v>
      </c>
      <c r="P48" s="13">
        <f t="shared" si="33"/>
        <v>55.958807302542631</v>
      </c>
      <c r="Q48" s="20">
        <f t="shared" si="53"/>
        <v>495.4371252185951</v>
      </c>
      <c r="R48" s="59">
        <f t="shared" si="0"/>
        <v>788.77045855192841</v>
      </c>
      <c r="S48" s="59">
        <f ca="1">AVERAGE(OFFSET($R$3,0,0,'Données projet'!$E$9+1,1))-AVERAGE(OFFSET($H$3,0,0,'Données projet'!$E$9+1,1))</f>
        <v>284.53760770546342</v>
      </c>
      <c r="T48" s="59">
        <f t="shared" si="34"/>
        <v>360.81184932435383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319.58789878849768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15.21153846153846</v>
      </c>
      <c r="N49" s="13">
        <f>IF('Données projet'!$A$36&gt;35,N48+M49-V48,IF(A49&lt;'Données projet'!$A$36,$K$205^A49,IF(A49='Données projet'!$A$36,'Données projet'!$B$36,N48+M49-V48)))</f>
        <v>397.32307692307688</v>
      </c>
      <c r="O49" s="13">
        <f>N49*VLOOKUP('Données projet'!$B$9,Paramètres!$A$1:$I$89,3,0)*VLOOKUP('Données projet'!$B$9,Paramètres!$A$1:$I$89,5,0)</f>
        <v>237.5992</v>
      </c>
      <c r="P49" s="13">
        <f t="shared" si="33"/>
        <v>57.922684812819405</v>
      </c>
      <c r="Q49" s="20">
        <f t="shared" si="53"/>
        <v>514.70061604899377</v>
      </c>
      <c r="R49" s="59">
        <f t="shared" si="0"/>
        <v>808.03394938232714</v>
      </c>
      <c r="S49" s="59">
        <f ca="1">AVERAGE(OFFSET($R$3,0,0,'Données projet'!$E$9+1,1))-AVERAGE(OFFSET($H$3,0,0,'Données projet'!$E$9+1,1))</f>
        <v>284.53760770546342</v>
      </c>
      <c r="T49" s="59">
        <f t="shared" si="34"/>
        <v>360.81184932435383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320.91740421799926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15.21153846153846</v>
      </c>
      <c r="N50" s="13">
        <f>IF('Données projet'!$A$36&gt;35,N49+M50-V49,IF(A50&lt;'Données projet'!$A$36,$K$205^A50,IF(A50='Données projet'!$A$36,'Données projet'!$B$36,N49+M50-V49)))</f>
        <v>412.53461538461534</v>
      </c>
      <c r="O50" s="13">
        <f>N50*VLOOKUP('Données projet'!$B$9,Paramètres!$A$1:$I$89,3,0)*VLOOKUP('Données projet'!$B$9,Paramètres!$A$1:$I$89,5,0)</f>
        <v>246.69569999999999</v>
      </c>
      <c r="P50" s="13">
        <f t="shared" si="33"/>
        <v>59.877827754324372</v>
      </c>
      <c r="Q50" s="20">
        <f t="shared" si="53"/>
        <v>533.94889417211482</v>
      </c>
      <c r="R50" s="59">
        <f t="shared" si="0"/>
        <v>827.28222750544819</v>
      </c>
      <c r="S50" s="59">
        <f ca="1">AVERAGE(OFFSET($R$3,0,0,'Données projet'!$E$9+1,1))-AVERAGE(OFFSET($H$3,0,0,'Données projet'!$E$9+1,1))</f>
        <v>284.53760770546342</v>
      </c>
      <c r="T50" s="59">
        <f t="shared" si="34"/>
        <v>360.81184932435383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322.24619724140661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427.74615384615385</v>
      </c>
      <c r="L51" s="12">
        <f>VLOOKUP(A51,'Données projet'!$A$35:$I$55,9,0)</f>
        <v>15.21153846153846</v>
      </c>
      <c r="M51" s="12">
        <f t="array" ref="M51">INDEX(L:L,MIN(IF(ISNUMBER(L51:L247),ROW(L51:L247),"")))</f>
        <v>15.21153846153846</v>
      </c>
      <c r="N51" s="13">
        <f>IF('Données projet'!$A$36&gt;35,N50+M51-V50,IF(A51&lt;'Données projet'!$A$36,$K$205^A51,IF(A51='Données projet'!$A$36,'Données projet'!$B$36,N50+M51-V50)))</f>
        <v>427.74615384615379</v>
      </c>
      <c r="O51" s="13">
        <f>N51*VLOOKUP('Données projet'!$B$9,Paramètres!$A$1:$I$89,3,0)*VLOOKUP('Données projet'!$B$9,Paramètres!$A$1:$I$89,5,0)</f>
        <v>255.79219999999998</v>
      </c>
      <c r="P51" s="13">
        <f t="shared" si="33"/>
        <v>61.824595084245523</v>
      </c>
      <c r="Q51" s="20">
        <f t="shared" si="53"/>
        <v>553.18258477172765</v>
      </c>
      <c r="R51" s="59">
        <f t="shared" si="0"/>
        <v>846.51591810506102</v>
      </c>
      <c r="S51" s="59">
        <f ca="1">AVERAGE(OFFSET($R$3,0,0,'Données projet'!$E$9+1,1))-AVERAGE(OFFSET($H$3,0,0,'Données projet'!$E$9+1,1))</f>
        <v>284.53760770546342</v>
      </c>
      <c r="T51" s="59">
        <f t="shared" si="34"/>
        <v>360.81184932435383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323.57429441044138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12.837499999999991</v>
      </c>
      <c r="N52" s="13">
        <f>IF('Données projet'!$A$36&gt;35,N51+M52-V51,IF(A52&lt;'Données projet'!$A$36,$K$205^A52,IF(A52='Données projet'!$A$36,'Données projet'!$B$36,N51+M52-V51)))</f>
        <v>356.614423076923</v>
      </c>
      <c r="O52" s="13">
        <f>N52*VLOOKUP('Données projet'!$B$9,Paramètres!$A$1:$I$89,3,0)*VLOOKUP('Données projet'!$B$9,Paramètres!$A$1:$I$89,5,0)</f>
        <v>213.25542499999997</v>
      </c>
      <c r="P52" s="13">
        <f t="shared" si="33"/>
        <v>52.646339807871037</v>
      </c>
      <c r="Q52" s="20">
        <f t="shared" si="53"/>
        <v>463.11224037370863</v>
      </c>
      <c r="R52" s="59">
        <f t="shared" si="0"/>
        <v>756.44557370704194</v>
      </c>
      <c r="S52" s="59">
        <f ca="1">AVERAGE(OFFSET($R$3,0,0,'Données projet'!$E$9+1,1))-AVERAGE(OFFSET($H$3,0,0,'Données projet'!$E$9+1,1))</f>
        <v>284.53760770546342</v>
      </c>
      <c r="T52" s="59">
        <f t="shared" si="34"/>
        <v>360.81184932435383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324.90171156262585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12.837499999999991</v>
      </c>
      <c r="N53" s="13">
        <f>IF('Données projet'!$A$36&gt;35,N52+M53-V52,IF(A53&lt;'Données projet'!$A$36,$K$205^A53,IF(A53='Données projet'!$A$36,'Données projet'!$B$36,N52+M53-V52)))</f>
        <v>369.45192307692298</v>
      </c>
      <c r="O53" s="13">
        <f>N53*VLOOKUP('Données projet'!$B$9,Paramètres!$A$1:$I$89,3,0)*VLOOKUP('Données projet'!$B$9,Paramètres!$A$1:$I$89,5,0)</f>
        <v>220.93224999999995</v>
      </c>
      <c r="P53" s="13">
        <f t="shared" si="33"/>
        <v>54.31745576001893</v>
      </c>
      <c r="Q53" s="20">
        <f t="shared" si="53"/>
        <v>479.3932375320328</v>
      </c>
      <c r="R53" s="59">
        <f t="shared" si="0"/>
        <v>772.72657086536606</v>
      </c>
      <c r="S53" s="59">
        <f ca="1">AVERAGE(OFFSET($R$3,0,0,'Données projet'!$E$9+1,1))-AVERAGE(OFFSET($H$3,0,0,'Données projet'!$E$9+1,1))</f>
        <v>284.53760770546342</v>
      </c>
      <c r="T53" s="59">
        <f t="shared" si="34"/>
        <v>360.81184932435383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326.22846386575713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12.837499999999991</v>
      </c>
      <c r="N54" s="13">
        <f>IF('Données projet'!$A$36&gt;35,N53+M54-V53,IF(A54&lt;'Données projet'!$A$36,$K$205^A54,IF(A54='Données projet'!$A$36,'Données projet'!$B$36,N53+M54-V53)))</f>
        <v>382.28942307692296</v>
      </c>
      <c r="O54" s="13">
        <f>N54*VLOOKUP('Données projet'!$B$9,Paramètres!$A$1:$I$89,3,0)*VLOOKUP('Données projet'!$B$9,Paramètres!$A$1:$I$89,5,0)</f>
        <v>228.60907499999993</v>
      </c>
      <c r="P54" s="13">
        <f t="shared" si="33"/>
        <v>55.981824933821947</v>
      </c>
      <c r="Q54" s="20">
        <f t="shared" si="53"/>
        <v>495.66248405140641</v>
      </c>
      <c r="R54" s="59">
        <f t="shared" si="0"/>
        <v>788.99581738473967</v>
      </c>
      <c r="S54" s="59">
        <f ca="1">AVERAGE(OFFSET($R$3,0,0,'Données projet'!$E$9+1,1))-AVERAGE(OFFSET($H$3,0,0,'Données projet'!$E$9+1,1))</f>
        <v>284.53760770546342</v>
      </c>
      <c r="T54" s="59">
        <f t="shared" si="34"/>
        <v>360.81184932435383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327.55456585879563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12.837499999999991</v>
      </c>
      <c r="N55" s="13">
        <f>IF('Données projet'!$A$36&gt;35,N54+M55-V54,IF(A55&lt;'Données projet'!$A$36,$K$205^A55,IF(A55='Données projet'!$A$36,'Données projet'!$B$36,N54+M55-V54)))</f>
        <v>395.12692307692294</v>
      </c>
      <c r="O55" s="13">
        <f>N55*VLOOKUP('Données projet'!$B$9,Paramètres!$A$1:$I$89,3,0)*VLOOKUP('Données projet'!$B$9,Paramètres!$A$1:$I$89,5,0)</f>
        <v>236.28589999999994</v>
      </c>
      <c r="P55" s="13">
        <f t="shared" si="33"/>
        <v>57.639699864397812</v>
      </c>
      <c r="Q55" s="20">
        <f t="shared" si="53"/>
        <v>511.92041976382615</v>
      </c>
      <c r="R55" s="59">
        <f t="shared" si="0"/>
        <v>805.25375309715946</v>
      </c>
      <c r="S55" s="59">
        <f ca="1">AVERAGE(OFFSET($R$3,0,0,'Données projet'!$E$9+1,1))-AVERAGE(OFFSET($H$3,0,0,'Données projet'!$E$9+1,1))</f>
        <v>284.53760770546342</v>
      </c>
      <c r="T55" s="59">
        <f t="shared" si="34"/>
        <v>360.81184932435383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328.88003148951861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12.837499999999991</v>
      </c>
      <c r="N56" s="13">
        <f>IF('Données projet'!$A$36&gt;35,N55+M56-V55,IF(A56&lt;'Données projet'!$A$36,$K$205^A56,IF(A56='Données projet'!$A$36,'Données projet'!$B$36,N55+M56-V55)))</f>
        <v>407.96442307692291</v>
      </c>
      <c r="O56" s="13">
        <f>N56*VLOOKUP('Données projet'!$B$9,Paramètres!$A$1:$I$89,3,0)*VLOOKUP('Données projet'!$B$9,Paramètres!$A$1:$I$89,5,0)</f>
        <v>243.96272499999992</v>
      </c>
      <c r="P56" s="13">
        <f t="shared" si="33"/>
        <v>59.291315745845196</v>
      </c>
      <c r="Q56" s="20">
        <f t="shared" si="53"/>
        <v>528.16745429901368</v>
      </c>
      <c r="R56" s="59">
        <f t="shared" si="0"/>
        <v>821.50078763234706</v>
      </c>
      <c r="S56" s="59">
        <f ca="1">AVERAGE(OFFSET($R$3,0,0,'Données projet'!$E$9+1,1))-AVERAGE(OFFSET($H$3,0,0,'Données projet'!$E$9+1,1))</f>
        <v>284.53760770546342</v>
      </c>
      <c r="T56" s="59">
        <f t="shared" si="34"/>
        <v>360.81184932435383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330.20487414925196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12.837499999999991</v>
      </c>
      <c r="N57" s="13">
        <f>IF('Données projet'!$A$36&gt;35,N56+M57-V56,IF(A57&lt;'Données projet'!$A$36,$K$205^A57,IF(A57='Données projet'!$A$36,'Données projet'!$B$36,N56+M57-V56)))</f>
        <v>420.80192307692289</v>
      </c>
      <c r="O57" s="13">
        <f>N57*VLOOKUP('Données projet'!$B$9,Paramètres!$A$1:$I$89,3,0)*VLOOKUP('Données projet'!$B$9,Paramètres!$A$1:$I$89,5,0)</f>
        <v>251.63954999999993</v>
      </c>
      <c r="P57" s="13">
        <f t="shared" si="33"/>
        <v>60.936892129812684</v>
      </c>
      <c r="Q57" s="20">
        <f t="shared" si="53"/>
        <v>544.4039700427569</v>
      </c>
      <c r="R57" s="59">
        <f t="shared" si="0"/>
        <v>837.73730337609027</v>
      </c>
      <c r="S57" s="59">
        <f ca="1">AVERAGE(OFFSET($R$3,0,0,'Données projet'!$E$9+1,1))-AVERAGE(OFFSET($H$3,0,0,'Données projet'!$E$9+1,1))</f>
        <v>284.53760770546342</v>
      </c>
      <c r="T57" s="59">
        <f t="shared" si="34"/>
        <v>360.81184932435383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331.52910670495601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12.837499999999991</v>
      </c>
      <c r="N58" s="13">
        <f>IF('Données projet'!$A$36&gt;35,N57+M58-V57,IF(A58&lt;'Données projet'!$A$36,$K$205^A58,IF(A58='Données projet'!$A$36,'Données projet'!$B$36,N57+M58-V57)))</f>
        <v>433.63942307692287</v>
      </c>
      <c r="O58" s="13">
        <f>N58*VLOOKUP('Données projet'!$B$9,Paramètres!$A$1:$I$89,3,0)*VLOOKUP('Données projet'!$B$9,Paramètres!$A$1:$I$89,5,0)</f>
        <v>259.31637499999988</v>
      </c>
      <c r="P58" s="13">
        <f t="shared" si="33"/>
        <v>62.576634410968637</v>
      </c>
      <c r="Q58" s="20">
        <f t="shared" si="53"/>
        <v>560.63032472410339</v>
      </c>
      <c r="R58" s="59">
        <f t="shared" si="0"/>
        <v>853.96365805743676</v>
      </c>
      <c r="S58" s="59">
        <f ca="1">AVERAGE(OFFSET($R$3,0,0,'Données projet'!$E$9+1,1))-AVERAGE(OFFSET($H$3,0,0,'Données projet'!$E$9+1,1))</f>
        <v>284.53760770546342</v>
      </c>
      <c r="T58" s="59">
        <f t="shared" si="34"/>
        <v>360.81184932435383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332.85274152891276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12.837499999999991</v>
      </c>
      <c r="M59" s="12">
        <f t="array" ref="M59">INDEX(L:L,MIN(IF(ISNUMBER(L59:L255),ROW(L59:L255),"")))</f>
        <v>12.837499999999991</v>
      </c>
      <c r="N59" s="13">
        <f>IF('Données projet'!$A$36&gt;35,N58+M59-V58,IF(A59&lt;'Données projet'!$A$36,$K$205^A59,IF(A59='Données projet'!$A$36,'Données projet'!$B$36,N58+M59-V58)))</f>
        <v>446.47692307692284</v>
      </c>
      <c r="O59" s="13">
        <f>N59*VLOOKUP('Données projet'!$B$9,Paramètres!$A$1:$I$89,3,0)*VLOOKUP('Données projet'!$B$9,Paramètres!$A$1:$I$89,5,0)</f>
        <v>266.99319999999989</v>
      </c>
      <c r="P59" s="13">
        <f t="shared" si="33"/>
        <v>64.210735131625498</v>
      </c>
      <c r="Q59" s="20">
        <f t="shared" si="53"/>
        <v>576.84685368758085</v>
      </c>
      <c r="R59" s="59">
        <f t="shared" si="0"/>
        <v>870.18018702091422</v>
      </c>
      <c r="S59" s="59">
        <f ca="1">AVERAGE(OFFSET($R$3,0,0,'Données projet'!$E$9+1,1))-AVERAGE(OFFSET($H$3,0,0,'Données projet'!$E$9+1,1))</f>
        <v>284.53760770546342</v>
      </c>
      <c r="T59" s="59">
        <f t="shared" si="34"/>
        <v>360.81184932435383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334.17579052623137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284.53760770546342</v>
      </c>
      <c r="T60" s="59">
        <f t="shared" si="34"/>
        <v>360.81184932435383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335.49826516036978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284.53760770546342</v>
      </c>
      <c r="T61" s="59">
        <f t="shared" si="34"/>
        <v>360.81184932435383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336.82017647684575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284.53760770546342</v>
      </c>
      <c r="T62" s="59">
        <f t="shared" si="34"/>
        <v>360.81184932435383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338.14153512529509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284.53760770546342</v>
      </c>
      <c r="T63" s="59">
        <f t="shared" si="34"/>
        <v>360.81184932435383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339.46235138001782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284.53760770546342</v>
      </c>
      <c r="T64" s="59">
        <f t="shared" si="34"/>
        <v>360.81184932435383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340.78263515913829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284.53760770546342</v>
      </c>
      <c r="T65" s="59">
        <f t="shared" si="34"/>
        <v>360.81184932435383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342.10239604249472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284.53760770546342</v>
      </c>
      <c r="T66" s="59">
        <f t="shared" si="34"/>
        <v>360.81184932435383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343.42164328836043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284.53760770546342</v>
      </c>
      <c r="T67" s="59">
        <f t="shared" si="34"/>
        <v>360.81184932435383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si="3"/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344.74038584909022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284.53760770546342</v>
      </c>
      <c r="T68" s="59">
        <f t="shared" si="34"/>
        <v>360.81184932435383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ref="AC68:AC131" si="57">SUM(Z68:AB68)</f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346.05863238577678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284.53760770546342</v>
      </c>
      <c r="T69" s="59">
        <f t="shared" ref="T69:T132" si="88">$T$3</f>
        <v>360.81184932435383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57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347.37639128199356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284.53760770546342</v>
      </c>
      <c r="T70" s="59">
        <f t="shared" si="88"/>
        <v>360.81184932435383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57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348.69367065669366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284.53760770546342</v>
      </c>
      <c r="T71" s="59">
        <f t="shared" si="88"/>
        <v>360.81184932435383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57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350.01047837632871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284.53760770546342</v>
      </c>
      <c r="T72" s="59">
        <f t="shared" si="88"/>
        <v>360.81184932435383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57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351.32682206624526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284.53760770546342</v>
      </c>
      <c r="T73" s="59">
        <f t="shared" si="88"/>
        <v>360.81184932435383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57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352.64270912141092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284.53760770546342</v>
      </c>
      <c r="T74" s="59">
        <f t="shared" si="88"/>
        <v>360.81184932435383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57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353.95814671651993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284.53760770546342</v>
      </c>
      <c r="T75" s="59">
        <f t="shared" si="88"/>
        <v>360.81184932435383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57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355.27314181552032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284.53760770546342</v>
      </c>
      <c r="T76" s="59">
        <f t="shared" si="88"/>
        <v>360.81184932435383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57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356.58770118060499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284.53760770546342</v>
      </c>
      <c r="T77" s="59">
        <f t="shared" si="88"/>
        <v>360.81184932435383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57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357.90183138070279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284.53760770546342</v>
      </c>
      <c r="T78" s="59">
        <f t="shared" si="88"/>
        <v>360.81184932435383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57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359.21553879950335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284.53760770546342</v>
      </c>
      <c r="T79" s="59">
        <f t="shared" si="88"/>
        <v>360.81184932435383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57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360.52882964304825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284.53760770546342</v>
      </c>
      <c r="T80" s="59">
        <f t="shared" si="88"/>
        <v>360.81184932435383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57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361.84170994691613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284.53760770546342</v>
      </c>
      <c r="T81" s="59">
        <f t="shared" si="88"/>
        <v>360.81184932435383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57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363.15418558302906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284.53760770546342</v>
      </c>
      <c r="T82" s="59">
        <f t="shared" si="88"/>
        <v>360.81184932435383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57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364.46626226610448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284.53760770546342</v>
      </c>
      <c r="T83" s="59">
        <f t="shared" si="88"/>
        <v>360.81184932435383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57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365.77794555977505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284.53760770546342</v>
      </c>
      <c r="T84" s="59">
        <f t="shared" si="88"/>
        <v>360.81184932435383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57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367.08924088239814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284.53760770546342</v>
      </c>
      <c r="T85" s="59">
        <f t="shared" si="88"/>
        <v>360.81184932435383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57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368.40015351257347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284.53760770546342</v>
      </c>
      <c r="T86" s="59">
        <f t="shared" si="88"/>
        <v>360.81184932435383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57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369.71068859438759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284.53760770546342</v>
      </c>
      <c r="T87" s="59">
        <f t="shared" si="88"/>
        <v>360.81184932435383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57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371.02085114240117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284.53760770546342</v>
      </c>
      <c r="T88" s="59">
        <f t="shared" si="88"/>
        <v>360.81184932435383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57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372.33064604639503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284.53760770546342</v>
      </c>
      <c r="T89" s="59">
        <f t="shared" si="88"/>
        <v>360.81184932435383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57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373.64007807588928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284.53760770546342</v>
      </c>
      <c r="T90" s="59">
        <f t="shared" si="88"/>
        <v>360.81184932435383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57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374.94915188444867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284.53760770546342</v>
      </c>
      <c r="T91" s="59">
        <f t="shared" si="88"/>
        <v>360.81184932435383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57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376.25787201378643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284.53760770546342</v>
      </c>
      <c r="T92" s="59">
        <f t="shared" si="88"/>
        <v>360.81184932435383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57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377.56624289767882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284.53760770546342</v>
      </c>
      <c r="T93" s="59">
        <f t="shared" si="88"/>
        <v>360.81184932435383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57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378.87426886570029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284.53760770546342</v>
      </c>
      <c r="T94" s="59">
        <f t="shared" si="88"/>
        <v>360.81184932435383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57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380.18195414679013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284.53760770546342</v>
      </c>
      <c r="T95" s="59">
        <f t="shared" si="88"/>
        <v>360.81184932435383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57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381.48930287265961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284.53760770546342</v>
      </c>
      <c r="T96" s="59">
        <f t="shared" si="88"/>
        <v>360.81184932435383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57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382.7963190810479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284.53760770546342</v>
      </c>
      <c r="T97" s="59">
        <f t="shared" si="88"/>
        <v>360.81184932435383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57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384.10300671883618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284.53760770546342</v>
      </c>
      <c r="T98" s="59">
        <f t="shared" si="88"/>
        <v>360.81184932435383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57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385.40936964502669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284.53760770546342</v>
      </c>
      <c r="T99" s="59">
        <f t="shared" si="88"/>
        <v>360.81184932435383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57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386.71541163359313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284.53760770546342</v>
      </c>
      <c r="T100" s="59">
        <f t="shared" si="88"/>
        <v>360.81184932435383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57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388.02113637621233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284.53760770546342</v>
      </c>
      <c r="T101" s="59">
        <f t="shared" si="88"/>
        <v>360.81184932435383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57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389.32654748487857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284.53760770546342</v>
      </c>
      <c r="T102" s="59">
        <f t="shared" si="88"/>
        <v>360.81184932435383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57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390.63164849441159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284.53760770546342</v>
      </c>
      <c r="T103" s="59">
        <f t="shared" si="88"/>
        <v>360.81184932435383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57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391.93644286485994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284.53760770546342</v>
      </c>
      <c r="T104" s="59">
        <f t="shared" si="88"/>
        <v>360.81184932435383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57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393.24093398380677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284.53760770546342</v>
      </c>
      <c r="T105" s="59">
        <f t="shared" si="88"/>
        <v>360.81184932435383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57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394.54512516858324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284.53760770546342</v>
      </c>
      <c r="T106" s="59">
        <f t="shared" si="88"/>
        <v>360.81184932435383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57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395.84901966839254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284.53760770546342</v>
      </c>
      <c r="T107" s="59">
        <f t="shared" si="88"/>
        <v>360.81184932435383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57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397.15262066635069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284.53760770546342</v>
      </c>
      <c r="T108" s="59">
        <f t="shared" si="88"/>
        <v>360.81184932435383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57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398.45593128144674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284.53760770546342</v>
      </c>
      <c r="T109" s="59">
        <f t="shared" si="88"/>
        <v>360.81184932435383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57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399.75895457042736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284.53760770546342</v>
      </c>
      <c r="T110" s="59">
        <f t="shared" si="88"/>
        <v>360.81184932435383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57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401.06169352960887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284.53760770546342</v>
      </c>
      <c r="T111" s="59">
        <f t="shared" si="88"/>
        <v>360.81184932435383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57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402.36415109661988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284.53760770546342</v>
      </c>
      <c r="T112" s="59">
        <f t="shared" si="88"/>
        <v>360.81184932435383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57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403.66633015207867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284.53760770546342</v>
      </c>
      <c r="T113" s="59">
        <f t="shared" si="88"/>
        <v>360.81184932435383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57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404.96823352120737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284.53760770546342</v>
      </c>
      <c r="T114" s="59">
        <f t="shared" si="88"/>
        <v>360.81184932435383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57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406.26986397538667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284.53760770546342</v>
      </c>
      <c r="T115" s="59">
        <f t="shared" si="88"/>
        <v>360.81184932435383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57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407.5712242336532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284.53760770546342</v>
      </c>
      <c r="T116" s="59">
        <f t="shared" si="88"/>
        <v>360.81184932435383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57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408.87231696414256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284.53760770546342</v>
      </c>
      <c r="T117" s="59">
        <f t="shared" si="88"/>
        <v>360.81184932435383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57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410.17314478547985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284.53760770546342</v>
      </c>
      <c r="T118" s="59">
        <f t="shared" si="88"/>
        <v>360.81184932435383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57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411.47371026812101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284.53760770546342</v>
      </c>
      <c r="T119" s="59">
        <f t="shared" si="88"/>
        <v>360.81184932435383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57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412.77401593564628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284.53760770546342</v>
      </c>
      <c r="T120" s="59">
        <f t="shared" si="88"/>
        <v>360.81184932435383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57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414.07406426600824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284.53760770546342</v>
      </c>
      <c r="T121" s="59">
        <f t="shared" si="88"/>
        <v>360.81184932435383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57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415.37385769273612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284.53760770546342</v>
      </c>
      <c r="T122" s="59">
        <f t="shared" si="88"/>
        <v>360.81184932435383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57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416.67339860609889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284.53760770546342</v>
      </c>
      <c r="T123" s="59">
        <f t="shared" si="88"/>
        <v>360.81184932435383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57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417.97268935422818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284.53760770546342</v>
      </c>
      <c r="T124" s="59">
        <f t="shared" si="88"/>
        <v>360.81184932435383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57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419.27173224420289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284.53760770546342</v>
      </c>
      <c r="T125" s="59">
        <f t="shared" si="88"/>
        <v>360.81184932435383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57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420.57052954309756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284.53760770546342</v>
      </c>
      <c r="T126" s="59">
        <f t="shared" si="88"/>
        <v>360.81184932435383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57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421.86908347899566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284.53760770546342</v>
      </c>
      <c r="T127" s="59">
        <f t="shared" si="88"/>
        <v>360.81184932435383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57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423.16739624196862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284.53760770546342</v>
      </c>
      <c r="T128" s="59">
        <f t="shared" si="88"/>
        <v>360.81184932435383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57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424.46546998502367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284.53760770546342</v>
      </c>
      <c r="T129" s="59">
        <f t="shared" si="88"/>
        <v>360.81184932435383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57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425.76330682501987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284.53760770546342</v>
      </c>
      <c r="T130" s="59">
        <f t="shared" si="88"/>
        <v>360.81184932435383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57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427.06090884355478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284.53760770546342</v>
      </c>
      <c r="T131" s="59">
        <f t="shared" si="88"/>
        <v>360.81184932435383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si="57"/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428.35827808782267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284.53760770546342</v>
      </c>
      <c r="T132" s="59">
        <f t="shared" si="88"/>
        <v>360.81184932435383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ref="AC132:AC153" si="111">SUM(Z132:AB132)</f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429.65541657144536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284.53760770546342</v>
      </c>
      <c r="T133" s="59">
        <f t="shared" ref="T133:T196" si="142">$T$3</f>
        <v>360.81184932435383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11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430.95232627527639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284.53760770546342</v>
      </c>
      <c r="T134" s="59">
        <f t="shared" si="142"/>
        <v>360.81184932435383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11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432.24900914818079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284.53760770546342</v>
      </c>
      <c r="T135" s="59">
        <f t="shared" si="142"/>
        <v>360.81184932435383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11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433.54546710778931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284.53760770546342</v>
      </c>
      <c r="T136" s="59">
        <f t="shared" si="142"/>
        <v>360.81184932435383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11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434.84170204123075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284.53760770546342</v>
      </c>
      <c r="T137" s="59">
        <f t="shared" si="142"/>
        <v>360.81184932435383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11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436.13771580584034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284.53760770546342</v>
      </c>
      <c r="T138" s="59">
        <f t="shared" si="142"/>
        <v>360.81184932435383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11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437.43351022984768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284.53760770546342</v>
      </c>
      <c r="T139" s="59">
        <f t="shared" si="142"/>
        <v>360.81184932435383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11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438.72908711304348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284.53760770546342</v>
      </c>
      <c r="T140" s="59">
        <f t="shared" si="142"/>
        <v>360.81184932435383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11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440.02444822742564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284.53760770546342</v>
      </c>
      <c r="T141" s="59">
        <f t="shared" si="142"/>
        <v>360.81184932435383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11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441.31959531782735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284.53760770546342</v>
      </c>
      <c r="T142" s="59">
        <f t="shared" si="142"/>
        <v>360.81184932435383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11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442.61453010252563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284.53760770546342</v>
      </c>
      <c r="T143" s="59">
        <f t="shared" si="142"/>
        <v>360.81184932435383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11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443.909254273832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284.53760770546342</v>
      </c>
      <c r="T144" s="59">
        <f t="shared" si="142"/>
        <v>360.81184932435383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11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445.20376949866642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284.53760770546342</v>
      </c>
      <c r="T145" s="59">
        <f t="shared" si="142"/>
        <v>360.81184932435383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11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446.49807741911434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284.53760770546342</v>
      </c>
      <c r="T146" s="59">
        <f t="shared" si="142"/>
        <v>360.81184932435383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11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447.79217965296755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284.53760770546342</v>
      </c>
      <c r="T147" s="59">
        <f t="shared" si="142"/>
        <v>360.81184932435383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11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449.08607779424995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284.53760770546342</v>
      </c>
      <c r="T148" s="59">
        <f t="shared" si="142"/>
        <v>360.81184932435383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11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450.37977341372795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284.53760770546342</v>
      </c>
      <c r="T149" s="59">
        <f t="shared" si="142"/>
        <v>360.81184932435383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11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451.67326805940689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284.53760770546342</v>
      </c>
      <c r="T150" s="59">
        <f t="shared" si="142"/>
        <v>360.81184932435383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11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452.96656325701349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284.53760770546342</v>
      </c>
      <c r="T151" s="59">
        <f t="shared" si="142"/>
        <v>360.81184932435383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11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454.25966051046453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284.53760770546342</v>
      </c>
      <c r="T152" s="59">
        <f t="shared" si="142"/>
        <v>360.81184932435383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11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455.55256130232294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284.53760770546342</v>
      </c>
      <c r="T153" s="59">
        <f t="shared" si="142"/>
        <v>360.81184932435383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11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456.84526709424142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284.53760770546342</v>
      </c>
      <c r="T154" s="59">
        <f t="shared" si="142"/>
        <v>360.81184932435383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ref="AC154:AC203" si="163">SUM(Z154:AB154)</f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458.13777932739379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284.53760770546342</v>
      </c>
      <c r="T155" s="59">
        <f t="shared" si="142"/>
        <v>360.81184932435383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6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459.43009942289456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284.53760770546342</v>
      </c>
      <c r="T156" s="59">
        <f t="shared" si="142"/>
        <v>360.81184932435383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6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460.72222878220754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284.53760770546342</v>
      </c>
      <c r="T157" s="59">
        <f t="shared" si="142"/>
        <v>360.81184932435383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6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462.01416878754333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284.53760770546342</v>
      </c>
      <c r="T158" s="59">
        <f t="shared" si="142"/>
        <v>360.81184932435383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6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463.30592080224613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284.53760770546342</v>
      </c>
      <c r="T159" s="59">
        <f t="shared" si="142"/>
        <v>360.81184932435383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6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464.59748617117077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284.53760770546342</v>
      </c>
      <c r="T160" s="59">
        <f t="shared" si="142"/>
        <v>360.81184932435383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6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465.88886622104945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284.53760770546342</v>
      </c>
      <c r="T161" s="59">
        <f t="shared" si="142"/>
        <v>360.81184932435383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6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467.18006226084901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284.53760770546342</v>
      </c>
      <c r="T162" s="59">
        <f t="shared" si="142"/>
        <v>360.81184932435383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6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468.471075582119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284.53760770546342</v>
      </c>
      <c r="T163" s="59">
        <f t="shared" si="142"/>
        <v>360.81184932435383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6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469.76190745933098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284.53760770546342</v>
      </c>
      <c r="T164" s="59">
        <f t="shared" si="142"/>
        <v>360.81184932435383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6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471.05255915020894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284.53760770546342</v>
      </c>
      <c r="T165" s="59">
        <f t="shared" si="142"/>
        <v>360.81184932435383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6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472.34303189605112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284.53760770546342</v>
      </c>
      <c r="T166" s="59">
        <f t="shared" si="142"/>
        <v>360.81184932435383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6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473.63332692204438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284.53760770546342</v>
      </c>
      <c r="T167" s="59">
        <f t="shared" si="142"/>
        <v>360.81184932435383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6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474.92344543756974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284.53760770546342</v>
      </c>
      <c r="T168" s="59">
        <f t="shared" si="142"/>
        <v>360.81184932435383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6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476.21338863650141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284.53760770546342</v>
      </c>
      <c r="T169" s="59">
        <f t="shared" si="142"/>
        <v>360.81184932435383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6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477.5031576974971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284.53760770546342</v>
      </c>
      <c r="T170" s="59">
        <f t="shared" si="142"/>
        <v>360.81184932435383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6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478.79275378428258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284.53760770546342</v>
      </c>
      <c r="T171" s="59">
        <f t="shared" si="142"/>
        <v>360.81184932435383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6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480.08217804592812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284.53760770546342</v>
      </c>
      <c r="T172" s="59">
        <f t="shared" si="142"/>
        <v>360.81184932435383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6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481.37143161711884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284.53760770546342</v>
      </c>
      <c r="T173" s="59">
        <f t="shared" si="142"/>
        <v>360.81184932435383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6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482.66051561841834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284.53760770546342</v>
      </c>
      <c r="T174" s="59">
        <f t="shared" si="142"/>
        <v>360.81184932435383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6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483.9494311565258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284.53760770546342</v>
      </c>
      <c r="T175" s="59">
        <f t="shared" si="142"/>
        <v>360.81184932435383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6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485.23817932452732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284.53760770546342</v>
      </c>
      <c r="T176" s="59">
        <f t="shared" si="142"/>
        <v>360.81184932435383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6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486.52676120214107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284.53760770546342</v>
      </c>
      <c r="T177" s="59">
        <f t="shared" si="142"/>
        <v>360.81184932435383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6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487.81517785595634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284.53760770546342</v>
      </c>
      <c r="T178" s="59">
        <f t="shared" si="142"/>
        <v>360.81184932435383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6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489.10343033966763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284.53760770546342</v>
      </c>
      <c r="T179" s="59">
        <f t="shared" si="142"/>
        <v>360.81184932435383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6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490.39151969430264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284.53760770546342</v>
      </c>
      <c r="T180" s="59">
        <f t="shared" si="142"/>
        <v>360.81184932435383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6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491.67944694844562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284.53760770546342</v>
      </c>
      <c r="T181" s="59">
        <f t="shared" si="142"/>
        <v>360.81184932435383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6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492.96721311845431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284.53760770546342</v>
      </c>
      <c r="T182" s="59">
        <f t="shared" si="142"/>
        <v>360.81184932435383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6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494.25481920867389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284.53760770546342</v>
      </c>
      <c r="T183" s="59">
        <f t="shared" si="142"/>
        <v>360.81184932435383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6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495.54226621164401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284.53760770546342</v>
      </c>
      <c r="T184" s="59">
        <f t="shared" si="142"/>
        <v>360.81184932435383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6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496.82955510830232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284.53760770546342</v>
      </c>
      <c r="T185" s="59">
        <f t="shared" si="142"/>
        <v>360.81184932435383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6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498.11668686818314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284.53760770546342</v>
      </c>
      <c r="T186" s="59">
        <f t="shared" si="142"/>
        <v>360.81184932435383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6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499.40366244961143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284.53760770546342</v>
      </c>
      <c r="T187" s="59">
        <f t="shared" si="142"/>
        <v>360.81184932435383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6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500.69048279989249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284.53760770546342</v>
      </c>
      <c r="T188" s="59">
        <f t="shared" si="142"/>
        <v>360.81184932435383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6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501.97714885549817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284.53760770546342</v>
      </c>
      <c r="T189" s="59">
        <f t="shared" si="142"/>
        <v>360.81184932435383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6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503.26366154224729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284.53760770546342</v>
      </c>
      <c r="T190" s="59">
        <f t="shared" si="142"/>
        <v>360.81184932435383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6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504.55002177548414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284.53760770546342</v>
      </c>
      <c r="T191" s="59">
        <f t="shared" si="142"/>
        <v>360.81184932435383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6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505.83623046025133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284.53760770546342</v>
      </c>
      <c r="T192" s="59">
        <f t="shared" si="142"/>
        <v>360.81184932435383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6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507.12228849146004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284.53760770546342</v>
      </c>
      <c r="T193" s="59">
        <f t="shared" si="142"/>
        <v>360.81184932435383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6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508.40819675405589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284.53760770546342</v>
      </c>
      <c r="T194" s="59">
        <f t="shared" si="142"/>
        <v>360.81184932435383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6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509.69395612318181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284.53760770546342</v>
      </c>
      <c r="T195" s="59">
        <f t="shared" si="142"/>
        <v>360.81184932435383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si="163"/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510.97956746433664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284.53760770546342</v>
      </c>
      <c r="T196" s="59">
        <f t="shared" si="142"/>
        <v>360.81184932435383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163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512.26503163353118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284.53760770546342</v>
      </c>
      <c r="T197" s="59">
        <f t="shared" ref="T197:T203" si="204">$T$3</f>
        <v>360.81184932435383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163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513.55034947744048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284.53760770546342</v>
      </c>
      <c r="T198" s="59">
        <f t="shared" si="204"/>
        <v>360.81184932435383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163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514.835521833553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284.53760770546342</v>
      </c>
      <c r="T199" s="59">
        <f t="shared" si="204"/>
        <v>360.81184932435383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163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516.12054953031634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284.53760770546342</v>
      </c>
      <c r="T200" s="59">
        <f t="shared" si="204"/>
        <v>360.81184932435383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163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517.40543338728094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284.53760770546342</v>
      </c>
      <c r="T201" s="59">
        <f t="shared" si="204"/>
        <v>360.81184932435383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163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518.69017421523927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284.53760770546342</v>
      </c>
      <c r="T202" s="59">
        <f t="shared" si="204"/>
        <v>360.81184932435383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163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519.97477281636316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284.53760770546342</v>
      </c>
      <c r="T203" s="59">
        <f t="shared" si="204"/>
        <v>360.81184932435383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163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90" zoomScaleNormal="90" workbookViewId="0">
      <selection activeCell="M5" sqref="M5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5.56</v>
      </c>
      <c r="C6" s="147">
        <f ca="1">IF(OR('Données projet'!B9="",'Données projet'!C9="",'Données projet'!C9=0%),0,Calculateur!S3)</f>
        <v>284.53760770546342</v>
      </c>
      <c r="D6" s="147">
        <f>IF(OR('Données projet'!B9="",'Données projet'!C9="",'Données projet'!C9=0%),0,Calculateur!T3)</f>
        <v>360.81184932435383</v>
      </c>
      <c r="E6" s="147">
        <f ca="1">MIN(C6,D6)</f>
        <v>284.53760770546342</v>
      </c>
      <c r="F6" s="147">
        <f ca="1">E6*B6</f>
        <v>1582.0290988423765</v>
      </c>
      <c r="G6" s="147">
        <f ca="1">F6*(100%-'Données projet'!$C$24)*(100%-'Données projet'!$C$25)*(100%-'Données projet'!$C$26)*(100%-'Données projet'!$C$27)</f>
        <v>1210.252260614418</v>
      </c>
      <c r="H6" s="148">
        <f>IF(OR('Données projet'!B9="",'Données projet'!C9="",'Données projet'!C9=0%),0,AVERAGE(Calculateur!$AC$3:$AC$33)*B6)</f>
        <v>72.385323673511962</v>
      </c>
      <c r="I6" s="149">
        <f>H6*(100%-'Données projet'!$C$24)*(100%-'Données projet'!$C$25)*(100%-'Données projet'!$C$26)*(100%-'Données projet'!$C$27)</f>
        <v>55.374772610236647</v>
      </c>
      <c r="J6" s="150">
        <f>IF(OR('Données projet'!B9="",'Données projet'!C9="",'Données projet'!C9=0%),0,SUM(Calculateur!$V$3:$V$33)*VLOOKUP('Données projet'!$B$9,Paramètres!$A$1:$I$89,9,0)*B6)</f>
        <v>477.27296615384614</v>
      </c>
      <c r="K6" s="151">
        <f>J6*(100%-'Données projet'!$C$24)*(100%-'Données projet'!$C$25)*(100%-'Données projet'!$C$26)*(100%-'Données projet'!$C$27)</f>
        <v>365.11381910769228</v>
      </c>
      <c r="L6" s="152">
        <f ca="1">G6+I6+K6</f>
        <v>1630.740852332347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1582.0290988423765</v>
      </c>
      <c r="G16" s="166">
        <f t="shared" ca="1" si="3"/>
        <v>1210.252260614418</v>
      </c>
      <c r="H16" s="167">
        <f t="shared" si="3"/>
        <v>72.385323673511962</v>
      </c>
      <c r="I16" s="167">
        <f t="shared" si="3"/>
        <v>55.374772610236647</v>
      </c>
      <c r="J16" s="168">
        <f t="shared" si="3"/>
        <v>477.27296615384614</v>
      </c>
      <c r="K16" s="168">
        <f t="shared" si="3"/>
        <v>365.11381910769228</v>
      </c>
      <c r="L16" s="169">
        <f t="shared" ca="1" si="3"/>
        <v>1630.740852332347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6" zoomScale="80" zoomScaleNormal="80" workbookViewId="0">
      <selection activeCell="H25" sqref="H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-128.48732901529411</v>
      </c>
      <c r="U10" s="178">
        <f>'Données projet'!D9</f>
        <v>5.56</v>
      </c>
      <c r="V10" s="177">
        <f>U10*T10</f>
        <v>-714.3895493250352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3759.16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49.784615384615385</v>
      </c>
      <c r="C23" s="193">
        <v>10</v>
      </c>
      <c r="D23" s="182">
        <f>B23*C23</f>
        <v>497.84615384615387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-4013.1455301862793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48.723076923076924</v>
      </c>
      <c r="C24" s="193">
        <v>18</v>
      </c>
      <c r="D24" s="182">
        <f t="shared" ref="D24:D42" si="2">B24*C24</f>
        <v>877.01538461538462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26</v>
      </c>
      <c r="B25" s="181">
        <f>'Données projet'!D38</f>
        <v>46.984615384615381</v>
      </c>
      <c r="C25" s="193">
        <v>25</v>
      </c>
      <c r="D25" s="182">
        <f t="shared" si="2"/>
        <v>1174.6153846153845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-4013.1455301862793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64.523076923076914</v>
      </c>
      <c r="C26" s="193">
        <v>25</v>
      </c>
      <c r="D26" s="182">
        <f t="shared" si="2"/>
        <v>1613.0769230769229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40</v>
      </c>
      <c r="B27" s="181">
        <f>'Données projet'!D40</f>
        <v>92.661538461538456</v>
      </c>
      <c r="C27" s="193">
        <v>35</v>
      </c>
      <c r="D27" s="182">
        <f t="shared" si="2"/>
        <v>3243.1538461538457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83.969230769230762</v>
      </c>
      <c r="C28" s="193">
        <v>35</v>
      </c>
      <c r="D28" s="182">
        <f t="shared" si="2"/>
        <v>2938.9230769230767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56</v>
      </c>
      <c r="B29" s="181">
        <f>'Données projet'!D42</f>
        <v>446.47692307692301</v>
      </c>
      <c r="C29" s="193">
        <v>35</v>
      </c>
      <c r="D29" s="182">
        <f t="shared" si="2"/>
        <v>15626.692307692305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4" ma:contentTypeDescription="Create a new document." ma:contentTypeScope="" ma:versionID="a5233bb7d2dbc92a78ff5ca8b11a244f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e5659351269c138c0624f3db7dfaea44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8D5304-E1BB-46A4-A9C7-EB888AD17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D72C2E-9E97-43A8-8E60-B8CAD1951649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BF4AE07E-80B4-4838-B3AA-D4497A8583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EVEN</cp:lastModifiedBy>
  <dcterms:created xsi:type="dcterms:W3CDTF">2021-02-01T08:22:39Z</dcterms:created>
  <dcterms:modified xsi:type="dcterms:W3CDTF">2024-02-13T09:32:13Z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</Properties>
</file>